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8.xml"/>
  <Override ContentType="application/vnd.openxmlformats-officedocument.drawingml.chart+xml" PartName="/xl/charts/chart43.xml"/>
  <Override ContentType="application/vnd.openxmlformats-officedocument.drawingml.chart+xml" PartName="/xl/charts/chart13.xml"/>
  <Override ContentType="application/vnd.openxmlformats-officedocument.drawingml.chart+xml" PartName="/xl/charts/chart44.xml"/>
  <Override ContentType="application/vnd.openxmlformats-officedocument.drawingml.chart+xml" PartName="/xl/charts/chart31.xml"/>
  <Override ContentType="application/vnd.openxmlformats-officedocument.drawingml.chart+xml" PartName="/xl/charts/chart26.xml"/>
  <Override ContentType="application/vnd.openxmlformats-officedocument.drawingml.chart+xml" PartName="/xl/charts/chart39.xml"/>
  <Override ContentType="application/vnd.openxmlformats-officedocument.drawingml.chart+xml" PartName="/xl/charts/chart35.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34.xml"/>
  <Override ContentType="application/vnd.openxmlformats-officedocument.drawingml.chart+xml" PartName="/xl/charts/chart47.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42.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16.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46.xml"/>
  <Override ContentType="application/vnd.openxmlformats-officedocument.drawingml.chart+xml" PartName="/xl/charts/chart29.xml"/>
  <Override ContentType="application/vnd.openxmlformats-officedocument.drawingml.chart+xml" PartName="/xl/charts/chart37.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40.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Xeon" sheetId="1" r:id="rId3"/>
    <sheet state="visible" name="Xeon Phi (KNL) cache mode" sheetId="2" r:id="rId4"/>
    <sheet state="visible" name="Xeon Phi (KNM) cache mode" sheetId="3" r:id="rId5"/>
    <sheet state="visible" name="wahib" sheetId="4" r:id="rId6"/>
    <sheet state="visible" name="tsuji" sheetId="5" r:id="rId7"/>
    <sheet state="visible" name="Xeon Phi (KNL) flat mode" sheetId="6" r:id="rId8"/>
    <sheet state="visible" name="Xeon Phi (KNM) flat mode" sheetId="7" r:id="rId9"/>
    <sheet state="visible" name="Final_Xeon" sheetId="8" r:id="rId10"/>
    <sheet state="visible" name="Final_KNL_cache mode" sheetId="9" r:id="rId11"/>
    <sheet state="visible" name="Final_KNM_cache mode" sheetId="10" r:id="rId12"/>
    <sheet state="visible" name="Utilization HPC Centers" sheetId="11" r:id="rId13"/>
  </sheets>
  <definedNames/>
  <calcPr/>
</workbook>
</file>

<file path=xl/sharedStrings.xml><?xml version="1.0" encoding="utf-8"?>
<sst xmlns="http://schemas.openxmlformats.org/spreadsheetml/2006/main" count="8468" uniqueCount="2596">
  <si>
    <t/>
  </si>
  <si>
    <t xml:space="preserve">Person </t>
  </si>
  <si>
    <t>Type Proxyapp 
(ex: Weather model, QCD)</t>
  </si>
  <si>
    <t>Programming Language</t>
  </si>
  <si>
    <t>Measured Performance 
(GFLOPS/s)  SP/DP</t>
  </si>
  <si>
    <t>Measured Memory Throughput
(GB/Sec)</t>
  </si>
  <si>
    <t>Total number of GFLOPS
in Application (SP/DP)</t>
  </si>
  <si>
    <t>Memory used (in GB)</t>
  </si>
  <si>
    <t>Absolute Application Measured 
Runtime (Seconds, no profiler)</t>
  </si>
  <si>
    <t>Part of runtime spent in 
solver (in percentage)</t>
  </si>
  <si>
    <t>LLC Hits</t>
  </si>
  <si>
    <t>LLC Misses</t>
  </si>
  <si>
    <t>Hit rate (%) of 
LLC (Last Level Cache)</t>
  </si>
  <si>
    <t>Application Type
(Compute; Memory bound; ; Network; I/O)</t>
  </si>
  <si>
    <t>(((PADDING)))</t>
  </si>
  <si>
    <t>FP64 Inst (absolute)</t>
  </si>
  <si>
    <t>% of FP64 instructions</t>
  </si>
  <si>
    <t>FP32 Inst (absolute)</t>
  </si>
  <si>
    <t>% of FP32 instructions</t>
  </si>
  <si>
    <t>Int Inst (absolute)</t>
  </si>
  <si>
    <t>% of INT instructions</t>
  </si>
  <si>
    <t>Tool/Profiler
Used</t>
  </si>
  <si>
    <t>If you are worse than Xeon, why are you worse.
(Give link to empiric data for your assesment)</t>
  </si>
  <si>
    <t>Notes</t>
  </si>
  <si>
    <t>High Frequency
(Kernel Time, sec)</t>
  </si>
  <si>
    <t>Low Frequency
(Kernel Time, sec)</t>
  </si>
  <si>
    <t>CPU Cores</t>
  </si>
  <si>
    <t>Power (J/sec)</t>
  </si>
  <si>
    <t>Energy</t>
  </si>
  <si>
    <t>Power of KNL</t>
  </si>
  <si>
    <t>AMG</t>
  </si>
  <si>
    <t>Haoyu</t>
  </si>
  <si>
    <t>algebraic multigrid solver</t>
  </si>
  <si>
    <t>C</t>
  </si>
  <si>
    <t>5.997314(DP)</t>
  </si>
  <si>
    <t>81.8949</t>
  </si>
  <si>
    <t>48.966549(dp)</t>
  </si>
  <si>
    <t>10.23(FIT)</t>
  </si>
  <si>
    <t>16.132066</t>
  </si>
  <si>
    <t>50.611906</t>
  </si>
  <si>
    <t>278850</t>
  </si>
  <si>
    <t>0</t>
  </si>
  <si>
    <t>100</t>
  </si>
  <si>
    <t>Memory</t>
  </si>
  <si>
    <t>48.966549G</t>
  </si>
  <si>
    <t>90.621343</t>
  </si>
  <si>
    <t>5.067685G</t>
  </si>
  <si>
    <t>9.378657</t>
  </si>
  <si>
    <t>time/Intel SDE</t>
  </si>
  <si>
    <t>OMP_NUM_THREADS=64 -n 1-problem 1 -P 1 1 1 -n 256 256 128</t>
  </si>
  <si>
    <t>Tested on High Frequency node</t>
  </si>
  <si>
    <t>6.84654</t>
  </si>
  <si>
    <t>7.55768</t>
  </si>
  <si>
    <t>0.9059049867</t>
  </si>
  <si>
    <t>64</t>
  </si>
  <si>
    <t>171.0878197</t>
  </si>
  <si>
    <t>2760</t>
  </si>
  <si>
    <t>159.782435</t>
  </si>
  <si>
    <t>CANDLE Benchmarks</t>
  </si>
  <si>
    <t>Deep Learning and Simulation</t>
  </si>
  <si>
    <t>Python</t>
  </si>
  <si>
    <t>64.50301</t>
  </si>
  <si>
    <t>7453.797020(sp)</t>
  </si>
  <si>
    <t>13.943276(FIT)</t>
  </si>
  <si>
    <t>1588.4</t>
  </si>
  <si>
    <t>5.05</t>
  </si>
  <si>
    <t>Compute</t>
  </si>
  <si>
    <t>just test P1B1, there is 7 in total(P1B2 P1B3 P2B1 ...)  OMP_NUM_THREADS=64</t>
  </si>
  <si>
    <t>#DIV/0!</t>
  </si>
  <si>
    <t>CoMD</t>
  </si>
  <si>
    <t>molecular dynamics algorithms</t>
  </si>
  <si>
    <t>41.061235(DP)</t>
  </si>
  <si>
    <t>31.48393</t>
  </si>
  <si>
    <t>128.407433(dp)</t>
  </si>
  <si>
    <t>1.0879(FIT)</t>
  </si>
  <si>
    <t>3.591058</t>
  </si>
  <si>
    <t>87.083472</t>
  </si>
  <si>
    <t>22456601</t>
  </si>
  <si>
    <t>128.407433G</t>
  </si>
  <si>
    <t>89.576989</t>
  </si>
  <si>
    <t>14.861595G</t>
  </si>
  <si>
    <t>10.367444</t>
  </si>
  <si>
    <t>0.025471G</t>
  </si>
  <si>
    <t>0.055567</t>
  </si>
  <si>
    <t>MPI_PROCS=64, OMP_NUM_THREADS=2   -i 4 -j 4 -k 4 -x 40 -y 40 -z 40</t>
  </si>
  <si>
    <t>0.713564</t>
  </si>
  <si>
    <t>1.108696</t>
  </si>
  <si>
    <t>0.6436065432</t>
  </si>
  <si>
    <t>128</t>
  </si>
  <si>
    <t>51.23838156</t>
  </si>
  <si>
    <t>184</t>
  </si>
  <si>
    <t>49.29075228</t>
  </si>
  <si>
    <t>Laghos</t>
  </si>
  <si>
    <t>Tsuji</t>
  </si>
  <si>
    <t>Compressible gas dynamics</t>
  </si>
  <si>
    <t>C++</t>
  </si>
  <si>
    <t>11.780464 (DP)</t>
  </si>
  <si>
    <t>26.090240</t>
  </si>
  <si>
    <t>4737.475225 (DP)</t>
  </si>
  <si>
    <t>2.19 (FIT)</t>
  </si>
  <si>
    <t>404.995458</t>
  </si>
  <si>
    <t>99.296606</t>
  </si>
  <si>
    <t>93.7038</t>
  </si>
  <si>
    <t>2978129542357</t>
  </si>
  <si>
    <t>43.643121</t>
  </si>
  <si>
    <t>0.180981</t>
  </si>
  <si>
    <t>295332819088</t>
  </si>
  <si>
    <t>56.175898</t>
  </si>
  <si>
    <t>Intel SDE / time / perf</t>
  </si>
  <si>
    <t>with 288 MPI processes on 1 node, no thread code neither Open MP nor pthread</t>
  </si>
  <si>
    <t>298.119</t>
  </si>
  <si>
    <t>472.275</t>
  </si>
  <si>
    <t>0.6312402731</t>
  </si>
  <si>
    <t>288</t>
  </si>
  <si>
    <t>136.4459747</t>
  </si>
  <si>
    <t>55260</t>
  </si>
  <si>
    <t>143.4763709</t>
  </si>
  <si>
    <t>MACSio</t>
  </si>
  <si>
    <t>Scalable I/O Proxy Application</t>
  </si>
  <si>
    <t>0.267045 (IOPS)</t>
  </si>
  <si>
    <t>3.202380</t>
  </si>
  <si>
    <t>0.273396 (IOPS)</t>
  </si>
  <si>
    <t>0.34 (FIT)</t>
  </si>
  <si>
    <t>1.340025</t>
  </si>
  <si>
    <t>76.400291</t>
  </si>
  <si>
    <t>95.7524</t>
  </si>
  <si>
    <t>I/O</t>
  </si>
  <si>
    <t>1385479242</t>
  </si>
  <si>
    <t>45.785956</t>
  </si>
  <si>
    <t>2880</t>
  </si>
  <si>
    <t>0.000095</t>
  </si>
  <si>
    <t>3067493840</t>
  </si>
  <si>
    <t>54.213949</t>
  </si>
  <si>
    <t>12.0827</t>
  </si>
  <si>
    <t>18.598</t>
  </si>
  <si>
    <t>0.6496773847</t>
  </si>
  <si>
    <t>1593.253857</t>
  </si>
  <si>
    <t>2135</t>
  </si>
  <si>
    <t>1341.418764</t>
  </si>
  <si>
    <t>miniAMR</t>
  </si>
  <si>
    <t>Structured Adaptive Mesh Refinement (3D stencil)</t>
  </si>
  <si>
    <t>11.391084 (DP)</t>
  </si>
  <si>
    <t>52.777170</t>
  </si>
  <si>
    <t>60.394196 (DP)</t>
  </si>
  <si>
    <t>1.31 (FIT)</t>
  </si>
  <si>
    <t>6.210869</t>
  </si>
  <si>
    <t>85.364592</t>
  </si>
  <si>
    <t>82.8513</t>
  </si>
  <si>
    <t>1711864177283</t>
  </si>
  <si>
    <t>76.342714</t>
  </si>
  <si>
    <t>0.001720</t>
  </si>
  <si>
    <t>42357411892</t>
  </si>
  <si>
    <t>23.655567</t>
  </si>
  <si>
    <t>207.39</t>
  </si>
  <si>
    <t>295.22292</t>
  </si>
  <si>
    <t>0.7024861078</t>
  </si>
  <si>
    <t>6957.480507</t>
  </si>
  <si>
    <t>43212</t>
  </si>
  <si>
    <t>6281.778948</t>
  </si>
  <si>
    <t>miniFE</t>
  </si>
  <si>
    <t>Tsuchikawa</t>
  </si>
  <si>
    <t>Computation of element-operators</t>
  </si>
  <si>
    <t>31.947058 (DP)</t>
  </si>
  <si>
    <t>166.000950</t>
  </si>
  <si>
    <t>42.339308 (DP)</t>
  </si>
  <si>
    <t>0.00</t>
  </si>
  <si>
    <t>1.677534</t>
  </si>
  <si>
    <t>79.002631</t>
  </si>
  <si>
    <t>16029321553</t>
  </si>
  <si>
    <t>350066138</t>
  </si>
  <si>
    <t>97.862764</t>
  </si>
  <si>
    <t>42339308000.0</t>
  </si>
  <si>
    <t>99.446061</t>
  </si>
  <si>
    <t>17000.0</t>
  </si>
  <si>
    <t>0.000039</t>
  </si>
  <si>
    <t>235824000.0</t>
  </si>
  <si>
    <t>0.553900</t>
  </si>
  <si>
    <t>/miniFE-2.1.0/openmp-opt-knl/src OMP_NUM_THREAD=4, 72MPI processes</t>
  </si>
  <si>
    <t>nx = 128 ny = 128 nz = 128</t>
  </si>
  <si>
    <t>1.659</t>
  </si>
  <si>
    <t>2.493</t>
  </si>
  <si>
    <t>0.6654632972</t>
  </si>
  <si>
    <t>183.287374</t>
  </si>
  <si>
    <t>264</t>
  </si>
  <si>
    <t>116.125729</t>
  </si>
  <si>
    <t>miniTri</t>
  </si>
  <si>
    <t>Calculates a specific number (k) for all triangles in the graph.</t>
  </si>
  <si>
    <t>0.000099 (IOPS)</t>
  </si>
  <si>
    <t>21.714030</t>
  </si>
  <si>
    <t>0.000872 (IOPS)</t>
  </si>
  <si>
    <t>11.50 (FIT)</t>
  </si>
  <si>
    <t>11.663899</t>
  </si>
  <si>
    <t>75.129191</t>
  </si>
  <si>
    <t>251161460</t>
  </si>
  <si>
    <t>812003</t>
  </si>
  <si>
    <t>99.677743</t>
  </si>
  <si>
    <t>0.0</t>
  </si>
  <si>
    <t>0.001262</t>
  </si>
  <si>
    <t>0.000000</t>
  </si>
  <si>
    <t>872000.0</t>
  </si>
  <si>
    <t>99.998738</t>
  </si>
  <si>
    <t>/miniTri/miniTri/linearAlgebra/openmp OMP_NUM_THREAD=144, 1MPI processes</t>
  </si>
  <si>
    <t>Use bcsstk30.mtx by Matrix Market</t>
  </si>
  <si>
    <t>0.121</t>
  </si>
  <si>
    <t>0.169</t>
  </si>
  <si>
    <t>0.7159763314</t>
  </si>
  <si>
    <t>111.863426</t>
  </si>
  <si>
    <t>13</t>
  </si>
  <si>
    <t>117.264087</t>
  </si>
  <si>
    <t>Nekbone</t>
  </si>
  <si>
    <t>Solves a Helmholtz equation in a box.</t>
  </si>
  <si>
    <t>Fortran</t>
  </si>
  <si>
    <t>17.307090 (DP)</t>
  </si>
  <si>
    <t>19.314470</t>
  </si>
  <si>
    <t>8.469744 (DP)</t>
  </si>
  <si>
    <t>1.336244</t>
  </si>
  <si>
    <t>36.623551</t>
  </si>
  <si>
    <t>703390190</t>
  </si>
  <si>
    <t>2712941</t>
  </si>
  <si>
    <t>99.615787</t>
  </si>
  <si>
    <t>8469744000.0</t>
  </si>
  <si>
    <t>92.930881</t>
  </si>
  <si>
    <t>644281000.0</t>
  </si>
  <si>
    <t>7.069119</t>
  </si>
  <si>
    <t>Nekbone/test/nek_mgrid, OMP_NUM_THREAD=1, 24 MPI processes on 1 node</t>
  </si>
  <si>
    <t>48.496</t>
  </si>
  <si>
    <t>65.259</t>
  </si>
  <si>
    <t>0.7431312156</t>
  </si>
  <si>
    <t>8</t>
  </si>
  <si>
    <t>112.913685</t>
  </si>
  <si>
    <t>4393</t>
  </si>
  <si>
    <t>157.258409</t>
  </si>
  <si>
    <t>SW4lite</t>
  </si>
  <si>
    <t>Yashima</t>
  </si>
  <si>
    <t>testing performance optimizations in a few important numerical kernels of SW4.(SW4 implements substantial capabilities for 3-D seismic modeling,)</t>
  </si>
  <si>
    <t>57.403812 (DP)</t>
  </si>
  <si>
    <t>57.476800</t>
  </si>
  <si>
    <t>147.498579 (DP)</t>
  </si>
  <si>
    <t>1.45 (FIT)</t>
  </si>
  <si>
    <t>2.946147</t>
  </si>
  <si>
    <t>87.215302</t>
  </si>
  <si>
    <t>13487212</t>
  </si>
  <si>
    <t>96.9442037</t>
  </si>
  <si>
    <t>147498579000.0</t>
  </si>
  <si>
    <t>95.115963</t>
  </si>
  <si>
    <t>4000.0</t>
  </si>
  <si>
    <t>0.000003</t>
  </si>
  <si>
    <t>7573788000.0</t>
  </si>
  <si>
    <t>4.884034</t>
  </si>
  <si>
    <t>Intel SDE/time</t>
  </si>
  <si>
    <t>OMP_NUM_THREADS=2, MPI ranks=24</t>
  </si>
  <si>
    <t>3.28709</t>
  </si>
  <si>
    <t>4.44497</t>
  </si>
  <si>
    <t>0.7395078032</t>
  </si>
  <si>
    <t>48</t>
  </si>
  <si>
    <t>141.6013338</t>
  </si>
  <si>
    <t>535</t>
  </si>
  <si>
    <t>234.7328514</t>
  </si>
  <si>
    <t>SWFFT</t>
  </si>
  <si>
    <t>the Hardware Accelerated Cosmology Code (HACC)</t>
  </si>
  <si>
    <t>7.108827 (DP)</t>
  </si>
  <si>
    <t>70.236930</t>
  </si>
  <si>
    <t>19.115244 (DP)</t>
  </si>
  <si>
    <t>1.09 (FIT)</t>
  </si>
  <si>
    <t>3.267759</t>
  </si>
  <si>
    <t>82.287127</t>
  </si>
  <si>
    <t>10263619</t>
  </si>
  <si>
    <t>85.4569295</t>
  </si>
  <si>
    <t>19115244000.0</t>
  </si>
  <si>
    <t>76.127593</t>
  </si>
  <si>
    <t>5994238000.0</t>
  </si>
  <si>
    <t>23.872407</t>
  </si>
  <si>
    <t>OMP_NUM_THREADS=2, MPI ranks=128</t>
  </si>
  <si>
    <t>1.967005</t>
  </si>
  <si>
    <t>2.68167</t>
  </si>
  <si>
    <t>0.7335000205</t>
  </si>
  <si>
    <t>256</t>
  </si>
  <si>
    <t>131.2826313</t>
  </si>
  <si>
    <t>429</t>
  </si>
  <si>
    <t>180.7273844</t>
  </si>
  <si>
    <t>XSBench</t>
  </si>
  <si>
    <t>Computational kernel of the Monte Carlo neutronics</t>
  </si>
  <si>
    <t>8.558631 (DP)</t>
  </si>
  <si>
    <t>84.643340</t>
  </si>
  <si>
    <t>24.742797 (DP)</t>
  </si>
  <si>
    <t>5.97 (FIT)</t>
  </si>
  <si>
    <t>27.211730</t>
  </si>
  <si>
    <t>10.624007</t>
  </si>
  <si>
    <t>651694</t>
  </si>
  <si>
    <t>56.8142609</t>
  </si>
  <si>
    <t>24742797000.0</t>
  </si>
  <si>
    <t>97.348893</t>
  </si>
  <si>
    <t>416944000.0</t>
  </si>
  <si>
    <t>1.640440</t>
  </si>
  <si>
    <t>256877000.00000003</t>
  </si>
  <si>
    <t>1.010667</t>
  </si>
  <si>
    <t>OMP_NUM_THREADS=288, MPI ranks=1</t>
  </si>
  <si>
    <t>1.262911</t>
  </si>
  <si>
    <t>1.705231</t>
  </si>
  <si>
    <t>0.7406099232</t>
  </si>
  <si>
    <t>145.892966</t>
  </si>
  <si>
    <t>3970</t>
  </si>
  <si>
    <t>152.1199137</t>
  </si>
  <si>
    <t>Post-K  Miniapps</t>
  </si>
  <si>
    <t>Type Miniapp 
(ex: Weather model, QCD)</t>
  </si>
  <si>
    <t xml:space="preserve">Application Measured Runtime (Sec)
*not measured by profiler </t>
  </si>
  <si>
    <t>% of Runtime (Sec)
spent in Solver</t>
  </si>
  <si>
    <t>CCS QCD</t>
  </si>
  <si>
    <t>Matsumura</t>
  </si>
  <si>
    <t>QCD</t>
  </si>
  <si>
    <t>Fortran/C</t>
  </si>
  <si>
    <t>48.442340 (DP)</t>
  </si>
  <si>
    <t>163.351515</t>
  </si>
  <si>
    <t>493.626141 (DP)</t>
  </si>
  <si>
    <t>14.552942</t>
  </si>
  <si>
    <t>70.020021</t>
  </si>
  <si>
    <t>2680385351</t>
  </si>
  <si>
    <t>130302326</t>
  </si>
  <si>
    <t>95.364041</t>
  </si>
  <si>
    <t>493626141000.0</t>
  </si>
  <si>
    <t>62.094715</t>
  </si>
  <si>
    <t>11000.0</t>
  </si>
  <si>
    <t>0.000001</t>
  </si>
  <si>
    <t>301330612000.0</t>
  </si>
  <si>
    <t>37.905283</t>
  </si>
  <si>
    <t>SDE/VTune/PCM/NUMACTL/HEAPTRACK</t>
  </si>
  <si>
    <t>--</t>
  </si>
  <si>
    <t>CLASS2, PROCS=1 (PX=1, PY=1, PZ=1), OMP_NUM_THREADS=144</t>
  </si>
  <si>
    <t>93.514872</t>
  </si>
  <si>
    <t>134.249904</t>
  </si>
  <si>
    <t>0.6965731015</t>
  </si>
  <si>
    <t>144</t>
  </si>
  <si>
    <t>182.300460</t>
  </si>
  <si>
    <t>27085</t>
  </si>
  <si>
    <t>181.051614</t>
  </si>
  <si>
    <t>FFVC-MINI</t>
  </si>
  <si>
    <t>3D unsteady thermal flow of the incompressible fluid</t>
  </si>
  <si>
    <t>C++/Fortran</t>
  </si>
  <si>
    <t>36.911412 (IOPS)</t>
  </si>
  <si>
    <t>54.473640</t>
  </si>
  <si>
    <t>582.456145 (IOPS)</t>
  </si>
  <si>
    <t>0.25 (FIT)</t>
  </si>
  <si>
    <t>16.385620</t>
  </si>
  <si>
    <t>96.302972</t>
  </si>
  <si>
    <t>90.9473</t>
  </si>
  <si>
    <t>69660966884</t>
  </si>
  <si>
    <t>10.023275</t>
  </si>
  <si>
    <t>703075367580</t>
  </si>
  <si>
    <t>6.325025</t>
  </si>
  <si>
    <t>582283047550</t>
  </si>
  <si>
    <t>83.651699</t>
  </si>
  <si>
    <t>OMP_NUM_THREADS=288</t>
  </si>
  <si>
    <t>14.68</t>
  </si>
  <si>
    <t>19.903</t>
  </si>
  <si>
    <t>0.7375772497</t>
  </si>
  <si>
    <t>170.5153665</t>
  </si>
  <si>
    <t>2794</t>
  </si>
  <si>
    <t>128.8962246</t>
  </si>
  <si>
    <t>NICAM-DC-MINI</t>
  </si>
  <si>
    <t xml:space="preserve"> baroclinic wave test </t>
  </si>
  <si>
    <t>7.260159(DP)</t>
  </si>
  <si>
    <t>67.86228</t>
  </si>
  <si>
    <t>302.946335(dp)</t>
  </si>
  <si>
    <t>1.458(FIT)</t>
  </si>
  <si>
    <t>43.023438</t>
  </si>
  <si>
    <t>96.987203</t>
  </si>
  <si>
    <t>73197501</t>
  </si>
  <si>
    <t>20</t>
  </si>
  <si>
    <t>99.999973</t>
  </si>
  <si>
    <t>302.946335G</t>
  </si>
  <si>
    <t>51.475503</t>
  </si>
  <si>
    <t>0.001571G</t>
  </si>
  <si>
    <t>0.011136</t>
  </si>
  <si>
    <t>6.842376G</t>
  </si>
  <si>
    <t>48.513361</t>
  </si>
  <si>
    <t>MPI_PROCS=10(the running script and test workload generated by default using 10 mpirank)</t>
  </si>
  <si>
    <t>42.990177</t>
  </si>
  <si>
    <t>57.48598</t>
  </si>
  <si>
    <t>0.7478375945</t>
  </si>
  <si>
    <t>10</t>
  </si>
  <si>
    <t>116.367606</t>
  </si>
  <si>
    <t>5012</t>
  </si>
  <si>
    <t>mVMC-MINI</t>
  </si>
  <si>
    <t xml:space="preserve">Monte Carlo </t>
  </si>
  <si>
    <t>56.769866 (DP)</t>
  </si>
  <si>
    <t>ECP Proxyapps</t>
  </si>
  <si>
    <t>Please report timing here</t>
  </si>
  <si>
    <t>5.119005(dp)</t>
  </si>
  <si>
    <t>75.05222</t>
  </si>
  <si>
    <t>49.418303(dp)</t>
  </si>
  <si>
    <t>8.3555(FIT)</t>
  </si>
  <si>
    <t>14.413349</t>
  </si>
  <si>
    <t>66.978806</t>
  </si>
  <si>
    <t>1525021</t>
  </si>
  <si>
    <t>49.418303G</t>
  </si>
  <si>
    <t>90.552223</t>
  </si>
  <si>
    <t>5.156065G</t>
  </si>
  <si>
    <t>9.447777</t>
  </si>
  <si>
    <t>OMP_NUM_THREADS=32 -n 4 ./test/amg -problem 1 -P 2 2 1 -n 128 128 128</t>
  </si>
  <si>
    <t>7.202599</t>
  </si>
  <si>
    <t>7.777919</t>
  </si>
  <si>
    <t>0.9260316288</t>
  </si>
  <si>
    <t>120.288700</t>
  </si>
  <si>
    <t>14484.601210 (DP)</t>
  </si>
  <si>
    <t>11.3097864429145(sp)</t>
  </si>
  <si>
    <t>5.85694</t>
  </si>
  <si>
    <t>255.799896</t>
  </si>
  <si>
    <t>6938.819627501(sp)</t>
  </si>
  <si>
    <t>10.778484(FIT)</t>
  </si>
  <si>
    <t>2433.39</t>
  </si>
  <si>
    <t>28</t>
  </si>
  <si>
    <t>0.011573535G</t>
  </si>
  <si>
    <t>6938.819627501G</t>
  </si>
  <si>
    <t>70.05</t>
  </si>
  <si>
    <t>2967.273094555G</t>
  </si>
  <si>
    <t>29.95</t>
  </si>
  <si>
    <t>just test P1B1, there is 7 in total(P1B2 P1B3 P2B1 ...)  OMP_NUM_THREADS=32</t>
  </si>
  <si>
    <t>99.744351</t>
  </si>
  <si>
    <t>32</t>
  </si>
  <si>
    <t>36.345818(dp)</t>
  </si>
  <si>
    <t>20.52496</t>
  </si>
  <si>
    <t>26916487526</t>
  </si>
  <si>
    <t>128.329595(dp)</t>
  </si>
  <si>
    <t>0.7498(FIT)</t>
  </si>
  <si>
    <t>708355402703</t>
  </si>
  <si>
    <t>3.895254</t>
  </si>
  <si>
    <t>3.660753</t>
  </si>
  <si>
    <t>90.643486</t>
  </si>
  <si>
    <t>7837800</t>
  </si>
  <si>
    <t>128.32959G</t>
  </si>
  <si>
    <t>89.58345</t>
  </si>
  <si>
    <t>14484601210000.0</t>
  </si>
  <si>
    <t>14.842124G</t>
  </si>
  <si>
    <t>10.360889</t>
  </si>
  <si>
    <t>0.022583G</t>
  </si>
  <si>
    <t>89.133299</t>
  </si>
  <si>
    <t>0.055661</t>
  </si>
  <si>
    <t>9696297000.0</t>
  </si>
  <si>
    <t>MPI_PROCS=32, OMP_NUM_THREADS=4 -i 4 -j 4 -k 2 -x 40 -y 40 -z 40</t>
  </si>
  <si>
    <t>0.059668</t>
  </si>
  <si>
    <t>1756196320000.0</t>
  </si>
  <si>
    <t>0.642534</t>
  </si>
  <si>
    <t>10.807034</t>
  </si>
  <si>
    <t>0.954072</t>
  </si>
  <si>
    <t>0.6734648957</t>
  </si>
  <si>
    <t>PROCS=18, OMP_NUM_THREADS=16</t>
  </si>
  <si>
    <t>The problem size is customized : https://gitlab.m.gsic.titech.ac.jp/precision_experiments/mtmr/blob/master/mVMC-mini/makeDef/makeDef_large.py#L62</t>
  </si>
  <si>
    <t>198.405753</t>
  </si>
  <si>
    <t>304.829312</t>
  </si>
  <si>
    <t>0.6508749165</t>
  </si>
  <si>
    <t>205.005973</t>
  </si>
  <si>
    <t>48351</t>
  </si>
  <si>
    <t>191.951094</t>
  </si>
  <si>
    <t>15.467465 (DP)</t>
  </si>
  <si>
    <t>23.570580</t>
  </si>
  <si>
    <t>4736.258771 (DP)</t>
  </si>
  <si>
    <t>1.76 (FIT)</t>
  </si>
  <si>
    <t>NGS Analyzer-MINI</t>
  </si>
  <si>
    <t>308.594368</t>
  </si>
  <si>
    <t>99.226642</t>
  </si>
  <si>
    <t>genome analysis tool</t>
  </si>
  <si>
    <t>93.57211903</t>
  </si>
  <si>
    <t>0.00822474(DP)</t>
  </si>
  <si>
    <t>0.543714139</t>
  </si>
  <si>
    <t>27.94989(dp)</t>
  </si>
  <si>
    <t>0.02(FIT)</t>
  </si>
  <si>
    <t>3398.453</t>
  </si>
  <si>
    <t>99.9946414</t>
  </si>
  <si>
    <t>43.647956</t>
  </si>
  <si>
    <t>0.180944</t>
  </si>
  <si>
    <t>76.8496673</t>
  </si>
  <si>
    <t>56.171100</t>
  </si>
  <si>
    <t>with 256 MPI processes on 1 node, no thread code neither Open MP nor pthread</t>
  </si>
  <si>
    <t>310.64</t>
  </si>
  <si>
    <t>369.17</t>
  </si>
  <si>
    <t>0.8414551562</t>
  </si>
  <si>
    <t>27949890000</t>
  </si>
  <si>
    <t>0.225856 (IOPS)</t>
  </si>
  <si>
    <t>12.72</t>
  </si>
  <si>
    <t>2.954690</t>
  </si>
  <si>
    <t>32256634057</t>
  </si>
  <si>
    <t>0.265072 (IOPS)</t>
  </si>
  <si>
    <t>1.534942</t>
  </si>
  <si>
    <t>76.461195</t>
  </si>
  <si>
    <t>95.9149</t>
  </si>
  <si>
    <t>1231527157</t>
  </si>
  <si>
    <t>46.554375</t>
  </si>
  <si>
    <t>2560</t>
  </si>
  <si>
    <t>0.000097</t>
  </si>
  <si>
    <t>159525315566</t>
  </si>
  <si>
    <t>2691647171</t>
  </si>
  <si>
    <t>72.6</t>
  </si>
  <si>
    <t>53.445529</t>
  </si>
  <si>
    <t>OMP_NUM_THREADS=16, MPI ranks=4</t>
  </si>
  <si>
    <t>11.80735</t>
  </si>
  <si>
    <t>3361.048623</t>
  </si>
  <si>
    <t>17</t>
  </si>
  <si>
    <t>4417.543792</t>
  </si>
  <si>
    <t>0.7071370393</t>
  </si>
  <si>
    <t>0.7608410423</t>
  </si>
  <si>
    <t>92.76367806</t>
  </si>
  <si>
    <t>315253</t>
  </si>
  <si>
    <t>96.52352755</t>
  </si>
  <si>
    <t>MODYLAS-MINI</t>
  </si>
  <si>
    <t>9.639474 (DP)</t>
  </si>
  <si>
    <t>45.630520</t>
  </si>
  <si>
    <t>MD</t>
  </si>
  <si>
    <t>7.319901</t>
  </si>
  <si>
    <t>222.657106 (DP)</t>
  </si>
  <si>
    <t>85.592688</t>
  </si>
  <si>
    <t>82.4057</t>
  </si>
  <si>
    <t>27.319370</t>
  </si>
  <si>
    <t>5205.584651 (DP)</t>
  </si>
  <si>
    <t>25.936859</t>
  </si>
  <si>
    <t>228.85</t>
  </si>
  <si>
    <t>338.52</t>
  </si>
  <si>
    <t>0.6760309583</t>
  </si>
  <si>
    <t>90.139589</t>
  </si>
  <si>
    <t>47259566212</t>
  </si>
  <si>
    <t>3065720635</t>
  </si>
  <si>
    <t>93.908190</t>
  </si>
  <si>
    <t>5205584651000.0</t>
  </si>
  <si>
    <t>69.012904</t>
  </si>
  <si>
    <t>2062615999.9999998</t>
  </si>
  <si>
    <t>0.027345</t>
  </si>
  <si>
    <t>2335267716000.0</t>
  </si>
  <si>
    <t>30.959751</t>
  </si>
  <si>
    <t>wat222, PROCS=64, OMP_NUM_THREADS=4</t>
  </si>
  <si>
    <t>5.686787 (DP)</t>
  </si>
  <si>
    <t>29.941180</t>
  </si>
  <si>
    <t>40.273174 (DP)</t>
  </si>
  <si>
    <t>0.82</t>
  </si>
  <si>
    <t>7.214926</t>
  </si>
  <si>
    <t>23.879952</t>
  </si>
  <si>
    <t>98.156045</t>
  </si>
  <si>
    <t>37.492287</t>
  </si>
  <si>
    <t>344204798</t>
  </si>
  <si>
    <t>18191063</t>
  </si>
  <si>
    <t>94.980334</t>
  </si>
  <si>
    <t>0.6369297237</t>
  </si>
  <si>
    <t>40273174000.0</t>
  </si>
  <si>
    <t>210.692396</t>
  </si>
  <si>
    <t>99.502185</t>
  </si>
  <si>
    <t>6264</t>
  </si>
  <si>
    <t>202.533698</t>
  </si>
  <si>
    <t>201489000.0</t>
  </si>
  <si>
    <t>0.497815</t>
  </si>
  <si>
    <t>high diff to KNL</t>
  </si>
  <si>
    <t xml:space="preserve">/miniFE-2.1.0/openmp-opt-knl/src OMP_NUM_THREAD=64, 1MPI processes  </t>
  </si>
  <si>
    <t>1.577</t>
  </si>
  <si>
    <t>2.229</t>
  </si>
  <si>
    <t>0.7074921489</t>
  </si>
  <si>
    <t>0.000060 (IOPS)</t>
  </si>
  <si>
    <t>21.662890</t>
  </si>
  <si>
    <t>0.000582 (IOPS)</t>
  </si>
  <si>
    <t>11.59 (FIT)</t>
  </si>
  <si>
    <t>13.055336</t>
  </si>
  <si>
    <t>73.898144</t>
  </si>
  <si>
    <t>285595757</t>
  </si>
  <si>
    <t>1160351</t>
  </si>
  <si>
    <t>99.595353</t>
  </si>
  <si>
    <t>0.001890</t>
  </si>
  <si>
    <t>NTChem-MINI</t>
  </si>
  <si>
    <t>582000.0</t>
  </si>
  <si>
    <t>99.998110</t>
  </si>
  <si>
    <t>Molecular electronic structure calculation (almost Matrix Multiplication by BLAS)</t>
  </si>
  <si>
    <t>/miniTri/miniTri/linearAlgebra/openmp OMP_NUM_THREAD=128, 1MPI processes</t>
  </si>
  <si>
    <t>51.576596 (DP)</t>
  </si>
  <si>
    <t>83.270180</t>
  </si>
  <si>
    <t>0.141</t>
  </si>
  <si>
    <t>896.263528 (DP)</t>
  </si>
  <si>
    <t>0.187</t>
  </si>
  <si>
    <t>17.808626</t>
  </si>
  <si>
    <t>0.7540106952</t>
  </si>
  <si>
    <t>97.578162</t>
  </si>
  <si>
    <t>95619604559</t>
  </si>
  <si>
    <t>39.918273 (DP)</t>
  </si>
  <si>
    <t>969640152</t>
  </si>
  <si>
    <t>64.210170</t>
  </si>
  <si>
    <t>98.996120</t>
  </si>
  <si>
    <t>22.516540 (DP)</t>
  </si>
  <si>
    <t>0.53</t>
  </si>
  <si>
    <t>1.900575</t>
  </si>
  <si>
    <t>29.678702</t>
  </si>
  <si>
    <t>6229542353</t>
  </si>
  <si>
    <t>150589308</t>
  </si>
  <si>
    <t>97.639715</t>
  </si>
  <si>
    <t>22516540000.0</t>
  </si>
  <si>
    <t>92.911307</t>
  </si>
  <si>
    <t>1717905000.0</t>
  </si>
  <si>
    <t>7.088693</t>
  </si>
  <si>
    <t>896263528000.0</t>
  </si>
  <si>
    <t>83.663460</t>
  </si>
  <si>
    <t>1670142000.0</t>
  </si>
  <si>
    <t>Nekbone/test/nek_mgrid, OMP_NUM_THREAD=1, 64 MPI processes on 1 node</t>
  </si>
  <si>
    <t>0.155903</t>
  </si>
  <si>
    <t>173338699000.0</t>
  </si>
  <si>
    <t>46.456</t>
  </si>
  <si>
    <t>16.180638</t>
  </si>
  <si>
    <t>59.519</t>
  </si>
  <si>
    <t>0.7805238663</t>
  </si>
  <si>
    <t>h2o, PROCS=48, OMP_NUM_THREADS=6</t>
  </si>
  <si>
    <t>The paper of NTChem : http://onlinelibrary.wiley.com/doi/10.1002/qua.24860/abstract</t>
  </si>
  <si>
    <t>278.042961</t>
  </si>
  <si>
    <t>406.437641</t>
  </si>
  <si>
    <t>0.6840974677</t>
  </si>
  <si>
    <t>187.691546</t>
  </si>
  <si>
    <t>79381</t>
  </si>
  <si>
    <t>73.363743 (DP)</t>
  </si>
  <si>
    <t>161.837687</t>
  </si>
  <si>
    <t>81.326140</t>
  </si>
  <si>
    <t>147.077504 (DP)</t>
  </si>
  <si>
    <t>1.20 (UNFIT)</t>
  </si>
  <si>
    <t>2.338829</t>
  </si>
  <si>
    <t>FFB-MINI</t>
  </si>
  <si>
    <t>85.716869</t>
  </si>
  <si>
    <t>CFD, FEM</t>
  </si>
  <si>
    <t>7736294266</t>
  </si>
  <si>
    <t>109861360</t>
  </si>
  <si>
    <t>96.6693963</t>
  </si>
  <si>
    <t>11.477163(SP)</t>
  </si>
  <si>
    <t>84.45118</t>
  </si>
  <si>
    <t>383.126034(sp)</t>
  </si>
  <si>
    <t>147077504000.0</t>
  </si>
  <si>
    <t>11.971(FIT)</t>
  </si>
  <si>
    <t>35.988666</t>
  </si>
  <si>
    <t>92.755864</t>
  </si>
  <si>
    <t>36020769</t>
  </si>
  <si>
    <t>95.153058</t>
  </si>
  <si>
    <t>2000.0</t>
  </si>
  <si>
    <t>7491887000.0</t>
  </si>
  <si>
    <t>4.846941</t>
  </si>
  <si>
    <t>OMP_NUM_THREADS=2,   MPI ranks=24</t>
  </si>
  <si>
    <t>4.247921G</t>
  </si>
  <si>
    <t>0.563878</t>
  </si>
  <si>
    <t>383.126034</t>
  </si>
  <si>
    <t>2.88825</t>
  </si>
  <si>
    <t>50.856938</t>
  </si>
  <si>
    <t>3.79424</t>
  </si>
  <si>
    <t>365.966788</t>
  </si>
  <si>
    <t>0.7612196382</t>
  </si>
  <si>
    <t>48.579184</t>
  </si>
  <si>
    <t>-genv OMP_NUM_THREADS=2 -n 64 ./ffb_mini 4 4 4 12</t>
  </si>
  <si>
    <t>8.311281</t>
  </si>
  <si>
    <t>12.096436</t>
  </si>
  <si>
    <t>0.6870851051</t>
  </si>
  <si>
    <t>174.096211</t>
  </si>
  <si>
    <t>1926</t>
  </si>
  <si>
    <t>9.147283 (DP)</t>
  </si>
  <si>
    <t>92.075990</t>
  </si>
  <si>
    <t>19.458457 (DP)</t>
  </si>
  <si>
    <t>2.882795</t>
  </si>
  <si>
    <t>73.790852</t>
  </si>
  <si>
    <t>20094287169</t>
  </si>
  <si>
    <t>637779625</t>
  </si>
  <si>
    <t>87.0838577</t>
  </si>
  <si>
    <t>19458457000.0</t>
  </si>
  <si>
    <t>76.192880</t>
  </si>
  <si>
    <t>6079962000.0</t>
  </si>
  <si>
    <t>23.807120</t>
  </si>
  <si>
    <t>OMP_NUM_THREADS=2,   MPI ranks=128</t>
  </si>
  <si>
    <t>2.145538</t>
  </si>
  <si>
    <t>2.627435</t>
  </si>
  <si>
    <t>0.8165903248</t>
  </si>
  <si>
    <t>19.408949 (DP)</t>
  </si>
  <si>
    <t>174.686730</t>
  </si>
  <si>
    <t>24.744605 (DP)</t>
  </si>
  <si>
    <t>27.511191</t>
  </si>
  <si>
    <t>4.634140</t>
  </si>
  <si>
    <t>2827052726</t>
  </si>
  <si>
    <t>31255590</t>
  </si>
  <si>
    <t>59.9624018</t>
  </si>
  <si>
    <t>24744605000.0</t>
  </si>
  <si>
    <t>97.349014</t>
  </si>
  <si>
    <t>416952000.0</t>
  </si>
  <si>
    <t>1.640351</t>
  </si>
  <si>
    <t>256888000.0</t>
  </si>
  <si>
    <t>1.010635</t>
  </si>
  <si>
    <t>OMP_NUM_THREADS=256, MPI ranks=1</t>
  </si>
  <si>
    <t>1.34424</t>
  </si>
  <si>
    <t>1.705111</t>
  </si>
  <si>
    <t>HPL</t>
  </si>
  <si>
    <t>0.7883592329</t>
  </si>
  <si>
    <t>Jens</t>
  </si>
  <si>
    <t>HPCG</t>
  </si>
  <si>
    <t>BabelStream 2GB</t>
  </si>
  <si>
    <t>BabelStream 14GB</t>
  </si>
  <si>
    <t>unexpected or vastly different from KNL</t>
  </si>
  <si>
    <t>Notes:
- ECP Proxy applications available at: http://proxyapps.exascaleproject.org/ecp-suite/
- Post-K Mini applications available at: http://fiber-miniapp.github.io
- Use mill0.m.gsic.titech.ac.jp [Intel(R) Xeon Phi(TM) Knights Mill]
- Use Intel compilers at: /opt/intel/bin [version 18.01]
- All experiments conducted on a single node
- If a KNL-optimized implemetion is provided use it in the experiment 
- If a miniapp supports enables the user to choose whether to run at FP32 or FP64, please contact the author of the code to inquire              
  whether the FP64 mode is necessary in production runs or it is just supported for testing purposes
- For profiling, we recommend any of the Intel tools (Intel Pin, Intel Vtune ... etc), Intel HW counters, or any third-party profiler (ex: PAPI)
- For about KNL vs KNM, see https://www.anandtech.com/show/12172/intel-lists-knights-mill-xeon-phi-on-ark-up-to-72-cores-at-320w-with-qfma-and-vnni 
- For measuring the "% of Runtime (Sec) spent in Solver": report the time spent in the solver, and excluding any thing else (eg: initial phase, post phase ... etc)
- When having a set of different benchmarks/problems, then:
     - If there is a main benchmark and auxiliary benchmark (known from the documentation or contacting the authors), then stick to the main benchmark
     - If there are multiple, then measure all, and we will later use a proper way to crunch down the results to a single number (ex: use geometric mean for time-to-solution)
- Use numactl --preferred=1 ./app_executable to make sure memory is first allocated from the faster MCDRAM memory for Xeon Phi
- Set the clocks for Xeon Phi to maximum
- Figure out why Vtune crashes the machines</t>
  </si>
  <si>
    <t>52.074270 (DP)</t>
  </si>
  <si>
    <t>141.251945</t>
  </si>
  <si>
    <t>493.626121 (DP)</t>
  </si>
  <si>
    <t>2.74</t>
  </si>
  <si>
    <t>13.526090</t>
  </si>
  <si>
    <t>70.081383</t>
  </si>
  <si>
    <t>2471516047</t>
  </si>
  <si>
    <t>137160563</t>
  </si>
  <si>
    <t>94.742140</t>
  </si>
  <si>
    <t>493626121000.0</t>
  </si>
  <si>
    <t>62.094726</t>
  </si>
  <si>
    <t>301330461000.0</t>
  </si>
  <si>
    <t>37.905272</t>
  </si>
  <si>
    <t>CLASS2, PROCS=1 (PX=1, PY=1, PZ=1), OMP_NUM_THREADS=128</t>
  </si>
  <si>
    <t>94.94969</t>
  </si>
  <si>
    <t>122.905416</t>
  </si>
  <si>
    <t>0.7725427657</t>
  </si>
  <si>
    <t>35.097263 (IOPS)</t>
  </si>
  <si>
    <t xml:space="preserve">Meeting Notes:
- Describe what it means FP64. What opcodes are included + Breakdown. Are memory operations included?        
"- Unify methodology (compiler flags, tools, etc.)
- Measure run-time without profiler. Add column for runtime.
- Cross-validate"        
- What patterns do you see in the applications (see Berkley Dwarfs)        
- @Tsuchikawa: Send a mail to the author regarding enforcing all SP-&gt;DP for NekBone        </t>
  </si>
  <si>
    <t>51.051040</t>
  </si>
  <si>
    <t>582.426261 (IOPS)</t>
  </si>
  <si>
    <t>http://www.prace-ri.eu/ueabs/</t>
  </si>
  <si>
    <t>17.324014</t>
  </si>
  <si>
    <t>95.789781</t>
  </si>
  <si>
    <t>88.7459</t>
  </si>
  <si>
    <t>69659649764</t>
  </si>
  <si>
    <t>10.020638</t>
  </si>
  <si>
    <t>703075356700</t>
  </si>
  <si>
    <t>6.325508</t>
  </si>
  <si>
    <t>582283058110</t>
  </si>
  <si>
    <t>83.653854</t>
  </si>
  <si>
    <t>OMP_NUM_THREADS=256</t>
  </si>
  <si>
    <t>2018/04: reran since I was using weak scale option, changed to strong scale option</t>
  </si>
  <si>
    <t>11.591</t>
  </si>
  <si>
    <t>15.884</t>
  </si>
  <si>
    <t>0.7297280282</t>
  </si>
  <si>
    <t>baroclinic wave test</t>
  </si>
  <si>
    <t>3.601242(DP)</t>
  </si>
  <si>
    <t>43.24617</t>
  </si>
  <si>
    <t>302.948422(DP)</t>
  </si>
  <si>
    <t>1.3264(FIT)</t>
  </si>
  <si>
    <t>85.739815</t>
  </si>
  <si>
    <t>98.114652</t>
  </si>
  <si>
    <t>47315205</t>
  </si>
  <si>
    <t>70</t>
  </si>
  <si>
    <t>99.999852</t>
  </si>
  <si>
    <t>302.948422G</t>
  </si>
  <si>
    <t>51.458494</t>
  </si>
  <si>
    <t>0.065400G</t>
  </si>
  <si>
    <t>0.011109</t>
  </si>
  <si>
    <t>285.710014G</t>
  </si>
  <si>
    <t>48.530397</t>
  </si>
  <si>
    <t>47.89296</t>
  </si>
  <si>
    <t>57.834558</t>
  </si>
  <si>
    <t>0.8281028101</t>
  </si>
  <si>
    <t>48.022205 (DP)</t>
  </si>
  <si>
    <t>103.103480</t>
  </si>
  <si>
    <t>14647.605250 (DP)</t>
  </si>
  <si>
    <t>9.48</t>
  </si>
  <si>
    <t>305.864731</t>
  </si>
  <si>
    <t>99.722953</t>
  </si>
  <si>
    <t>40607050060</t>
  </si>
  <si>
    <t>625292800119</t>
  </si>
  <si>
    <t>6.098072</t>
  </si>
  <si>
    <t>14647605250000.0</t>
  </si>
  <si>
    <t>89.128819</t>
  </si>
  <si>
    <t>9819243000.0</t>
  </si>
  <si>
    <t>0.059749</t>
  </si>
  <si>
    <t>1776772036000.0</t>
  </si>
  <si>
    <t>10.811432</t>
  </si>
  <si>
    <t>PROCS=16, OMP_NUM_THREADS=16</t>
  </si>
  <si>
    <t>226.871293</t>
  </si>
  <si>
    <t>318.193046</t>
  </si>
  <si>
    <t>0.7129989038</t>
  </si>
  <si>
    <t>0.007552274(dp)</t>
  </si>
  <si>
    <t>0.48579749</t>
  </si>
  <si>
    <t>27.949893(dp)</t>
  </si>
  <si>
    <t>3701.108</t>
  </si>
  <si>
    <t>89.131093</t>
  </si>
  <si>
    <t>79.3571446</t>
  </si>
  <si>
    <t>27949893000</t>
  </si>
  <si>
    <t>14.73</t>
  </si>
  <si>
    <t>24211855715</t>
  </si>
  <si>
    <t>12.76</t>
  </si>
  <si>
    <t>137567362016</t>
  </si>
  <si>
    <t>72.5</t>
  </si>
  <si>
    <t>3792.644828</t>
  </si>
  <si>
    <t>4950.3513</t>
  </si>
  <si>
    <t>0.7661365019</t>
  </si>
  <si>
    <t>233.454034 (DP)</t>
  </si>
  <si>
    <t>30.694560</t>
  </si>
  <si>
    <t>5205.584656 (DP)</t>
  </si>
  <si>
    <t>14.06</t>
  </si>
  <si>
    <t>25.537713</t>
  </si>
  <si>
    <t>87.314451</t>
  </si>
  <si>
    <t>49257175348</t>
  </si>
  <si>
    <t>4333047236</t>
  </si>
  <si>
    <t>91.914482</t>
  </si>
  <si>
    <t>5205584656000.0</t>
  </si>
  <si>
    <t>23.09509</t>
  </si>
  <si>
    <t>33.979817</t>
  </si>
  <si>
    <t>0.6796708175</t>
  </si>
  <si>
    <t>47.514212 (DP)</t>
  </si>
  <si>
    <t>43.584030</t>
  </si>
  <si>
    <t>792.313644 (DP)</t>
  </si>
  <si>
    <t>9.00</t>
  </si>
  <si>
    <t>17.075780</t>
  </si>
  <si>
    <t>97.654678</t>
  </si>
  <si>
    <t>30521375800</t>
  </si>
  <si>
    <t>260259083</t>
  </si>
  <si>
    <t>99.154499</t>
  </si>
  <si>
    <t>792313644000.0</t>
  </si>
  <si>
    <t>83.496871</t>
  </si>
  <si>
    <t>1670066000.0</t>
  </si>
  <si>
    <t>0.175998</t>
  </si>
  <si>
    <t>154930469000.0</t>
  </si>
  <si>
    <t>16.327132</t>
  </si>
  <si>
    <t>h2o, PROCS=32, OMP_NUM_THREADS=4</t>
  </si>
  <si>
    <t>266.040867</t>
  </si>
  <si>
    <t>399.182176</t>
  </si>
  <si>
    <t>0.6664647948</t>
  </si>
  <si>
    <t>9.401480(sp)</t>
  </si>
  <si>
    <t>69.39745</t>
  </si>
  <si>
    <t>383.126038(sp)</t>
  </si>
  <si>
    <t>12.5181(FIT)</t>
  </si>
  <si>
    <t>43.633692</t>
  </si>
  <si>
    <t>93.394969</t>
  </si>
  <si>
    <t>107544148</t>
  </si>
  <si>
    <t>65</t>
  </si>
  <si>
    <t>99.99994</t>
  </si>
  <si>
    <t>0.563877</t>
  </si>
  <si>
    <t>383.126038G</t>
  </si>
  <si>
    <t>50.856913</t>
  </si>
  <si>
    <t>365.967165G</t>
  </si>
  <si>
    <t>48.57921</t>
  </si>
  <si>
    <t>MPI_PROCS=64, OMP_NUM_THREADS=2</t>
  </si>
  <si>
    <t>9.392022</t>
  </si>
  <si>
    <t>13.1054</t>
  </si>
  <si>
    <t>0.7166528301</t>
  </si>
  <si>
    <t>Notes:
- ECP Proxy applications available at: http://proxyapps.exascaleproject.org/ecp-suite/
- Post-K Mini applications available at: http://fiber-miniapp.github.io
- Use lyon[0-3].m.gsic.titech.ac.jp [Intel(R) Xeon Phi(TM) CPU 7210F @ 1.30GHz]
- Use Intel compilers at: /opt/intel/bin [version 18.01]
- All experiments conducted on a single node
- If a KNL-optimized implemetion is provided use it in the experiment 
- If a miniapp supports enables the user to choose whether to run at FP32 or FP64, please contact the author of the code to inquire              
  whether the FP64 mode is necessary in production runs or it is just supported for testing purposes
- For profiling, we recommend any of the Intel tools (Intel Pin, Intel Vtune ... etc), Intel HW counters, or any third-party profiler (ex: PAPI)
- For measuring the "% of Runtime (Sec) spent in Solver": report the time spent in the solver, and excluding any thing else (eg: initial phase, post phase ... etc)
- When having a set of different benchmarks/problems, then:
     - If there is a main benchmark and auxiliary benchmark (known from the documentation or contacting the authors), then stick to the main benchmark
     - If there are multiple, then measure all, and we will later use a proper way to crunch down the results to a single number (ex: use geometric mean for time-to-solution)
- Use numactl --preferred=1 ./app_executable to make sure memory is first allocated from the faster MCDRAM memory for Xeon Phi
- Set the clocks for Xeon Phi to maximum
- Figure out why Vtune crashes the machines</t>
  </si>
  <si>
    <t>LLC == L2 or MCDRAM here???</t>
  </si>
  <si>
    <t>strange results/missing</t>
  </si>
  <si>
    <t>did it FIT? ask Haoyu (unlikely he was the only one and had to mod all apps)</t>
  </si>
  <si>
    <t>KNM shows very different/unexpected behavior from KNL</t>
  </si>
  <si>
    <t>strange results</t>
  </si>
  <si>
    <t>Measured Performance 
(GFLOP/s) SP/DP</t>
  </si>
  <si>
    <t>Total number of GFLOPS
in Solver (SP/DP)</t>
  </si>
  <si>
    <t>Runtime (Sec)
spent in Solver</t>
  </si>
  <si>
    <t>FP64 Inst (absolute, Giga)</t>
  </si>
  <si>
    <t>% of FP64 inst</t>
  </si>
  <si>
    <t>FP32 Inst (abs, G)</t>
  </si>
  <si>
    <t>% of FP32 inst</t>
  </si>
  <si>
    <t>Int Inst (abs, G)</t>
  </si>
  <si>
    <t>% of INT inst</t>
  </si>
  <si>
    <t>cache+quad solver runtime</t>
  </si>
  <si>
    <t>% runtime compared to flat+all2all</t>
  </si>
  <si>
    <t>output seems wrong (in comparison to kiev, even w same input, diff. iteration count)</t>
  </si>
  <si>
    <t>OMP_NUM_THREADS=1 -n 64 ./test/amg -problem 1 -P 4 4 4 -n 64 64 64</t>
  </si>
  <si>
    <t>(setting num OMP has no real effect)</t>
  </si>
  <si>
    <t>OMP_NUM_THREADS=32 -n 1 python p1b1_baseline_keras2.py</t>
  </si>
  <si>
    <t>OMP_NUM_THREADS=4 -n 32 ./bin/CoMD-openmp-mpi -i4 -j4 -k2</t>
  </si>
  <si>
    <t>C++ (+C,Fortran)</t>
  </si>
  <si>
    <t>OMP_NUM_THREADS=6 -n 64 ./laghos -p 1 -m data/square01_quad.mesh -rs 3 -tf 0.8 -no-vis -pa</t>
  </si>
  <si>
    <t>must reduce nx/ny/nz to 2 otherwise phi runs out of mem, but reduces flops too</t>
  </si>
  <si>
    <t>OMP_NUM_THREADS=1 -n 64 ./ma.x --num_refine 4 --max_blocks 9000 --npx 4 --npy 4 --npz 4 --nx 2 --ny 2 --nz 2 ...</t>
  </si>
  <si>
    <t>usual output in end of run (flops, etc...) missing</t>
  </si>
  <si>
    <t>C++ (+C, Perl)</t>
  </si>
  <si>
    <t>OMP_NUM_THREADS=64 -n 1 ./openmp-opt-knl/src/miniFE.x -nx 128 -ny 128</t>
  </si>
  <si>
    <t>C++ (+C)</t>
  </si>
  <si>
    <t>OMP_NUM_THREADS=128 -n 1 ./miniTri/linearAlgebra/openmp/miniTri.exe ./bcsstk30.mtx 16 128 MM</t>
  </si>
  <si>
    <t>trial runs show n32 ==n64 runs (go with later conf)</t>
  </si>
  <si>
    <t>Fortran (+C)</t>
  </si>
  <si>
    <t>OMP_NUM_THREADS=1 -n 64 ./nekbone</t>
  </si>
  <si>
    <t>C++ (Fortran)</t>
  </si>
  <si>
    <t>OMP_NUM_THREADS=8 -n 16 ./optimize_mp_mill/sw4lite ./tests/pointsource/pointsource.in</t>
  </si>
  <si>
    <t>OMP_NUM_THREADS=1 -n 64 ./build.xmic/TestFDfft 32 128</t>
  </si>
  <si>
    <t>(mpi parallel w/ n&gt;16 versions seem to crash on Phi)</t>
  </si>
  <si>
    <t>OMP_NUM_THREADS=128 -n 1 ./XSBench -t 128 -s large -l 15000000 -G unionized</t>
  </si>
  <si>
    <r>
      <rPr>
        <b/>
      </rPr>
      <t>Person</t>
    </r>
    <r>
      <t xml:space="preserve"> </t>
    </r>
  </si>
  <si>
    <t>class3 crashes for n&gt;1 and class2 for n&gt;16 (memory problem?)</t>
  </si>
  <si>
    <t>OMP_NUM_THREADS=64 -n 1 ./ccs_qcd_solver_bench_class2</t>
  </si>
  <si>
    <t>OMP_NUM_THREADS=64 -n 1 ./bin/ffvc_mini --scale=strong --size=144 --division=1x1x1</t>
  </si>
  <si>
    <t>OMP_NUM_THREADS=10 -n 10 ./nhm_driver</t>
  </si>
  <si>
    <t>System</t>
  </si>
  <si>
    <t>C (+Fortran)</t>
  </si>
  <si>
    <t>Description</t>
  </si>
  <si>
    <t>Host Institute</t>
  </si>
  <si>
    <t>Citation (URL or Paper)</t>
  </si>
  <si>
    <t>Year</t>
  </si>
  <si>
    <t>Geoscience</t>
  </si>
  <si>
    <t>Chemistry</t>
  </si>
  <si>
    <t>Climate/Seismic/Earth Science</t>
  </si>
  <si>
    <t>Lattice QCD</t>
  </si>
  <si>
    <t>Material Science/Engineering</t>
  </si>
  <si>
    <t>Astrophysics</t>
  </si>
  <si>
    <t>High Energy Physics</t>
  </si>
  <si>
    <t>Physics</t>
  </si>
  <si>
    <t>Nuclear Physics</t>
  </si>
  <si>
    <t>Computer Science</t>
  </si>
  <si>
    <t>Applied Math</t>
  </si>
  <si>
    <t>Bioscience</t>
  </si>
  <si>
    <t>Combusion</t>
  </si>
  <si>
    <t>Environmental
Science</t>
  </si>
  <si>
    <t>Engineering
(Mechanics, CFD)</t>
  </si>
  <si>
    <t>Fusion Energy</t>
  </si>
  <si>
    <t>Other</t>
  </si>
  <si>
    <t>OMP_NUM_THREADS=8 -n 32 ../src/vmc.out ./multiDir.def</t>
  </si>
  <si>
    <t>HLRN-IIIN</t>
  </si>
  <si>
    <t>Usage of HLRN-IIIN Supercomputer</t>
  </si>
  <si>
    <t>stopped sweep, doesnt seem to get better with higher mpi proc</t>
  </si>
  <si>
    <t>The Zuse Institute Berlin (ZIB), Germany</t>
  </si>
  <si>
    <t>http://www.zib.de/features/supercomputing-zib</t>
  </si>
  <si>
    <t>OMP_NUM_THREADS=32 -n 4 ./bin/workflow ./ngsa_mini_input/bwa_db/reference.fa ./ngsa_mini_input/seq_contig.md ./ngsa_mini_input/reference.fa ./ngsa_mini_input/reference.fa.fai ./ngsa_mini_input/00-read-rank</t>
  </si>
  <si>
    <t>NERSC</t>
  </si>
  <si>
    <t>All NERCS resrouces: DoE Production, ALCC, Director Reserve projects</t>
  </si>
  <si>
    <t>NERSC, LBL, USA</t>
  </si>
  <si>
    <t>http://www.nersc.gov/assets/Uploads/17-NERSC-3962-report-final.pdf</t>
  </si>
  <si>
    <t>OMP_NUM_THREADS=4 -n 64 ../../src/modylas_mini ./wat222</t>
  </si>
  <si>
    <t>Oakforest-PACS</t>
  </si>
  <si>
    <t>Usage of Oakforest-PACS Supercomputer</t>
  </si>
  <si>
    <t>University of Tokyo, Japan</t>
  </si>
  <si>
    <t>http://www.ssken.gr.jp/MAINSITE/event/2017/20171026-sci/lecture-03/SSKEN_sci2017_NakajimaKengo_presentation.pdf</t>
  </si>
  <si>
    <t>OMP_NUM_THREADS=8 -n 16 /local/precision/run/ntchem/../..//NTChem/./bin/rimp2.exe</t>
  </si>
  <si>
    <t>K Computer</t>
  </si>
  <si>
    <t>Usage of K Supercomputer</t>
  </si>
  <si>
    <t>RIKEN-CCS, Japan</t>
  </si>
  <si>
    <t>https://www.hpci-office.jp/k-computer/documents/annualreport2016.pdf</t>
  </si>
  <si>
    <t>OMP_NUM_THREADS=2 -n 64 ./ffb_mini 4 4 4 12</t>
  </si>
  <si>
    <t>CSCS</t>
  </si>
  <si>
    <t>All compute resources of CSCS, including Piz Daint</t>
  </si>
  <si>
    <t>CSCS (Swiss National Supercomputing Centre), Switzerland</t>
  </si>
  <si>
    <t>https://www.cscs.ch/fileadmin/user_upload/contents_publications/annual_reports/AR2017_Online.pdf</t>
  </si>
  <si>
    <t>RRZE</t>
  </si>
  <si>
    <t>All compute resources of RRZE</t>
  </si>
  <si>
    <t>Erlangen Regional Computing Center (RRZE), Germany</t>
  </si>
  <si>
    <t>https://hpc.fau.de/systems/hpc-usage-reports/</t>
  </si>
  <si>
    <t>NARLabs</t>
  </si>
  <si>
    <t>All compute resources of NARLabs</t>
  </si>
  <si>
    <t>National Center for High-performance Computing, Taiwan</t>
  </si>
  <si>
    <t>https://www.slideshare.net/ultrafilter/nchc-i-sc2013leipzig</t>
  </si>
  <si>
    <t>OMP_NUM_THREADS=1 -n 64 ./xhpl</t>
  </si>
  <si>
    <t>HLRS</t>
  </si>
  <si>
    <t>All compute resources of HLRS</t>
  </si>
  <si>
    <t>HIGH-PERFORMANCE COMPUTING CENTER STUTTGART, Germany</t>
  </si>
  <si>
    <t>https://www.hlrs.de/fileadmin/sys/public/aboutus/media/report/HLRS-Annual_Report_2017.pdf</t>
  </si>
  <si>
    <t>ANL</t>
  </si>
  <si>
    <t>All compute resources of ALCC</t>
  </si>
  <si>
    <t>Argonne Leadership Computing Facility, ANL, USA</t>
  </si>
  <si>
    <t>https://www.alcf.anl.gov/files/ALCF_2016AR.pdf</t>
  </si>
  <si>
    <t>OMP_NUM_THREADS=1 -n 64 ./bin/xhpcg --nx=90 --ny=90 --nz=90</t>
  </si>
  <si>
    <t xml:space="preserve"> </t>
  </si>
  <si>
    <t>OMP_NUM_THREADS=8 -n 6 ... ./test/amg -problem 1 -P 3 2 1 -n 96 144 288</t>
  </si>
  <si>
    <t>OMP_NUM_THREADS=24 -n 1 python p1b1_baseline_keras2.py</t>
  </si>
  <si>
    <t>OMP_NUM_THREADS=1 -n 48 ./bin/CoMD-openmp-mpi -i4 -j4 -k3</t>
  </si>
  <si>
    <t>OMP_NUM_THREADS=2 -n 24 ./laghos -p 1 -m data/square01_quad.mesh -rs 3 -tf 0.8 -no-vis -pa</t>
  </si>
  <si>
    <t>OMP_NUM_THREADS=1 -n 24 .././macsio/macsio --units_prefix_system decimal --num_dumps 12</t>
  </si>
  <si>
    <t>OMP_NUM_THREADS=1 -n 96 ./ma.x --num_refine 4 --max_blocks 9000 --npx 6 --npy 4 --npz 4 --nx 2 --ny 2 --nz 2 --num_objects 1 --object 2 0 -1.71 -1.71 -1.71 0.04 0.04 0.04 1.7 1.7 1.7 0.0 0.0 0.0 --num_tsteps 100 --checksum_freq 1</t>
  </si>
  <si>
    <t>OMP_NUM_THREADS=1 -n 24 ./mkl/src/miniFE.x -nx 128 -ny 12</t>
  </si>
  <si>
    <t>OMP_NUM_THREADS=48 -n 1 ./miniTri/linearAlgebra/openmp/miniTri.exe ./bcsstk30.mtx 16 48 MM</t>
  </si>
  <si>
    <t>OMP_NUM_THREADS=1 -n 24 ./nekbone  (plus some black sed magic)</t>
  </si>
  <si>
    <t>OMP_NUM_THREADS=2 -n 24 ./optimize_mp_kiev/sw4lite ./tests/pointsource/pointsource.in</t>
  </si>
  <si>
    <t>OMP_NUM_THREADS=1 -n 32 ./build.xeon/TestFDfft 32 12</t>
  </si>
  <si>
    <t>OMP_NUM_THREADS=96 -n 1 ./XSBench -t 96 -s large -l 15000000 -G unionized</t>
  </si>
  <si>
    <r>
      <rPr>
        <b/>
      </rPr>
      <t>Person</t>
    </r>
    <r>
      <t xml:space="preserve"> </t>
    </r>
  </si>
  <si>
    <t>OMP_NUM_THREADS=24 -n 1 ./ccs_qcd_solver_bench_class3</t>
  </si>
  <si>
    <t>OMP_NUM_THREADS=4 -n 12 ./bin/ffvc_mini --scale=strong --size=144 --division=3x2x2</t>
  </si>
  <si>
    <t>OMP_NUM_THREADS=4 -n 10 ./nhm_driver</t>
  </si>
  <si>
    <t>OMP_NUM_THREADS=2 -n 24 ../src/vmc.out ./multiDir.def</t>
  </si>
  <si>
    <t>OMP_NUM_THREADS=4 -n 12 ./bin/workflow ./ngsa_mini_input/bwa....</t>
  </si>
  <si>
    <t>OMP_NUM_THREADS=3 -n 16 ../../src/modylas_mini ./wat222</t>
  </si>
  <si>
    <t>OMP_NUM_THREADS=1 -n 24 /local/precision/run/ntchem/../..//NTChem/./bin/rimp2.exe</t>
  </si>
  <si>
    <t>OMP_NUM_THREADS=1 -n 24 ./ffb_mini 4 3 2 17</t>
  </si>
  <si>
    <t>Gflop/s reported by BM: 583.1</t>
  </si>
  <si>
    <t>OMP_NUM_THREADS=1 -n 24 ./xhpl</t>
  </si>
  <si>
    <t>Gflop/s reported by BM: 22.366685</t>
  </si>
  <si>
    <t>OMP_NUM_THREADS=24 -n 2 ./bin/xhpcg --nx=180 --ny=360 --nz=360</t>
  </si>
  <si>
    <t xml:space="preserve">all compiled with default flags + '-O[2|3] -ipo -xHost'
</t>
  </si>
  <si>
    <t>max out cpu</t>
  </si>
  <si>
    <t>sudo tuned-adm profile latency-performance; tuned-adm verify</t>
  </si>
  <si>
    <t>need deps</t>
  </si>
  <si>
    <t>yum install cmake autoconf automake libtool</t>
  </si>
  <si>
    <t>get vtune kernel stuff</t>
  </si>
  <si>
    <t>cd $VTUNE_AMPLIFIER_2018_DIR/sepdk/src</t>
  </si>
  <si>
    <t>sudo ./build-driver</t>
  </si>
  <si>
    <t>sudo ./insmod-sep -r -g matsulab</t>
  </si>
  <si>
    <t>(need pre 3.10.0-693 kernel without specter/meltdown fixes)</t>
  </si>
  <si>
    <t>sudo yum install cpupowerutils</t>
  </si>
  <si>
    <t>sudo cpupower frequency-set -d 1Ghz ; sudo cpupower frequency-set -u 1Ghz ; sudo tuned-adm off; sudo tuned-adm profile powersave ; sudo tuned-adm off; sleep 10 ; sudo tuned-adm profile latency-performance ; tuned-adm verify</t>
  </si>
  <si>
    <t>13.943158 (DP)</t>
  </si>
  <si>
    <t>21.686504 (DP)</t>
  </si>
  <si>
    <t>21686504215</t>
  </si>
  <si>
    <t>98.942974</t>
  </si>
  <si>
    <t>13184</t>
  </si>
  <si>
    <t>0.000060</t>
  </si>
  <si>
    <t>231671580</t>
  </si>
  <si>
    <t>1.056966</t>
  </si>
  <si>
    <t xml:space="preserve">/miniFE-2.1.0/openmp-opt-knl/basic OMP_NUM_THREAD=4, 64MPI processes  </t>
  </si>
  <si>
    <t>0.000798 (IOPS)</t>
  </si>
  <si>
    <t>0.021985 (IOPS)</t>
  </si>
  <si>
    <t>0.000746</t>
  </si>
  <si>
    <t>21985000.0</t>
  </si>
  <si>
    <t>99.999254</t>
  </si>
  <si>
    <t>6.868907 (DP)</t>
  </si>
  <si>
    <t>151.283291 (DP)</t>
  </si>
  <si>
    <t>0.10 (FIT)</t>
  </si>
  <si>
    <t>152509742332</t>
  </si>
  <si>
    <t>94.638612</t>
  </si>
  <si>
    <t>8671143618</t>
  </si>
  <si>
    <t>5.361388</t>
  </si>
  <si>
    <t>53.496286874(dp)</t>
  </si>
  <si>
    <t>2.726457479</t>
  </si>
  <si>
    <t>154.562007(dp)</t>
  </si>
  <si>
    <t xml:space="preserve"> 1.12(FIT)</t>
  </si>
  <si>
    <t>3.131</t>
  </si>
  <si>
    <t>92.2775471</t>
  </si>
  <si>
    <t>154562007000</t>
  </si>
  <si>
    <t>96.81</t>
  </si>
  <si>
    <t>5092994549</t>
  </si>
  <si>
    <t>3.19</t>
  </si>
  <si>
    <t>9.200558394(dp)</t>
  </si>
  <si>
    <t>15.43048713</t>
  </si>
  <si>
    <t>19.587630(dp)</t>
  </si>
  <si>
    <t>1.09(FIT)</t>
  </si>
  <si>
    <t>2.808</t>
  </si>
  <si>
    <t>75.8176994</t>
  </si>
  <si>
    <t>9200558394</t>
  </si>
  <si>
    <t>76.14</t>
  </si>
  <si>
    <t>2883179975</t>
  </si>
  <si>
    <t>23.86</t>
  </si>
  <si>
    <t>17.782918475(dp)</t>
  </si>
  <si>
    <t>35.31165696</t>
  </si>
  <si>
    <t>24.075173(dp)</t>
  </si>
  <si>
    <t>0.27(FIT)</t>
  </si>
  <si>
    <t>27.896</t>
  </si>
  <si>
    <t>4.8532872</t>
  </si>
  <si>
    <t>24075173000</t>
  </si>
  <si>
    <t>86.87</t>
  </si>
  <si>
    <t>3638851404</t>
  </si>
  <si>
    <t>13.13</t>
  </si>
  <si>
    <t>21.570426 (DP)</t>
  </si>
  <si>
    <t>68.337180</t>
  </si>
  <si>
    <t>2.74 (FIT)</t>
  </si>
  <si>
    <t>26.381714</t>
  </si>
  <si>
    <t>86.743394</t>
  </si>
  <si>
    <t>424115</t>
  </si>
  <si>
    <t>100.000000 (in flat mode)</t>
  </si>
  <si>
    <t>67.57653956</t>
  </si>
  <si>
    <t>33.261971 (DP)</t>
  </si>
  <si>
    <t>69.727900</t>
  </si>
  <si>
    <t>14694.488597 (DP)</t>
  </si>
  <si>
    <t>9.48 (FIT)</t>
  </si>
  <si>
    <t>442.440609</t>
  </si>
  <si>
    <t>99.850792</t>
  </si>
  <si>
    <t>156431873</t>
  </si>
  <si>
    <t>0.000031 (in flat mode)</t>
  </si>
  <si>
    <t>14694488597000.0</t>
  </si>
  <si>
    <t>89.150693</t>
  </si>
  <si>
    <t>9831364000.0</t>
  </si>
  <si>
    <t>0.059646</t>
  </si>
  <si>
    <t>1778433184000.0</t>
  </si>
  <si>
    <t>10.789661</t>
  </si>
  <si>
    <t>216.277176 (DP)</t>
  </si>
  <si>
    <t>25.505510</t>
  </si>
  <si>
    <t>14.06 (FIT)</t>
  </si>
  <si>
    <t>27.043923</t>
  </si>
  <si>
    <t>88.999821</t>
  </si>
  <si>
    <t>65370611</t>
  </si>
  <si>
    <t>62</t>
  </si>
  <si>
    <t>99.999905 (in flat mode)</t>
  </si>
  <si>
    <t>39.712954 (DP)</t>
  </si>
  <si>
    <t>38.870760</t>
  </si>
  <si>
    <t>792.313629 (DP)</t>
  </si>
  <si>
    <t>9.00 (FIT)</t>
  </si>
  <si>
    <t>20.295206</t>
  </si>
  <si>
    <t>98.304063</t>
  </si>
  <si>
    <t>11005791</t>
  </si>
  <si>
    <t>99.999709 (in flat mode)</t>
  </si>
  <si>
    <t>792313629000.0</t>
  </si>
  <si>
    <t>83.496870</t>
  </si>
  <si>
    <t>50.0530645</t>
  </si>
  <si>
    <r>
      <rPr>
        <b/>
      </rPr>
      <t>Person</t>
    </r>
    <r>
      <t xml:space="preserve"> </t>
    </r>
  </si>
  <si>
    <t>16.396707 (DP)</t>
  </si>
  <si>
    <t>48.143710</t>
  </si>
  <si>
    <t>22.726885 (DP)</t>
  </si>
  <si>
    <t>1.86 (FIT)</t>
  </si>
  <si>
    <t>2.230259</t>
  </si>
  <si>
    <t>62.148118</t>
  </si>
  <si>
    <t>94.14666222</t>
  </si>
  <si>
    <t>22726885787</t>
  </si>
  <si>
    <t>98.913272</t>
  </si>
  <si>
    <t>64224</t>
  </si>
  <si>
    <t>0.000280</t>
  </si>
  <si>
    <t>249637549</t>
  </si>
  <si>
    <t>1.086449</t>
  </si>
  <si>
    <t>/miniFE-2.1.0/openmp-opt-knl/basic OMP_NUM_THREAD=2, 144MPI processes</t>
  </si>
  <si>
    <t>0.000925 (IOPS)</t>
  </si>
  <si>
    <t>6.679450</t>
  </si>
  <si>
    <t>0.022664 (IOPS)</t>
  </si>
  <si>
    <t>28.264444</t>
  </si>
  <si>
    <t>86.702091</t>
  </si>
  <si>
    <t>83.3309339</t>
  </si>
  <si>
    <t>0.000547</t>
  </si>
  <si>
    <t>22664000.0</t>
  </si>
  <si>
    <t>99.999453</t>
  </si>
  <si>
    <t>7.165572 (DP)</t>
  </si>
  <si>
    <t>7.469876</t>
  </si>
  <si>
    <t>151.278428 (DP)</t>
  </si>
  <si>
    <t>46.011706</t>
  </si>
  <si>
    <t>45.883634</t>
  </si>
  <si>
    <t>96.74506899</t>
  </si>
  <si>
    <t>152509015132</t>
  </si>
  <si>
    <t>94.638338</t>
  </si>
  <si>
    <t>8778708077</t>
  </si>
  <si>
    <t>5.361662</t>
  </si>
  <si>
    <t>Nekbone/test/example1, OMP_NUM_THREAD=1, 8 MPI processes on 1 node</t>
  </si>
  <si>
    <t>46.113410486(DP)</t>
  </si>
  <si>
    <t>2.285316048</t>
  </si>
  <si>
    <t>1.12(FIT)</t>
  </si>
  <si>
    <t>3.573</t>
  </si>
  <si>
    <t>93.8085642</t>
  </si>
  <si>
    <t>9.782000766(DP)</t>
  </si>
  <si>
    <t>16.12659648</t>
  </si>
  <si>
    <t>19.272449(dp)</t>
  </si>
  <si>
    <t>2.19(FIT)</t>
  </si>
  <si>
    <t>2.598</t>
  </si>
  <si>
    <t>75.8350654</t>
  </si>
  <si>
    <t>19272449000</t>
  </si>
  <si>
    <t>71.54</t>
  </si>
  <si>
    <t>7666954131</t>
  </si>
  <si>
    <t>28.46</t>
  </si>
  <si>
    <t>18.856121183(DP)</t>
  </si>
  <si>
    <t>40.33094914</t>
  </si>
  <si>
    <t>24.072026(dp)</t>
  </si>
  <si>
    <t xml:space="preserve"> 0.28(FIT)</t>
  </si>
  <si>
    <t>25.547</t>
  </si>
  <si>
    <t>4.9971269</t>
  </si>
  <si>
    <t>24072026000</t>
  </si>
  <si>
    <t>3638375750</t>
  </si>
  <si>
    <t>24.325868 (DP)</t>
  </si>
  <si>
    <t>79.779835</t>
  </si>
  <si>
    <t>24.140786</t>
  </si>
  <si>
    <t>84.057872</t>
  </si>
  <si>
    <t>40.943812 (DP)</t>
  </si>
  <si>
    <t>85.416880</t>
  </si>
  <si>
    <t>14573.150264 (DP)</t>
  </si>
  <si>
    <t>10.78 (FIT)</t>
  </si>
  <si>
    <t>356.610371</t>
  </si>
  <si>
    <t>99.809343</t>
  </si>
  <si>
    <t>14573150264000.0</t>
  </si>
  <si>
    <t>89.173392</t>
  </si>
  <si>
    <t>9715344000.0</t>
  </si>
  <si>
    <t>0.059448</t>
  </si>
  <si>
    <t>1759621784000.0</t>
  </si>
  <si>
    <t>10.767160</t>
  </si>
  <si>
    <t>213.565873 (DP)</t>
  </si>
  <si>
    <t>23.902940</t>
  </si>
  <si>
    <t>5205.584648 (DP)</t>
  </si>
  <si>
    <t>27.135940</t>
  </si>
  <si>
    <t>89.824082</t>
  </si>
  <si>
    <t>5205584648000.0</t>
  </si>
  <si>
    <t>37.131259 (DP)</t>
  </si>
  <si>
    <t>69.570720</t>
  </si>
  <si>
    <t>18.27 (FIT)</t>
  </si>
  <si>
    <t>24.579631</t>
  </si>
  <si>
    <t>98.202080</t>
  </si>
  <si>
    <t>173338695000.0</t>
  </si>
  <si>
    <t>16.180637</t>
  </si>
  <si>
    <t>Person _test</t>
  </si>
  <si>
    <t>Measured Performance 
(GFLOPS/s) SP/DP</t>
  </si>
  <si>
    <t>Resource Stall Cycles 
(cycles)</t>
  </si>
  <si>
    <t>CPU CLK 
(cycles)</t>
  </si>
  <si>
    <t>Part of runtime spent in 
solver (in percentage)</t>
  </si>
  <si>
    <t>Application Type
(Compute; Memory bound; Network; I/O)</t>
  </si>
  <si>
    <t>BYTES/FLOPS
(reported by authors)</t>
  </si>
  <si>
    <t>% of FP64 instructions *</t>
  </si>
  <si>
    <t>Processes/Threads</t>
  </si>
  <si>
    <t>Notes
(ex: problem set/size)</t>
  </si>
  <si>
    <t>Ghz</t>
  </si>
  <si>
    <t>1.2 Ghz</t>
  </si>
  <si>
    <t>1.4 Ghz</t>
  </si>
  <si>
    <t>1.6 Ghz</t>
  </si>
  <si>
    <t>1.8 Ghz</t>
  </si>
  <si>
    <t>2.1 Ghz</t>
  </si>
  <si>
    <t>2.5 Ghz</t>
  </si>
  <si>
    <t>Frequency
1.2Ghz</t>
  </si>
  <si>
    <t>Frequency
1.4Ghz</t>
  </si>
  <si>
    <t>Frequency
1.6Ghz</t>
  </si>
  <si>
    <t>Frequency
1.8Ghz</t>
  </si>
  <si>
    <t>Frequency
2.1Ghz</t>
  </si>
  <si>
    <t>Frequency
2.5Ghz</t>
  </si>
  <si>
    <t>Algebraic multigrid solver</t>
  </si>
  <si>
    <t>9.088155(DP)</t>
  </si>
  <si>
    <t>50.29194</t>
  </si>
  <si>
    <t>49.273875(dp)</t>
  </si>
  <si>
    <t>7.2104</t>
  </si>
  <si>
    <t>197962296943</t>
  </si>
  <si>
    <t>284296426444</t>
  </si>
  <si>
    <t>8.290452</t>
  </si>
  <si>
    <t>65.397749</t>
  </si>
  <si>
    <t>536565602</t>
  </si>
  <si>
    <t>335930922</t>
  </si>
  <si>
    <t>61.497735</t>
  </si>
  <si>
    <t>4~8</t>
  </si>
  <si>
    <t>49.273875G</t>
  </si>
  <si>
    <t>90.602223</t>
  </si>
  <si>
    <t>5.110966G</t>
  </si>
  <si>
    <t>9.397776</t>
  </si>
  <si>
    <t>(OMP_NUM_THREADS=24 -n 2 ../../AMG/test/amg -problem 1 -P 2 1 1 -n 128 256 128)</t>
  </si>
  <si>
    <t>-n lower than 64 will cause problem, iters become 21 which should be 22</t>
  </si>
  <si>
    <t>11.140471</t>
  </si>
  <si>
    <t>11.140749</t>
  </si>
  <si>
    <t>11.00391</t>
  </si>
  <si>
    <t>10.950398</t>
  </si>
  <si>
    <t>10.898119</t>
  </si>
  <si>
    <t>10.849535</t>
  </si>
  <si>
    <t>1.000024954</t>
  </si>
  <si>
    <t>88.88179390776953(DP)</t>
  </si>
  <si>
    <t>31.57904</t>
  </si>
  <si>
    <t>6918.867605249(sp)</t>
  </si>
  <si>
    <t>13.6848</t>
  </si>
  <si>
    <t>8.39E+11</t>
  </si>
  <si>
    <t>6.69E+12</t>
  </si>
  <si>
    <t>515.516</t>
  </si>
  <si>
    <t>20.2</t>
  </si>
  <si>
    <t>N/A</t>
  </si>
  <si>
    <t>0.011548914G</t>
  </si>
  <si>
    <t>6918.867605249G</t>
  </si>
  <si>
    <t>71.2</t>
  </si>
  <si>
    <t>2798.304722933G</t>
  </si>
  <si>
    <t>28.8</t>
  </si>
  <si>
    <t>just test P1B1, there is 7 in total(P1B2 P1B3 P2B1 ...)  OMP_NUM_THREADS=24</t>
  </si>
  <si>
    <t>24</t>
  </si>
  <si>
    <t>Molecular dynamics algorithms</t>
  </si>
  <si>
    <t>40.039900(DP)</t>
  </si>
  <si>
    <t>7.44597</t>
  </si>
  <si>
    <t>122.449823(dp)</t>
  </si>
  <si>
    <t>0.7652</t>
  </si>
  <si>
    <t>61172091758</t>
  </si>
  <si>
    <t>416382624573</t>
  </si>
  <si>
    <t>3.274783</t>
  </si>
  <si>
    <t>93.386188</t>
  </si>
  <si>
    <t>69267913</t>
  </si>
  <si>
    <t>29132000</t>
  </si>
  <si>
    <t>70.394283</t>
  </si>
  <si>
    <t>122.449823G</t>
  </si>
  <si>
    <t>99.981633</t>
  </si>
  <si>
    <t>0.022495G</t>
  </si>
  <si>
    <t>0.018367</t>
  </si>
  <si>
    <t>MPI_PROCS=48, OMP_NUM_THREADS=1     -i 4 -j 4 -k 3  -x 40 -y 40 -z 40</t>
  </si>
  <si>
    <t>0.787127</t>
  </si>
  <si>
    <t>0.674611</t>
  </si>
  <si>
    <t>0.590738</t>
  </si>
  <si>
    <t>0.526958</t>
  </si>
  <si>
    <t>0.453055</t>
  </si>
  <si>
    <t>0.382188</t>
  </si>
  <si>
    <t>0.8570548336</t>
  </si>
  <si>
    <t>8.327717 (DP)</t>
  </si>
  <si>
    <t>0.662880</t>
  </si>
  <si>
    <t>2975.756120 (DP)</t>
  </si>
  <si>
    <t>0.77</t>
  </si>
  <si>
    <t>4.94E+12</t>
  </si>
  <si>
    <t>1.24E+13</t>
  </si>
  <si>
    <t>358.010414</t>
  </si>
  <si>
    <t>99.810383</t>
  </si>
  <si>
    <t>89.0656</t>
  </si>
  <si>
    <t>92.436039</t>
  </si>
  <si>
    <t>7.563961</t>
  </si>
  <si>
    <t>with 48 (from "nproc" command) MPI processes on 1 node, no thread code neither OpenMP nor pthread</t>
  </si>
  <si>
    <t>362.2681939</t>
  </si>
  <si>
    <t>307.15</t>
  </si>
  <si>
    <t>266.332</t>
  </si>
  <si>
    <t>215.787</t>
  </si>
  <si>
    <t>205.127</t>
  </si>
  <si>
    <t>156.803</t>
  </si>
  <si>
    <t>0.340519 (IOPS)</t>
  </si>
  <si>
    <t>0.846730</t>
  </si>
  <si>
    <t>0.269876 (IOPS)</t>
  </si>
  <si>
    <t>0.34</t>
  </si>
  <si>
    <t>5.25E+10</t>
  </si>
  <si>
    <t>1.24E+11</t>
  </si>
  <si>
    <t>1.110153</t>
  </si>
  <si>
    <t>71.390520</t>
  </si>
  <si>
    <t>230894195</t>
  </si>
  <si>
    <t>46.107764</t>
  </si>
  <si>
    <t>480</t>
  </si>
  <si>
    <t>0.000096</t>
  </si>
  <si>
    <t>277500093</t>
  </si>
  <si>
    <t>53.892140</t>
  </si>
  <si>
    <t>1.188333333</t>
  </si>
  <si>
    <t>1.009</t>
  </si>
  <si>
    <t>0.915</t>
  </si>
  <si>
    <t>0.555</t>
  </si>
  <si>
    <t>0.738</t>
  </si>
  <si>
    <t>0.447</t>
  </si>
  <si>
    <t>3.751311 (DP)</t>
  </si>
  <si>
    <t>19.356880</t>
  </si>
  <si>
    <t>60.725009 (DP)</t>
  </si>
  <si>
    <t>1.28</t>
  </si>
  <si>
    <t>1.40E+12</t>
  </si>
  <si>
    <t>3.37E+12</t>
  </si>
  <si>
    <t>16.709764</t>
  </si>
  <si>
    <t>96.875563</t>
  </si>
  <si>
    <t>71.9524</t>
  </si>
  <si>
    <t>92.192782</t>
  </si>
  <si>
    <t>7.807218</t>
  </si>
  <si>
    <t xml:space="preserve">with 48 (from "nproc" command) MPI processes on 1 node, no thread code neither OpenMP nor pthread, </t>
  </si>
  <si>
    <t>69.61931778</t>
  </si>
  <si>
    <t>61.71598432</t>
  </si>
  <si>
    <t>58.271631</t>
  </si>
  <si>
    <t>50.76088236</t>
  </si>
  <si>
    <t>48.17729573</t>
  </si>
  <si>
    <t>43.8772</t>
  </si>
  <si>
    <t>19.402155 (DP)</t>
  </si>
  <si>
    <t>43.155480</t>
  </si>
  <si>
    <t>41.579032 (DP)</t>
  </si>
  <si>
    <t>0.93</t>
  </si>
  <si>
    <t>8.84E+09</t>
  </si>
  <si>
    <t>8.04E+10</t>
  </si>
  <si>
    <t>2.231349</t>
  </si>
  <si>
    <t>96.041050</t>
  </si>
  <si>
    <t>32972524</t>
  </si>
  <si>
    <t>15802658</t>
  </si>
  <si>
    <t>67.601027</t>
  </si>
  <si>
    <t>41579032000.0</t>
  </si>
  <si>
    <t>99.468565</t>
  </si>
  <si>
    <t>0.000005</t>
  </si>
  <si>
    <t>222144000.0</t>
  </si>
  <si>
    <t>0.531430</t>
  </si>
  <si>
    <t xml:space="preserve">/miniFE-2.1.0/openmp-opt-knl/src OMP_NUM_THREAD=1, 24MPI processes  </t>
  </si>
  <si>
    <t>1.551</t>
  </si>
  <si>
    <t>1.402</t>
  </si>
  <si>
    <t>1.283</t>
  </si>
  <si>
    <t>1.169</t>
  </si>
  <si>
    <t>1.068</t>
  </si>
  <si>
    <t>0.976</t>
  </si>
  <si>
    <t>0.000153 (IOPS)</t>
  </si>
  <si>
    <t>1.220910</t>
  </si>
  <si>
    <t>0.000869 (IOPS)</t>
  </si>
  <si>
    <t>11.49</t>
  </si>
  <si>
    <t>4.00E+06</t>
  </si>
  <si>
    <t>9.60E+07</t>
  </si>
  <si>
    <t>6.811445</t>
  </si>
  <si>
    <t>83.252247</t>
  </si>
  <si>
    <t>987074925</t>
  </si>
  <si>
    <t>32204994</t>
  </si>
  <si>
    <t>96.840417</t>
  </si>
  <si>
    <t>0.001266</t>
  </si>
  <si>
    <t>869000.0</t>
  </si>
  <si>
    <t>99.998734</t>
  </si>
  <si>
    <t>/miniTri/miniTri/linearAlgebra/openmp OMP_NUM_THREAD=48, 1MPI processes</t>
  </si>
  <si>
    <t>0.078</t>
  </si>
  <si>
    <t>0.068</t>
  </si>
  <si>
    <t>0.052</t>
  </si>
  <si>
    <t>0.042</t>
  </si>
  <si>
    <t>0.038</t>
  </si>
  <si>
    <t>0.035</t>
  </si>
  <si>
    <t>60.827625 (DP)</t>
  </si>
  <si>
    <t>1.941100</t>
  </si>
  <si>
    <t>8.470186 (DP)</t>
  </si>
  <si>
    <t>0.19</t>
  </si>
  <si>
    <t>2.18E+10</t>
  </si>
  <si>
    <t>1.86E+11</t>
  </si>
  <si>
    <t>0.464998</t>
  </si>
  <si>
    <t>29.946150</t>
  </si>
  <si>
    <t>30072758</t>
  </si>
  <si>
    <t>2655150</t>
  </si>
  <si>
    <t>91.887199</t>
  </si>
  <si>
    <t>8470186000.0</t>
  </si>
  <si>
    <t>92.568302</t>
  </si>
  <si>
    <t>680015000.0</t>
  </si>
  <si>
    <t>7.431698</t>
  </si>
  <si>
    <t>4</t>
  </si>
  <si>
    <t>20.6</t>
  </si>
  <si>
    <t>17.602</t>
  </si>
  <si>
    <t>15.328</t>
  </si>
  <si>
    <t>13.715</t>
  </si>
  <si>
    <t>11.723</t>
  </si>
  <si>
    <t>9.98</t>
  </si>
  <si>
    <t>87.410741 (DP)</t>
  </si>
  <si>
    <t>27.477950</t>
  </si>
  <si>
    <t>146.852055 (DP)</t>
  </si>
  <si>
    <t>1.12</t>
  </si>
  <si>
    <t>1.30E+11</t>
  </si>
  <si>
    <t>3.62E+11</t>
  </si>
  <si>
    <t>1.810711</t>
  </si>
  <si>
    <t>92.782504</t>
  </si>
  <si>
    <t>209396759</t>
  </si>
  <si>
    <t>63740147</t>
  </si>
  <si>
    <t>79.2113227</t>
  </si>
  <si>
    <t>146852055000.0</t>
  </si>
  <si>
    <t>95.155133</t>
  </si>
  <si>
    <t>7477039000.0</t>
  </si>
  <si>
    <t>4.844867</t>
  </si>
  <si>
    <t>intel SDE/time</t>
  </si>
  <si>
    <t>OpenMP threads=2, MPI ranks=24</t>
  </si>
  <si>
    <t>2.61106</t>
  </si>
  <si>
    <t>2.25648</t>
  </si>
  <si>
    <t>2.06945</t>
  </si>
  <si>
    <t>1.85919</t>
  </si>
  <si>
    <t>1.86778</t>
  </si>
  <si>
    <t>1.57579</t>
  </si>
  <si>
    <t>5.983505 (DP)</t>
  </si>
  <si>
    <t>39.401660</t>
  </si>
  <si>
    <t>11.681382 (DP)</t>
  </si>
  <si>
    <t>0.99</t>
  </si>
  <si>
    <t>87482131223</t>
  </si>
  <si>
    <t>121392182088</t>
  </si>
  <si>
    <t>2.044585</t>
  </si>
  <si>
    <t>95.484609</t>
  </si>
  <si>
    <t>85316736</t>
  </si>
  <si>
    <t>170409268</t>
  </si>
  <si>
    <t>36.3714285</t>
  </si>
  <si>
    <t>11681382000.0</t>
  </si>
  <si>
    <t>75.456469</t>
  </si>
  <si>
    <t>3799573000.0</t>
  </si>
  <si>
    <t>24.543531</t>
  </si>
  <si>
    <t>OpenMP threads=2, MPI ranks=18</t>
  </si>
  <si>
    <t>36</t>
  </si>
  <si>
    <t>2.234213</t>
  </si>
  <si>
    <t>2.221909</t>
  </si>
  <si>
    <t>2.105748</t>
  </si>
  <si>
    <t>2.025599</t>
  </si>
  <si>
    <t>2.100878</t>
  </si>
  <si>
    <t>2.107785</t>
  </si>
  <si>
    <t>10.300918 (DP)</t>
  </si>
  <si>
    <t>43.610940</t>
  </si>
  <si>
    <t>31.534408 (DP)</t>
  </si>
  <si>
    <t>11.92</t>
  </si>
  <si>
    <t>1.10E+08</t>
  </si>
  <si>
    <t>2.88E+08</t>
  </si>
  <si>
    <t>23.073403</t>
  </si>
  <si>
    <t>13.267744</t>
  </si>
  <si>
    <t>33932310319</t>
  </si>
  <si>
    <t>2785578950</t>
  </si>
  <si>
    <t>92.4116919</t>
  </si>
  <si>
    <t>31534408000.0</t>
  </si>
  <si>
    <t>98.029874</t>
  </si>
  <si>
    <t>633753000.0</t>
  </si>
  <si>
    <t>1.970126</t>
  </si>
  <si>
    <t>OpenMP threads=32, MPI ranks=2</t>
  </si>
  <si>
    <t>after problem sized is chaned to {small}, memory size become 0.5G but other metrics have been ecperimented</t>
  </si>
  <si>
    <t>3.513924</t>
  </si>
  <si>
    <t>3.366471</t>
  </si>
  <si>
    <t>3.204138</t>
  </si>
  <si>
    <t>3.063635</t>
  </si>
  <si>
    <t>3.093836</t>
  </si>
  <si>
    <t>2.917332</t>
  </si>
  <si>
    <t>CPU CLK
(cycles)</t>
  </si>
  <si>
    <t>21.655183 (DP)</t>
  </si>
  <si>
    <t>43.212980</t>
  </si>
  <si>
    <t>477.399625 (DP)</t>
  </si>
  <si>
    <t>594416891624</t>
  </si>
  <si>
    <t>820555230831</t>
  </si>
  <si>
    <t>23.104933</t>
  </si>
  <si>
    <t>95.414745</t>
  </si>
  <si>
    <t>2562097133</t>
  </si>
  <si>
    <t>1289552211</t>
  </si>
  <si>
    <t>66.519480</t>
  </si>
  <si>
    <t>0.667</t>
  </si>
  <si>
    <t>477399625000.0</t>
  </si>
  <si>
    <t>61.868508</t>
  </si>
  <si>
    <t>294236280000.0</t>
  </si>
  <si>
    <t>38.131492</t>
  </si>
  <si>
    <t>CLASS2, PROCS=4 (PX=2, PY=2, PZ=1), OMP_NUM_THREADS=6</t>
  </si>
  <si>
    <t>125.31615</t>
  </si>
  <si>
    <t>131.551266</t>
  </si>
  <si>
    <t>127.876772</t>
  </si>
  <si>
    <t>133.909096</t>
  </si>
  <si>
    <t>124.625798</t>
  </si>
  <si>
    <t>125.799637</t>
  </si>
  <si>
    <t>1.003858138</t>
  </si>
  <si>
    <t>1.638336 (IOPS)</t>
  </si>
  <si>
    <t>1.455170</t>
  </si>
  <si>
    <t>704.543394 (IOPS)</t>
  </si>
  <si>
    <t>0.24</t>
  </si>
  <si>
    <t>3.93E+12</t>
  </si>
  <si>
    <t>1.03E+13</t>
  </si>
  <si>
    <t>430.571387</t>
  </si>
  <si>
    <t>99.875625</t>
  </si>
  <si>
    <t>87.191</t>
  </si>
  <si>
    <t>0.8</t>
  </si>
  <si>
    <t>56947683364</t>
  </si>
  <si>
    <t>4.076268</t>
  </si>
  <si>
    <t>704543394420</t>
  </si>
  <si>
    <t>50.409415</t>
  </si>
  <si>
    <t>646523550788</t>
  </si>
  <si>
    <t>45.514317</t>
  </si>
  <si>
    <t>OMP_NUM_THREADS=48</t>
  </si>
  <si>
    <t>FFVC</t>
  </si>
  <si>
    <t>20.58</t>
  </si>
  <si>
    <t>18.934</t>
  </si>
  <si>
    <t>17.65</t>
  </si>
  <si>
    <t>14.879</t>
  </si>
  <si>
    <t>13.819</t>
  </si>
  <si>
    <t>10.604666(dp)</t>
  </si>
  <si>
    <t>39.35946</t>
  </si>
  <si>
    <t>304.678081(dp)</t>
  </si>
  <si>
    <t>1.4669</t>
  </si>
  <si>
    <t>4.43E+11</t>
  </si>
  <si>
    <t>6.40E+11</t>
  </si>
  <si>
    <t>29.048156</t>
  </si>
  <si>
    <t>98.906684</t>
  </si>
  <si>
    <t>3490087164</t>
  </si>
  <si>
    <t>1761774629</t>
  </si>
  <si>
    <t>66.454284</t>
  </si>
  <si>
    <t>5</t>
  </si>
  <si>
    <t>304.678081G</t>
  </si>
  <si>
    <t>88.803121</t>
  </si>
  <si>
    <t>0.002501G</t>
  </si>
  <si>
    <t>0.000729</t>
  </si>
  <si>
    <t>38.413307G</t>
  </si>
  <si>
    <t>11.19615</t>
  </si>
  <si>
    <t>NICAM-DC</t>
  </si>
  <si>
    <t>38.963464</t>
  </si>
  <si>
    <t>35.524255</t>
  </si>
  <si>
    <t>33.205421</t>
  </si>
  <si>
    <t>31.546845</t>
  </si>
  <si>
    <t>29.500828</t>
  </si>
  <si>
    <t>27.911493</t>
  </si>
  <si>
    <t>0.911732463</t>
  </si>
  <si>
    <t>37.275137 (DP)</t>
  </si>
  <si>
    <t>60.501320</t>
  </si>
  <si>
    <t>14212.845390 (DP)</t>
  </si>
  <si>
    <t>4.13</t>
  </si>
  <si>
    <t>6144101216138</t>
  </si>
  <si>
    <t>7058798588182</t>
  </si>
  <si>
    <t>381.652739</t>
  </si>
  <si>
    <t>99.906422</t>
  </si>
  <si>
    <t>19221614850</t>
  </si>
  <si>
    <t>10787138306</t>
  </si>
  <si>
    <t>64.053361</t>
  </si>
  <si>
    <t>14212845390000.0</t>
  </si>
  <si>
    <t>93.988656</t>
  </si>
  <si>
    <t>909027831000.0</t>
  </si>
  <si>
    <t>6.011344</t>
  </si>
  <si>
    <t>PROCS=12, OMP_NUM_THREADS=4</t>
  </si>
  <si>
    <t>mVMC</t>
  </si>
  <si>
    <t>551.840029</t>
  </si>
  <si>
    <t>342.90458</t>
  </si>
  <si>
    <t>315.068288</t>
  </si>
  <si>
    <t>314.663422</t>
  </si>
  <si>
    <t>255.498237</t>
  </si>
  <si>
    <t>254.252253</t>
  </si>
  <si>
    <t>0.4607354299</t>
  </si>
  <si>
    <t>0.012988231(DP)</t>
  </si>
  <si>
    <t>1.817356197</t>
  </si>
  <si>
    <t>11.735486</t>
  </si>
  <si>
    <t>0.054401268</t>
  </si>
  <si>
    <t>2.77E+12</t>
  </si>
  <si>
    <t>1.07E+13</t>
  </si>
  <si>
    <t>603.664</t>
  </si>
  <si>
    <t>99.99</t>
  </si>
  <si>
    <t>30.8429459</t>
  </si>
  <si>
    <t>11735486000</t>
  </si>
  <si>
    <t>6.71</t>
  </si>
  <si>
    <t>23820762939</t>
  </si>
  <si>
    <t>13.62</t>
  </si>
  <si>
    <t>139339220510</t>
  </si>
  <si>
    <t>79.67</t>
  </si>
  <si>
    <t>OpenMP threads=4, MPI ranks=12</t>
  </si>
  <si>
    <t>NGS Analyzer</t>
  </si>
  <si>
    <t>923.596197</t>
  </si>
  <si>
    <t>874.468878</t>
  </si>
  <si>
    <t>827.891059</t>
  </si>
  <si>
    <t>803.047412</t>
  </si>
  <si>
    <t>757.211094</t>
  </si>
  <si>
    <t>723.488468</t>
  </si>
  <si>
    <t>111.311924 (DP)</t>
  </si>
  <si>
    <t>1.680330</t>
  </si>
  <si>
    <t>4171.605248 (DP)</t>
  </si>
  <si>
    <t>6.54</t>
  </si>
  <si>
    <t>3095210642809</t>
  </si>
  <si>
    <t>4183462275184</t>
  </si>
  <si>
    <t>38.488980</t>
  </si>
  <si>
    <t>97.369987</t>
  </si>
  <si>
    <t>579779638</t>
  </si>
  <si>
    <t>214309541</t>
  </si>
  <si>
    <t>73.011905</t>
  </si>
  <si>
    <t>4171605248000.0</t>
  </si>
  <si>
    <t>70.668607</t>
  </si>
  <si>
    <t>1731447629000.0</t>
  </si>
  <si>
    <t>29.331393</t>
  </si>
  <si>
    <t>wat222, PROCS=16, OMP_NUM_THREADS=3</t>
  </si>
  <si>
    <t>MODYLAS</t>
  </si>
  <si>
    <t>68.408817</t>
  </si>
  <si>
    <t>50.263166</t>
  </si>
  <si>
    <t>44.653796</t>
  </si>
  <si>
    <t>44.262586</t>
  </si>
  <si>
    <t>32.343959</t>
  </si>
  <si>
    <t>32.038938</t>
  </si>
  <si>
    <t>0.468345155</t>
  </si>
  <si>
    <t>78.900875 (DP)</t>
  </si>
  <si>
    <t>10.530470</t>
  </si>
  <si>
    <t>696.054764 (DP)</t>
  </si>
  <si>
    <t>2.98</t>
  </si>
  <si>
    <t>211926317889</t>
  </si>
  <si>
    <t>505308757962</t>
  </si>
  <si>
    <t>8.949885</t>
  </si>
  <si>
    <t>98.569859</t>
  </si>
  <si>
    <t>769280478</t>
  </si>
  <si>
    <t>137945076</t>
  </si>
  <si>
    <t>84.794842</t>
  </si>
  <si>
    <t>696054764000.0</t>
  </si>
  <si>
    <t>94.235285</t>
  </si>
  <si>
    <t>42580199000.0</t>
  </si>
  <si>
    <t>5.764715</t>
  </si>
  <si>
    <t>h2o, PROCS=24, OMP_NUM_THREADS=1</t>
  </si>
  <si>
    <t>NTChem</t>
  </si>
  <si>
    <t>765.6205</t>
  </si>
  <si>
    <t>524.962969</t>
  </si>
  <si>
    <t>498.615297</t>
  </si>
  <si>
    <t>445.842722</t>
  </si>
  <si>
    <t>340.369692</t>
  </si>
  <si>
    <t>333.036733</t>
  </si>
  <si>
    <t>0.43498931</t>
  </si>
  <si>
    <t>34.916579(SP)</t>
  </si>
  <si>
    <t>8.61956</t>
  </si>
  <si>
    <t>188.485768(sp)</t>
  </si>
  <si>
    <t>3.9189</t>
  </si>
  <si>
    <t>1.05E+11</t>
  </si>
  <si>
    <t>3.25E+11</t>
  </si>
  <si>
    <t>6.149021</t>
  </si>
  <si>
    <t>87.789162</t>
  </si>
  <si>
    <t>495499801</t>
  </si>
  <si>
    <t>46838980</t>
  </si>
  <si>
    <t>91.36352</t>
  </si>
  <si>
    <t>6.17</t>
  </si>
  <si>
    <t>1.293849G</t>
  </si>
  <si>
    <t>0.418102</t>
  </si>
  <si>
    <t>188.485768G</t>
  </si>
  <si>
    <t>60.908379</t>
  </si>
  <si>
    <t>119.678245G</t>
  </si>
  <si>
    <t>38.673519</t>
  </si>
  <si>
    <t>MPI_PROCS=24,OMP_NUM_THREADS=1      4 3 2 17</t>
  </si>
  <si>
    <t>FFB</t>
  </si>
  <si>
    <t>9.369069</t>
  </si>
  <si>
    <t>8.060861</t>
  </si>
  <si>
    <t>7.135887</t>
  </si>
  <si>
    <t>6.378651</t>
  </si>
  <si>
    <t>5.552516</t>
  </si>
  <si>
    <t>4.760749</t>
  </si>
  <si>
    <t>0.8603694775</t>
  </si>
  <si>
    <t>Theor. Peak</t>
  </si>
  <si>
    <t>Notes:
- ECP Proxy applications available at: http://proxyapps.exascaleproject.org/ecp-suite/
- Post-K Mini applications available at: http://fiber-miniapp.github.io
- Use kiev[0-7].m.gsic.titech.ac.jp [Intel(R) Xeon CPU E5-2650 v4]
- Use Intel compilers at: /opt/intel/bin [version 18.01]
- All experiments conducted on a single node
- If a miniapp supports enables the user to choose whether to run at FP32 or FP64, please contact the author of the code to inquire              
  whether the FP64 mode is necessary in production runs or it is just supported for testing purposes
- For profiling, we recommend any of the Intel tools (Intel Pin, Intel Vtune ... etc), Intel HW counters, or any third-party profiler (ex: PAPI)
- For measuring the "% of Runtime (Sec) spent in Solver": report the time spent in the solver, and excluding any thing else (eg: initial phase, post phase ... etc)
- When having a set of different benchmarks/problems, then:
     - If there is a main benchmark and auxiliary benchmark (known from the documentation or contacting the authors), then stick to the main benchmark
     - If there are multiple, then measure all, and we will later use a proper way to crunch down the results to a single number (ex: use geometric mean for time-to-solution)</t>
  </si>
  <si>
    <t xml:space="preserve"> http://hpci-aplfs.aics.riken.jp/document/roadmap2017/roadmap_170713.pdf</t>
  </si>
  <si>
    <t>OMP_PROC_BIND=true environmental variable to prevent thread-migration</t>
  </si>
  <si>
    <t>Cache/Bandwidth pirate to assist in bandwidth tests</t>
  </si>
  <si>
    <t>alternative/additional mini-apps:</t>
  </si>
  <si>
    <t>https://mantevo.org/packages/</t>
  </si>
  <si>
    <t>https://portal.nersc.gov/project/CAL/designforward.htm</t>
  </si>
  <si>
    <t>Mapping</t>
  </si>
  <si>
    <t>https://codesign.llnl.gov/proxy-apps.php
https://asc.llnl.gov/CORAL-benchmarks/
https://www.spec.org/hpg/</t>
  </si>
  <si>
    <t>kiev0</t>
  </si>
  <si>
    <t>kiev3</t>
  </si>
  <si>
    <t>Note: Is latency a problem or will bloating the code with 1-2 magnitude of orders more emulation instructions thrash the cache, ROB, etc etc. (Artur)</t>
  </si>
  <si>
    <t>kiev5</t>
  </si>
  <si>
    <t>kiev6</t>
  </si>
  <si>
    <t>kiev4</t>
  </si>
  <si>
    <t>kiev7</t>
  </si>
  <si>
    <r>
      <rPr>
        <b/>
      </rPr>
      <t>Person</t>
    </r>
    <r>
      <t xml:space="preserve"> </t>
    </r>
  </si>
  <si>
    <t>Measured Performance 
(GIOP/s)</t>
  </si>
  <si>
    <t>Measured Memory Throughput
DDR  (GB/Sec)</t>
  </si>
  <si>
    <t>Measured Memory Throughput
MCDRAM  (GB/Sec)</t>
  </si>
  <si>
    <t>Measured Memory Throughput
SYSTEM  (GB/Sec)</t>
  </si>
  <si>
    <t>Part of runtime spent in 
solver (abs)</t>
  </si>
  <si>
    <t>LLC Hits (M; abs)</t>
  </si>
  <si>
    <t>LLC Misses (M; abs)</t>
  </si>
  <si>
    <t>L2 Hits (M; abs)</t>
  </si>
  <si>
    <t>L2 Misses (M; abs)</t>
  </si>
  <si>
    <t>Hit rate (%) of 
L2</t>
  </si>
  <si>
    <t>FP Arith/Mem Rd
Instr. Ratio</t>
  </si>
  <si>
    <t>FP Arith/Mem Wr
Instr. Ratio</t>
  </si>
  <si>
    <t>Memory Bound (%)</t>
  </si>
  <si>
    <t>FP64 Inst (G; absolute)</t>
  </si>
  <si>
    <t>FP32 Inst (G; absolute)</t>
  </si>
  <si>
    <t>Int Inst (G; absolute)</t>
  </si>
  <si>
    <t>Branches (G; abs)</t>
  </si>
  <si>
    <t>Gbranches/s</t>
  </si>
  <si>
    <t>Frequency (Ghz); Uncore 2.7Ghz</t>
  </si>
  <si>
    <t>Power (W)</t>
  </si>
  <si>
    <t>Cores used
(min(#MPI*#OMP,#CORES))</t>
  </si>
  <si>
    <t>Frequency
1.3Ghz</t>
  </si>
  <si>
    <t>Frequency
1.5Ghz</t>
  </si>
  <si>
    <t>Frequency
1.7Ghz</t>
  </si>
  <si>
    <t>Frequency
1.9Ghz</t>
  </si>
  <si>
    <t>Frequency
2.0Ghz</t>
  </si>
  <si>
    <t>Frequency
2.2Ghz</t>
  </si>
  <si>
    <t>Frequency
2.2Ghz + T</t>
  </si>
  <si>
    <t>1.3 Ghz</t>
  </si>
  <si>
    <t>1.5 Ghz</t>
  </si>
  <si>
    <t>1.7 Ghz</t>
  </si>
  <si>
    <t>1.9 Ghz</t>
  </si>
  <si>
    <t>2.0 Ghz</t>
  </si>
  <si>
    <t>2.2 Ghz</t>
  </si>
  <si>
    <t>2.2 Ghz + Turbo</t>
  </si>
  <si>
    <t>8654</t>
  </si>
  <si>
    <t>10000</t>
  </si>
  <si>
    <t>0.361</t>
  </si>
  <si>
    <t>5.516</t>
  </si>
  <si>
    <t>44.8</t>
  </si>
  <si>
    <t>110.809510288</t>
  </si>
  <si>
    <t>5.84e-07</t>
  </si>
  <si>
    <t>2.2</t>
  </si>
  <si>
    <t>note: laghos/ngsa sde vs pcm bw is slightly differnt (bw includes all) sde only 3 of 4 parts of the kernel</t>
  </si>
  <si>
    <t>25000</t>
  </si>
  <si>
    <t>28000</t>
  </si>
  <si>
    <t>1.078</t>
  </si>
  <si>
    <t>2.800</t>
  </si>
  <si>
    <t>26.7</t>
  </si>
  <si>
    <t>0.011566434</t>
  </si>
  <si>
    <t>6918.339947469</t>
  </si>
  <si>
    <t>&lt;- adjusted to full chip, because intel-mkl</t>
  </si>
  <si>
    <t>CANDLE</t>
  </si>
  <si>
    <t>356</t>
  </si>
  <si>
    <t>421</t>
  </si>
  <si>
    <t>0.845</t>
  </si>
  <si>
    <t>6.615</t>
  </si>
  <si>
    <t>1.5</t>
  </si>
  <si>
    <t>152.022248079</t>
  </si>
  <si>
    <t>74</t>
  </si>
  <si>
    <t>168</t>
  </si>
  <si>
    <t>0.184</t>
  </si>
  <si>
    <t>0.476</t>
  </si>
  <si>
    <t>13.2</t>
  </si>
  <si>
    <t>44.534302543</t>
  </si>
  <si>
    <t>9.632</t>
  </si>
  <si>
    <t>23</t>
  </si>
  <si>
    <t>0.000</t>
  </si>
  <si>
    <t>0.070070495</t>
  </si>
  <si>
    <t>2.88e-07</t>
  </si>
  <si>
    <t>43000</t>
  </si>
  <si>
    <t>56000</t>
  </si>
  <si>
    <t>0.059</t>
  </si>
  <si>
    <t>0.311</t>
  </si>
  <si>
    <t>55.1</t>
  </si>
  <si>
    <t>40.816049269</t>
  </si>
  <si>
    <t>1545</t>
  </si>
  <si>
    <t>1747</t>
  </si>
  <si>
    <t>5.454</t>
  </si>
  <si>
    <t>55.2</t>
  </si>
  <si>
    <t>30.693263932</t>
  </si>
  <si>
    <t>113</t>
  </si>
  <si>
    <t>1146</t>
  </si>
  <si>
    <t>34.0</t>
  </si>
  <si>
    <t>8e-09</t>
  </si>
  <si>
    <t>7.9e-08</t>
  </si>
  <si>
    <t>13.146625684</t>
  </si>
  <si>
    <t>5.67119</t>
  </si>
  <si>
    <t>4586</t>
  </si>
  <si>
    <t>6006</t>
  </si>
  <si>
    <t>0.593</t>
  </si>
  <si>
    <t>2.431</t>
  </si>
  <si>
    <t>36.9</t>
  </si>
  <si>
    <t>301.558974487</t>
  </si>
  <si>
    <t>10.138784762</t>
  </si>
  <si>
    <t>22.204460911</t>
  </si>
  <si>
    <t>726</t>
  </si>
  <si>
    <t>888</t>
  </si>
  <si>
    <t>1.044</t>
  </si>
  <si>
    <t>4.580</t>
  </si>
  <si>
    <t>9.1</t>
  </si>
  <si>
    <t>136.834979619</t>
  </si>
  <si>
    <t>1.585322859</t>
  </si>
  <si>
    <t>2.286557036</t>
  </si>
  <si>
    <t>483</t>
  </si>
  <si>
    <t>711</t>
  </si>
  <si>
    <t>0.117</t>
  </si>
  <si>
    <t>0.675</t>
  </si>
  <si>
    <t>28.3</t>
  </si>
  <si>
    <t>12.239167899</t>
  </si>
  <si>
    <t>2e-09</t>
  </si>
  <si>
    <t>2082</t>
  </si>
  <si>
    <t>2526</t>
  </si>
  <si>
    <t>0.807</t>
  </si>
  <si>
    <t>3.847</t>
  </si>
  <si>
    <t>71.7</t>
  </si>
  <si>
    <t>19.921217183</t>
  </si>
  <si>
    <t>2.5e-07</t>
  </si>
  <si>
    <t>9858</t>
  </si>
  <si>
    <t>12000</t>
  </si>
  <si>
    <t>1.152</t>
  </si>
  <si>
    <t>4.542</t>
  </si>
  <si>
    <t>45.2</t>
  </si>
  <si>
    <t>612.303412113</t>
  </si>
  <si>
    <t>1.122e-06</t>
  </si>
  <si>
    <t>1305</t>
  </si>
  <si>
    <t>3017</t>
  </si>
  <si>
    <t>0.481</t>
  </si>
  <si>
    <t>2.844</t>
  </si>
  <si>
    <t>3.3</t>
  </si>
  <si>
    <t>127.321923124</t>
  </si>
  <si>
    <t>1573.781893846</t>
  </si>
  <si>
    <t>14000</t>
  </si>
  <si>
    <t>17000</t>
  </si>
  <si>
    <t>0.540</t>
  </si>
  <si>
    <t>3.732</t>
  </si>
  <si>
    <t>49.6</t>
  </si>
  <si>
    <t>428.281905411</t>
  </si>
  <si>
    <t>0.00250102</t>
  </si>
  <si>
    <t>4568</t>
  </si>
  <si>
    <t>6027</t>
  </si>
  <si>
    <t>0.601</t>
  </si>
  <si>
    <t>2.456</t>
  </si>
  <si>
    <t>12.0</t>
  </si>
  <si>
    <t>1092.393769255</t>
  </si>
  <si>
    <t>9.6e-08</t>
  </si>
  <si>
    <t>8521</t>
  </si>
  <si>
    <t>13000</t>
  </si>
  <si>
    <t>0.002</t>
  </si>
  <si>
    <t>0.006</t>
  </si>
  <si>
    <t>6.5</t>
  </si>
  <si>
    <t>0.825729475</t>
  </si>
  <si>
    <t>0.022970606</t>
  </si>
  <si>
    <t>1407</t>
  </si>
  <si>
    <t>2031</t>
  </si>
  <si>
    <t>0.875</t>
  </si>
  <si>
    <t>8.736</t>
  </si>
  <si>
    <t>8.1</t>
  </si>
  <si>
    <t>5363.36575054</t>
  </si>
  <si>
    <t>67.074836</t>
  </si>
  <si>
    <t>61.864769</t>
  </si>
  <si>
    <t>1496</t>
  </si>
  <si>
    <t>2457</t>
  </si>
  <si>
    <t>0.867</t>
  </si>
  <si>
    <t>4.931</t>
  </si>
  <si>
    <t>9.4</t>
  </si>
  <si>
    <t>1315.508831874</t>
  </si>
  <si>
    <t>4.56e-07</t>
  </si>
  <si>
    <t>1010</t>
  </si>
  <si>
    <t>1507</t>
  </si>
  <si>
    <t>0.635</t>
  </si>
  <si>
    <t>2.200</t>
  </si>
  <si>
    <t>21.3</t>
  </si>
  <si>
    <t>1.300291094</t>
  </si>
  <si>
    <t>233.640249163</t>
  </si>
  <si>
    <t>129000</t>
  </si>
  <si>
    <t>133000</t>
  </si>
  <si>
    <t>2.280</t>
  </si>
  <si>
    <t>122.693</t>
  </si>
  <si>
    <t>3.9</t>
  </si>
  <si>
    <t>181484.240413314</t>
  </si>
  <si>
    <t>31919.47904</t>
  </si>
  <si>
    <t>583.4083291</t>
  </si>
  <si>
    <t>477.369885</t>
  </si>
  <si>
    <t>444.929614</t>
  </si>
  <si>
    <t>414.303265</t>
  </si>
  <si>
    <t>387.200471</t>
  </si>
  <si>
    <t>362.600133</t>
  </si>
  <si>
    <t>344.389336</t>
  </si>
  <si>
    <t>325.560997</t>
  </si>
  <si>
    <t>311.035608</t>
  </si>
  <si>
    <t>297.324208</t>
  </si>
  <si>
    <t>38000</t>
  </si>
  <si>
    <t>50000</t>
  </si>
  <si>
    <t>0.143</t>
  </si>
  <si>
    <t>0.628</t>
  </si>
  <si>
    <t>11.3</t>
  </si>
  <si>
    <t>559.046180408</t>
  </si>
  <si>
    <t>1.02e-07</t>
  </si>
  <si>
    <t>90.17099156</t>
  </si>
  <si>
    <t>421.7607065</t>
  </si>
  <si>
    <t>5.323961174</t>
  </si>
  <si>
    <t>2.168086</t>
  </si>
  <si>
    <t>1353</t>
  </si>
  <si>
    <t>0.45</t>
  </si>
  <si>
    <t>2480</t>
  </si>
  <si>
    <t>0.16</t>
  </si>
  <si>
    <t>0.692</t>
  </si>
  <si>
    <t>1.417</t>
  </si>
  <si>
    <t>78.0</t>
  </si>
  <si>
    <t>16.10612789</t>
  </si>
  <si>
    <t>1.9e-08</t>
  </si>
  <si>
    <t>5.3578e-05</t>
  </si>
  <si>
    <t>3.468248921</t>
  </si>
  <si>
    <t>Babel2GB</t>
  </si>
  <si>
    <t>36.951518879</t>
  </si>
  <si>
    <t>15.123294</t>
  </si>
  <si>
    <t>9501</t>
  </si>
  <si>
    <t>0.461</t>
  </si>
  <si>
    <t>1.249</t>
  </si>
  <si>
    <t>76.7</t>
  </si>
  <si>
    <t>112.74289205</t>
  </si>
  <si>
    <t>5.3579e-05</t>
  </si>
  <si>
    <t>23.622585733</t>
  </si>
  <si>
    <t>12</t>
  </si>
  <si>
    <t>Babel14GB</t>
  </si>
  <si>
    <t>FP Arith/Mem Rd/Wr
Instr. Ratio</t>
  </si>
  <si>
    <t>SIMD Instructions
per Cycle</t>
  </si>
  <si>
    <t>Back-end Bound (%)</t>
  </si>
  <si>
    <t>Frequency (Ghz);
Uncore N/A</t>
  </si>
  <si>
    <t>Frequency
1.0Ghz</t>
  </si>
  <si>
    <t>Frequency
1.1Ghz</t>
  </si>
  <si>
    <t>Frequency
1.3Ghz + T</t>
  </si>
  <si>
    <t>1.0 Ghz</t>
  </si>
  <si>
    <t>1.1 Ghz</t>
  </si>
  <si>
    <t>1.3 Ghz + Turbo</t>
  </si>
  <si>
    <t>1921</t>
  </si>
  <si>
    <t>NA</t>
  </si>
  <si>
    <t>0.063</t>
  </si>
  <si>
    <t>77.3</t>
  </si>
  <si>
    <t>110.271485116</t>
  </si>
  <si>
    <t>9.61e-07</t>
  </si>
  <si>
    <t>352.639327665</t>
  </si>
  <si>
    <t>44.278994054</t>
  </si>
  <si>
    <t>202.16</t>
  </si>
  <si>
    <t>&lt;- assume same #flops as bdw</t>
  </si>
  <si>
    <t>89.7</t>
  </si>
  <si>
    <t>11000</t>
  </si>
  <si>
    <t>0.105</t>
  </si>
  <si>
    <t>67.4</t>
  </si>
  <si>
    <t>143.79</t>
  </si>
  <si>
    <t>99.4</t>
  </si>
  <si>
    <t>226</t>
  </si>
  <si>
    <t>0.077</t>
  </si>
  <si>
    <t>81.0</t>
  </si>
  <si>
    <t>161.69056858</t>
  </si>
  <si>
    <t>14.842126483</t>
  </si>
  <si>
    <t>3.476352526</t>
  </si>
  <si>
    <t>36.941263209</t>
  </si>
  <si>
    <t>189.24</t>
  </si>
  <si>
    <t>99.7</t>
  </si>
  <si>
    <t>536</t>
  </si>
  <si>
    <t>0.021</t>
  </si>
  <si>
    <t>23.7</t>
  </si>
  <si>
    <t>85.546831876</t>
  </si>
  <si>
    <t>0.422211208</t>
  </si>
  <si>
    <t>1055.976740673</t>
  </si>
  <si>
    <t>105.882965841</t>
  </si>
  <si>
    <t>143.84</t>
  </si>
  <si>
    <t>98.6</t>
  </si>
  <si>
    <t>89</t>
  </si>
  <si>
    <t>52.8</t>
  </si>
  <si>
    <t>0.613025577</t>
  </si>
  <si>
    <t>0.007021394</t>
  </si>
  <si>
    <t>77.88390235</t>
  </si>
  <si>
    <t>636.01378009</t>
  </si>
  <si>
    <t>140.02</t>
  </si>
  <si>
    <t>60.067618768</t>
  </si>
  <si>
    <t>47.150054</t>
  </si>
  <si>
    <t>97.6</t>
  </si>
  <si>
    <t>26000</t>
  </si>
  <si>
    <t>0.009</t>
  </si>
  <si>
    <t>75.9</t>
  </si>
  <si>
    <t>291.536464435</t>
  </si>
  <si>
    <t>0.013664284</t>
  </si>
  <si>
    <t>3358.56924263</t>
  </si>
  <si>
    <t>236.830375612</t>
  </si>
  <si>
    <t>153.44</t>
  </si>
  <si>
    <t>93.6</t>
  </si>
  <si>
    <t>246</t>
  </si>
  <si>
    <t>0.022</t>
  </si>
  <si>
    <t>81.8</t>
  </si>
  <si>
    <t>28.961235363</t>
  </si>
  <si>
    <t>2.059e-06</t>
  </si>
  <si>
    <t>177.704281902</t>
  </si>
  <si>
    <t>7.58406125</t>
  </si>
  <si>
    <t>221.69</t>
  </si>
  <si>
    <t>99.5</t>
  </si>
  <si>
    <t>1286</t>
  </si>
  <si>
    <t>0.001</t>
  </si>
  <si>
    <t>81.9</t>
  </si>
  <si>
    <t>4.9e-08</t>
  </si>
  <si>
    <t>5.15e-07</t>
  </si>
  <si>
    <t>118.261547848</t>
  </si>
  <si>
    <t>39.099565604</t>
  </si>
  <si>
    <t>131.49</t>
  </si>
  <si>
    <t>1683</t>
  </si>
  <si>
    <t>0.050</t>
  </si>
  <si>
    <t>76.5</t>
  </si>
  <si>
    <t>410.360836855</t>
  </si>
  <si>
    <t>3.0554e-05</t>
  </si>
  <si>
    <t>23.370810584</t>
  </si>
  <si>
    <t>20.149505563</t>
  </si>
  <si>
    <t>221.48</t>
  </si>
  <si>
    <t>98.4</t>
  </si>
  <si>
    <t>363</t>
  </si>
  <si>
    <t>0.096</t>
  </si>
  <si>
    <t>80.6</t>
  </si>
  <si>
    <t>145.937921718</t>
  </si>
  <si>
    <t>2.4972e-05</t>
  </si>
  <si>
    <t>0.760862228</t>
  </si>
  <si>
    <t>3.740035971</t>
  </si>
  <si>
    <t>214.57</t>
  </si>
  <si>
    <t>496</t>
  </si>
  <si>
    <t>0.029</t>
  </si>
  <si>
    <t>12.688197088</t>
  </si>
  <si>
    <t>0.005296581</t>
  </si>
  <si>
    <t>42.509324188</t>
  </si>
  <si>
    <t>25.82619071</t>
  </si>
  <si>
    <t>174.12</t>
  </si>
  <si>
    <t>2251</t>
  </si>
  <si>
    <t>0.041</t>
  </si>
  <si>
    <t>93.7</t>
  </si>
  <si>
    <t>27.28293801</t>
  </si>
  <si>
    <t>0.416950189</t>
  </si>
  <si>
    <t>16.440912901</t>
  </si>
  <si>
    <t>3.390787466</t>
  </si>
  <si>
    <t>192.46</t>
  </si>
  <si>
    <t>95.4</t>
  </si>
  <si>
    <t>2703</t>
  </si>
  <si>
    <t>0.220</t>
  </si>
  <si>
    <t>69.4</t>
  </si>
  <si>
    <t>631.521844655</t>
  </si>
  <si>
    <t>1.2904e-05</t>
  </si>
  <si>
    <t>3823.334764358</t>
  </si>
  <si>
    <t>9.711551271</t>
  </si>
  <si>
    <t>215.67</t>
  </si>
  <si>
    <t>11.572981</t>
  </si>
  <si>
    <t>10.575738</t>
  </si>
  <si>
    <t>9.83789</t>
  </si>
  <si>
    <t>9.231962</t>
  </si>
  <si>
    <t>1909</t>
  </si>
  <si>
    <t>36.0</t>
  </si>
  <si>
    <t>134.5887016</t>
  </si>
  <si>
    <t>1579.917499872</t>
  </si>
  <si>
    <t>20174.482830128</t>
  </si>
  <si>
    <t>57.427831141</t>
  </si>
  <si>
    <t>180.58</t>
  </si>
  <si>
    <t>18.255269</t>
  </si>
  <si>
    <t>16.745896</t>
  </si>
  <si>
    <t>15.48106</t>
  </si>
  <si>
    <t>14.599357</t>
  </si>
  <si>
    <t>99.2</t>
  </si>
  <si>
    <t>3876</t>
  </si>
  <si>
    <t>0.193</t>
  </si>
  <si>
    <t>67.8</t>
  </si>
  <si>
    <t>422.503623634</t>
  </si>
  <si>
    <t>0.06553652</t>
  </si>
  <si>
    <t>925.228170505</t>
  </si>
  <si>
    <t>8.730722901</t>
  </si>
  <si>
    <t>119.46</t>
  </si>
  <si>
    <t>44.25306</t>
  </si>
  <si>
    <t>41.483955</t>
  </si>
  <si>
    <t>39.420154</t>
  </si>
  <si>
    <t>37.455988</t>
  </si>
  <si>
    <t>98.9</t>
  </si>
  <si>
    <t>3199</t>
  </si>
  <si>
    <t>0.036</t>
  </si>
  <si>
    <t>1141.865093624</t>
  </si>
  <si>
    <t>1.345325086</t>
  </si>
  <si>
    <t>1746.000746281</t>
  </si>
  <si>
    <t>125.581379374</t>
  </si>
  <si>
    <t>180.98</t>
  </si>
  <si>
    <t>30.171389</t>
  </si>
  <si>
    <t>27.565852</t>
  </si>
  <si>
    <t>25.409</t>
  </si>
  <si>
    <t>23.558529</t>
  </si>
  <si>
    <t>95.9</t>
  </si>
  <si>
    <t>51.9</t>
  </si>
  <si>
    <t>0.825767495</t>
  </si>
  <si>
    <t>0.022971267</t>
  </si>
  <si>
    <t>69.117453492</t>
  </si>
  <si>
    <t>871.139690727</t>
  </si>
  <si>
    <t>1080.015737</t>
  </si>
  <si>
    <t>981.535262</t>
  </si>
  <si>
    <t>900.979813</t>
  </si>
  <si>
    <t>833.082952</t>
  </si>
  <si>
    <t>95.7</t>
  </si>
  <si>
    <t>2926</t>
  </si>
  <si>
    <t>0.072</t>
  </si>
  <si>
    <t>80.4</t>
  </si>
  <si>
    <t>6287.279379582</t>
  </si>
  <si>
    <t>2.062619516</t>
  </si>
  <si>
    <t>23104.727808942</t>
  </si>
  <si>
    <t>174.296176632</t>
  </si>
  <si>
    <t>206.98</t>
  </si>
  <si>
    <t>33.108416</t>
  </si>
  <si>
    <t>30.191896</t>
  </si>
  <si>
    <t>27.857692</t>
  </si>
  <si>
    <t>25.898527</t>
  </si>
  <si>
    <t>Absolute Numberof LLC 
Hits and Misses</t>
  </si>
  <si>
    <t>Energy (J/sec)</t>
  </si>
  <si>
    <t>4026</t>
  </si>
  <si>
    <t>0.060</t>
  </si>
  <si>
    <t>64.4</t>
  </si>
  <si>
    <t>1629.20957619</t>
  </si>
  <si>
    <t>14.637809709634642(DP)</t>
  </si>
  <si>
    <t>0.627213981</t>
  </si>
  <si>
    <t>2303.804127443</t>
  </si>
  <si>
    <t>103.074902429</t>
  </si>
  <si>
    <t>167.13</t>
  </si>
  <si>
    <t>158.219119056(dp)</t>
  </si>
  <si>
    <t>14.5(4.21)</t>
  </si>
  <si>
    <t>26.08918</t>
  </si>
  <si>
    <t>24.488298</t>
  </si>
  <si>
    <t>22.640518</t>
  </si>
  <si>
    <t>21.113758</t>
  </si>
  <si>
    <t>158.219119056G</t>
  </si>
  <si>
    <t>670.047904361G</t>
  </si>
  <si>
    <t xml:space="preserve"> -genv OMP_NUM_THREADS=6 -n 8 ./test/amg -problem 1 -P 2 2 2 -n 128 128 128 (OMP_NUM_THREADS=24 -n 2 ../../AMG/test/amg -problem 1 -P 2 1 1 -n 128 128 128)</t>
  </si>
  <si>
    <t>2407</t>
  </si>
  <si>
    <t>0.159</t>
  </si>
  <si>
    <t>38.4</t>
  </si>
  <si>
    <t>2.300203269</t>
  </si>
  <si>
    <t>258.561344531</t>
  </si>
  <si>
    <t>1785.715631468</t>
  </si>
  <si>
    <t>22.401163171</t>
  </si>
  <si>
    <t>179.55</t>
  </si>
  <si>
    <t>11.259045</t>
  </si>
  <si>
    <t>10.409337</t>
  </si>
  <si>
    <t>9.735557</t>
  </si>
  <si>
    <t>9.182293</t>
  </si>
  <si>
    <t>49.74956923445874(DP)</t>
  </si>
  <si>
    <t>19.085128748(dp)</t>
  </si>
  <si>
    <t>19.085128748G</t>
  </si>
  <si>
    <t>0.034462083G</t>
  </si>
  <si>
    <t xml:space="preserve">MPI_PROCS=48, OMP_NUM_THREADS=1 。    -i 4 -j 4 -k 3 </t>
  </si>
  <si>
    <t>17.144691(DP)</t>
  </si>
  <si>
    <t>2976.026858(DP)</t>
  </si>
  <si>
    <t>0.259432 (DP)</t>
  </si>
  <si>
    <t>0.230894(DP)</t>
  </si>
  <si>
    <t>8.734022(DP)</t>
  </si>
  <si>
    <t>481.192210(DP)</t>
  </si>
  <si>
    <t>87.9</t>
  </si>
  <si>
    <t>12.845793(DP)</t>
  </si>
  <si>
    <t>21.105638(DP)</t>
  </si>
  <si>
    <t>10190644 and 4468734</t>
  </si>
  <si>
    <t xml:space="preserve">/miniFE-2.1.0/openmp-opt-knl/basic OMP_NUM_THREAD=1, 24MPI processes  </t>
  </si>
  <si>
    <t>153000</t>
  </si>
  <si>
    <t>0.374</t>
  </si>
  <si>
    <t>52.3</t>
  </si>
  <si>
    <t>184191.773933058</t>
  </si>
  <si>
    <t>0.031068181818181818(GIOP/s)</t>
  </si>
  <si>
    <t>2.734e-06(GINTOP)</t>
  </si>
  <si>
    <t>35,898 and 9,937</t>
  </si>
  <si>
    <t>0.015298381</t>
  </si>
  <si>
    <t>/miniTri/miniTri/linearAlgebra/MPI OMP_NUM_THREAD=96, 1MPI processes</t>
  </si>
  <si>
    <t>Use bcspwr01.mtx by Matrix Market</t>
  </si>
  <si>
    <t>20226.56686197</t>
  </si>
  <si>
    <t>10.019759(DP)</t>
  </si>
  <si>
    <t>152.510753(DP)</t>
  </si>
  <si>
    <t>2518682240 and 90429766</t>
  </si>
  <si>
    <t>179.066009563</t>
  </si>
  <si>
    <t>Nekbone/test/example1, OMP_NUM_THREAD=1, 4 MPI processes on 1 node</t>
  </si>
  <si>
    <t>221.13</t>
  </si>
  <si>
    <t>176.737896</t>
  </si>
  <si>
    <t>164.892864</t>
  </si>
  <si>
    <t>157.893264</t>
  </si>
  <si>
    <t>150.785452</t>
  </si>
  <si>
    <t>88.176034868(DP)</t>
  </si>
  <si>
    <t>5.70882012(DP)</t>
  </si>
  <si>
    <t>12.754703(dp)</t>
  </si>
  <si>
    <t>10.854083073(DP)</t>
  </si>
  <si>
    <t>31.527714(dp)</t>
  </si>
  <si>
    <r>
      <rPr>
        <b/>
      </rPr>
      <t>Person</t>
    </r>
    <r>
      <t xml:space="preserve"> </t>
    </r>
  </si>
  <si>
    <t>45.7</t>
  </si>
  <si>
    <t>6891</t>
  </si>
  <si>
    <t>38.759225 (DP)</t>
  </si>
  <si>
    <t>4728.161016 (DP)</t>
  </si>
  <si>
    <t>3.985229 (by /bin/time)</t>
  </si>
  <si>
    <t>0.023</t>
  </si>
  <si>
    <t>86.1</t>
  </si>
  <si>
    <t>612.798872569</t>
  </si>
  <si>
    <t>1.3032e-05</t>
  </si>
  <si>
    <t>17530.135509146</t>
  </si>
  <si>
    <t>64.498579561</t>
  </si>
  <si>
    <t>181.69</t>
  </si>
  <si>
    <t>44.193235</t>
  </si>
  <si>
    <t>44.133597</t>
  </si>
  <si>
    <t>43.9348</t>
  </si>
  <si>
    <t>43.847658</t>
  </si>
  <si>
    <t>Intel SDE / perf</t>
  </si>
  <si>
    <t>CLASS3, PROCS=4 (PX=2, PY=2, PZ=1), OMP_NUM_THREADS=6</t>
  </si>
  <si>
    <t>26.245842 (SP)</t>
  </si>
  <si>
    <t>704.54339(SP)</t>
  </si>
  <si>
    <t>11.0310066189075(dp)</t>
  </si>
  <si>
    <t>307.570894827(dp)</t>
  </si>
  <si>
    <t>4.738210986</t>
  </si>
  <si>
    <t>1.268917</t>
  </si>
  <si>
    <t>74.5</t>
  </si>
  <si>
    <t>339</t>
  </si>
  <si>
    <t>307.570894827G</t>
  </si>
  <si>
    <t>0.00250102G</t>
  </si>
  <si>
    <t>683.079402387G</t>
  </si>
  <si>
    <t>0.020</t>
  </si>
  <si>
    <t>90.8</t>
  </si>
  <si>
    <t>16.10613874</t>
  </si>
  <si>
    <t>2.53e-07</t>
  </si>
  <si>
    <t>0.000419328</t>
  </si>
  <si>
    <t>57.945935 (DP)</t>
  </si>
  <si>
    <t>14646.604894  (DP)</t>
  </si>
  <si>
    <t>1.229793126</t>
  </si>
  <si>
    <t>198.92</t>
  </si>
  <si>
    <t>1.177099</t>
  </si>
  <si>
    <t>1.168506</t>
  </si>
  <si>
    <t>1.166421</t>
  </si>
  <si>
    <t>1.155251</t>
  </si>
  <si>
    <t>129.953003 (DP)</t>
  </si>
  <si>
    <t>4171.705431 (DP)</t>
  </si>
  <si>
    <t>59.543222612</t>
  </si>
  <si>
    <t>30.678485</t>
  </si>
  <si>
    <t>17.7</t>
  </si>
  <si>
    <t>2039</t>
  </si>
  <si>
    <t>0.007</t>
  </si>
  <si>
    <t>95.0</t>
  </si>
  <si>
    <t>112.7429029</t>
  </si>
  <si>
    <t>0.000419329</t>
  </si>
  <si>
    <t>282.825703 (DP)</t>
  </si>
  <si>
    <t>93960.063361 (DP)</t>
  </si>
  <si>
    <t>7.486932265</t>
  </si>
  <si>
    <t>150.20</t>
  </si>
  <si>
    <t>32.219152</t>
  </si>
  <si>
    <t>32.124606</t>
  </si>
  <si>
    <t>taxol, PROCS=24, OMP_NUM_THREADS=1</t>
  </si>
  <si>
    <t>32.041576</t>
  </si>
  <si>
    <t>31.97957</t>
  </si>
  <si>
    <t>48.26440228617347(SP)</t>
  </si>
  <si>
    <t>233.640249163(sp)</t>
  </si>
  <si>
    <t>1.300291094G</t>
  </si>
  <si>
    <t>233.640249163G</t>
  </si>
  <si>
    <t>1950.364766192G</t>
  </si>
  <si>
    <t>vtune result (not pcm)</t>
  </si>
  <si>
    <t>pcm reports MB/s not MiB/s</t>
  </si>
  <si>
    <r>
      <rPr>
        <b/>
      </rPr>
      <t>Person</t>
    </r>
    <r>
      <t xml:space="preserve"> </t>
    </r>
  </si>
  <si>
    <t>Geoscience/
Earthscience</t>
  </si>
  <si>
    <t>Math/Computer Science</t>
  </si>
  <si>
    <t>Total
Node-hours (in Million)</t>
  </si>
  <si>
    <t>Argonne National Lab, USA</t>
  </si>
  <si>
    <t>NERSC, Lawrence Berkeley Lab, USA</t>
  </si>
  <si>
    <t>All compute resources of NERSC</t>
  </si>
  <si>
    <t>HPC Center Stuttgart, DEU</t>
  </si>
  <si>
    <t>Erlangen Regional Computing Center, DEU</t>
  </si>
  <si>
    <t>Swiss National Supercomputing Centre, CHE</t>
  </si>
  <si>
    <t>All compute resources of CSCS</t>
  </si>
  <si>
    <t>R-CCS K-Computer</t>
  </si>
  <si>
    <t>RIKEN CCS, Japan, JPN</t>
  </si>
  <si>
    <t>K supercomputer</t>
  </si>
  <si>
    <t>U. Tokyo Oakforest-PACS</t>
  </si>
  <si>
    <t>U. Tokyo IIC, JPN</t>
  </si>
  <si>
    <t>Oakforest-PACS supercomputer</t>
  </si>
  <si>
    <t>National Center for HPC, TWN</t>
  </si>
  <si>
    <r>
      <rPr>
        <b/>
      </rPr>
      <t>Person</t>
    </r>
    <r>
      <t xml:space="preserve"> </t>
    </r>
  </si>
  <si>
    <t>Frequency
1.5Ghz + T</t>
  </si>
  <si>
    <t>1.5 Ghz + Turbo</t>
  </si>
  <si>
    <t>22.088296427</t>
  </si>
  <si>
    <t>7.433821</t>
  </si>
  <si>
    <t>73.3</t>
  </si>
  <si>
    <t>1618</t>
  </si>
  <si>
    <t>0.062</t>
  </si>
  <si>
    <t>75.4</t>
  </si>
  <si>
    <t>8.4e-07</t>
  </si>
  <si>
    <t>352.639328491</t>
  </si>
  <si>
    <t>47.519786274</t>
  </si>
  <si>
    <t>202.52</t>
  </si>
  <si>
    <t>72</t>
  </si>
  <si>
    <t>8.914924</t>
  </si>
  <si>
    <t>8.179222</t>
  </si>
  <si>
    <t>7.847026</t>
  </si>
  <si>
    <t>7.52607</t>
  </si>
  <si>
    <t>7.205918</t>
  </si>
  <si>
    <t>6.991103</t>
  </si>
  <si>
    <t>297.919709644</t>
  </si>
  <si>
    <t>50.5273020267</t>
  </si>
  <si>
    <t>90.9</t>
  </si>
  <si>
    <t>7846</t>
  </si>
  <si>
    <t>0.040</t>
  </si>
  <si>
    <t>82.4</t>
  </si>
  <si>
    <t>153.69</t>
  </si>
  <si>
    <t>63.6278131008</t>
  </si>
  <si>
    <t>60.4531130791</t>
  </si>
  <si>
    <t>57.7410778999</t>
  </si>
  <si>
    <t>52.823996067</t>
  </si>
  <si>
    <t>52.6160750389</t>
  </si>
  <si>
    <t>51.7894899845</t>
  </si>
  <si>
    <t>3.698525642</t>
  </si>
  <si>
    <t>3.194335</t>
  </si>
  <si>
    <t>99.1</t>
  </si>
  <si>
    <t>217</t>
  </si>
  <si>
    <t>0.177</t>
  </si>
  <si>
    <t>67.5</t>
  </si>
  <si>
    <t>161.842474325</t>
  </si>
  <si>
    <t>14.880063125</t>
  </si>
  <si>
    <t>3.478832603</t>
  </si>
  <si>
    <t>36.88291775</t>
  </si>
  <si>
    <t>196.64</t>
  </si>
  <si>
    <t>4.859196</t>
  </si>
  <si>
    <t>4.412112</t>
  </si>
  <si>
    <t>4.068082</t>
  </si>
  <si>
    <t>3.778185</t>
  </si>
  <si>
    <t>3.544191</t>
  </si>
  <si>
    <t>3.324932</t>
  </si>
  <si>
    <t>13.872556501</t>
  </si>
  <si>
    <t>12.725050462</t>
  </si>
  <si>
    <t>99.8</t>
  </si>
  <si>
    <t>537</t>
  </si>
  <si>
    <t>25.1</t>
  </si>
  <si>
    <t>85.383012612</t>
  </si>
  <si>
    <t>1056.140898897</t>
  </si>
  <si>
    <t>106.195323352</t>
  </si>
  <si>
    <t>139.33</t>
  </si>
  <si>
    <t>20.411717473</t>
  </si>
  <si>
    <t>18.435038785</t>
  </si>
  <si>
    <t>16.980944675</t>
  </si>
  <si>
    <t>15.599583053</t>
  </si>
  <si>
    <t>14.478294057</t>
  </si>
  <si>
    <t>13.598727984</t>
  </si>
  <si>
    <t>33.65787872</t>
  </si>
  <si>
    <t>33.235683</t>
  </si>
  <si>
    <t>98.2</t>
  </si>
  <si>
    <t>53.8</t>
  </si>
  <si>
    <t>0.613025641</t>
  </si>
  <si>
    <t>77.883903334</t>
  </si>
  <si>
    <t>638.327393025</t>
  </si>
  <si>
    <t>135.48</t>
  </si>
  <si>
    <t>53.777656</t>
  </si>
  <si>
    <t>48.583933</t>
  </si>
  <si>
    <t>44.437757</t>
  </si>
  <si>
    <t>40.902655</t>
  </si>
  <si>
    <t>37.949333</t>
  </si>
  <si>
    <t>35.403088</t>
  </si>
  <si>
    <t>56.648615733</t>
  </si>
  <si>
    <t>44.652538</t>
  </si>
  <si>
    <t>97.3</t>
  </si>
  <si>
    <t>3358.570117476</t>
  </si>
  <si>
    <t>238.290147957</t>
  </si>
  <si>
    <t>177.31</t>
  </si>
  <si>
    <t>55.71653</t>
  </si>
  <si>
    <t>52.632239</t>
  </si>
  <si>
    <t>50.423823</t>
  </si>
  <si>
    <t>48.424057</t>
  </si>
  <si>
    <t>46.836193</t>
  </si>
  <si>
    <t>45.537264</t>
  </si>
  <si>
    <t>1.780633751</t>
  </si>
  <si>
    <t>0.669463</t>
  </si>
  <si>
    <t>98.3</t>
  </si>
  <si>
    <t>0.097</t>
  </si>
  <si>
    <t>55.6</t>
  </si>
  <si>
    <t>32.8919869</t>
  </si>
  <si>
    <t>0.000143928</t>
  </si>
  <si>
    <t>669.371334608</t>
  </si>
  <si>
    <t>4.949092012</t>
  </si>
  <si>
    <t>210.18</t>
  </si>
  <si>
    <t>0.868503</t>
  </si>
  <si>
    <t>0.802336</t>
  </si>
  <si>
    <t>0.757986</t>
  </si>
  <si>
    <t>0.725002</t>
  </si>
  <si>
    <t>0.694222</t>
  </si>
  <si>
    <t>0.690082</t>
  </si>
  <si>
    <t>12.410341256</t>
  </si>
  <si>
    <t>9.545465</t>
  </si>
  <si>
    <t>99.6</t>
  </si>
  <si>
    <t>1209</t>
  </si>
  <si>
    <t>80.9</t>
  </si>
  <si>
    <t>3.94e-07</t>
  </si>
  <si>
    <t>118.261873999</t>
  </si>
  <si>
    <t>39.160137592</t>
  </si>
  <si>
    <t>122.02</t>
  </si>
  <si>
    <t>12.59972</t>
  </si>
  <si>
    <t>11.901245</t>
  </si>
  <si>
    <t>11.167434</t>
  </si>
  <si>
    <t>10.572757</t>
  </si>
  <si>
    <t>9.510696</t>
  </si>
  <si>
    <t>9.582045</t>
  </si>
  <si>
    <t>8.751063515</t>
  </si>
  <si>
    <t>2.983673</t>
  </si>
  <si>
    <t>96.6</t>
  </si>
  <si>
    <t>1710</t>
  </si>
  <si>
    <t>76.1</t>
  </si>
  <si>
    <t>410.380710791</t>
  </si>
  <si>
    <t>2.9088e-05</t>
  </si>
  <si>
    <t>23.469844041</t>
  </si>
  <si>
    <t>19.376710897</t>
  </si>
  <si>
    <t>233.46</t>
  </si>
  <si>
    <t>3.710001</t>
  </si>
  <si>
    <t>3.517847</t>
  </si>
  <si>
    <t>3.391771</t>
  </si>
  <si>
    <t>3.277631</t>
  </si>
  <si>
    <t>3.180215</t>
  </si>
  <si>
    <t>3.131653</t>
  </si>
  <si>
    <t>2.362713855</t>
  </si>
  <si>
    <t>1.569249</t>
  </si>
  <si>
    <t>97.8</t>
  </si>
  <si>
    <t>355</t>
  </si>
  <si>
    <t>0.090</t>
  </si>
  <si>
    <t>81.3</t>
  </si>
  <si>
    <t>146.04823017</t>
  </si>
  <si>
    <t>2.1816e-05</t>
  </si>
  <si>
    <t>0.76389657</t>
  </si>
  <si>
    <t>4.320819229</t>
  </si>
  <si>
    <t>228.01</t>
  </si>
  <si>
    <t>2.36449</t>
  </si>
  <si>
    <t>2.169373</t>
  </si>
  <si>
    <t>2.013153</t>
  </si>
  <si>
    <t>1.858986</t>
  </si>
  <si>
    <t>1.749149</t>
  </si>
  <si>
    <t>1.637242</t>
  </si>
  <si>
    <t>1.847733318</t>
  </si>
  <si>
    <t>1.189452</t>
  </si>
  <si>
    <t>98.5</t>
  </si>
  <si>
    <t>500</t>
  </si>
  <si>
    <t>0.026</t>
  </si>
  <si>
    <t>77.2</t>
  </si>
  <si>
    <t>12.55461481</t>
  </si>
  <si>
    <t>0.005105619</t>
  </si>
  <si>
    <t>41.731966663</t>
  </si>
  <si>
    <t>26.155702083</t>
  </si>
  <si>
    <t>172.66</t>
  </si>
  <si>
    <t>1.615334</t>
  </si>
  <si>
    <t>1.506721</t>
  </si>
  <si>
    <t>1.419053</t>
  </si>
  <si>
    <t>1.351987</t>
  </si>
  <si>
    <t>1.287422</t>
  </si>
  <si>
    <t>1.228123</t>
  </si>
  <si>
    <t>22.989492418</t>
  </si>
  <si>
    <t>1.219785</t>
  </si>
  <si>
    <t>2270</t>
  </si>
  <si>
    <t>91.5</t>
  </si>
  <si>
    <t>30.602607344</t>
  </si>
  <si>
    <t>0.416945565</t>
  </si>
  <si>
    <t>16.440309306</t>
  </si>
  <si>
    <t>3.395126423</t>
  </si>
  <si>
    <t>197.16</t>
  </si>
  <si>
    <t>1.647251</t>
  </si>
  <si>
    <t>1.529051</t>
  </si>
  <si>
    <t>1.453452</t>
  </si>
  <si>
    <t>1.326991</t>
  </si>
  <si>
    <t>1.313449</t>
  </si>
  <si>
    <t>1.242138</t>
  </si>
  <si>
    <t>14.430364146</t>
  </si>
  <si>
    <t>9.662018</t>
  </si>
  <si>
    <t>2698</t>
  </si>
  <si>
    <t>0.175</t>
  </si>
  <si>
    <t>631.521864111</t>
  </si>
  <si>
    <t>1.2813e-05</t>
  </si>
  <si>
    <t>3823.336629324</t>
  </si>
  <si>
    <t>20.494289033</t>
  </si>
  <si>
    <t>200.86</t>
  </si>
  <si>
    <t>14.189298</t>
  </si>
  <si>
    <t>13.012863</t>
  </si>
  <si>
    <t>12.225774</t>
  </si>
  <si>
    <t>10.994066</t>
  </si>
  <si>
    <t>10.908874</t>
  </si>
  <si>
    <t>10.055365</t>
  </si>
  <si>
    <t>14.204265938</t>
  </si>
  <si>
    <t>13.496859</t>
  </si>
  <si>
    <t>99.9</t>
  </si>
  <si>
    <t>2590</t>
  </si>
  <si>
    <t>0.162</t>
  </si>
  <si>
    <t>134.58905104</t>
  </si>
  <si>
    <t>1579.917492087</t>
  </si>
  <si>
    <t>20174.586659871</t>
  </si>
  <si>
    <t>68.23087584</t>
  </si>
  <si>
    <t>182.05</t>
  </si>
  <si>
    <t>20.057161</t>
  </si>
  <si>
    <t>17.317241</t>
  </si>
  <si>
    <t>16.731426</t>
  </si>
  <si>
    <t>15.368475</t>
  </si>
  <si>
    <t>14.710601</t>
  </si>
  <si>
    <t>13.993961</t>
  </si>
  <si>
    <t>35.744826183</t>
  </si>
  <si>
    <t>34.379867</t>
  </si>
  <si>
    <t>3929</t>
  </si>
  <si>
    <t>0.208</t>
  </si>
  <si>
    <t>68.2</t>
  </si>
  <si>
    <t>8.510511427</t>
  </si>
  <si>
    <t>113.88</t>
  </si>
  <si>
    <t>44.323046</t>
  </si>
  <si>
    <t>41.301013</t>
  </si>
  <si>
    <t>38.976673</t>
  </si>
  <si>
    <t>37.255035</t>
  </si>
  <si>
    <t>35.694358</t>
  </si>
  <si>
    <t>34.325951</t>
  </si>
  <si>
    <t>20.387687722</t>
  </si>
  <si>
    <t>19.65887</t>
  </si>
  <si>
    <t>4245</t>
  </si>
  <si>
    <t>0.012</t>
  </si>
  <si>
    <t>76.0</t>
  </si>
  <si>
    <t>1140.670467521</t>
  </si>
  <si>
    <t>1.346636066</t>
  </si>
  <si>
    <t>1802.662541177</t>
  </si>
  <si>
    <t>174.34927562</t>
  </si>
  <si>
    <t>197.64</t>
  </si>
  <si>
    <t>30.183885</t>
  </si>
  <si>
    <t>27.476569</t>
  </si>
  <si>
    <t>24.560932</t>
  </si>
  <si>
    <t>22.951773</t>
  </si>
  <si>
    <t>21.441204</t>
  </si>
  <si>
    <t>20.043662</t>
  </si>
  <si>
    <t>724.679004815</t>
  </si>
  <si>
    <t>724.545889</t>
  </si>
  <si>
    <t>94.9</t>
  </si>
  <si>
    <t>9174</t>
  </si>
  <si>
    <t>39.5</t>
  </si>
  <si>
    <t>0.825747677</t>
  </si>
  <si>
    <t>0.022970931</t>
  </si>
  <si>
    <t>69.300094875</t>
  </si>
  <si>
    <t>824.248345701</t>
  </si>
  <si>
    <t>1079.66897</t>
  </si>
  <si>
    <t>982.552442</t>
  </si>
  <si>
    <t>901.465254</t>
  </si>
  <si>
    <t>833.566751</t>
  </si>
  <si>
    <t>775.791975</t>
  </si>
  <si>
    <t>725.687087</t>
  </si>
  <si>
    <t>26.684271135</t>
  </si>
  <si>
    <t>24.026198</t>
  </si>
  <si>
    <t>95.6</t>
  </si>
  <si>
    <t>2892</t>
  </si>
  <si>
    <t>80.0</t>
  </si>
  <si>
    <t>6287.279383681</t>
  </si>
  <si>
    <t>2.062616144</t>
  </si>
  <si>
    <t>23104.727862112</t>
  </si>
  <si>
    <t>171.863813906</t>
  </si>
  <si>
    <t>217.47</t>
  </si>
  <si>
    <t>37.29099</t>
  </si>
  <si>
    <t>34.047381</t>
  </si>
  <si>
    <t>31.263127</t>
  </si>
  <si>
    <t>28.957376</t>
  </si>
  <si>
    <t>27.005207</t>
  </si>
  <si>
    <t>25.348547</t>
  </si>
  <si>
    <t>15.303673239</t>
  </si>
  <si>
    <t>14.606021</t>
  </si>
  <si>
    <t>3780</t>
  </si>
  <si>
    <t>0.066</t>
  </si>
  <si>
    <t>59.0</t>
  </si>
  <si>
    <t>1575.309594384</t>
  </si>
  <si>
    <t>0.622601383</t>
  </si>
  <si>
    <t>1985.25489123</t>
  </si>
  <si>
    <t>102.795301911</t>
  </si>
  <si>
    <t>176.51</t>
  </si>
  <si>
    <t>21.710531</t>
  </si>
  <si>
    <t>20.142615</t>
  </si>
  <si>
    <t>18.704544</t>
  </si>
  <si>
    <t>17.622779</t>
  </si>
  <si>
    <t>16.585139</t>
  </si>
  <si>
    <t>15.593321</t>
  </si>
  <si>
    <t>9.086583865</t>
  </si>
  <si>
    <t>7.749833</t>
  </si>
  <si>
    <t>2422</t>
  </si>
  <si>
    <t>0.171</t>
  </si>
  <si>
    <t>38.6</t>
  </si>
  <si>
    <t>2.300209267</t>
  </si>
  <si>
    <t>258.565257431</t>
  </si>
  <si>
    <t>1785.712061049</t>
  </si>
  <si>
    <t>22.365930792</t>
  </si>
  <si>
    <t>178.72</t>
  </si>
  <si>
    <t>11.177355</t>
  </si>
  <si>
    <t>10.304659</t>
  </si>
  <si>
    <t>9.644845</t>
  </si>
  <si>
    <t>9.036864</t>
  </si>
  <si>
    <t>8.557093</t>
  </si>
  <si>
    <t>8.105887</t>
  </si>
  <si>
    <t>154.187316673</t>
  </si>
  <si>
    <t>146.561849</t>
  </si>
  <si>
    <t>87.0</t>
  </si>
  <si>
    <t>165000</t>
  </si>
  <si>
    <t>0.351</t>
  </si>
  <si>
    <t>57.0</t>
  </si>
  <si>
    <t>184893.073040105</t>
  </si>
  <si>
    <t>0.016097217</t>
  </si>
  <si>
    <t>20414.547774961</t>
  </si>
  <si>
    <t>276.333262542</t>
  </si>
  <si>
    <t>263.59</t>
  </si>
  <si>
    <t>223.717082</t>
  </si>
  <si>
    <t>205.218226</t>
  </si>
  <si>
    <t>187.936002</t>
  </si>
  <si>
    <t>175.391877</t>
  </si>
  <si>
    <t>162.613143</t>
  </si>
  <si>
    <t>153.078125</t>
  </si>
  <si>
    <t>144.143923964</t>
  </si>
  <si>
    <t>42.864889</t>
  </si>
  <si>
    <t>42.9</t>
  </si>
  <si>
    <t>3657</t>
  </si>
  <si>
    <t>86.5</t>
  </si>
  <si>
    <t>612.605070905</t>
  </si>
  <si>
    <t>1.0184e-05</t>
  </si>
  <si>
    <t>17532.325776152</t>
  </si>
  <si>
    <t>123.377358393</t>
  </si>
  <si>
    <t>174.58</t>
  </si>
  <si>
    <t>42.445842</t>
  </si>
  <si>
    <t>42.320571</t>
  </si>
  <si>
    <t>42.290946</t>
  </si>
  <si>
    <t>41.966408</t>
  </si>
  <si>
    <t>42.011374</t>
  </si>
  <si>
    <t>42.068646</t>
  </si>
  <si>
    <t>4.866422827</t>
  </si>
  <si>
    <t>1.522183</t>
  </si>
  <si>
    <t>75.3</t>
  </si>
  <si>
    <t>305</t>
  </si>
  <si>
    <t>0.013</t>
  </si>
  <si>
    <t>81.6</t>
  </si>
  <si>
    <t>16.10611834</t>
  </si>
  <si>
    <t>1.48e-07</t>
  </si>
  <si>
    <t>0.000516724</t>
  </si>
  <si>
    <t>1.419336611</t>
  </si>
  <si>
    <t>169.19</t>
  </si>
  <si>
    <t>1.712356</t>
  </si>
  <si>
    <t>1.651459</t>
  </si>
  <si>
    <t>1.681166</t>
  </si>
  <si>
    <t>1.554419</t>
  </si>
  <si>
    <t>1.547756</t>
  </si>
  <si>
    <t>1.549439</t>
  </si>
  <si>
    <t>59.206994388</t>
  </si>
  <si>
    <t>29.315586</t>
  </si>
  <si>
    <t>18.0</t>
  </si>
  <si>
    <t>1898</t>
  </si>
  <si>
    <t>93.4</t>
  </si>
  <si>
    <t>128.84901492</t>
  </si>
  <si>
    <t>2.96e-07</t>
  </si>
  <si>
    <t>0.001011689</t>
  </si>
  <si>
    <t>7.777443948</t>
  </si>
  <si>
    <t>150.34</t>
  </si>
  <si>
    <t>30.200063</t>
  </si>
  <si>
    <t>30.037629</t>
  </si>
  <si>
    <t>29.999031</t>
  </si>
  <si>
    <t>29.951849</t>
  </si>
  <si>
    <t>29.941847</t>
  </si>
  <si>
    <t>29.989031</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</si>
</sst>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00000"/>
    <numFmt numFmtId="165" formatCode="0.000"/>
    <numFmt numFmtId="166" formatCode="#,##0.000"/>
    <numFmt numFmtId="167" formatCode="0.0000000000"/>
    <numFmt numFmtId="168" formatCode="0.00000000"/>
    <numFmt numFmtId="169" formatCode="0.000000000"/>
    <numFmt numFmtId="170" formatCode="0.0000000"/>
  </numFmts>
  <fonts count="30">
    <font>
      <sz val="10.0"/>
      <color rgb="FF000000"/>
      <name val="Arial"/>
    </font>
    <font>
      <b/>
      <sz val="12.0"/>
      <color rgb="FF52ADC8"/>
    </font>
    <font>
      <b/>
      <u/>
      <sz val="12.0"/>
    </font>
    <font>
      <b/>
      <sz val="12.0"/>
    </font>
    <font>
      <b/>
      <sz val="14.0"/>
    </font>
    <font/>
    <font>
      <sz val="12.0"/>
      <color rgb="FF52ADC8"/>
      <name val="Arial"/>
    </font>
    <font>
      <sz val="12.0"/>
      <color rgb="FF000000"/>
      <name val="Arial"/>
    </font>
    <font>
      <sz val="12.0"/>
      <color rgb="FF000000"/>
    </font>
    <font>
      <sz val="12.0"/>
      <name val="Arial"/>
    </font>
    <font>
      <sz val="12.0"/>
    </font>
    <font>
      <sz val="12.0"/>
      <color rgb="FF000000"/>
      <name val="宋体"/>
    </font>
    <font>
      <sz val="12.0"/>
      <color rgb="FF173040"/>
      <name val="&quot;Helvetica Neue&quot;"/>
    </font>
    <font>
      <color rgb="FF000000"/>
      <name val="Arial"/>
    </font>
    <font>
      <sz val="12.0"/>
      <color rgb="FF24292E"/>
      <name val="&quot;Helvetica Neue&quot;"/>
    </font>
    <font>
      <u/>
      <sz val="12.0"/>
      <color rgb="FF52ADC8"/>
      <name val="Arial"/>
    </font>
    <font>
      <b/>
      <sz val="12.0"/>
      <color rgb="FF980000"/>
    </font>
    <font>
      <sz val="12.0"/>
      <color rgb="FF980000"/>
      <name val="Arial"/>
    </font>
    <font>
      <color rgb="FF000000"/>
    </font>
    <font>
      <u/>
      <sz val="12.0"/>
      <color rgb="FF000000"/>
      <name val="Arial"/>
    </font>
    <font>
      <sz val="12.0"/>
      <color rgb="FF38761D"/>
      <name val="Arial"/>
    </font>
    <font>
      <u/>
      <color rgb="FF0000FF"/>
    </font>
    <font>
      <sz val="12.0"/>
      <color rgb="FF24292E"/>
      <name val="Helvetica Neue"/>
    </font>
    <font>
      <name val="Arial"/>
    </font>
    <font>
      <b/>
      <sz val="12.0"/>
      <name val="Arial"/>
    </font>
    <font>
      <u/>
      <sz val="12.0"/>
      <color rgb="FF000000"/>
      <name val="Arial"/>
    </font>
    <font>
      <u/>
      <sz val="12.0"/>
      <color rgb="FF000000"/>
      <name val="Arial"/>
    </font>
    <font>
      <sz val="12.0"/>
      <color rgb="FF24292E"/>
      <name val="-apple-system"/>
    </font>
    <font>
      <b/>
    </font>
    <font>
      <u/>
      <color rgb="FF0000FF"/>
    </font>
  </fonts>
  <fills count="14">
    <fill>
      <patternFill patternType="none"/>
    </fill>
    <fill>
      <patternFill patternType="lightGray"/>
    </fill>
    <fill>
      <patternFill patternType="solid">
        <fgColor rgb="FF999999"/>
        <bgColor rgb="FF999999"/>
      </patternFill>
    </fill>
    <fill>
      <patternFill patternType="solid">
        <fgColor rgb="FFFFFFFF"/>
        <bgColor rgb="FFFFFFFF"/>
      </patternFill>
    </fill>
    <fill>
      <patternFill patternType="solid">
        <fgColor rgb="FFFF9900"/>
        <bgColor rgb="FFFF9900"/>
      </patternFill>
    </fill>
    <fill>
      <patternFill patternType="solid">
        <fgColor rgb="FFF4CCCC"/>
        <bgColor rgb="FFF4CCCC"/>
      </patternFill>
    </fill>
    <fill>
      <patternFill patternType="solid">
        <fgColor rgb="FFFFFF00"/>
        <bgColor rgb="FFFFFF00"/>
      </patternFill>
    </fill>
    <fill>
      <patternFill patternType="solid">
        <fgColor rgb="FFFF0000"/>
        <bgColor rgb="FFFF0000"/>
      </patternFill>
    </fill>
    <fill>
      <patternFill patternType="solid">
        <fgColor rgb="FF00FFFF"/>
        <bgColor rgb="FF00FFFF"/>
      </patternFill>
    </fill>
    <fill>
      <patternFill patternType="solid">
        <fgColor rgb="FF9900FF"/>
        <bgColor rgb="FF9900FF"/>
      </patternFill>
    </fill>
    <fill>
      <patternFill patternType="solid">
        <fgColor rgb="FFF4C7C3"/>
        <bgColor rgb="FFF4C7C3"/>
      </patternFill>
    </fill>
    <fill>
      <patternFill patternType="solid">
        <fgColor rgb="FFE6B8AF"/>
        <bgColor rgb="FFE6B8AF"/>
      </patternFill>
    </fill>
    <fill>
      <patternFill patternType="solid">
        <fgColor rgb="FF00FF00"/>
        <bgColor rgb="FF00FF00"/>
      </patternFill>
    </fill>
    <fill>
      <patternFill patternType="solid">
        <fgColor rgb="FFF1C232"/>
        <bgColor rgb="FFF1C232"/>
      </patternFill>
    </fill>
  </fills>
  <borders count="3">
    <border/>
    <border>
      <bottom style="double">
        <color rgb="FF000000"/>
      </bottom>
    </border>
    <border>
      <top style="double">
        <color rgb="FF000000"/>
      </top>
    </border>
  </borders>
  <cellStyleXfs count="1">
    <xf borderId="0" fillId="0" fontId="0" numFmtId="0" applyAlignment="1" applyFont="1"/>
  </cellStyleXfs>
  <cellXfs count="212">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1" fillId="0" fontId="2" numFmtId="0" xfId="0" applyAlignment="1" applyBorder="1" applyFont="1">
      <alignment horizontal="center" readingOrder="0" vertical="center"/>
    </xf>
    <xf borderId="1" fillId="0" fontId="3" numFmtId="0" xfId="0" applyAlignment="1" applyBorder="1" applyFont="1">
      <alignment horizontal="center" readingOrder="0" vertical="center"/>
    </xf>
    <xf borderId="1" fillId="2" fontId="4" numFmtId="0" xfId="0" applyAlignment="1" applyBorder="1" applyFill="1" applyFont="1">
      <alignment horizontal="center" readingOrder="0" vertical="center"/>
    </xf>
    <xf borderId="1" fillId="0" fontId="4" numFmtId="0" xfId="0" applyAlignment="1" applyBorder="1" applyFont="1">
      <alignment horizontal="center" readingOrder="0" vertical="center"/>
    </xf>
    <xf borderId="1" fillId="0" fontId="3" numFmtId="0" xfId="0" applyAlignment="1" applyBorder="1" applyFont="1">
      <alignment readingOrder="0"/>
    </xf>
    <xf borderId="0" fillId="0" fontId="5" numFmtId="0" xfId="0" applyAlignment="1" applyFont="1">
      <alignment readingOrder="0"/>
    </xf>
    <xf borderId="0" fillId="0" fontId="6" numFmtId="0" xfId="0" applyAlignment="1" applyFont="1">
      <alignment readingOrder="0" vertical="center"/>
    </xf>
    <xf borderId="0" fillId="0" fontId="7" numFmtId="0" xfId="0" applyAlignment="1" applyFont="1">
      <alignment readingOrder="0" vertical="center"/>
    </xf>
    <xf borderId="0" fillId="3" fontId="7" numFmtId="0" xfId="0" applyAlignment="1" applyFill="1" applyFont="1">
      <alignment readingOrder="0"/>
    </xf>
    <xf borderId="0" fillId="3" fontId="8" numFmtId="0" xfId="0" applyAlignment="1" applyFont="1">
      <alignment horizontal="right" readingOrder="0"/>
    </xf>
    <xf quotePrefix="1" borderId="0" fillId="3" fontId="8" numFmtId="0" xfId="0" applyAlignment="1" applyFont="1">
      <alignment horizontal="right" readingOrder="0"/>
    </xf>
    <xf borderId="2" fillId="0" fontId="9" numFmtId="0" xfId="0" applyAlignment="1" applyBorder="1" applyFont="1">
      <alignment horizontal="right" readingOrder="0"/>
    </xf>
    <xf borderId="0" fillId="0" fontId="10" numFmtId="0" xfId="0" applyAlignment="1" applyFont="1">
      <alignment horizontal="right" readingOrder="0"/>
    </xf>
    <xf quotePrefix="1" borderId="0" fillId="0" fontId="7" numFmtId="0" xfId="0" applyAlignment="1" applyFont="1">
      <alignment horizontal="right" readingOrder="0"/>
    </xf>
    <xf quotePrefix="1" borderId="0" fillId="0" fontId="8" numFmtId="0" xfId="0" applyAlignment="1" applyFont="1">
      <alignment horizontal="right" readingOrder="0"/>
    </xf>
    <xf borderId="0" fillId="0" fontId="10" numFmtId="0" xfId="0" applyAlignment="1" applyFont="1">
      <alignment horizontal="left" readingOrder="0" vertical="center"/>
    </xf>
    <xf borderId="0" fillId="2" fontId="8" numFmtId="0" xfId="0" applyAlignment="1" applyFont="1">
      <alignment horizontal="right" readingOrder="0"/>
    </xf>
    <xf quotePrefix="1" borderId="0" fillId="0" fontId="11" numFmtId="0" xfId="0" applyAlignment="1" applyFont="1">
      <alignment horizontal="right" readingOrder="0" shrinkToFit="0" vertical="bottom" wrapText="0"/>
    </xf>
    <xf borderId="0" fillId="0" fontId="10" numFmtId="0" xfId="0" applyAlignment="1" applyFont="1">
      <alignment readingOrder="0" vertical="center"/>
    </xf>
    <xf borderId="0" fillId="3" fontId="7" numFmtId="0" xfId="0" applyAlignment="1" applyFont="1">
      <alignment horizontal="left" readingOrder="0"/>
    </xf>
    <xf borderId="0" fillId="0" fontId="7" numFmtId="0" xfId="0" applyAlignment="1" applyFont="1">
      <alignment horizontal="left" readingOrder="0" vertical="center"/>
    </xf>
    <xf borderId="0" fillId="0" fontId="5" numFmtId="0" xfId="0" applyAlignment="1" applyFont="1">
      <alignment readingOrder="0" vertical="center"/>
    </xf>
    <xf quotePrefix="1" borderId="0" fillId="0" fontId="10" numFmtId="0" xfId="0" applyAlignment="1" applyFont="1">
      <alignment readingOrder="0"/>
    </xf>
    <xf quotePrefix="1" borderId="0" fillId="0" fontId="5" numFmtId="0" xfId="0" applyAlignment="1" applyFont="1">
      <alignment readingOrder="0"/>
    </xf>
    <xf borderId="0" fillId="4" fontId="8" numFmtId="0" xfId="0" applyAlignment="1" applyFill="1" applyFont="1">
      <alignment horizontal="right" readingOrder="0"/>
    </xf>
    <xf quotePrefix="1" borderId="0" fillId="5" fontId="8" numFmtId="0" xfId="0" applyAlignment="1" applyFill="1" applyFont="1">
      <alignment horizontal="right" readingOrder="0"/>
    </xf>
    <xf borderId="0" fillId="5" fontId="9" numFmtId="0" xfId="0" applyAlignment="1" applyFont="1">
      <alignment horizontal="right" readingOrder="0"/>
    </xf>
    <xf quotePrefix="1" borderId="0" fillId="5" fontId="7" numFmtId="0" xfId="0" applyAlignment="1" applyFont="1">
      <alignment horizontal="right" readingOrder="0"/>
    </xf>
    <xf borderId="0" fillId="6" fontId="7" numFmtId="0" xfId="0" applyAlignment="1" applyFill="1" applyFont="1">
      <alignment horizontal="right" readingOrder="0" vertical="center"/>
    </xf>
    <xf borderId="0" fillId="2" fontId="10" numFmtId="0" xfId="0" applyAlignment="1" applyFont="1">
      <alignment horizontal="right" readingOrder="0" vertical="center"/>
    </xf>
    <xf borderId="0" fillId="7" fontId="10" numFmtId="0" xfId="0" applyAlignment="1" applyFill="1" applyFont="1">
      <alignment horizontal="right" readingOrder="0" vertical="center"/>
    </xf>
    <xf borderId="0" fillId="7" fontId="11" numFmtId="0" xfId="0" applyAlignment="1" applyFont="1">
      <alignment horizontal="right" readingOrder="0" shrinkToFit="0" vertical="bottom" wrapText="0"/>
    </xf>
    <xf borderId="0" fillId="7" fontId="8" numFmtId="0" xfId="0" applyAlignment="1" applyFont="1">
      <alignment horizontal="right" readingOrder="0"/>
    </xf>
    <xf borderId="0" fillId="0" fontId="11" numFmtId="0" xfId="0" applyAlignment="1" applyFont="1">
      <alignment horizontal="right" readingOrder="0" shrinkToFit="0" vertical="bottom" wrapText="0"/>
    </xf>
    <xf borderId="0" fillId="0" fontId="10" numFmtId="0" xfId="0" applyAlignment="1" applyFont="1">
      <alignment readingOrder="0"/>
    </xf>
    <xf quotePrefix="1" borderId="0" fillId="4" fontId="5" numFmtId="0" xfId="0" applyAlignment="1" applyFont="1">
      <alignment readingOrder="0"/>
    </xf>
    <xf borderId="0" fillId="0" fontId="8" numFmtId="0" xfId="0" applyAlignment="1" applyFont="1">
      <alignment horizontal="right" readingOrder="0"/>
    </xf>
    <xf borderId="0" fillId="0" fontId="9" numFmtId="0" xfId="0" applyAlignment="1" applyFont="1">
      <alignment horizontal="right" readingOrder="0"/>
    </xf>
    <xf borderId="0" fillId="5" fontId="10" numFmtId="0" xfId="0" applyAlignment="1" applyFont="1">
      <alignment horizontal="right" readingOrder="0" vertical="center"/>
    </xf>
    <xf quotePrefix="1" borderId="0" fillId="0" fontId="10" numFmtId="0" xfId="0" applyAlignment="1" applyFont="1">
      <alignment horizontal="right" readingOrder="0" vertical="center"/>
    </xf>
    <xf borderId="0" fillId="0" fontId="10" numFmtId="0" xfId="0" applyAlignment="1" applyFont="1">
      <alignment horizontal="right" readingOrder="0" vertical="center"/>
    </xf>
    <xf quotePrefix="1" borderId="0" fillId="7" fontId="5" numFmtId="0" xfId="0" applyAlignment="1" applyFont="1">
      <alignment readingOrder="0"/>
    </xf>
    <xf borderId="0" fillId="3" fontId="12" numFmtId="0" xfId="0" applyAlignment="1" applyFont="1">
      <alignment horizontal="left" readingOrder="0"/>
    </xf>
    <xf quotePrefix="1" borderId="0" fillId="3" fontId="10" numFmtId="0" xfId="0" applyAlignment="1" applyFont="1">
      <alignment horizontal="right" readingOrder="0" vertical="center"/>
    </xf>
    <xf quotePrefix="1" borderId="0" fillId="3" fontId="7" numFmtId="0" xfId="0" applyAlignment="1" applyFont="1">
      <alignment horizontal="right" readingOrder="0" vertical="center"/>
    </xf>
    <xf borderId="0" fillId="3" fontId="13" numFmtId="0" xfId="0" applyAlignment="1" applyFont="1">
      <alignment horizontal="left" readingOrder="0"/>
    </xf>
    <xf borderId="0" fillId="3" fontId="14" numFmtId="0" xfId="0" applyAlignment="1" applyFont="1">
      <alignment horizontal="left" readingOrder="0"/>
    </xf>
    <xf borderId="0" fillId="3" fontId="10" numFmtId="0" xfId="0" applyAlignment="1" applyFont="1">
      <alignment readingOrder="0" vertical="center"/>
    </xf>
    <xf quotePrefix="1" borderId="0" fillId="3" fontId="5" numFmtId="0" xfId="0" applyAlignment="1" applyFont="1">
      <alignment readingOrder="0"/>
    </xf>
    <xf quotePrefix="1" borderId="0" fillId="7" fontId="7" numFmtId="0" xfId="0" applyAlignment="1" applyFont="1">
      <alignment horizontal="right" readingOrder="0"/>
    </xf>
    <xf quotePrefix="1" borderId="0" fillId="0" fontId="10" numFmtId="0" xfId="0" applyAlignment="1" applyFont="1">
      <alignment horizontal="right" readingOrder="0"/>
    </xf>
    <xf quotePrefix="1" borderId="0" fillId="6" fontId="7" numFmtId="0" xfId="0" applyAlignment="1" applyFont="1">
      <alignment horizontal="right" readingOrder="0"/>
    </xf>
    <xf borderId="0" fillId="4" fontId="10" numFmtId="0" xfId="0" applyAlignment="1" applyFont="1">
      <alignment horizontal="left" readingOrder="0" vertical="center"/>
    </xf>
    <xf borderId="0" fillId="2" fontId="10" numFmtId="0" xfId="0" applyAlignment="1" applyFont="1">
      <alignment horizontal="right" readingOrder="0"/>
    </xf>
    <xf quotePrefix="1" borderId="0" fillId="8" fontId="5" numFmtId="0" xfId="0" applyAlignment="1" applyFill="1" applyFont="1">
      <alignment readingOrder="0"/>
    </xf>
    <xf borderId="0" fillId="0" fontId="15" numFmtId="0" xfId="0" applyAlignment="1" applyFont="1">
      <alignment readingOrder="0" vertical="center"/>
    </xf>
    <xf quotePrefix="1" borderId="0" fillId="3" fontId="7" numFmtId="0" xfId="0" applyAlignment="1" applyFont="1">
      <alignment horizontal="right" readingOrder="0"/>
    </xf>
    <xf quotePrefix="1" borderId="0" fillId="6" fontId="7" numFmtId="0" xfId="0" applyAlignment="1" applyFont="1">
      <alignment horizontal="right" readingOrder="0" vertical="center"/>
    </xf>
    <xf quotePrefix="1" borderId="0" fillId="5" fontId="10" numFmtId="0" xfId="0" applyAlignment="1" applyFont="1">
      <alignment horizontal="right" readingOrder="0" vertical="center"/>
    </xf>
    <xf borderId="0" fillId="2" fontId="9" numFmtId="0" xfId="0" applyAlignment="1" applyFont="1">
      <alignment horizontal="center" readingOrder="0"/>
    </xf>
    <xf borderId="0" fillId="2" fontId="10" numFmtId="0" xfId="0" applyAlignment="1" applyFont="1">
      <alignment horizontal="center" readingOrder="0"/>
    </xf>
    <xf borderId="0" fillId="2" fontId="5" numFmtId="0" xfId="0" applyAlignment="1" applyFont="1">
      <alignment readingOrder="0"/>
    </xf>
    <xf borderId="0" fillId="2" fontId="10" numFmtId="0" xfId="0" applyAlignment="1" applyFont="1">
      <alignment readingOrder="0"/>
    </xf>
    <xf borderId="1" fillId="0" fontId="16" numFmtId="0" xfId="0" applyAlignment="1" applyBorder="1" applyFont="1">
      <alignment horizontal="center" readingOrder="0" vertical="center"/>
    </xf>
    <xf borderId="0" fillId="0" fontId="17" numFmtId="0" xfId="0" applyAlignment="1" applyFont="1">
      <alignment horizontal="left" readingOrder="0"/>
    </xf>
    <xf borderId="0" fillId="0" fontId="7" numFmtId="0" xfId="0" applyAlignment="1" applyFont="1">
      <alignment horizontal="left" readingOrder="0"/>
    </xf>
    <xf borderId="0" fillId="0" fontId="7" numFmtId="0" xfId="0" applyAlignment="1" applyFont="1">
      <alignment horizontal="right" readingOrder="0"/>
    </xf>
    <xf borderId="0" fillId="2" fontId="7" numFmtId="0" xfId="0" applyAlignment="1" applyFont="1">
      <alignment horizontal="right" readingOrder="0"/>
    </xf>
    <xf borderId="0" fillId="0" fontId="7" numFmtId="0" xfId="0" applyAlignment="1" applyFont="1">
      <alignment readingOrder="0"/>
    </xf>
    <xf borderId="0" fillId="6" fontId="7" numFmtId="0" xfId="0" applyAlignment="1" applyFont="1">
      <alignment horizontal="right" readingOrder="0"/>
    </xf>
    <xf borderId="0" fillId="4" fontId="10" numFmtId="0" xfId="0" applyAlignment="1" applyFont="1">
      <alignment horizontal="left" readingOrder="0"/>
    </xf>
    <xf borderId="0" fillId="0" fontId="10" numFmtId="0" xfId="0" applyAlignment="1" applyFont="1">
      <alignment horizontal="left" readingOrder="0"/>
    </xf>
    <xf borderId="0" fillId="3" fontId="18" numFmtId="0" xfId="0" applyAlignment="1" applyFont="1">
      <alignment readingOrder="0"/>
    </xf>
    <xf borderId="0" fillId="4" fontId="9" numFmtId="0" xfId="0" applyAlignment="1" applyFont="1">
      <alignment horizontal="right" readingOrder="0"/>
    </xf>
    <xf quotePrefix="1" borderId="0" fillId="4" fontId="8" numFmtId="0" xfId="0" applyAlignment="1" applyFont="1">
      <alignment horizontal="right" readingOrder="0"/>
    </xf>
    <xf borderId="0" fillId="0" fontId="10" numFmtId="0" xfId="0" applyAlignment="1" applyFont="1">
      <alignment horizontal="right" readingOrder="0"/>
    </xf>
    <xf quotePrefix="1" borderId="0" fillId="5" fontId="10" numFmtId="0" xfId="0" applyAlignment="1" applyFont="1">
      <alignment horizontal="right" readingOrder="0"/>
    </xf>
    <xf quotePrefix="1" borderId="0" fillId="0" fontId="10" numFmtId="0" xfId="0" applyAlignment="1" applyFont="1">
      <alignment horizontal="right" readingOrder="0"/>
    </xf>
    <xf borderId="0" fillId="4" fontId="10" numFmtId="0" xfId="0" applyAlignment="1" applyFont="1">
      <alignment horizontal="right" readingOrder="0" vertical="center"/>
    </xf>
    <xf quotePrefix="1" borderId="0" fillId="4" fontId="10" numFmtId="0" xfId="0" applyAlignment="1" applyFont="1">
      <alignment horizontal="right" readingOrder="0" vertical="center"/>
    </xf>
    <xf borderId="0" fillId="2" fontId="10" numFmtId="0" xfId="0" applyAlignment="1" applyFont="1">
      <alignment horizontal="right" readingOrder="0"/>
    </xf>
    <xf quotePrefix="1" borderId="0" fillId="5" fontId="10" numFmtId="0" xfId="0" applyAlignment="1" applyFont="1">
      <alignment horizontal="right" readingOrder="0"/>
    </xf>
    <xf borderId="0" fillId="5" fontId="10" numFmtId="0" xfId="0" applyAlignment="1" applyFont="1">
      <alignment horizontal="right" readingOrder="0"/>
    </xf>
    <xf quotePrefix="1" borderId="0" fillId="4" fontId="10" numFmtId="0" xfId="0" applyAlignment="1" applyFont="1">
      <alignment horizontal="right" readingOrder="0"/>
    </xf>
    <xf quotePrefix="1" borderId="0" fillId="9" fontId="10" numFmtId="0" xfId="0" applyAlignment="1" applyFill="1" applyFont="1">
      <alignment horizontal="right" readingOrder="0"/>
    </xf>
    <xf borderId="0" fillId="3" fontId="12" numFmtId="0" xfId="0" applyAlignment="1" applyFont="1">
      <alignment horizontal="left" readingOrder="0"/>
    </xf>
    <xf borderId="0" fillId="8" fontId="5" numFmtId="0" xfId="0" applyAlignment="1" applyFont="1">
      <alignment readingOrder="0"/>
    </xf>
    <xf quotePrefix="1" borderId="0" fillId="9" fontId="10" numFmtId="0" xfId="0" applyAlignment="1" applyFont="1">
      <alignment horizontal="right" readingOrder="0"/>
    </xf>
    <xf borderId="0" fillId="0" fontId="10" numFmtId="0" xfId="0" applyAlignment="1" applyFont="1">
      <alignment horizontal="left" readingOrder="0"/>
    </xf>
    <xf quotePrefix="1" borderId="0" fillId="3" fontId="10" numFmtId="0" xfId="0" applyAlignment="1" applyFont="1">
      <alignment horizontal="right" readingOrder="0"/>
    </xf>
    <xf quotePrefix="1" borderId="0" fillId="6" fontId="8" numFmtId="0" xfId="0" applyAlignment="1" applyFont="1">
      <alignment horizontal="right" readingOrder="0"/>
    </xf>
    <xf borderId="0" fillId="4" fontId="10" numFmtId="0" xfId="0" applyAlignment="1" applyFont="1">
      <alignment readingOrder="0" vertical="center"/>
    </xf>
    <xf borderId="0" fillId="0" fontId="19" numFmtId="0" xfId="0" applyAlignment="1" applyFont="1">
      <alignment readingOrder="0" vertical="center"/>
    </xf>
    <xf borderId="0" fillId="0" fontId="20" numFmtId="0" xfId="0" applyAlignment="1" applyFont="1">
      <alignment horizontal="left" readingOrder="0"/>
    </xf>
    <xf borderId="0" fillId="4" fontId="5" numFmtId="0" xfId="0" applyAlignment="1" applyFont="1">
      <alignment readingOrder="0"/>
    </xf>
    <xf borderId="0" fillId="5" fontId="5" numFmtId="0" xfId="0" applyAlignment="1" applyFont="1">
      <alignment readingOrder="0"/>
    </xf>
    <xf borderId="1" fillId="4" fontId="3" numFmtId="0" xfId="0" applyAlignment="1" applyBorder="1" applyFont="1">
      <alignment horizontal="center" readingOrder="0" vertical="center"/>
    </xf>
    <xf quotePrefix="1" borderId="0" fillId="4" fontId="7" numFmtId="0" xfId="0" applyAlignment="1" applyFont="1">
      <alignment horizontal="right" readingOrder="0"/>
    </xf>
    <xf borderId="0" fillId="4" fontId="10" numFmtId="0" xfId="0" applyAlignment="1" applyFont="1">
      <alignment horizontal="right" readingOrder="0"/>
    </xf>
    <xf borderId="0" fillId="0" fontId="21" numFmtId="0" xfId="0" applyAlignment="1" applyFont="1">
      <alignment readingOrder="0"/>
    </xf>
    <xf quotePrefix="1" borderId="0" fillId="4" fontId="10" numFmtId="0" xfId="0" applyAlignment="1" applyFont="1">
      <alignment horizontal="right" readingOrder="0"/>
    </xf>
    <xf borderId="0" fillId="4" fontId="10" numFmtId="0" xfId="0" applyAlignment="1" applyFont="1">
      <alignment horizontal="right" readingOrder="0"/>
    </xf>
    <xf borderId="0" fillId="10" fontId="5" numFmtId="0" xfId="0" applyAlignment="1" applyFill="1" applyFont="1">
      <alignment readingOrder="0"/>
    </xf>
    <xf borderId="0" fillId="6" fontId="5" numFmtId="0" xfId="0" applyAlignment="1" applyFont="1">
      <alignment readingOrder="0"/>
    </xf>
    <xf borderId="0" fillId="9" fontId="5" numFmtId="0" xfId="0" applyAlignment="1" applyFont="1">
      <alignment readingOrder="0"/>
    </xf>
    <xf borderId="0" fillId="7" fontId="5" numFmtId="0" xfId="0" applyAlignment="1" applyFont="1">
      <alignment readingOrder="0"/>
    </xf>
    <xf borderId="1" fillId="0" fontId="1" numFmtId="10" xfId="0" applyAlignment="1" applyBorder="1" applyFont="1" applyNumberFormat="1">
      <alignment horizontal="center" readingOrder="0" vertical="center"/>
    </xf>
    <xf borderId="0" fillId="4" fontId="7" numFmtId="0" xfId="0" applyAlignment="1" applyFont="1">
      <alignment horizontal="left" readingOrder="0"/>
    </xf>
    <xf borderId="0" fillId="6" fontId="8" numFmtId="0" xfId="0" applyAlignment="1" applyFont="1">
      <alignment readingOrder="0"/>
    </xf>
    <xf borderId="0" fillId="3" fontId="8" numFmtId="0" xfId="0" applyAlignment="1" applyFont="1">
      <alignment readingOrder="0"/>
    </xf>
    <xf borderId="0" fillId="0" fontId="7" numFmtId="164" xfId="0" applyAlignment="1" applyFont="1" applyNumberFormat="1">
      <alignment horizontal="right" readingOrder="0" vertical="center"/>
    </xf>
    <xf borderId="0" fillId="0" fontId="7" numFmtId="0" xfId="0" applyAlignment="1" applyFont="1">
      <alignment horizontal="right" readingOrder="0" vertical="center"/>
    </xf>
    <xf borderId="0" fillId="0" fontId="7" numFmtId="2" xfId="0" applyAlignment="1" applyFont="1" applyNumberFormat="1">
      <alignment horizontal="right" readingOrder="0" vertical="center"/>
    </xf>
    <xf borderId="2" fillId="0" fontId="7" numFmtId="0" xfId="0" applyAlignment="1" applyBorder="1" applyFont="1">
      <alignment horizontal="right"/>
    </xf>
    <xf borderId="0" fillId="7" fontId="8" numFmtId="0" xfId="0" applyAlignment="1" applyFont="1">
      <alignment readingOrder="0"/>
    </xf>
    <xf borderId="0" fillId="0" fontId="7" numFmtId="165" xfId="0" applyAlignment="1" applyFont="1" applyNumberFormat="1">
      <alignment horizontal="right" readingOrder="0" vertical="center"/>
    </xf>
    <xf borderId="0" fillId="0" fontId="7" numFmtId="165" xfId="0" applyAlignment="1" applyFont="1" applyNumberFormat="1">
      <alignment horizontal="right"/>
    </xf>
    <xf borderId="0" fillId="3" fontId="8" numFmtId="2" xfId="0" applyAlignment="1" applyFont="1" applyNumberFormat="1">
      <alignment readingOrder="0"/>
    </xf>
    <xf borderId="0" fillId="3" fontId="7" numFmtId="2" xfId="0" applyAlignment="1" applyFont="1" applyNumberFormat="1">
      <alignment horizontal="right" readingOrder="0"/>
    </xf>
    <xf borderId="0" fillId="11" fontId="7" numFmtId="0" xfId="0" applyAlignment="1" applyFill="1" applyFont="1">
      <alignment horizontal="right" vertical="bottom"/>
    </xf>
    <xf borderId="0" fillId="3" fontId="7" numFmtId="0" xfId="0" applyAlignment="1" applyFont="1">
      <alignment horizontal="right" readingOrder="0"/>
    </xf>
    <xf borderId="0" fillId="11" fontId="7" numFmtId="0" xfId="0" applyAlignment="1" applyFont="1">
      <alignment horizontal="right"/>
    </xf>
    <xf borderId="0" fillId="12" fontId="8" numFmtId="0" xfId="0" applyAlignment="1" applyFill="1" applyFont="1">
      <alignment readingOrder="0"/>
    </xf>
    <xf borderId="0" fillId="0" fontId="7" numFmtId="11" xfId="0" applyAlignment="1" applyFont="1" applyNumberFormat="1">
      <alignment horizontal="right" readingOrder="0" vertical="center"/>
    </xf>
    <xf borderId="0" fillId="0" fontId="7" numFmtId="19" xfId="0" applyAlignment="1" applyFont="1" applyNumberFormat="1">
      <alignment horizontal="left" readingOrder="0" vertical="center"/>
    </xf>
    <xf borderId="0" fillId="0" fontId="7" numFmtId="166" xfId="0" applyAlignment="1" applyFont="1" applyNumberFormat="1">
      <alignment horizontal="right" readingOrder="0" vertical="center"/>
    </xf>
    <xf borderId="0" fillId="0" fontId="7" numFmtId="0" xfId="0" applyAlignment="1" applyFont="1">
      <alignment horizontal="right"/>
    </xf>
    <xf borderId="0" fillId="3" fontId="22" numFmtId="0" xfId="0" applyAlignment="1" applyFont="1">
      <alignment readingOrder="0"/>
    </xf>
    <xf borderId="0" fillId="0" fontId="7" numFmtId="11" xfId="0" applyAlignment="1" applyFont="1" applyNumberFormat="1">
      <alignment horizontal="right" readingOrder="0"/>
    </xf>
    <xf borderId="0" fillId="0" fontId="7" numFmtId="0" xfId="0" applyAlignment="1" applyFont="1">
      <alignment horizontal="right" vertical="center"/>
    </xf>
    <xf borderId="0" fillId="0" fontId="7" numFmtId="0" xfId="0" applyAlignment="1" applyFont="1">
      <alignment horizontal="left"/>
    </xf>
    <xf borderId="0" fillId="0" fontId="7" numFmtId="0" xfId="0" applyAlignment="1" applyFont="1">
      <alignment horizontal="right" vertical="bottom"/>
    </xf>
    <xf borderId="0" fillId="2" fontId="5" numFmtId="0" xfId="0" applyFont="1"/>
    <xf borderId="0" fillId="2" fontId="23" numFmtId="0" xfId="0" applyAlignment="1" applyFont="1">
      <alignment vertical="bottom"/>
    </xf>
    <xf borderId="1" fillId="0" fontId="10" numFmtId="0" xfId="0" applyAlignment="1" applyBorder="1" applyFont="1">
      <alignment horizontal="center" readingOrder="0" vertical="center"/>
    </xf>
    <xf borderId="1" fillId="0" fontId="24" numFmtId="0" xfId="0" applyAlignment="1" applyBorder="1" applyFont="1">
      <alignment horizontal="center"/>
    </xf>
    <xf borderId="0" fillId="11" fontId="7" numFmtId="0" xfId="0" applyAlignment="1" applyFont="1">
      <alignment horizontal="right" vertical="bottom"/>
    </xf>
    <xf borderId="0" fillId="11" fontId="9" numFmtId="0" xfId="0" applyAlignment="1" applyFont="1">
      <alignment horizontal="right" vertical="bottom"/>
    </xf>
    <xf borderId="0" fillId="0" fontId="7" numFmtId="0" xfId="0" applyAlignment="1" applyFont="1">
      <alignment horizontal="right" readingOrder="0"/>
    </xf>
    <xf borderId="1" fillId="0" fontId="3" numFmtId="0" xfId="0" applyAlignment="1" applyBorder="1" applyFont="1">
      <alignment horizontal="center" readingOrder="0"/>
    </xf>
    <xf borderId="0" fillId="3" fontId="25" numFmtId="0" xfId="0" applyAlignment="1" applyFont="1">
      <alignment readingOrder="0"/>
    </xf>
    <xf borderId="0" fillId="0" fontId="7" numFmtId="0" xfId="0" applyFont="1"/>
    <xf borderId="0" fillId="0" fontId="11" numFmtId="0" xfId="0" applyAlignment="1" applyFont="1">
      <alignment readingOrder="0" shrinkToFit="0" vertical="bottom" wrapText="0"/>
    </xf>
    <xf borderId="0" fillId="0" fontId="5" numFmtId="0" xfId="0" applyAlignment="1" applyFont="1">
      <alignment horizontal="left" vertical="center"/>
    </xf>
    <xf borderId="0" fillId="0" fontId="5" numFmtId="0" xfId="0" applyAlignment="1" applyFont="1">
      <alignment horizontal="left"/>
    </xf>
    <xf borderId="0" fillId="3" fontId="7" numFmtId="0" xfId="0" applyAlignment="1" applyFont="1">
      <alignment horizontal="right" readingOrder="0"/>
    </xf>
    <xf borderId="0" fillId="0" fontId="8" numFmtId="0" xfId="0" applyAlignment="1" applyFont="1">
      <alignment readingOrder="0"/>
    </xf>
    <xf borderId="0" fillId="0" fontId="26" numFmtId="0" xfId="0" applyAlignment="1" applyFont="1">
      <alignment horizontal="left" readingOrder="0" vertical="center"/>
    </xf>
    <xf borderId="0" fillId="0" fontId="5" numFmtId="0" xfId="0" applyAlignment="1" applyFont="1">
      <alignment horizontal="left" readingOrder="0" vertical="center"/>
    </xf>
    <xf borderId="0" fillId="0" fontId="7" numFmtId="164" xfId="0" applyAlignment="1" applyFont="1" applyNumberFormat="1">
      <alignment horizontal="right"/>
    </xf>
    <xf borderId="0" fillId="0" fontId="10" numFmtId="0" xfId="0" applyFont="1"/>
    <xf borderId="0" fillId="3" fontId="27" numFmtId="0" xfId="0" applyAlignment="1" applyFont="1">
      <alignment readingOrder="0"/>
    </xf>
    <xf borderId="0" fillId="0" fontId="7" numFmtId="164" xfId="0" applyAlignment="1" applyFont="1" applyNumberFormat="1">
      <alignment horizontal="right" readingOrder="0"/>
    </xf>
    <xf borderId="0" fillId="0" fontId="5" numFmtId="0" xfId="0" applyAlignment="1" applyFont="1">
      <alignment readingOrder="0"/>
    </xf>
    <xf borderId="0" fillId="13" fontId="5" numFmtId="0" xfId="0" applyAlignment="1" applyFill="1" applyFont="1">
      <alignment readingOrder="0"/>
    </xf>
    <xf borderId="0" fillId="13" fontId="5" numFmtId="0" xfId="0" applyFont="1"/>
    <xf borderId="0" fillId="0" fontId="28" numFmtId="0" xfId="0" applyAlignment="1" applyFont="1">
      <alignment readingOrder="0"/>
    </xf>
    <xf borderId="0" fillId="0" fontId="4" numFmtId="0" xfId="0" applyAlignment="1" applyFont="1">
      <alignment horizontal="center" readingOrder="0" vertical="center"/>
    </xf>
    <xf borderId="0" fillId="7" fontId="8" numFmtId="11" xfId="0" applyAlignment="1" applyFont="1" applyNumberFormat="1">
      <alignment readingOrder="0"/>
    </xf>
    <xf borderId="0" fillId="12" fontId="8" numFmtId="11" xfId="0" applyAlignment="1" applyFont="1" applyNumberFormat="1">
      <alignment readingOrder="0"/>
    </xf>
    <xf borderId="0" fillId="4" fontId="5" numFmtId="0" xfId="0" applyFont="1"/>
    <xf quotePrefix="1" borderId="0" fillId="7" fontId="10" numFmtId="0" xfId="0" applyAlignment="1" applyFont="1">
      <alignment horizontal="right" readingOrder="0" vertical="center"/>
    </xf>
    <xf borderId="0" fillId="0" fontId="10" numFmtId="3" xfId="0" applyAlignment="1" applyFont="1" applyNumberFormat="1">
      <alignment readingOrder="0"/>
    </xf>
    <xf borderId="0" fillId="7" fontId="5" numFmtId="0" xfId="0" applyFont="1"/>
    <xf borderId="0" fillId="3" fontId="10" numFmtId="0" xfId="0" applyAlignment="1" applyFont="1">
      <alignment horizontal="right" readingOrder="0" vertical="center"/>
    </xf>
    <xf borderId="0" fillId="3" fontId="7" numFmtId="0" xfId="0" applyAlignment="1" applyFont="1">
      <alignment horizontal="right" readingOrder="0" vertical="center"/>
    </xf>
    <xf borderId="0" fillId="3" fontId="5" numFmtId="0" xfId="0" applyAlignment="1" applyFont="1">
      <alignment readingOrder="0"/>
    </xf>
    <xf quotePrefix="1" borderId="0" fillId="7" fontId="10" numFmtId="0" xfId="0" applyAlignment="1" applyFont="1">
      <alignment horizontal="right" readingOrder="0"/>
    </xf>
    <xf borderId="0" fillId="2" fontId="10" numFmtId="0" xfId="0" applyFont="1"/>
    <xf borderId="0" fillId="4" fontId="7" numFmtId="0" xfId="0" applyAlignment="1" applyFont="1">
      <alignment horizontal="right" readingOrder="0"/>
    </xf>
    <xf borderId="0" fillId="6" fontId="8" numFmtId="0" xfId="0" applyAlignment="1" applyFont="1">
      <alignment horizontal="right" readingOrder="0"/>
    </xf>
    <xf borderId="0" fillId="9" fontId="10" numFmtId="0" xfId="0" applyAlignment="1" applyFont="1">
      <alignment horizontal="right" readingOrder="0"/>
    </xf>
    <xf quotePrefix="1" borderId="0" fillId="0" fontId="7" numFmtId="0" xfId="0" applyAlignment="1" applyFont="1">
      <alignment horizontal="right" readingOrder="0" vertical="center"/>
    </xf>
    <xf quotePrefix="1" borderId="0" fillId="0" fontId="11" numFmtId="0" xfId="0" applyAlignment="1" applyFont="1">
      <alignment readingOrder="0" shrinkToFit="0" vertical="bottom" wrapText="0"/>
    </xf>
    <xf quotePrefix="1" borderId="0" fillId="3" fontId="8" numFmtId="0" xfId="0" applyAlignment="1" applyFont="1">
      <alignment readingOrder="0"/>
    </xf>
    <xf quotePrefix="1" borderId="0" fillId="3" fontId="7" numFmtId="0" xfId="0" applyAlignment="1" applyFont="1">
      <alignment horizontal="right" readingOrder="0"/>
    </xf>
    <xf borderId="0" fillId="6" fontId="10" numFmtId="0" xfId="0" applyAlignment="1" applyFont="1">
      <alignment horizontal="right" readingOrder="0" vertical="center"/>
    </xf>
    <xf borderId="0" fillId="6" fontId="7" numFmtId="0" xfId="0" applyAlignment="1" applyFont="1">
      <alignment horizontal="right" readingOrder="0"/>
    </xf>
    <xf quotePrefix="1" borderId="0" fillId="3" fontId="27" numFmtId="0" xfId="0" applyAlignment="1" applyFont="1">
      <alignment horizontal="right" readingOrder="0"/>
    </xf>
    <xf quotePrefix="1" borderId="0" fillId="0" fontId="7" numFmtId="0" xfId="0" applyAlignment="1" applyFont="1">
      <alignment horizontal="right" readingOrder="0"/>
    </xf>
    <xf quotePrefix="1" borderId="0" fillId="0" fontId="7" numFmtId="0" xfId="0" applyAlignment="1" applyFont="1">
      <alignment horizontal="right" readingOrder="0"/>
    </xf>
    <xf borderId="0" fillId="6" fontId="10" numFmtId="0" xfId="0" applyAlignment="1" applyFont="1">
      <alignment horizontal="right" readingOrder="0"/>
    </xf>
    <xf borderId="0" fillId="0" fontId="5" numFmtId="1" xfId="0" applyFont="1" applyNumberFormat="1"/>
    <xf borderId="0" fillId="13" fontId="29" numFmtId="0" xfId="0" applyAlignment="1" applyFont="1">
      <alignment readingOrder="0"/>
    </xf>
    <xf borderId="0" fillId="13" fontId="5" numFmtId="1" xfId="0" applyFont="1" applyNumberFormat="1"/>
    <xf borderId="1" fillId="0" fontId="3" numFmtId="1" xfId="0" applyAlignment="1" applyBorder="1" applyFont="1" applyNumberFormat="1">
      <alignment horizontal="center" readingOrder="0" vertical="center"/>
    </xf>
    <xf borderId="0" fillId="0" fontId="7" numFmtId="1" xfId="0" applyAlignment="1" applyFont="1" applyNumberFormat="1">
      <alignment horizontal="right" readingOrder="0" vertical="center"/>
    </xf>
    <xf borderId="0" fillId="2" fontId="5" numFmtId="1" xfId="0" applyFont="1" applyNumberFormat="1"/>
    <xf borderId="1" fillId="6" fontId="3" numFmtId="0" xfId="0" applyAlignment="1" applyBorder="1" applyFont="1">
      <alignment horizontal="center" readingOrder="0" vertical="center"/>
    </xf>
    <xf borderId="0" fillId="0" fontId="3" numFmtId="0" xfId="0" applyAlignment="1" applyFont="1">
      <alignment horizontal="center" readingOrder="0"/>
    </xf>
    <xf borderId="0" fillId="3" fontId="8" numFmtId="49" xfId="0" applyAlignment="1" applyFont="1" applyNumberFormat="1">
      <alignment readingOrder="0"/>
    </xf>
    <xf borderId="0" fillId="7" fontId="7" numFmtId="0" xfId="0" applyAlignment="1" applyFont="1">
      <alignment horizontal="left" readingOrder="0"/>
    </xf>
    <xf borderId="0" fillId="0" fontId="7" numFmtId="49" xfId="0" applyAlignment="1" applyFont="1" applyNumberFormat="1">
      <alignment horizontal="right" readingOrder="0"/>
    </xf>
    <xf borderId="0" fillId="7" fontId="7" numFmtId="0" xfId="0" applyAlignment="1" applyFont="1">
      <alignment readingOrder="0" vertical="center"/>
    </xf>
    <xf borderId="0" fillId="7" fontId="7" numFmtId="0" xfId="0" applyAlignment="1" applyFont="1">
      <alignment horizontal="left" readingOrder="0"/>
    </xf>
    <xf borderId="0" fillId="0" fontId="11" numFmtId="49" xfId="0" applyAlignment="1" applyFont="1" applyNumberFormat="1">
      <alignment readingOrder="0" shrinkToFit="0" vertical="bottom" wrapText="0"/>
    </xf>
    <xf borderId="0" fillId="3" fontId="8" numFmtId="49" xfId="0" applyAlignment="1" applyFont="1" applyNumberFormat="1">
      <alignment horizontal="right" readingOrder="0"/>
    </xf>
    <xf borderId="0" fillId="6" fontId="8" numFmtId="49" xfId="0" applyAlignment="1" applyFont="1" applyNumberFormat="1">
      <alignment horizontal="right" readingOrder="0"/>
    </xf>
    <xf borderId="0" fillId="3" fontId="8" numFmtId="167" xfId="0" applyAlignment="1" applyFont="1" applyNumberFormat="1">
      <alignment horizontal="right" readingOrder="0"/>
    </xf>
    <xf borderId="0" fillId="3" fontId="8" numFmtId="2" xfId="0" applyAlignment="1" applyFont="1" applyNumberFormat="1">
      <alignment horizontal="right" readingOrder="0"/>
    </xf>
    <xf borderId="0" fillId="3" fontId="8" numFmtId="168" xfId="0" applyAlignment="1" applyFont="1" applyNumberFormat="1">
      <alignment horizontal="right" readingOrder="0"/>
    </xf>
    <xf borderId="0" fillId="0" fontId="7" numFmtId="169" xfId="0" applyAlignment="1" applyFont="1" applyNumberFormat="1">
      <alignment horizontal="right" readingOrder="0" vertical="center"/>
    </xf>
    <xf borderId="0" fillId="0" fontId="7" numFmtId="170" xfId="0" applyAlignment="1" applyFont="1" applyNumberFormat="1">
      <alignment horizontal="right" readingOrder="0" vertical="center"/>
    </xf>
    <xf borderId="0" fillId="0" fontId="7" numFmtId="3" xfId="0" applyAlignment="1" applyFont="1" applyNumberFormat="1">
      <alignment horizontal="right" readingOrder="0" vertical="center"/>
    </xf>
    <xf borderId="0" fillId="3" fontId="27" numFmtId="0" xfId="0" applyAlignment="1" applyFont="1">
      <alignment readingOrder="0"/>
    </xf>
    <xf borderId="0" fillId="3" fontId="5" numFmtId="0" xfId="0" applyAlignment="1" applyFont="1">
      <alignment readingOrder="0" vertical="center"/>
    </xf>
    <xf borderId="0" fillId="3" fontId="5" numFmtId="0" xfId="0" applyFont="1"/>
    <xf borderId="0" fillId="2" fontId="5" numFmtId="49" xfId="0" applyAlignment="1" applyFont="1" applyNumberFormat="1">
      <alignment readingOrder="0"/>
    </xf>
    <xf borderId="1" fillId="0" fontId="4" numFmtId="49" xfId="0" applyAlignment="1" applyBorder="1" applyFont="1" applyNumberFormat="1">
      <alignment horizontal="center" readingOrder="0" vertical="center"/>
    </xf>
    <xf borderId="0" fillId="3" fontId="10" numFmtId="0" xfId="0" applyAlignment="1" applyFont="1">
      <alignment readingOrder="0"/>
    </xf>
  </cellXfs>
  <cellStyles count="1">
    <cellStyle xfId="0" name="Normal" builtinId="0"/>
  </cellStyles>
  <dxfs count="2">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HPL</a:t>
            </a:r>
          </a:p>
        </c:rich>
      </c:tx>
      <c:overlay val="0"/>
    </c:title>
    <c:plotArea>
      <c:layout/>
      <c:lineChart>
        <c:varyColors val="0"/>
        <c:ser>
          <c:idx val="0"/>
          <c:order val="0"/>
          <c:spPr>
            <a:ln cmpd="sng" w="19050">
              <a:solidFill>
                <a:srgbClr val="3366CC"/>
              </a:solidFill>
            </a:ln>
          </c:spPr>
          <c:marker>
            <c:symbol val="none"/>
          </c:marker>
          <c:cat>
            <c:strRef>
              <c:f>Xeon!$AE$38:$AJ$38</c:f>
            </c:strRef>
          </c:cat>
          <c:val>
            <c:numRef>
              <c:f>Xeon!$AE$36:$AJ$36</c:f>
            </c:numRef>
          </c:val>
          <c:smooth val="0"/>
        </c:ser>
        <c:axId val="1404330669"/>
        <c:axId val="1463909080"/>
      </c:lineChart>
      <c:catAx>
        <c:axId val="1404330669"/>
        <c:scaling>
          <c:orientation val="minMax"/>
        </c:scaling>
        <c:delete val="0"/>
        <c:axPos val="b"/>
        <c:txPr>
          <a:bodyPr/>
          <a:lstStyle/>
          <a:p>
            <a:pPr lvl="0">
              <a:defRPr b="0"/>
            </a:pPr>
          </a:p>
        </c:txPr>
        <c:crossAx val="1463909080"/>
      </c:catAx>
      <c:valAx>
        <c:axId val="1463909080"/>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404330669"/>
      </c:valAx>
    </c:plotArea>
    <c:legend>
      <c:legendPos val="r"/>
      <c:overlay val="0"/>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NTCHEM</a:t>
            </a:r>
          </a:p>
        </c:rich>
      </c:tx>
      <c:overlay val="0"/>
    </c:title>
    <c:plotArea>
      <c:layout/>
      <c:lineChart>
        <c:ser>
          <c:idx val="0"/>
          <c:order val="0"/>
          <c:spPr>
            <a:ln cmpd="sng" w="19050">
              <a:solidFill>
                <a:srgbClr val="3366CC"/>
              </a:solidFill>
            </a:ln>
          </c:spPr>
          <c:marker>
            <c:symbol val="none"/>
          </c:marker>
          <c:val>
            <c:numRef>
              <c:f>Xeon!$AE$38:$AJ$38</c:f>
            </c:numRef>
          </c:val>
          <c:smooth val="0"/>
        </c:ser>
        <c:ser>
          <c:idx val="1"/>
          <c:order val="1"/>
          <c:spPr>
            <a:ln cmpd="sng" w="19050">
              <a:solidFill>
                <a:srgbClr val="DC3912"/>
              </a:solidFill>
            </a:ln>
          </c:spPr>
          <c:marker>
            <c:symbol val="none"/>
          </c:marker>
          <c:val>
            <c:numRef>
              <c:f>Xeon!$AL$22:$AQ$22</c:f>
            </c:numRef>
          </c:val>
          <c:smooth val="0"/>
        </c:ser>
        <c:axId val="1938648989"/>
        <c:axId val="1229607231"/>
      </c:lineChart>
      <c:catAx>
        <c:axId val="1938648989"/>
        <c:scaling>
          <c:orientation val="minMax"/>
        </c:scaling>
        <c:delete val="0"/>
        <c:axPos val="b"/>
        <c:txPr>
          <a:bodyPr/>
          <a:lstStyle/>
          <a:p>
            <a:pPr lvl="0">
              <a:defRPr b="0"/>
            </a:pPr>
          </a:p>
        </c:txPr>
        <c:crossAx val="1229607231"/>
      </c:catAx>
      <c:valAx>
        <c:axId val="1229607231"/>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938648989"/>
      </c:valAx>
    </c:plotArea>
    <c:legend>
      <c:legendPos val="r"/>
      <c:overlay val="0"/>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MODYLAS</a:t>
            </a:r>
          </a:p>
        </c:rich>
      </c:tx>
      <c:overlay val="0"/>
    </c:title>
    <c:plotArea>
      <c:layout/>
      <c:lineChart>
        <c:ser>
          <c:idx val="0"/>
          <c:order val="0"/>
          <c:spPr>
            <a:ln cmpd="sng" w="19050">
              <a:solidFill>
                <a:srgbClr val="3366CC"/>
              </a:solidFill>
            </a:ln>
          </c:spPr>
          <c:marker>
            <c:symbol val="none"/>
          </c:marker>
          <c:val>
            <c:numRef>
              <c:f>Xeon!$AE$38:$AJ$38</c:f>
            </c:numRef>
          </c:val>
          <c:smooth val="0"/>
        </c:ser>
        <c:ser>
          <c:idx val="1"/>
          <c:order val="1"/>
          <c:spPr>
            <a:ln cmpd="sng" w="19050">
              <a:solidFill>
                <a:srgbClr val="DC3912"/>
              </a:solidFill>
            </a:ln>
          </c:spPr>
          <c:marker>
            <c:symbol val="none"/>
          </c:marker>
          <c:val>
            <c:numRef>
              <c:f>Xeon!$AL$21:$AQ$21</c:f>
            </c:numRef>
          </c:val>
          <c:smooth val="0"/>
        </c:ser>
        <c:axId val="56757040"/>
        <c:axId val="1757383742"/>
      </c:lineChart>
      <c:catAx>
        <c:axId val="56757040"/>
        <c:scaling>
          <c:orientation val="minMax"/>
        </c:scaling>
        <c:delete val="0"/>
        <c:axPos val="b"/>
        <c:txPr>
          <a:bodyPr/>
          <a:lstStyle/>
          <a:p>
            <a:pPr lvl="0">
              <a:defRPr b="0"/>
            </a:pPr>
          </a:p>
        </c:txPr>
        <c:crossAx val="1757383742"/>
      </c:catAx>
      <c:valAx>
        <c:axId val="1757383742"/>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56757040"/>
      </c:valAx>
    </c:plotArea>
    <c:legend>
      <c:legendPos val="r"/>
      <c:overlay val="0"/>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FFB</a:t>
            </a:r>
          </a:p>
        </c:rich>
      </c:tx>
      <c:overlay val="0"/>
    </c:title>
    <c:plotArea>
      <c:layout/>
      <c:lineChart>
        <c:ser>
          <c:idx val="0"/>
          <c:order val="0"/>
          <c:spPr>
            <a:ln cmpd="sng" w="19050">
              <a:solidFill>
                <a:srgbClr val="3366CC"/>
              </a:solidFill>
            </a:ln>
          </c:spPr>
          <c:marker>
            <c:symbol val="none"/>
          </c:marker>
          <c:val>
            <c:numRef>
              <c:f>Xeon!$AE$38:$AJ$38</c:f>
            </c:numRef>
          </c:val>
          <c:smooth val="0"/>
        </c:ser>
        <c:ser>
          <c:idx val="1"/>
          <c:order val="1"/>
          <c:spPr>
            <a:ln cmpd="sng" w="19050">
              <a:solidFill>
                <a:srgbClr val="DC3912"/>
              </a:solidFill>
            </a:ln>
          </c:spPr>
          <c:marker>
            <c:symbol val="none"/>
          </c:marker>
          <c:val>
            <c:numRef>
              <c:f>Xeon!$AL$23:$AQ$23</c:f>
            </c:numRef>
          </c:val>
          <c:smooth val="0"/>
        </c:ser>
        <c:axId val="1116901748"/>
        <c:axId val="1986331392"/>
      </c:lineChart>
      <c:catAx>
        <c:axId val="1116901748"/>
        <c:scaling>
          <c:orientation val="minMax"/>
        </c:scaling>
        <c:delete val="0"/>
        <c:axPos val="b"/>
        <c:txPr>
          <a:bodyPr/>
          <a:lstStyle/>
          <a:p>
            <a:pPr lvl="0">
              <a:defRPr b="0"/>
            </a:pPr>
          </a:p>
        </c:txPr>
        <c:crossAx val="1986331392"/>
      </c:catAx>
      <c:valAx>
        <c:axId val="1986331392"/>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116901748"/>
      </c:valAx>
    </c:plotArea>
    <c:legend>
      <c:legendPos val="r"/>
      <c:overlay val="0"/>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pPr>
            <a:r>
              <a:t>Performance Improvement through Frequency Scaling</a:t>
            </a:r>
          </a:p>
        </c:rich>
      </c:tx>
      <c:overlay val="0"/>
    </c:title>
    <c:plotArea>
      <c:layout/>
      <c:barChart>
        <c:barDir val="col"/>
        <c:grouping val="stacked"/>
        <c:ser>
          <c:idx val="0"/>
          <c:order val="0"/>
          <c:tx>
            <c:strRef>
              <c:f>Xeon!$AB$1</c:f>
            </c:strRef>
          </c:tx>
          <c:spPr>
            <a:solidFill>
              <a:srgbClr val="3366CC"/>
            </a:solidFill>
          </c:spPr>
          <c:cat>
            <c:strRef>
              <c:f>Xeon!$AA$2:$AA$28</c:f>
            </c:strRef>
          </c:cat>
          <c:val>
            <c:numRef>
              <c:f>Xeon!$AB$2:$AB$28</c:f>
            </c:numRef>
          </c:val>
        </c:ser>
        <c:ser>
          <c:idx val="1"/>
          <c:order val="1"/>
          <c:tx>
            <c:strRef>
              <c:f>Xeon!$AC$1</c:f>
            </c:strRef>
          </c:tx>
          <c:spPr>
            <a:solidFill>
              <a:srgbClr val="DC3912"/>
            </a:solidFill>
          </c:spPr>
          <c:cat>
            <c:strRef>
              <c:f>Xeon!$AA$2:$AA$28</c:f>
            </c:strRef>
          </c:cat>
          <c:val>
            <c:numRef>
              <c:f>Xeon!$AC$2:$AC$28</c:f>
            </c:numRef>
          </c:val>
        </c:ser>
        <c:ser>
          <c:idx val="2"/>
          <c:order val="2"/>
          <c:tx>
            <c:strRef>
              <c:f>Xeon!$AD$1</c:f>
            </c:strRef>
          </c:tx>
          <c:spPr>
            <a:solidFill>
              <a:srgbClr val="FF9900"/>
            </a:solidFill>
          </c:spPr>
          <c:cat>
            <c:strRef>
              <c:f>Xeon!$AA$2:$AA$28</c:f>
            </c:strRef>
          </c:cat>
          <c:val>
            <c:numRef>
              <c:f>Xeon!$AD$2:$AD$28</c:f>
            </c:numRef>
          </c:val>
        </c:ser>
        <c:ser>
          <c:idx val="3"/>
          <c:order val="3"/>
          <c:tx>
            <c:strRef>
              <c:f>Xeon!$AE$1</c:f>
            </c:strRef>
          </c:tx>
          <c:spPr>
            <a:solidFill>
              <a:srgbClr val="109618"/>
            </a:solidFill>
          </c:spPr>
          <c:cat>
            <c:strRef>
              <c:f>Xeon!$AA$2:$AA$28</c:f>
            </c:strRef>
          </c:cat>
          <c:val>
            <c:numRef>
              <c:f>Xeon!$AE$2:$AE$28</c:f>
            </c:numRef>
          </c:val>
        </c:ser>
        <c:ser>
          <c:idx val="4"/>
          <c:order val="4"/>
          <c:tx>
            <c:strRef>
              <c:f>Xeon!$AF$1</c:f>
            </c:strRef>
          </c:tx>
          <c:spPr>
            <a:solidFill>
              <a:srgbClr val="990099"/>
            </a:solidFill>
          </c:spPr>
          <c:cat>
            <c:strRef>
              <c:f>Xeon!$AA$2:$AA$28</c:f>
            </c:strRef>
          </c:cat>
          <c:val>
            <c:numRef>
              <c:f>Xeon!$AF$2:$AF$28</c:f>
            </c:numRef>
          </c:val>
        </c:ser>
        <c:ser>
          <c:idx val="5"/>
          <c:order val="5"/>
          <c:tx>
            <c:strRef>
              <c:f>Xeon!$AG$1</c:f>
            </c:strRef>
          </c:tx>
          <c:spPr>
            <a:solidFill>
              <a:srgbClr val="0099C6"/>
            </a:solidFill>
          </c:spPr>
          <c:cat>
            <c:strRef>
              <c:f>Xeon!$AA$2:$AA$28</c:f>
            </c:strRef>
          </c:cat>
          <c:val>
            <c:numRef>
              <c:f>Xeon!$AG$2:$AG$28</c:f>
            </c:numRef>
          </c:val>
        </c:ser>
        <c:overlap val="100"/>
        <c:axId val="1776335570"/>
        <c:axId val="19420995"/>
      </c:barChart>
      <c:catAx>
        <c:axId val="1776335570"/>
        <c:scaling>
          <c:orientation val="minMax"/>
        </c:scaling>
        <c:delete val="0"/>
        <c:axPos val="b"/>
        <c:txPr>
          <a:bodyPr/>
          <a:lstStyle/>
          <a:p>
            <a:pPr lvl="0">
              <a:defRPr b="0"/>
            </a:pPr>
          </a:p>
        </c:txPr>
        <c:crossAx val="19420995"/>
      </c:catAx>
      <c:valAx>
        <c:axId val="19420995"/>
        <c:scaling>
          <c:orientation val="minMax"/>
          <c:max val="2.5"/>
          <c:min val="1.0"/>
        </c:scaling>
        <c:delete val="0"/>
        <c:axPos val="l"/>
        <c:majorGridlines>
          <c:spPr>
            <a:ln>
              <a:solidFill>
                <a:srgbClr val="B7B7B7"/>
              </a:solidFill>
            </a:ln>
          </c:spPr>
        </c:majorGridlines>
        <c:title>
          <c:tx>
            <c:rich>
              <a:bodyPr/>
              <a:lstStyle/>
              <a:p>
                <a:pPr lvl="0">
                  <a:defRPr b="0"/>
                </a:pPr>
                <a:r>
                  <a:t>Speedup</a:t>
                </a:r>
              </a:p>
            </c:rich>
          </c:tx>
          <c:overlay val="0"/>
        </c:title>
        <c:numFmt formatCode="General" sourceLinked="1"/>
        <c:tickLblPos val="nextTo"/>
        <c:spPr>
          <a:ln w="47625">
            <a:noFill/>
          </a:ln>
        </c:spPr>
        <c:txPr>
          <a:bodyPr/>
          <a:lstStyle/>
          <a:p>
            <a:pPr lvl="0">
              <a:defRPr b="0"/>
            </a:pPr>
          </a:p>
        </c:txPr>
        <c:crossAx val="1776335570"/>
      </c:valAx>
    </c:plotArea>
    <c:legend>
      <c:legendPos val="r"/>
      <c:overlay val="0"/>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3366CC"/>
              </a:solidFill>
            </a:ln>
          </c:spPr>
          <c:marker>
            <c:symbol val="none"/>
          </c:marker>
          <c:cat>
            <c:strRef>
              <c:f>'Xeon Phi (KNL) cache mode'!$A$2:$A$13</c:f>
            </c:strRef>
          </c:cat>
          <c:val>
            <c:numRef>
              <c:f>'Xeon Phi (KNL) cache mode'!$AE$2:$AE$13</c:f>
            </c:numRef>
          </c:val>
          <c:smooth val="0"/>
        </c:ser>
        <c:axId val="2082122369"/>
        <c:axId val="1847804120"/>
      </c:lineChart>
      <c:catAx>
        <c:axId val="2082122369"/>
        <c:scaling>
          <c:orientation val="minMax"/>
        </c:scaling>
        <c:delete val="0"/>
        <c:axPos val="b"/>
        <c:txPr>
          <a:bodyPr/>
          <a:lstStyle/>
          <a:p>
            <a:pPr lvl="0">
              <a:defRPr b="0"/>
            </a:pPr>
          </a:p>
        </c:txPr>
        <c:crossAx val="1847804120"/>
      </c:catAx>
      <c:valAx>
        <c:axId val="1847804120"/>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082122369"/>
      </c:valAx>
    </c:plotArea>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3366CC"/>
              </a:solidFill>
            </a:ln>
          </c:spPr>
          <c:marker>
            <c:symbol val="none"/>
          </c:marker>
          <c:cat>
            <c:strRef>
              <c:f>'Xeon Phi (KNL) cache mode'!$A$16:$A$23</c:f>
            </c:strRef>
          </c:cat>
          <c:val>
            <c:numRef>
              <c:f>'Xeon Phi (KNL) cache mode'!$AE$16:$AE$23</c:f>
            </c:numRef>
          </c:val>
          <c:smooth val="0"/>
        </c:ser>
        <c:axId val="1026149060"/>
        <c:axId val="283189586"/>
      </c:lineChart>
      <c:catAx>
        <c:axId val="1026149060"/>
        <c:scaling>
          <c:orientation val="minMax"/>
        </c:scaling>
        <c:delete val="0"/>
        <c:axPos val="b"/>
        <c:txPr>
          <a:bodyPr/>
          <a:lstStyle/>
          <a:p>
            <a:pPr lvl="0">
              <a:defRPr b="0"/>
            </a:pPr>
          </a:p>
        </c:txPr>
        <c:crossAx val="283189586"/>
      </c:catAx>
      <c:valAx>
        <c:axId val="283189586"/>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026149060"/>
      </c:valAx>
    </c:plotArea>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FFVC</a:t>
            </a:r>
          </a:p>
        </c:rich>
      </c:tx>
      <c:overlay val="0"/>
    </c:title>
    <c:plotArea>
      <c:layout/>
      <c:lineChart>
        <c:varyColors val="0"/>
        <c:ser>
          <c:idx val="0"/>
          <c:order val="0"/>
          <c:spPr>
            <a:ln cmpd="sng" w="19050">
              <a:solidFill>
                <a:srgbClr val="3366CC"/>
              </a:solidFill>
            </a:ln>
          </c:spPr>
          <c:marker>
            <c:symbol val="none"/>
          </c:marker>
          <c:cat>
            <c:strRef>
              <c:f>wahib!$AI$35:$AN$35</c:f>
            </c:strRef>
          </c:cat>
          <c:val>
            <c:numRef>
              <c:f>wahib!$AP$16:$AU$16</c:f>
            </c:numRef>
          </c:val>
          <c:smooth val="0"/>
        </c:ser>
        <c:axId val="1679823656"/>
        <c:axId val="725245597"/>
      </c:lineChart>
      <c:catAx>
        <c:axId val="1679823656"/>
        <c:scaling>
          <c:orientation val="minMax"/>
        </c:scaling>
        <c:delete val="0"/>
        <c:axPos val="b"/>
        <c:txPr>
          <a:bodyPr/>
          <a:lstStyle/>
          <a:p>
            <a:pPr lvl="0">
              <a:defRPr b="0"/>
            </a:pPr>
          </a:p>
        </c:txPr>
        <c:crossAx val="725245597"/>
      </c:catAx>
      <c:valAx>
        <c:axId val="725245597"/>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679823656"/>
      </c:valAx>
    </c:plotArea>
    <c:legend>
      <c:legendPos val="r"/>
      <c:overlay val="0"/>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mVMC</a:t>
            </a:r>
          </a:p>
        </c:rich>
      </c:tx>
      <c:overlay val="0"/>
    </c:title>
    <c:plotArea>
      <c:layout/>
      <c:lineChart>
        <c:varyColors val="0"/>
        <c:ser>
          <c:idx val="0"/>
          <c:order val="0"/>
          <c:spPr>
            <a:ln cmpd="sng" w="19050">
              <a:solidFill>
                <a:srgbClr val="3366CC"/>
              </a:solidFill>
            </a:ln>
          </c:spPr>
          <c:marker>
            <c:symbol val="none"/>
          </c:marker>
          <c:cat>
            <c:strRef>
              <c:f>wahib!$AI$35:$AN$35</c:f>
            </c:strRef>
          </c:cat>
          <c:val>
            <c:numRef>
              <c:f>wahib!$AP$18:$AU$18</c:f>
            </c:numRef>
          </c:val>
          <c:smooth val="0"/>
        </c:ser>
        <c:axId val="1441685118"/>
        <c:axId val="1391004616"/>
      </c:lineChart>
      <c:catAx>
        <c:axId val="1441685118"/>
        <c:scaling>
          <c:orientation val="minMax"/>
        </c:scaling>
        <c:delete val="0"/>
        <c:axPos val="b"/>
        <c:txPr>
          <a:bodyPr/>
          <a:lstStyle/>
          <a:p>
            <a:pPr lvl="0">
              <a:defRPr b="0"/>
            </a:pPr>
          </a:p>
        </c:txPr>
        <c:crossAx val="1391004616"/>
      </c:catAx>
      <c:valAx>
        <c:axId val="1391004616"/>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441685118"/>
      </c:valAx>
    </c:plotArea>
    <c:legend>
      <c:legendPos val="r"/>
      <c:overlay val="0"/>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HPL</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tsuji!$AC$35:$AH$35</c:f>
            </c:numRef>
          </c:val>
          <c:smooth val="0"/>
        </c:ser>
        <c:axId val="1561830525"/>
        <c:axId val="1311489833"/>
      </c:lineChart>
      <c:catAx>
        <c:axId val="1561830525"/>
        <c:scaling>
          <c:orientation val="minMax"/>
        </c:scaling>
        <c:delete val="0"/>
        <c:axPos val="b"/>
        <c:txPr>
          <a:bodyPr/>
          <a:lstStyle/>
          <a:p>
            <a:pPr lvl="0">
              <a:defRPr b="0"/>
            </a:pPr>
          </a:p>
        </c:txPr>
        <c:crossAx val="1311489833"/>
      </c:catAx>
      <c:valAx>
        <c:axId val="1311489833"/>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561830525"/>
      </c:valAx>
    </c:plotArea>
    <c:legend>
      <c:legendPos val="r"/>
      <c:overlay val="0"/>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HPCG</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tsuji!$AC$36:$AH$36</c:f>
            </c:numRef>
          </c:val>
          <c:smooth val="0"/>
        </c:ser>
        <c:axId val="467333563"/>
        <c:axId val="2058261100"/>
      </c:lineChart>
      <c:catAx>
        <c:axId val="467333563"/>
        <c:scaling>
          <c:orientation val="minMax"/>
        </c:scaling>
        <c:delete val="0"/>
        <c:axPos val="b"/>
        <c:txPr>
          <a:bodyPr/>
          <a:lstStyle/>
          <a:p>
            <a:pPr lvl="0">
              <a:defRPr b="0"/>
            </a:pPr>
          </a:p>
        </c:txPr>
        <c:crossAx val="2058261100"/>
      </c:catAx>
      <c:valAx>
        <c:axId val="2058261100"/>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467333563"/>
      </c:valAx>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HPCG</a:t>
            </a:r>
          </a:p>
        </c:rich>
      </c:tx>
      <c:overlay val="0"/>
    </c:title>
    <c:plotArea>
      <c:layout/>
      <c:lineChart>
        <c:varyColors val="0"/>
        <c:ser>
          <c:idx val="0"/>
          <c:order val="0"/>
          <c:spPr>
            <a:ln cmpd="sng" w="19050">
              <a:solidFill>
                <a:srgbClr val="3366CC"/>
              </a:solidFill>
            </a:ln>
          </c:spPr>
          <c:marker>
            <c:symbol val="none"/>
          </c:marker>
          <c:cat>
            <c:strRef>
              <c:f>Xeon!$AE$38:$AJ$38</c:f>
            </c:strRef>
          </c:cat>
          <c:val>
            <c:numRef>
              <c:f>Xeon!$AE$37:$AJ$37</c:f>
            </c:numRef>
          </c:val>
          <c:smooth val="0"/>
        </c:ser>
        <c:axId val="226968293"/>
        <c:axId val="1690068257"/>
      </c:lineChart>
      <c:catAx>
        <c:axId val="226968293"/>
        <c:scaling>
          <c:orientation val="minMax"/>
        </c:scaling>
        <c:delete val="0"/>
        <c:axPos val="b"/>
        <c:txPr>
          <a:bodyPr/>
          <a:lstStyle/>
          <a:p>
            <a:pPr lvl="0">
              <a:defRPr b="0"/>
            </a:pPr>
          </a:p>
        </c:txPr>
        <c:crossAx val="1690068257"/>
      </c:catAx>
      <c:valAx>
        <c:axId val="1690068257"/>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26968293"/>
      </c:valAx>
    </c:plotArea>
    <c:legend>
      <c:legendPos val="r"/>
      <c:overlay val="0"/>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AMG</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tsuji!$AJ$2:$AO$2</c:f>
            </c:numRef>
          </c:val>
          <c:smooth val="0"/>
        </c:ser>
        <c:axId val="1215128334"/>
        <c:axId val="599584750"/>
      </c:lineChart>
      <c:catAx>
        <c:axId val="1215128334"/>
        <c:scaling>
          <c:orientation val="minMax"/>
        </c:scaling>
        <c:delete val="0"/>
        <c:axPos val="b"/>
        <c:txPr>
          <a:bodyPr/>
          <a:lstStyle/>
          <a:p>
            <a:pPr lvl="0">
              <a:defRPr b="0"/>
            </a:pPr>
          </a:p>
        </c:txPr>
        <c:crossAx val="599584750"/>
      </c:catAx>
      <c:valAx>
        <c:axId val="599584750"/>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215128334"/>
      </c:valAx>
    </c:plotArea>
    <c:legend>
      <c:legendPos val="r"/>
      <c:overlay val="0"/>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Candle</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tsuji!$AJ$3:$AO$3</c:f>
            </c:numRef>
          </c:val>
          <c:smooth val="0"/>
        </c:ser>
        <c:axId val="186194479"/>
        <c:axId val="826951750"/>
      </c:lineChart>
      <c:catAx>
        <c:axId val="186194479"/>
        <c:scaling>
          <c:orientation val="minMax"/>
        </c:scaling>
        <c:delete val="0"/>
        <c:axPos val="b"/>
        <c:txPr>
          <a:bodyPr/>
          <a:lstStyle/>
          <a:p>
            <a:pPr lvl="0">
              <a:defRPr b="0"/>
            </a:pPr>
          </a:p>
        </c:txPr>
        <c:crossAx val="826951750"/>
      </c:catAx>
      <c:valAx>
        <c:axId val="826951750"/>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86194479"/>
      </c:valAx>
    </c:plotArea>
    <c:legend>
      <c:legendPos val="r"/>
      <c:overlay val="0"/>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CoMD</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tsuji!$AJ$4:$AO$4</c:f>
            </c:numRef>
          </c:val>
          <c:smooth val="0"/>
        </c:ser>
        <c:axId val="578187506"/>
        <c:axId val="420939378"/>
      </c:lineChart>
      <c:catAx>
        <c:axId val="578187506"/>
        <c:scaling>
          <c:orientation val="minMax"/>
        </c:scaling>
        <c:delete val="0"/>
        <c:axPos val="b"/>
        <c:txPr>
          <a:bodyPr/>
          <a:lstStyle/>
          <a:p>
            <a:pPr lvl="0">
              <a:defRPr b="0"/>
            </a:pPr>
          </a:p>
        </c:txPr>
        <c:crossAx val="420939378"/>
      </c:catAx>
      <c:valAx>
        <c:axId val="420939378"/>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578187506"/>
      </c:valAx>
    </c:plotArea>
    <c:legend>
      <c:legendPos val="r"/>
      <c:overlay val="0"/>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Laghos</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tsuji!$AJ$5:$AO$5</c:f>
            </c:numRef>
          </c:val>
          <c:smooth val="0"/>
        </c:ser>
        <c:axId val="1599470592"/>
        <c:axId val="1364300733"/>
      </c:lineChart>
      <c:catAx>
        <c:axId val="1599470592"/>
        <c:scaling>
          <c:orientation val="minMax"/>
        </c:scaling>
        <c:delete val="0"/>
        <c:axPos val="b"/>
        <c:txPr>
          <a:bodyPr/>
          <a:lstStyle/>
          <a:p>
            <a:pPr lvl="0">
              <a:defRPr b="0"/>
            </a:pPr>
          </a:p>
        </c:txPr>
        <c:crossAx val="1364300733"/>
      </c:catAx>
      <c:valAx>
        <c:axId val="1364300733"/>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599470592"/>
      </c:valAx>
    </c:plotArea>
    <c:legend>
      <c:legendPos val="r"/>
      <c:overlay val="0"/>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MacsIO</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tsuji!$AJ$6:$AO$6</c:f>
            </c:numRef>
          </c:val>
          <c:smooth val="0"/>
        </c:ser>
        <c:axId val="505529650"/>
        <c:axId val="724720716"/>
      </c:lineChart>
      <c:catAx>
        <c:axId val="505529650"/>
        <c:scaling>
          <c:orientation val="minMax"/>
        </c:scaling>
        <c:delete val="0"/>
        <c:axPos val="b"/>
        <c:txPr>
          <a:bodyPr/>
          <a:lstStyle/>
          <a:p>
            <a:pPr lvl="0">
              <a:defRPr b="0"/>
            </a:pPr>
          </a:p>
        </c:txPr>
        <c:crossAx val="724720716"/>
      </c:catAx>
      <c:valAx>
        <c:axId val="724720716"/>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505529650"/>
      </c:valAx>
    </c:plotArea>
    <c:legend>
      <c:legendPos val="r"/>
      <c:overlay val="0"/>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miniAMR</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tsuji!$AJ$7:$AO$7</c:f>
            </c:numRef>
          </c:val>
          <c:smooth val="0"/>
        </c:ser>
        <c:axId val="1727354903"/>
        <c:axId val="1144100504"/>
      </c:lineChart>
      <c:catAx>
        <c:axId val="1727354903"/>
        <c:scaling>
          <c:orientation val="minMax"/>
        </c:scaling>
        <c:delete val="0"/>
        <c:axPos val="b"/>
        <c:txPr>
          <a:bodyPr/>
          <a:lstStyle/>
          <a:p>
            <a:pPr lvl="0">
              <a:defRPr b="0"/>
            </a:pPr>
          </a:p>
        </c:txPr>
        <c:crossAx val="1144100504"/>
      </c:catAx>
      <c:valAx>
        <c:axId val="1144100504"/>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727354903"/>
      </c:valAx>
    </c:plotArea>
    <c:legend>
      <c:legendPos val="r"/>
      <c:overlay val="0"/>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miniFE</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tsuji!$AJ$8:$AO$8</c:f>
            </c:numRef>
          </c:val>
          <c:smooth val="0"/>
        </c:ser>
        <c:axId val="1405491705"/>
        <c:axId val="217164514"/>
      </c:lineChart>
      <c:catAx>
        <c:axId val="1405491705"/>
        <c:scaling>
          <c:orientation val="minMax"/>
        </c:scaling>
        <c:delete val="0"/>
        <c:axPos val="b"/>
        <c:txPr>
          <a:bodyPr/>
          <a:lstStyle/>
          <a:p>
            <a:pPr lvl="0">
              <a:defRPr b="0"/>
            </a:pPr>
          </a:p>
        </c:txPr>
        <c:crossAx val="217164514"/>
      </c:catAx>
      <c:valAx>
        <c:axId val="217164514"/>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405491705"/>
      </c:valAx>
    </c:plotArea>
    <c:legend>
      <c:legendPos val="r"/>
      <c:overlay val="0"/>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MiniTri</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tsuji!$AJ$9:$AO$9</c:f>
            </c:numRef>
          </c:val>
          <c:smooth val="0"/>
        </c:ser>
        <c:axId val="779463445"/>
        <c:axId val="1684705211"/>
      </c:lineChart>
      <c:catAx>
        <c:axId val="779463445"/>
        <c:scaling>
          <c:orientation val="minMax"/>
        </c:scaling>
        <c:delete val="0"/>
        <c:axPos val="b"/>
        <c:txPr>
          <a:bodyPr/>
          <a:lstStyle/>
          <a:p>
            <a:pPr lvl="0">
              <a:defRPr b="0"/>
            </a:pPr>
          </a:p>
        </c:txPr>
        <c:crossAx val="1684705211"/>
      </c:catAx>
      <c:valAx>
        <c:axId val="1684705211"/>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779463445"/>
      </c:valAx>
    </c:plotArea>
    <c:legend>
      <c:legendPos val="r"/>
      <c:overlay val="0"/>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QCd</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tsuji!$AJ$16:$AO$16</c:f>
            </c:numRef>
          </c:val>
          <c:smooth val="0"/>
        </c:ser>
        <c:axId val="1562365639"/>
        <c:axId val="305197999"/>
      </c:lineChart>
      <c:catAx>
        <c:axId val="1562365639"/>
        <c:scaling>
          <c:orientation val="minMax"/>
        </c:scaling>
        <c:delete val="0"/>
        <c:axPos val="b"/>
        <c:txPr>
          <a:bodyPr/>
          <a:lstStyle/>
          <a:p>
            <a:pPr lvl="0">
              <a:defRPr b="0"/>
            </a:pPr>
          </a:p>
        </c:txPr>
        <c:crossAx val="305197999"/>
      </c:catAx>
      <c:valAx>
        <c:axId val="305197999"/>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562365639"/>
      </c:valAx>
    </c:plotArea>
    <c:legend>
      <c:legendPos val="r"/>
      <c:overlay val="0"/>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FFVC</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tsuji!$AJ$17:$AO$17</c:f>
            </c:numRef>
          </c:val>
          <c:smooth val="0"/>
        </c:ser>
        <c:axId val="1469882476"/>
        <c:axId val="1042629160"/>
      </c:lineChart>
      <c:catAx>
        <c:axId val="1469882476"/>
        <c:scaling>
          <c:orientation val="minMax"/>
        </c:scaling>
        <c:delete val="0"/>
        <c:axPos val="b"/>
        <c:txPr>
          <a:bodyPr/>
          <a:lstStyle/>
          <a:p>
            <a:pPr lvl="0">
              <a:defRPr b="0"/>
            </a:pPr>
          </a:p>
        </c:txPr>
        <c:crossAx val="1042629160"/>
      </c:catAx>
      <c:valAx>
        <c:axId val="1042629160"/>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469882476"/>
      </c:valAx>
    </c:plotArea>
    <c:legend>
      <c:legendPos val="r"/>
      <c:overlay val="0"/>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QCd</a:t>
            </a:r>
          </a:p>
        </c:rich>
      </c:tx>
      <c:overlay val="0"/>
    </c:title>
    <c:plotArea>
      <c:layout/>
      <c:lineChart>
        <c:ser>
          <c:idx val="0"/>
          <c:order val="0"/>
          <c:spPr>
            <a:ln cmpd="sng" w="19050">
              <a:solidFill>
                <a:srgbClr val="3366CC"/>
              </a:solidFill>
            </a:ln>
          </c:spPr>
          <c:marker>
            <c:symbol val="none"/>
          </c:marker>
          <c:val>
            <c:numRef>
              <c:f>Xeon!$AE$38:$AJ$38</c:f>
            </c:numRef>
          </c:val>
          <c:smooth val="0"/>
        </c:ser>
        <c:ser>
          <c:idx val="1"/>
          <c:order val="1"/>
          <c:spPr>
            <a:ln cmpd="sng" w="19050">
              <a:solidFill>
                <a:srgbClr val="DC3912"/>
              </a:solidFill>
            </a:ln>
          </c:spPr>
          <c:marker>
            <c:symbol val="none"/>
          </c:marker>
          <c:val>
            <c:numRef>
              <c:f>Xeon!$AL$16:$AQ$16</c:f>
            </c:numRef>
          </c:val>
          <c:smooth val="0"/>
        </c:ser>
        <c:axId val="1474497443"/>
        <c:axId val="1743486622"/>
      </c:lineChart>
      <c:catAx>
        <c:axId val="1474497443"/>
        <c:scaling>
          <c:orientation val="minMax"/>
        </c:scaling>
        <c:delete val="0"/>
        <c:axPos val="b"/>
        <c:txPr>
          <a:bodyPr/>
          <a:lstStyle/>
          <a:p>
            <a:pPr lvl="0">
              <a:defRPr b="0"/>
            </a:pPr>
          </a:p>
        </c:txPr>
        <c:crossAx val="1743486622"/>
      </c:catAx>
      <c:valAx>
        <c:axId val="1743486622"/>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474497443"/>
      </c:valAx>
    </c:plotArea>
    <c:legend>
      <c:legendPos val="r"/>
      <c:overlay val="0"/>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Nekbone</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tsuji!$AJ$10:$AO$10</c:f>
            </c:numRef>
          </c:val>
          <c:smooth val="0"/>
        </c:ser>
        <c:axId val="608769475"/>
        <c:axId val="1552120361"/>
      </c:lineChart>
      <c:catAx>
        <c:axId val="608769475"/>
        <c:scaling>
          <c:orientation val="minMax"/>
        </c:scaling>
        <c:delete val="0"/>
        <c:axPos val="b"/>
        <c:txPr>
          <a:bodyPr/>
          <a:lstStyle/>
          <a:p>
            <a:pPr lvl="0">
              <a:defRPr b="0"/>
            </a:pPr>
          </a:p>
        </c:txPr>
        <c:crossAx val="1552120361"/>
      </c:catAx>
      <c:valAx>
        <c:axId val="1552120361"/>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608769475"/>
      </c:valAx>
    </c:plotArea>
    <c:legend>
      <c:legendPos val="r"/>
      <c:overlay val="0"/>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SW4lite</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tsuji!$AJ$11:$AO$11</c:f>
            </c:numRef>
          </c:val>
          <c:smooth val="0"/>
        </c:ser>
        <c:axId val="1774862229"/>
        <c:axId val="845620238"/>
      </c:lineChart>
      <c:catAx>
        <c:axId val="1774862229"/>
        <c:scaling>
          <c:orientation val="minMax"/>
        </c:scaling>
        <c:delete val="0"/>
        <c:axPos val="b"/>
        <c:txPr>
          <a:bodyPr/>
          <a:lstStyle/>
          <a:p>
            <a:pPr lvl="0">
              <a:defRPr b="0"/>
            </a:pPr>
          </a:p>
        </c:txPr>
        <c:crossAx val="845620238"/>
      </c:catAx>
      <c:valAx>
        <c:axId val="845620238"/>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774862229"/>
      </c:valAx>
    </c:plotArea>
    <c:legend>
      <c:legendPos val="r"/>
      <c:overlay val="0"/>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SWFFT</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tsuji!$AJ$12:$AO$12</c:f>
            </c:numRef>
          </c:val>
          <c:smooth val="0"/>
        </c:ser>
        <c:axId val="1089236032"/>
        <c:axId val="978261778"/>
      </c:lineChart>
      <c:catAx>
        <c:axId val="1089236032"/>
        <c:scaling>
          <c:orientation val="minMax"/>
        </c:scaling>
        <c:delete val="0"/>
        <c:axPos val="b"/>
        <c:txPr>
          <a:bodyPr/>
          <a:lstStyle/>
          <a:p>
            <a:pPr lvl="0">
              <a:defRPr b="0"/>
            </a:pPr>
          </a:p>
        </c:txPr>
        <c:crossAx val="978261778"/>
      </c:catAx>
      <c:valAx>
        <c:axId val="978261778"/>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089236032"/>
      </c:valAx>
    </c:plotArea>
    <c:legend>
      <c:legendPos val="r"/>
      <c:overlay val="0"/>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XSBench</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tsuji!$AJ$13:$AO$13</c:f>
            </c:numRef>
          </c:val>
          <c:smooth val="0"/>
        </c:ser>
        <c:axId val="432930126"/>
        <c:axId val="2017032176"/>
      </c:lineChart>
      <c:catAx>
        <c:axId val="432930126"/>
        <c:scaling>
          <c:orientation val="minMax"/>
        </c:scaling>
        <c:delete val="0"/>
        <c:axPos val="b"/>
        <c:txPr>
          <a:bodyPr/>
          <a:lstStyle/>
          <a:p>
            <a:pPr lvl="0">
              <a:defRPr b="0"/>
            </a:pPr>
          </a:p>
        </c:txPr>
        <c:crossAx val="2017032176"/>
      </c:catAx>
      <c:valAx>
        <c:axId val="2017032176"/>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432930126"/>
      </c:valAx>
    </c:plotArea>
    <c:legend>
      <c:legendPos val="r"/>
      <c:overlay val="0"/>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NICAM</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tsuji!$AJ$18:$AO$18</c:f>
            </c:numRef>
          </c:val>
          <c:smooth val="0"/>
        </c:ser>
        <c:axId val="827131748"/>
        <c:axId val="116902920"/>
      </c:lineChart>
      <c:catAx>
        <c:axId val="827131748"/>
        <c:scaling>
          <c:orientation val="minMax"/>
        </c:scaling>
        <c:delete val="0"/>
        <c:axPos val="b"/>
        <c:txPr>
          <a:bodyPr/>
          <a:lstStyle/>
          <a:p>
            <a:pPr lvl="0">
              <a:defRPr b="0"/>
            </a:pPr>
          </a:p>
        </c:txPr>
        <c:crossAx val="116902920"/>
      </c:catAx>
      <c:valAx>
        <c:axId val="116902920"/>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827131748"/>
      </c:valAx>
    </c:plotArea>
    <c:legend>
      <c:legendPos val="r"/>
      <c:overlay val="0"/>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mVMC</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tsuji!$AJ$19:$AO$19</c:f>
            </c:numRef>
          </c:val>
          <c:smooth val="0"/>
        </c:ser>
        <c:axId val="1526316261"/>
        <c:axId val="1071868363"/>
      </c:lineChart>
      <c:catAx>
        <c:axId val="1526316261"/>
        <c:scaling>
          <c:orientation val="minMax"/>
        </c:scaling>
        <c:delete val="0"/>
        <c:axPos val="b"/>
        <c:txPr>
          <a:bodyPr/>
          <a:lstStyle/>
          <a:p>
            <a:pPr lvl="0">
              <a:defRPr b="0"/>
            </a:pPr>
          </a:p>
        </c:txPr>
        <c:crossAx val="1071868363"/>
      </c:catAx>
      <c:valAx>
        <c:axId val="1071868363"/>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526316261"/>
      </c:valAx>
    </c:plotArea>
    <c:legend>
      <c:legendPos val="r"/>
      <c:overlay val="0"/>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NGSA</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tsuji!$AJ$20:$AO$20</c:f>
            </c:numRef>
          </c:val>
          <c:smooth val="0"/>
        </c:ser>
        <c:axId val="164456091"/>
        <c:axId val="1341883715"/>
      </c:lineChart>
      <c:catAx>
        <c:axId val="164456091"/>
        <c:scaling>
          <c:orientation val="minMax"/>
        </c:scaling>
        <c:delete val="0"/>
        <c:axPos val="b"/>
        <c:txPr>
          <a:bodyPr/>
          <a:lstStyle/>
          <a:p>
            <a:pPr lvl="0">
              <a:defRPr b="0"/>
            </a:pPr>
          </a:p>
        </c:txPr>
        <c:crossAx val="1341883715"/>
      </c:catAx>
      <c:valAx>
        <c:axId val="1341883715"/>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64456091"/>
      </c:valAx>
    </c:plotArea>
    <c:legend>
      <c:legendPos val="r"/>
      <c:overlay val="0"/>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NTCHEM</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tsuji!$AJ$22:$AO$22</c:f>
            </c:numRef>
          </c:val>
          <c:smooth val="0"/>
        </c:ser>
        <c:axId val="1301660387"/>
        <c:axId val="723838941"/>
      </c:lineChart>
      <c:catAx>
        <c:axId val="1301660387"/>
        <c:scaling>
          <c:orientation val="minMax"/>
        </c:scaling>
        <c:delete val="0"/>
        <c:axPos val="b"/>
        <c:txPr>
          <a:bodyPr/>
          <a:lstStyle/>
          <a:p>
            <a:pPr lvl="0">
              <a:defRPr b="0"/>
            </a:pPr>
          </a:p>
        </c:txPr>
        <c:crossAx val="723838941"/>
      </c:catAx>
      <c:valAx>
        <c:axId val="723838941"/>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301660387"/>
      </c:valAx>
    </c:plotArea>
    <c:legend>
      <c:legendPos val="r"/>
      <c:overlay val="0"/>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MODYLAS</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tsuji!$AJ$21:$AO$21</c:f>
            </c:numRef>
          </c:val>
          <c:smooth val="0"/>
        </c:ser>
        <c:axId val="1406192183"/>
        <c:axId val="673087969"/>
      </c:lineChart>
      <c:catAx>
        <c:axId val="1406192183"/>
        <c:scaling>
          <c:orientation val="minMax"/>
        </c:scaling>
        <c:delete val="0"/>
        <c:axPos val="b"/>
        <c:txPr>
          <a:bodyPr/>
          <a:lstStyle/>
          <a:p>
            <a:pPr lvl="0">
              <a:defRPr b="0"/>
            </a:pPr>
          </a:p>
        </c:txPr>
        <c:crossAx val="673087969"/>
      </c:catAx>
      <c:valAx>
        <c:axId val="673087969"/>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406192183"/>
      </c:valAx>
    </c:plotArea>
    <c:legend>
      <c:legendPos val="r"/>
      <c:overlay val="0"/>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FFB</a:t>
            </a:r>
          </a:p>
        </c:rich>
      </c:tx>
      <c:overlay val="0"/>
    </c:title>
    <c:plotArea>
      <c:layout/>
      <c:lineChart>
        <c:varyColors val="0"/>
        <c:ser>
          <c:idx val="0"/>
          <c:order val="0"/>
          <c:spPr>
            <a:ln cmpd="sng" w="19050">
              <a:solidFill>
                <a:srgbClr val="3366CC"/>
              </a:solidFill>
            </a:ln>
          </c:spPr>
          <c:marker>
            <c:symbol val="none"/>
          </c:marker>
          <c:cat>
            <c:strRef>
              <c:f>tsuji!$AC$37:$AH$37</c:f>
            </c:strRef>
          </c:cat>
          <c:val>
            <c:numRef>
              <c:f>tsuji!$AJ$23:$AO$23</c:f>
            </c:numRef>
          </c:val>
          <c:smooth val="0"/>
        </c:ser>
        <c:axId val="390589210"/>
        <c:axId val="1158277434"/>
      </c:lineChart>
      <c:catAx>
        <c:axId val="390589210"/>
        <c:scaling>
          <c:orientation val="minMax"/>
        </c:scaling>
        <c:delete val="0"/>
        <c:axPos val="b"/>
        <c:txPr>
          <a:bodyPr/>
          <a:lstStyle/>
          <a:p>
            <a:pPr lvl="0">
              <a:defRPr b="0"/>
            </a:pPr>
          </a:p>
        </c:txPr>
        <c:crossAx val="1158277434"/>
      </c:catAx>
      <c:valAx>
        <c:axId val="1158277434"/>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390589210"/>
      </c:valAx>
    </c:plotArea>
    <c:legend>
      <c:legendPos val="r"/>
      <c:overlay val="0"/>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FFVC</a:t>
            </a:r>
          </a:p>
        </c:rich>
      </c:tx>
      <c:overlay val="0"/>
    </c:title>
    <c:plotArea>
      <c:layout/>
      <c:lineChart>
        <c:ser>
          <c:idx val="0"/>
          <c:order val="0"/>
          <c:spPr>
            <a:ln cmpd="sng" w="19050">
              <a:solidFill>
                <a:srgbClr val="3366CC"/>
              </a:solidFill>
            </a:ln>
          </c:spPr>
          <c:marker>
            <c:symbol val="none"/>
          </c:marker>
          <c:val>
            <c:numRef>
              <c:f>Xeon!$AE$38:$AJ$38</c:f>
            </c:numRef>
          </c:val>
          <c:smooth val="0"/>
        </c:ser>
        <c:ser>
          <c:idx val="1"/>
          <c:order val="1"/>
          <c:spPr>
            <a:ln cmpd="sng" w="19050">
              <a:solidFill>
                <a:srgbClr val="DC3912"/>
              </a:solidFill>
            </a:ln>
          </c:spPr>
          <c:marker>
            <c:symbol val="none"/>
          </c:marker>
          <c:val>
            <c:numRef>
              <c:f>Xeon!$AL$17:$AQ$17</c:f>
            </c:numRef>
          </c:val>
          <c:smooth val="0"/>
        </c:ser>
        <c:axId val="1474985140"/>
        <c:axId val="126509560"/>
      </c:lineChart>
      <c:catAx>
        <c:axId val="1474985140"/>
        <c:scaling>
          <c:orientation val="minMax"/>
        </c:scaling>
        <c:delete val="0"/>
        <c:axPos val="b"/>
        <c:txPr>
          <a:bodyPr/>
          <a:lstStyle/>
          <a:p>
            <a:pPr lvl="0">
              <a:defRPr b="0"/>
            </a:pPr>
          </a:p>
        </c:txPr>
        <c:crossAx val="126509560"/>
      </c:catAx>
      <c:valAx>
        <c:axId val="126509560"/>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474985140"/>
      </c:valAx>
    </c:plotArea>
    <c:legend>
      <c:legendPos val="r"/>
      <c:overlay val="0"/>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AMG FIX UNCORE</a:t>
            </a:r>
          </a:p>
        </c:rich>
      </c:tx>
      <c:overlay val="0"/>
    </c:title>
    <c:plotArea>
      <c:layout/>
      <c:lineChart>
        <c:varyColors val="0"/>
        <c:ser>
          <c:idx val="0"/>
          <c:order val="0"/>
          <c:spPr>
            <a:ln cmpd="sng" w="19050">
              <a:solidFill>
                <a:srgbClr val="3366CC"/>
              </a:solidFill>
            </a:ln>
          </c:spPr>
          <c:marker>
            <c:symbol val="none"/>
          </c:marker>
          <c:val>
            <c:numRef>
              <c:f>tsuji!$AF$40:$AF$45</c:f>
            </c:numRef>
          </c:val>
          <c:smooth val="0"/>
        </c:ser>
        <c:axId val="246801168"/>
        <c:axId val="665619247"/>
      </c:lineChart>
      <c:catAx>
        <c:axId val="246801168"/>
        <c:scaling>
          <c:orientation val="minMax"/>
        </c:scaling>
        <c:delete val="0"/>
        <c:axPos val="b"/>
        <c:txPr>
          <a:bodyPr/>
          <a:lstStyle/>
          <a:p>
            <a:pPr lvl="0">
              <a:defRPr b="0"/>
            </a:pPr>
          </a:p>
        </c:txPr>
        <c:crossAx val="665619247"/>
      </c:catAx>
      <c:valAx>
        <c:axId val="665619247"/>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46801168"/>
      </c:valAx>
    </c:plotArea>
    <c:legend>
      <c:legendPos val="r"/>
      <c:overlay val="0"/>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3366CC"/>
              </a:solidFill>
            </a:ln>
          </c:spPr>
          <c:marker>
            <c:symbol val="none"/>
          </c:marker>
          <c:cat>
            <c:strRef>
              <c:f>'Xeon Phi (KNL) flat mode'!$A$2:$A$13</c:f>
            </c:strRef>
          </c:cat>
          <c:val>
            <c:numRef>
              <c:f>'Xeon Phi (KNL) flat mode'!$AE$2:$AE$13</c:f>
            </c:numRef>
          </c:val>
          <c:smooth val="0"/>
        </c:ser>
        <c:axId val="444438118"/>
        <c:axId val="1182915156"/>
      </c:lineChart>
      <c:catAx>
        <c:axId val="444438118"/>
        <c:scaling>
          <c:orientation val="minMax"/>
        </c:scaling>
        <c:delete val="0"/>
        <c:axPos val="b"/>
        <c:txPr>
          <a:bodyPr/>
          <a:lstStyle/>
          <a:p>
            <a:pPr lvl="0">
              <a:defRPr b="0"/>
            </a:pPr>
          </a:p>
        </c:txPr>
        <c:crossAx val="1182915156"/>
      </c:catAx>
      <c:valAx>
        <c:axId val="1182915156"/>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444438118"/>
      </c:valAx>
    </c:plotArea>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3366CC"/>
              </a:solidFill>
            </a:ln>
          </c:spPr>
          <c:marker>
            <c:symbol val="none"/>
          </c:marker>
          <c:cat>
            <c:strRef>
              <c:f>'Xeon Phi (KNL) flat mode'!$A$16:$A$23</c:f>
            </c:strRef>
          </c:cat>
          <c:val>
            <c:numRef>
              <c:f>'Xeon Phi (KNL) flat mode'!$AE$16:$AE$23</c:f>
            </c:numRef>
          </c:val>
          <c:smooth val="0"/>
        </c:ser>
        <c:axId val="449673729"/>
        <c:axId val="663104952"/>
      </c:lineChart>
      <c:catAx>
        <c:axId val="449673729"/>
        <c:scaling>
          <c:orientation val="minMax"/>
        </c:scaling>
        <c:delete val="0"/>
        <c:axPos val="b"/>
        <c:txPr>
          <a:bodyPr/>
          <a:lstStyle/>
          <a:p>
            <a:pPr lvl="0">
              <a:defRPr b="0"/>
            </a:pPr>
          </a:p>
        </c:txPr>
        <c:crossAx val="663104952"/>
      </c:catAx>
      <c:valAx>
        <c:axId val="663104952"/>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449673729"/>
      </c:valAx>
    </c:plotArea>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pPr>
            <a:r>
              <a:t>Performance Improvement through Frequency Scaling</a:t>
            </a:r>
          </a:p>
        </c:rich>
      </c:tx>
      <c:overlay val="0"/>
    </c:title>
    <c:plotArea>
      <c:layout/>
      <c:barChart>
        <c:barDir val="col"/>
        <c:grouping val="stacked"/>
        <c:ser>
          <c:idx val="0"/>
          <c:order val="0"/>
          <c:tx>
            <c:strRef>
              <c:f>Final_Xeon!$BG$1</c:f>
            </c:strRef>
          </c:tx>
          <c:spPr>
            <a:solidFill>
              <a:srgbClr val="3366CC"/>
            </a:solidFill>
          </c:spPr>
          <c:cat>
            <c:strRef>
              <c:f>Final_Xeon!$BF$2:$BF$29</c:f>
            </c:strRef>
          </c:cat>
          <c:val>
            <c:numRef>
              <c:f>Final_Xeon!$BG$2:$BG$29</c:f>
            </c:numRef>
          </c:val>
        </c:ser>
        <c:ser>
          <c:idx val="1"/>
          <c:order val="1"/>
          <c:tx>
            <c:strRef>
              <c:f>Final_Xeon!$BH$1</c:f>
            </c:strRef>
          </c:tx>
          <c:spPr>
            <a:solidFill>
              <a:srgbClr val="DC3912"/>
            </a:solidFill>
          </c:spPr>
          <c:cat>
            <c:strRef>
              <c:f>Final_Xeon!$BF$2:$BF$29</c:f>
            </c:strRef>
          </c:cat>
          <c:val>
            <c:numRef>
              <c:f>Final_Xeon!$BH$2:$BH$29</c:f>
            </c:numRef>
          </c:val>
        </c:ser>
        <c:ser>
          <c:idx val="2"/>
          <c:order val="2"/>
          <c:tx>
            <c:strRef>
              <c:f>Final_Xeon!$BI$1</c:f>
            </c:strRef>
          </c:tx>
          <c:spPr>
            <a:solidFill>
              <a:srgbClr val="FF9900"/>
            </a:solidFill>
          </c:spPr>
          <c:cat>
            <c:strRef>
              <c:f>Final_Xeon!$BF$2:$BF$29</c:f>
            </c:strRef>
          </c:cat>
          <c:val>
            <c:numRef>
              <c:f>Final_Xeon!$BI$2:$BI$29</c:f>
            </c:numRef>
          </c:val>
        </c:ser>
        <c:ser>
          <c:idx val="3"/>
          <c:order val="3"/>
          <c:tx>
            <c:strRef>
              <c:f>Final_Xeon!$BJ$1</c:f>
            </c:strRef>
          </c:tx>
          <c:spPr>
            <a:solidFill>
              <a:srgbClr val="109618"/>
            </a:solidFill>
          </c:spPr>
          <c:cat>
            <c:strRef>
              <c:f>Final_Xeon!$BF$2:$BF$29</c:f>
            </c:strRef>
          </c:cat>
          <c:val>
            <c:numRef>
              <c:f>Final_Xeon!$BJ$2:$BJ$29</c:f>
            </c:numRef>
          </c:val>
        </c:ser>
        <c:ser>
          <c:idx val="4"/>
          <c:order val="4"/>
          <c:tx>
            <c:strRef>
              <c:f>Final_Xeon!$BK$1</c:f>
            </c:strRef>
          </c:tx>
          <c:spPr>
            <a:solidFill>
              <a:srgbClr val="990099"/>
            </a:solidFill>
          </c:spPr>
          <c:cat>
            <c:strRef>
              <c:f>Final_Xeon!$BF$2:$BF$29</c:f>
            </c:strRef>
          </c:cat>
          <c:val>
            <c:numRef>
              <c:f>Final_Xeon!$BK$2:$BK$29</c:f>
            </c:numRef>
          </c:val>
        </c:ser>
        <c:ser>
          <c:idx val="5"/>
          <c:order val="5"/>
          <c:tx>
            <c:strRef>
              <c:f>Final_Xeon!$BL$1</c:f>
            </c:strRef>
          </c:tx>
          <c:spPr>
            <a:solidFill>
              <a:srgbClr val="0099C6"/>
            </a:solidFill>
          </c:spPr>
          <c:cat>
            <c:strRef>
              <c:f>Final_Xeon!$BF$2:$BF$29</c:f>
            </c:strRef>
          </c:cat>
          <c:val>
            <c:numRef>
              <c:f>Final_Xeon!$BL$2:$BL$29</c:f>
            </c:numRef>
          </c:val>
        </c:ser>
        <c:ser>
          <c:idx val="6"/>
          <c:order val="6"/>
          <c:tx>
            <c:strRef>
              <c:f>Final_Xeon!$BM$1</c:f>
            </c:strRef>
          </c:tx>
          <c:spPr>
            <a:solidFill>
              <a:srgbClr val="DD4477"/>
            </a:solidFill>
          </c:spPr>
          <c:cat>
            <c:strRef>
              <c:f>Final_Xeon!$BF$2:$BF$29</c:f>
            </c:strRef>
          </c:cat>
          <c:val>
            <c:numRef>
              <c:f>Final_Xeon!$BM$2:$BM$29</c:f>
            </c:numRef>
          </c:val>
        </c:ser>
        <c:ser>
          <c:idx val="7"/>
          <c:order val="7"/>
          <c:tx>
            <c:strRef>
              <c:f>Final_Xeon!$BN$1</c:f>
            </c:strRef>
          </c:tx>
          <c:spPr>
            <a:solidFill>
              <a:srgbClr val="66AA00"/>
            </a:solidFill>
          </c:spPr>
          <c:cat>
            <c:strRef>
              <c:f>Final_Xeon!$BF$2:$BF$29</c:f>
            </c:strRef>
          </c:cat>
          <c:val>
            <c:numRef>
              <c:f>Final_Xeon!$BN$2:$BN$29</c:f>
            </c:numRef>
          </c:val>
        </c:ser>
        <c:ser>
          <c:idx val="8"/>
          <c:order val="8"/>
          <c:tx>
            <c:strRef>
              <c:f>Final_Xeon!$BO$1</c:f>
            </c:strRef>
          </c:tx>
          <c:spPr>
            <a:solidFill>
              <a:srgbClr val="B82E2E"/>
            </a:solidFill>
          </c:spPr>
          <c:cat>
            <c:strRef>
              <c:f>Final_Xeon!$BF$2:$BF$29</c:f>
            </c:strRef>
          </c:cat>
          <c:val>
            <c:numRef>
              <c:f>Final_Xeon!$BO$2:$BO$29</c:f>
            </c:numRef>
          </c:val>
        </c:ser>
        <c:ser>
          <c:idx val="9"/>
          <c:order val="9"/>
          <c:tx>
            <c:strRef>
              <c:f>Final_Xeon!$BP$1</c:f>
            </c:strRef>
          </c:tx>
          <c:spPr>
            <a:solidFill>
              <a:srgbClr val="316395"/>
            </a:solidFill>
          </c:spPr>
          <c:cat>
            <c:strRef>
              <c:f>Final_Xeon!$BF$2:$BF$29</c:f>
            </c:strRef>
          </c:cat>
          <c:val>
            <c:numRef>
              <c:f>Final_Xeon!$BP$2:$BP$29</c:f>
            </c:numRef>
          </c:val>
        </c:ser>
        <c:ser>
          <c:idx val="10"/>
          <c:order val="10"/>
          <c:tx>
            <c:strRef>
              <c:f>Final_Xeon!$BQ$1</c:f>
            </c:strRef>
          </c:tx>
          <c:spPr>
            <a:solidFill>
              <a:srgbClr val="994499"/>
            </a:solidFill>
          </c:spPr>
          <c:cat>
            <c:strRef>
              <c:f>Final_Xeon!$BF$2:$BF$29</c:f>
            </c:strRef>
          </c:cat>
          <c:val>
            <c:numRef>
              <c:f>Final_Xeon!$BQ$2:$BQ$29</c:f>
            </c:numRef>
          </c:val>
        </c:ser>
        <c:ser>
          <c:idx val="11"/>
          <c:order val="11"/>
          <c:tx>
            <c:strRef>
              <c:f>Final_Xeon!$BR$1</c:f>
            </c:strRef>
          </c:tx>
          <c:spPr>
            <a:solidFill>
              <a:srgbClr val="22AA99"/>
            </a:solidFill>
          </c:spPr>
          <c:cat>
            <c:strRef>
              <c:f>Final_Xeon!$BF$2:$BF$29</c:f>
            </c:strRef>
          </c:cat>
          <c:val>
            <c:numRef>
              <c:f>Final_Xeon!$BR$2:$BR$29</c:f>
            </c:numRef>
          </c:val>
        </c:ser>
        <c:overlap val="100"/>
        <c:axId val="1874154738"/>
        <c:axId val="1055309078"/>
      </c:barChart>
      <c:catAx>
        <c:axId val="1874154738"/>
        <c:scaling>
          <c:orientation val="minMax"/>
        </c:scaling>
        <c:delete val="0"/>
        <c:axPos val="b"/>
        <c:txPr>
          <a:bodyPr/>
          <a:lstStyle/>
          <a:p>
            <a:pPr lvl="0">
              <a:defRPr b="0"/>
            </a:pPr>
          </a:p>
        </c:txPr>
        <c:crossAx val="1055309078"/>
      </c:catAx>
      <c:valAx>
        <c:axId val="1055309078"/>
        <c:scaling>
          <c:orientation val="minMax"/>
          <c:max val="2.0"/>
          <c:min val="1.0"/>
        </c:scaling>
        <c:delete val="0"/>
        <c:axPos val="l"/>
        <c:majorGridlines>
          <c:spPr>
            <a:ln>
              <a:solidFill>
                <a:srgbClr val="B7B7B7"/>
              </a:solidFill>
            </a:ln>
          </c:spPr>
        </c:majorGridlines>
        <c:title>
          <c:tx>
            <c:rich>
              <a:bodyPr/>
              <a:lstStyle/>
              <a:p>
                <a:pPr lvl="0">
                  <a:defRPr b="0"/>
                </a:pPr>
                <a:r>
                  <a:t>Speedup</a:t>
                </a:r>
              </a:p>
            </c:rich>
          </c:tx>
          <c:overlay val="0"/>
        </c:title>
        <c:numFmt formatCode="General" sourceLinked="1"/>
        <c:tickLblPos val="nextTo"/>
        <c:spPr>
          <a:ln w="47625">
            <a:noFill/>
          </a:ln>
        </c:spPr>
        <c:txPr>
          <a:bodyPr/>
          <a:lstStyle/>
          <a:p>
            <a:pPr lvl="0">
              <a:defRPr b="0"/>
            </a:pPr>
          </a:p>
        </c:txPr>
        <c:crossAx val="1874154738"/>
      </c:valAx>
    </c:plotArea>
    <c:legend>
      <c:legendPos val="r"/>
      <c:overlay val="0"/>
    </c:legend>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pPr>
            <a:r>
              <a:t>Performance Improvement through Frequency Scaling</a:t>
            </a:r>
          </a:p>
        </c:rich>
      </c:tx>
      <c:overlay val="0"/>
    </c:title>
    <c:plotArea>
      <c:layout/>
      <c:barChart>
        <c:barDir val="col"/>
        <c:grouping val="stacked"/>
        <c:ser>
          <c:idx val="0"/>
          <c:order val="0"/>
          <c:tx>
            <c:strRef>
              <c:f>'Final_KNL_cache mode'!$BG$1</c:f>
            </c:strRef>
          </c:tx>
          <c:spPr>
            <a:solidFill>
              <a:srgbClr val="3366CC"/>
            </a:solidFill>
          </c:spPr>
          <c:cat>
            <c:strRef>
              <c:f>'Final_KNL_cache mode'!$BF$2:$BF$29</c:f>
            </c:strRef>
          </c:cat>
          <c:val>
            <c:numRef>
              <c:f>'Final_KNL_cache mode'!$BG$2:$BG$29</c:f>
            </c:numRef>
          </c:val>
        </c:ser>
        <c:ser>
          <c:idx val="1"/>
          <c:order val="1"/>
          <c:tx>
            <c:strRef>
              <c:f>'Final_KNL_cache mode'!$BH$1</c:f>
            </c:strRef>
          </c:tx>
          <c:spPr>
            <a:solidFill>
              <a:srgbClr val="DC3912"/>
            </a:solidFill>
          </c:spPr>
          <c:cat>
            <c:strRef>
              <c:f>'Final_KNL_cache mode'!$BF$2:$BF$29</c:f>
            </c:strRef>
          </c:cat>
          <c:val>
            <c:numRef>
              <c:f>'Final_KNL_cache mode'!$BH$2:$BH$29</c:f>
            </c:numRef>
          </c:val>
        </c:ser>
        <c:ser>
          <c:idx val="2"/>
          <c:order val="2"/>
          <c:tx>
            <c:strRef>
              <c:f>'Final_KNL_cache mode'!$BI$1</c:f>
            </c:strRef>
          </c:tx>
          <c:spPr>
            <a:solidFill>
              <a:srgbClr val="FF9900"/>
            </a:solidFill>
          </c:spPr>
          <c:cat>
            <c:strRef>
              <c:f>'Final_KNL_cache mode'!$BF$2:$BF$29</c:f>
            </c:strRef>
          </c:cat>
          <c:val>
            <c:numRef>
              <c:f>'Final_KNL_cache mode'!$BI$2:$BI$29</c:f>
            </c:numRef>
          </c:val>
        </c:ser>
        <c:ser>
          <c:idx val="3"/>
          <c:order val="3"/>
          <c:tx>
            <c:strRef>
              <c:f>'Final_KNL_cache mode'!$BJ$1</c:f>
            </c:strRef>
          </c:tx>
          <c:spPr>
            <a:solidFill>
              <a:srgbClr val="109618"/>
            </a:solidFill>
          </c:spPr>
          <c:cat>
            <c:strRef>
              <c:f>'Final_KNL_cache mode'!$BF$2:$BF$29</c:f>
            </c:strRef>
          </c:cat>
          <c:val>
            <c:numRef>
              <c:f>'Final_KNL_cache mode'!$BJ$2:$BJ$29</c:f>
            </c:numRef>
          </c:val>
        </c:ser>
        <c:ser>
          <c:idx val="4"/>
          <c:order val="4"/>
          <c:tx>
            <c:strRef>
              <c:f>'Final_KNL_cache mode'!$BK$1</c:f>
            </c:strRef>
          </c:tx>
          <c:spPr>
            <a:solidFill>
              <a:srgbClr val="990099"/>
            </a:solidFill>
          </c:spPr>
          <c:cat>
            <c:strRef>
              <c:f>'Final_KNL_cache mode'!$BF$2:$BF$29</c:f>
            </c:strRef>
          </c:cat>
          <c:val>
            <c:numRef>
              <c:f>'Final_KNL_cache mode'!$BK$2:$BK$29</c:f>
            </c:numRef>
          </c:val>
        </c:ser>
        <c:overlap val="100"/>
        <c:axId val="2030223047"/>
        <c:axId val="588973797"/>
      </c:barChart>
      <c:catAx>
        <c:axId val="2030223047"/>
        <c:scaling>
          <c:orientation val="minMax"/>
        </c:scaling>
        <c:delete val="0"/>
        <c:axPos val="b"/>
        <c:txPr>
          <a:bodyPr/>
          <a:lstStyle/>
          <a:p>
            <a:pPr lvl="0">
              <a:defRPr b="0"/>
            </a:pPr>
          </a:p>
        </c:txPr>
        <c:crossAx val="588973797"/>
      </c:catAx>
      <c:valAx>
        <c:axId val="588973797"/>
        <c:scaling>
          <c:orientation val="minMax"/>
          <c:max val="2.0"/>
          <c:min val="1.0"/>
        </c:scaling>
        <c:delete val="0"/>
        <c:axPos val="l"/>
        <c:majorGridlines>
          <c:spPr>
            <a:ln>
              <a:solidFill>
                <a:srgbClr val="B7B7B7"/>
              </a:solidFill>
            </a:ln>
          </c:spPr>
        </c:majorGridlines>
        <c:title>
          <c:tx>
            <c:rich>
              <a:bodyPr/>
              <a:lstStyle/>
              <a:p>
                <a:pPr lvl="0">
                  <a:defRPr b="0"/>
                </a:pPr>
                <a:r>
                  <a:t>Speedup</a:t>
                </a:r>
              </a:p>
            </c:rich>
          </c:tx>
          <c:overlay val="0"/>
        </c:title>
        <c:numFmt formatCode="General" sourceLinked="1"/>
        <c:tickLblPos val="nextTo"/>
        <c:spPr>
          <a:ln w="47625">
            <a:noFill/>
          </a:ln>
        </c:spPr>
        <c:txPr>
          <a:bodyPr/>
          <a:lstStyle/>
          <a:p>
            <a:pPr lvl="0">
              <a:defRPr b="0"/>
            </a:pPr>
          </a:p>
        </c:txPr>
        <c:crossAx val="2030223047"/>
      </c:valAx>
    </c:plotArea>
    <c:legend>
      <c:legendPos val="r"/>
      <c:overlay val="0"/>
    </c:legend>
    <c:plotVisOnly val="1"/>
  </c:chart>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pPr>
            <a:r>
              <a:t>Performance Improvement through Frequency Scaling</a:t>
            </a:r>
          </a:p>
        </c:rich>
      </c:tx>
      <c:overlay val="0"/>
    </c:title>
    <c:plotArea>
      <c:layout/>
      <c:barChart>
        <c:barDir val="col"/>
        <c:grouping val="stacked"/>
        <c:ser>
          <c:idx val="0"/>
          <c:order val="0"/>
          <c:tx>
            <c:strRef>
              <c:f>'Final_KNM_cache mode'!$BG$1</c:f>
            </c:strRef>
          </c:tx>
          <c:spPr>
            <a:solidFill>
              <a:srgbClr val="3366CC"/>
            </a:solidFill>
          </c:spPr>
          <c:cat>
            <c:strRef>
              <c:f>'Final_KNM_cache mode'!$BF$2:$BF$29</c:f>
            </c:strRef>
          </c:cat>
          <c:val>
            <c:numRef>
              <c:f>'Final_KNM_cache mode'!$BG$2:$BG$29</c:f>
            </c:numRef>
          </c:val>
        </c:ser>
        <c:ser>
          <c:idx val="1"/>
          <c:order val="1"/>
          <c:tx>
            <c:strRef>
              <c:f>'Final_KNM_cache mode'!$BH$1</c:f>
            </c:strRef>
          </c:tx>
          <c:spPr>
            <a:solidFill>
              <a:srgbClr val="DC3912"/>
            </a:solidFill>
          </c:spPr>
          <c:cat>
            <c:strRef>
              <c:f>'Final_KNM_cache mode'!$BF$2:$BF$29</c:f>
            </c:strRef>
          </c:cat>
          <c:val>
            <c:numRef>
              <c:f>'Final_KNM_cache mode'!$BH$2:$BH$29</c:f>
            </c:numRef>
          </c:val>
        </c:ser>
        <c:ser>
          <c:idx val="2"/>
          <c:order val="2"/>
          <c:tx>
            <c:strRef>
              <c:f>'Final_KNM_cache mode'!$BI$1</c:f>
            </c:strRef>
          </c:tx>
          <c:spPr>
            <a:solidFill>
              <a:srgbClr val="FF9900"/>
            </a:solidFill>
          </c:spPr>
          <c:cat>
            <c:strRef>
              <c:f>'Final_KNM_cache mode'!$BF$2:$BF$29</c:f>
            </c:strRef>
          </c:cat>
          <c:val>
            <c:numRef>
              <c:f>'Final_KNM_cache mode'!$BI$2:$BI$29</c:f>
            </c:numRef>
          </c:val>
        </c:ser>
        <c:ser>
          <c:idx val="3"/>
          <c:order val="3"/>
          <c:tx>
            <c:strRef>
              <c:f>'Final_KNM_cache mode'!$BJ$1</c:f>
            </c:strRef>
          </c:tx>
          <c:spPr>
            <a:solidFill>
              <a:srgbClr val="109618"/>
            </a:solidFill>
          </c:spPr>
          <c:cat>
            <c:strRef>
              <c:f>'Final_KNM_cache mode'!$BF$2:$BF$29</c:f>
            </c:strRef>
          </c:cat>
          <c:val>
            <c:numRef>
              <c:f>'Final_KNM_cache mode'!$BJ$2:$BJ$29</c:f>
            </c:numRef>
          </c:val>
        </c:ser>
        <c:ser>
          <c:idx val="4"/>
          <c:order val="4"/>
          <c:tx>
            <c:strRef>
              <c:f>'Final_KNM_cache mode'!$BK$1</c:f>
            </c:strRef>
          </c:tx>
          <c:spPr>
            <a:solidFill>
              <a:srgbClr val="990099"/>
            </a:solidFill>
          </c:spPr>
          <c:cat>
            <c:strRef>
              <c:f>'Final_KNM_cache mode'!$BF$2:$BF$29</c:f>
            </c:strRef>
          </c:cat>
          <c:val>
            <c:numRef>
              <c:f>'Final_KNM_cache mode'!$BK$2:$BK$29</c:f>
            </c:numRef>
          </c:val>
        </c:ser>
        <c:ser>
          <c:idx val="5"/>
          <c:order val="5"/>
          <c:tx>
            <c:strRef>
              <c:f>'Final_KNM_cache mode'!$BL$1</c:f>
            </c:strRef>
          </c:tx>
          <c:spPr>
            <a:solidFill>
              <a:srgbClr val="0099C6"/>
            </a:solidFill>
          </c:spPr>
          <c:cat>
            <c:strRef>
              <c:f>'Final_KNM_cache mode'!$BF$2:$BF$29</c:f>
            </c:strRef>
          </c:cat>
          <c:val>
            <c:numRef>
              <c:f>'Final_KNM_cache mode'!$BL$2:$BL$29</c:f>
            </c:numRef>
          </c:val>
        </c:ser>
        <c:ser>
          <c:idx val="6"/>
          <c:order val="6"/>
          <c:tx>
            <c:strRef>
              <c:f>'Final_KNM_cache mode'!$BM$1</c:f>
            </c:strRef>
          </c:tx>
          <c:spPr>
            <a:solidFill>
              <a:srgbClr val="DD4477"/>
            </a:solidFill>
          </c:spPr>
          <c:cat>
            <c:strRef>
              <c:f>'Final_KNM_cache mode'!$BF$2:$BF$29</c:f>
            </c:strRef>
          </c:cat>
          <c:val>
            <c:numRef>
              <c:f>'Final_KNM_cache mode'!$BM$2:$BM$29</c:f>
            </c:numRef>
          </c:val>
        </c:ser>
        <c:overlap val="100"/>
        <c:axId val="1994729683"/>
        <c:axId val="661490979"/>
      </c:barChart>
      <c:catAx>
        <c:axId val="1994729683"/>
        <c:scaling>
          <c:orientation val="minMax"/>
        </c:scaling>
        <c:delete val="0"/>
        <c:axPos val="b"/>
        <c:txPr>
          <a:bodyPr/>
          <a:lstStyle/>
          <a:p>
            <a:pPr lvl="0">
              <a:defRPr b="0"/>
            </a:pPr>
          </a:p>
        </c:txPr>
        <c:crossAx val="661490979"/>
      </c:catAx>
      <c:valAx>
        <c:axId val="661490979"/>
        <c:scaling>
          <c:orientation val="minMax"/>
          <c:max val="2.0"/>
          <c:min val="1.0"/>
        </c:scaling>
        <c:delete val="0"/>
        <c:axPos val="l"/>
        <c:majorGridlines>
          <c:spPr>
            <a:ln>
              <a:solidFill>
                <a:srgbClr val="B7B7B7"/>
              </a:solidFill>
            </a:ln>
          </c:spPr>
        </c:majorGridlines>
        <c:title>
          <c:tx>
            <c:rich>
              <a:bodyPr/>
              <a:lstStyle/>
              <a:p>
                <a:pPr lvl="0">
                  <a:defRPr b="0"/>
                </a:pPr>
                <a:r>
                  <a:t>Speedup</a:t>
                </a:r>
              </a:p>
            </c:rich>
          </c:tx>
          <c:overlay val="0"/>
        </c:title>
        <c:numFmt formatCode="General" sourceLinked="1"/>
        <c:tickLblPos val="nextTo"/>
        <c:spPr>
          <a:ln w="47625">
            <a:noFill/>
          </a:ln>
        </c:spPr>
        <c:txPr>
          <a:bodyPr/>
          <a:lstStyle/>
          <a:p>
            <a:pPr lvl="0">
              <a:defRPr b="0"/>
            </a:pPr>
          </a:p>
        </c:txPr>
        <c:crossAx val="1994729683"/>
      </c:valAx>
    </c:plotArea>
    <c:legend>
      <c:legendPos val="r"/>
      <c:overlay val="0"/>
    </c:legend>
    <c:plotVisOnly val="1"/>
  </c:chart>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FFVC</a:t>
            </a:r>
          </a:p>
        </c:rich>
      </c:tx>
      <c:overlay val="0"/>
    </c:title>
    <c:plotArea>
      <c:layout/>
      <c:lineChart>
        <c:varyColors val="0"/>
        <c:ser>
          <c:idx val="0"/>
          <c:order val="0"/>
          <c:spPr>
            <a:ln cmpd="sng" w="19050">
              <a:solidFill>
                <a:srgbClr val="3366CC"/>
              </a:solidFill>
            </a:ln>
          </c:spPr>
          <c:marker>
            <c:symbol val="none"/>
          </c:marker>
          <c:cat>
            <c:strRef>
              <c:f>'Utilization HPC Centers'!$X$34:$AC$34</c:f>
            </c:strRef>
          </c:cat>
          <c:val>
            <c:numRef>
              <c:f>'Utilization HPC Centers'!$AE$15:$AJ$15</c:f>
            </c:numRef>
          </c:val>
          <c:smooth val="0"/>
        </c:ser>
        <c:axId val="1820685158"/>
        <c:axId val="704381371"/>
      </c:lineChart>
      <c:catAx>
        <c:axId val="1820685158"/>
        <c:scaling>
          <c:orientation val="minMax"/>
        </c:scaling>
        <c:delete val="0"/>
        <c:axPos val="b"/>
        <c:txPr>
          <a:bodyPr/>
          <a:lstStyle/>
          <a:p>
            <a:pPr lvl="0">
              <a:defRPr b="0"/>
            </a:pPr>
          </a:p>
        </c:txPr>
        <c:crossAx val="704381371"/>
      </c:catAx>
      <c:valAx>
        <c:axId val="704381371"/>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820685158"/>
      </c:valAx>
    </c:plotArea>
    <c:legend>
      <c:legendPos val="r"/>
      <c:overlay val="0"/>
    </c:legend>
    <c:plotVisOnly val="1"/>
  </c:chart>
</c:chartSpace>
</file>

<file path=xl/charts/chart4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mVMC</a:t>
            </a:r>
          </a:p>
        </c:rich>
      </c:tx>
      <c:overlay val="0"/>
    </c:title>
    <c:plotArea>
      <c:layout/>
      <c:lineChart>
        <c:varyColors val="0"/>
        <c:ser>
          <c:idx val="0"/>
          <c:order val="0"/>
          <c:spPr>
            <a:ln cmpd="sng" w="19050">
              <a:solidFill>
                <a:srgbClr val="3366CC"/>
              </a:solidFill>
            </a:ln>
          </c:spPr>
          <c:marker>
            <c:symbol val="none"/>
          </c:marker>
          <c:cat>
            <c:strRef>
              <c:f>'Utilization HPC Centers'!$X$34:$AC$34</c:f>
            </c:strRef>
          </c:cat>
          <c:val>
            <c:numRef>
              <c:f>'Utilization HPC Centers'!$AE$17:$AJ$17</c:f>
            </c:numRef>
          </c:val>
          <c:smooth val="0"/>
        </c:ser>
        <c:axId val="1989717499"/>
        <c:axId val="339319030"/>
      </c:lineChart>
      <c:catAx>
        <c:axId val="1989717499"/>
        <c:scaling>
          <c:orientation val="minMax"/>
        </c:scaling>
        <c:delete val="0"/>
        <c:axPos val="b"/>
        <c:txPr>
          <a:bodyPr/>
          <a:lstStyle/>
          <a:p>
            <a:pPr lvl="0">
              <a:defRPr b="0"/>
            </a:pPr>
          </a:p>
        </c:txPr>
        <c:crossAx val="339319030"/>
      </c:catAx>
      <c:valAx>
        <c:axId val="339319030"/>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989717499"/>
      </c:valAx>
    </c:plotArea>
    <c:legend>
      <c:legendPos val="r"/>
      <c:overlay val="0"/>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SWFFT</a:t>
            </a:r>
          </a:p>
        </c:rich>
      </c:tx>
      <c:overlay val="0"/>
    </c:title>
    <c:plotArea>
      <c:layout/>
      <c:lineChart>
        <c:ser>
          <c:idx val="0"/>
          <c:order val="0"/>
          <c:spPr>
            <a:ln cmpd="sng" w="19050">
              <a:solidFill>
                <a:srgbClr val="3366CC"/>
              </a:solidFill>
            </a:ln>
          </c:spPr>
          <c:marker>
            <c:symbol val="none"/>
          </c:marker>
          <c:val>
            <c:numRef>
              <c:f>Xeon!$AE$38:$AJ$38</c:f>
            </c:numRef>
          </c:val>
          <c:smooth val="0"/>
        </c:ser>
        <c:ser>
          <c:idx val="1"/>
          <c:order val="1"/>
          <c:spPr>
            <a:ln cmpd="sng" w="19050">
              <a:solidFill>
                <a:srgbClr val="DC3912"/>
              </a:solidFill>
            </a:ln>
          </c:spPr>
          <c:marker>
            <c:symbol val="none"/>
          </c:marker>
          <c:val>
            <c:numRef>
              <c:f>Xeon!$AL$12:$AQ$12</c:f>
            </c:numRef>
          </c:val>
          <c:smooth val="0"/>
        </c:ser>
        <c:axId val="1621920206"/>
        <c:axId val="1515579488"/>
      </c:lineChart>
      <c:catAx>
        <c:axId val="1621920206"/>
        <c:scaling>
          <c:orientation val="minMax"/>
        </c:scaling>
        <c:delete val="0"/>
        <c:axPos val="b"/>
        <c:txPr>
          <a:bodyPr/>
          <a:lstStyle/>
          <a:p>
            <a:pPr lvl="0">
              <a:defRPr b="0"/>
            </a:pPr>
          </a:p>
        </c:txPr>
        <c:crossAx val="1515579488"/>
      </c:catAx>
      <c:valAx>
        <c:axId val="1515579488"/>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621920206"/>
      </c:valAx>
    </c:plotArea>
    <c:legend>
      <c:legendPos val="r"/>
      <c:overlay val="0"/>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XSBench</a:t>
            </a:r>
          </a:p>
        </c:rich>
      </c:tx>
      <c:overlay val="0"/>
    </c:title>
    <c:plotArea>
      <c:layout/>
      <c:lineChart>
        <c:ser>
          <c:idx val="0"/>
          <c:order val="0"/>
          <c:spPr>
            <a:ln cmpd="sng" w="19050">
              <a:solidFill>
                <a:srgbClr val="3366CC"/>
              </a:solidFill>
            </a:ln>
          </c:spPr>
          <c:marker>
            <c:symbol val="none"/>
          </c:marker>
          <c:val>
            <c:numRef>
              <c:f>Xeon!$AE$38:$AJ$38</c:f>
            </c:numRef>
          </c:val>
          <c:smooth val="0"/>
        </c:ser>
        <c:ser>
          <c:idx val="1"/>
          <c:order val="1"/>
          <c:spPr>
            <a:ln cmpd="sng" w="19050">
              <a:solidFill>
                <a:srgbClr val="DC3912"/>
              </a:solidFill>
            </a:ln>
          </c:spPr>
          <c:marker>
            <c:symbol val="none"/>
          </c:marker>
          <c:val>
            <c:numRef>
              <c:f>Xeon!$AL$13:$AQ$13</c:f>
            </c:numRef>
          </c:val>
          <c:smooth val="0"/>
        </c:ser>
        <c:axId val="453449880"/>
        <c:axId val="77582907"/>
      </c:lineChart>
      <c:catAx>
        <c:axId val="453449880"/>
        <c:scaling>
          <c:orientation val="minMax"/>
        </c:scaling>
        <c:delete val="0"/>
        <c:axPos val="b"/>
        <c:txPr>
          <a:bodyPr/>
          <a:lstStyle/>
          <a:p>
            <a:pPr lvl="0">
              <a:defRPr b="0"/>
            </a:pPr>
          </a:p>
        </c:txPr>
        <c:crossAx val="77582907"/>
      </c:catAx>
      <c:valAx>
        <c:axId val="77582907"/>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453449880"/>
      </c:valAx>
    </c:plotArea>
    <c:legend>
      <c:legendPos val="r"/>
      <c:overlay val="0"/>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NICAM</a:t>
            </a:r>
          </a:p>
        </c:rich>
      </c:tx>
      <c:overlay val="0"/>
    </c:title>
    <c:plotArea>
      <c:layout/>
      <c:lineChart>
        <c:ser>
          <c:idx val="0"/>
          <c:order val="0"/>
          <c:spPr>
            <a:ln cmpd="sng" w="19050">
              <a:solidFill>
                <a:srgbClr val="3366CC"/>
              </a:solidFill>
            </a:ln>
          </c:spPr>
          <c:marker>
            <c:symbol val="none"/>
          </c:marker>
          <c:val>
            <c:numRef>
              <c:f>Xeon!$AE$38:$AJ$38</c:f>
            </c:numRef>
          </c:val>
          <c:smooth val="0"/>
        </c:ser>
        <c:ser>
          <c:idx val="1"/>
          <c:order val="1"/>
          <c:spPr>
            <a:ln cmpd="sng" w="19050">
              <a:solidFill>
                <a:srgbClr val="DC3912"/>
              </a:solidFill>
            </a:ln>
          </c:spPr>
          <c:marker>
            <c:symbol val="none"/>
          </c:marker>
          <c:val>
            <c:numRef>
              <c:f>Xeon!$AL$18:$AQ$18</c:f>
            </c:numRef>
          </c:val>
          <c:smooth val="0"/>
        </c:ser>
        <c:axId val="316141267"/>
        <c:axId val="75980642"/>
      </c:lineChart>
      <c:catAx>
        <c:axId val="316141267"/>
        <c:scaling>
          <c:orientation val="minMax"/>
        </c:scaling>
        <c:delete val="0"/>
        <c:axPos val="b"/>
        <c:txPr>
          <a:bodyPr/>
          <a:lstStyle/>
          <a:p>
            <a:pPr lvl="0">
              <a:defRPr b="0"/>
            </a:pPr>
          </a:p>
        </c:txPr>
        <c:crossAx val="75980642"/>
      </c:catAx>
      <c:valAx>
        <c:axId val="75980642"/>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316141267"/>
      </c:valAx>
    </c:plotArea>
    <c:legend>
      <c:legendPos val="r"/>
      <c:overlay val="0"/>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mVMC</a:t>
            </a:r>
          </a:p>
        </c:rich>
      </c:tx>
      <c:overlay val="0"/>
    </c:title>
    <c:plotArea>
      <c:layout/>
      <c:lineChart>
        <c:ser>
          <c:idx val="0"/>
          <c:order val="0"/>
          <c:spPr>
            <a:ln cmpd="sng" w="19050">
              <a:solidFill>
                <a:srgbClr val="3366CC"/>
              </a:solidFill>
            </a:ln>
          </c:spPr>
          <c:marker>
            <c:symbol val="none"/>
          </c:marker>
          <c:val>
            <c:numRef>
              <c:f>Xeon!$AE$38:$AJ$38</c:f>
            </c:numRef>
          </c:val>
          <c:smooth val="0"/>
        </c:ser>
        <c:ser>
          <c:idx val="1"/>
          <c:order val="1"/>
          <c:spPr>
            <a:ln cmpd="sng" w="19050">
              <a:solidFill>
                <a:srgbClr val="DC3912"/>
              </a:solidFill>
            </a:ln>
          </c:spPr>
          <c:marker>
            <c:symbol val="none"/>
          </c:marker>
          <c:val>
            <c:numRef>
              <c:f>Xeon!$AL$19:$AQ$19</c:f>
            </c:numRef>
          </c:val>
          <c:smooth val="0"/>
        </c:ser>
        <c:axId val="1693857426"/>
        <c:axId val="1471755536"/>
      </c:lineChart>
      <c:catAx>
        <c:axId val="1693857426"/>
        <c:scaling>
          <c:orientation val="minMax"/>
        </c:scaling>
        <c:delete val="0"/>
        <c:axPos val="b"/>
        <c:txPr>
          <a:bodyPr/>
          <a:lstStyle/>
          <a:p>
            <a:pPr lvl="0">
              <a:defRPr b="0"/>
            </a:pPr>
          </a:p>
        </c:txPr>
        <c:crossAx val="1471755536"/>
      </c:catAx>
      <c:valAx>
        <c:axId val="1471755536"/>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693857426"/>
      </c:valAx>
    </c:plotArea>
    <c:legend>
      <c:legendPos val="r"/>
      <c:overlay val="0"/>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NGSA</a:t>
            </a:r>
          </a:p>
        </c:rich>
      </c:tx>
      <c:overlay val="0"/>
    </c:title>
    <c:plotArea>
      <c:layout/>
      <c:lineChart>
        <c:ser>
          <c:idx val="0"/>
          <c:order val="0"/>
          <c:spPr>
            <a:ln cmpd="sng" w="19050">
              <a:solidFill>
                <a:srgbClr val="3366CC"/>
              </a:solidFill>
            </a:ln>
          </c:spPr>
          <c:marker>
            <c:symbol val="none"/>
          </c:marker>
          <c:val>
            <c:numRef>
              <c:f>Xeon!$AE$38:$AJ$38</c:f>
            </c:numRef>
          </c:val>
          <c:smooth val="0"/>
        </c:ser>
        <c:ser>
          <c:idx val="1"/>
          <c:order val="1"/>
          <c:spPr>
            <a:ln cmpd="sng" w="19050">
              <a:solidFill>
                <a:srgbClr val="DC3912"/>
              </a:solidFill>
            </a:ln>
          </c:spPr>
          <c:marker>
            <c:symbol val="none"/>
          </c:marker>
          <c:val>
            <c:numRef>
              <c:f>Xeon!$AL$20:$AQ$20</c:f>
            </c:numRef>
          </c:val>
          <c:smooth val="0"/>
        </c:ser>
        <c:axId val="425242636"/>
        <c:axId val="1157918459"/>
      </c:lineChart>
      <c:catAx>
        <c:axId val="425242636"/>
        <c:scaling>
          <c:orientation val="minMax"/>
        </c:scaling>
        <c:delete val="0"/>
        <c:axPos val="b"/>
        <c:txPr>
          <a:bodyPr/>
          <a:lstStyle/>
          <a:p>
            <a:pPr lvl="0">
              <a:defRPr b="0"/>
            </a:pPr>
          </a:p>
        </c:txPr>
        <c:crossAx val="1157918459"/>
      </c:catAx>
      <c:valAx>
        <c:axId val="1157918459"/>
        <c:scaling>
          <c:orientation val="minMax"/>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425242636"/>
      </c:valAx>
    </c:plotArea>
    <c:legend>
      <c:legendPos val="r"/>
      <c:overlay val="0"/>
    </c:legend>
    <c:plotVisOnly val="1"/>
  </c:chart>
</c:chartSpace>
</file>

<file path=xl/drawings/_rels/drawing1.xml.rels><?xml version="1.0" encoding="UTF-8" standalone="yes"?><Relationships xmlns="http://schemas.openxmlformats.org/package/2006/relationships"><Relationship Id="rId11" Type="http://schemas.openxmlformats.org/officeDocument/2006/relationships/chart" Target="../charts/chart11.xml"/><Relationship Id="rId10" Type="http://schemas.openxmlformats.org/officeDocument/2006/relationships/chart" Target="../charts/chart10.xml"/><Relationship Id="rId13" Type="http://schemas.openxmlformats.org/officeDocument/2006/relationships/chart" Target="../charts/chart13.xml"/><Relationship Id="rId12" Type="http://schemas.openxmlformats.org/officeDocument/2006/relationships/chart" Target="../charts/chart12.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46.xml"/><Relationship Id="rId2" Type="http://schemas.openxmlformats.org/officeDocument/2006/relationships/chart" Target="../charts/chart4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20" Type="http://schemas.openxmlformats.org/officeDocument/2006/relationships/chart" Target="../charts/chart37.xml"/><Relationship Id="rId11" Type="http://schemas.openxmlformats.org/officeDocument/2006/relationships/chart" Target="../charts/chart28.xml"/><Relationship Id="rId22" Type="http://schemas.openxmlformats.org/officeDocument/2006/relationships/chart" Target="../charts/chart39.xml"/><Relationship Id="rId10" Type="http://schemas.openxmlformats.org/officeDocument/2006/relationships/chart" Target="../charts/chart27.xml"/><Relationship Id="rId21" Type="http://schemas.openxmlformats.org/officeDocument/2006/relationships/chart" Target="../charts/chart38.xml"/><Relationship Id="rId13" Type="http://schemas.openxmlformats.org/officeDocument/2006/relationships/chart" Target="../charts/chart30.xml"/><Relationship Id="rId12" Type="http://schemas.openxmlformats.org/officeDocument/2006/relationships/chart" Target="../charts/chart29.xml"/><Relationship Id="rId23" Type="http://schemas.openxmlformats.org/officeDocument/2006/relationships/chart" Target="../charts/chart40.xml"/><Relationship Id="rId1" Type="http://schemas.openxmlformats.org/officeDocument/2006/relationships/chart" Target="../charts/chart18.xml"/><Relationship Id="rId2" Type="http://schemas.openxmlformats.org/officeDocument/2006/relationships/chart" Target="../charts/chart19.xml"/><Relationship Id="rId3" Type="http://schemas.openxmlformats.org/officeDocument/2006/relationships/chart" Target="../charts/chart20.xml"/><Relationship Id="rId4" Type="http://schemas.openxmlformats.org/officeDocument/2006/relationships/chart" Target="../charts/chart21.xml"/><Relationship Id="rId9" Type="http://schemas.openxmlformats.org/officeDocument/2006/relationships/chart" Target="../charts/chart26.xml"/><Relationship Id="rId15" Type="http://schemas.openxmlformats.org/officeDocument/2006/relationships/chart" Target="../charts/chart32.xml"/><Relationship Id="rId14" Type="http://schemas.openxmlformats.org/officeDocument/2006/relationships/chart" Target="../charts/chart31.xml"/><Relationship Id="rId17" Type="http://schemas.openxmlformats.org/officeDocument/2006/relationships/chart" Target="../charts/chart34.xml"/><Relationship Id="rId16" Type="http://schemas.openxmlformats.org/officeDocument/2006/relationships/chart" Target="../charts/chart33.xml"/><Relationship Id="rId5" Type="http://schemas.openxmlformats.org/officeDocument/2006/relationships/chart" Target="../charts/chart22.xml"/><Relationship Id="rId19" Type="http://schemas.openxmlformats.org/officeDocument/2006/relationships/chart" Target="../charts/chart36.xml"/><Relationship Id="rId6" Type="http://schemas.openxmlformats.org/officeDocument/2006/relationships/chart" Target="../charts/chart23.xml"/><Relationship Id="rId18" Type="http://schemas.openxmlformats.org/officeDocument/2006/relationships/chart" Target="../charts/chart35.xml"/><Relationship Id="rId7" Type="http://schemas.openxmlformats.org/officeDocument/2006/relationships/chart" Target="../charts/chart24.xml"/><Relationship Id="rId8" Type="http://schemas.openxmlformats.org/officeDocument/2006/relationships/chart" Target="../charts/chart2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1.xml"/><Relationship Id="rId2" Type="http://schemas.openxmlformats.org/officeDocument/2006/relationships/chart" Target="../charts/chart4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43</xdr:col>
      <xdr:colOff>714375</xdr:colOff>
      <xdr:row>70</xdr:row>
      <xdr:rowOff>38100</xdr:rowOff>
    </xdr:from>
    <xdr:ext cx="3314700" cy="20478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43</xdr:col>
      <xdr:colOff>657225</xdr:colOff>
      <xdr:row>56</xdr:row>
      <xdr:rowOff>171450</xdr:rowOff>
    </xdr:from>
    <xdr:ext cx="3314700" cy="20478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26</xdr:col>
      <xdr:colOff>1362075</xdr:colOff>
      <xdr:row>46</xdr:row>
      <xdr:rowOff>142875</xdr:rowOff>
    </xdr:from>
    <xdr:ext cx="3314700" cy="2047875"/>
    <xdr:graphicFrame>
      <xdr:nvGraphicFramePr>
        <xdr:cNvPr id="5" name="Chart 5"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26</xdr:col>
      <xdr:colOff>1362075</xdr:colOff>
      <xdr:row>56</xdr:row>
      <xdr:rowOff>180975</xdr:rowOff>
    </xdr:from>
    <xdr:ext cx="3314700" cy="2047875"/>
    <xdr:graphicFrame>
      <xdr:nvGraphicFramePr>
        <xdr:cNvPr id="7" name="Chart 7"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39</xdr:col>
      <xdr:colOff>838200</xdr:colOff>
      <xdr:row>46</xdr:row>
      <xdr:rowOff>142875</xdr:rowOff>
    </xdr:from>
    <xdr:ext cx="3314700" cy="2047875"/>
    <xdr:graphicFrame>
      <xdr:nvGraphicFramePr>
        <xdr:cNvPr id="9" name="Chart 9"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39</xdr:col>
      <xdr:colOff>866775</xdr:colOff>
      <xdr:row>56</xdr:row>
      <xdr:rowOff>152400</xdr:rowOff>
    </xdr:from>
    <xdr:ext cx="3314700" cy="2047875"/>
    <xdr:graphicFrame>
      <xdr:nvGraphicFramePr>
        <xdr:cNvPr id="10" name="Chart 10"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29</xdr:col>
      <xdr:colOff>561975</xdr:colOff>
      <xdr:row>46</xdr:row>
      <xdr:rowOff>133350</xdr:rowOff>
    </xdr:from>
    <xdr:ext cx="3314700" cy="2047875"/>
    <xdr:graphicFrame>
      <xdr:nvGraphicFramePr>
        <xdr:cNvPr id="12" name="Chart 12"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29</xdr:col>
      <xdr:colOff>561975</xdr:colOff>
      <xdr:row>56</xdr:row>
      <xdr:rowOff>180975</xdr:rowOff>
    </xdr:from>
    <xdr:ext cx="3314700" cy="2047875"/>
    <xdr:graphicFrame>
      <xdr:nvGraphicFramePr>
        <xdr:cNvPr id="14" name="Chart 14"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33</xdr:col>
      <xdr:colOff>9525</xdr:colOff>
      <xdr:row>46</xdr:row>
      <xdr:rowOff>142875</xdr:rowOff>
    </xdr:from>
    <xdr:ext cx="3314700" cy="2047875"/>
    <xdr:graphicFrame>
      <xdr:nvGraphicFramePr>
        <xdr:cNvPr id="18" name="Chart 18"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36</xdr:col>
      <xdr:colOff>428625</xdr:colOff>
      <xdr:row>46</xdr:row>
      <xdr:rowOff>142875</xdr:rowOff>
    </xdr:from>
    <xdr:ext cx="3314700" cy="2047875"/>
    <xdr:graphicFrame>
      <xdr:nvGraphicFramePr>
        <xdr:cNvPr id="20" name="Chart 20"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33</xdr:col>
      <xdr:colOff>9525</xdr:colOff>
      <xdr:row>56</xdr:row>
      <xdr:rowOff>152400</xdr:rowOff>
    </xdr:from>
    <xdr:ext cx="3314700" cy="2047875"/>
    <xdr:graphicFrame>
      <xdr:nvGraphicFramePr>
        <xdr:cNvPr id="22" name="Chart 22" title="Chart"/>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36</xdr:col>
      <xdr:colOff>447675</xdr:colOff>
      <xdr:row>56</xdr:row>
      <xdr:rowOff>85725</xdr:rowOff>
    </xdr:from>
    <xdr:ext cx="3314700" cy="2047875"/>
    <xdr:graphicFrame>
      <xdr:nvGraphicFramePr>
        <xdr:cNvPr id="24" name="Chart 24" title="Chart"/>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33</xdr:col>
      <xdr:colOff>685800</xdr:colOff>
      <xdr:row>9</xdr:row>
      <xdr:rowOff>152400</xdr:rowOff>
    </xdr:from>
    <xdr:ext cx="8877300" cy="5486400"/>
    <xdr:graphicFrame>
      <xdr:nvGraphicFramePr>
        <xdr:cNvPr id="28" name="Chart 28" title="Chart"/>
        <xdr:cNvGraphicFramePr/>
      </xdr:nvGraphicFramePr>
      <xdr:xfrm>
        <a:off x="0" y="0"/>
        <a:ext cx="0" cy="0"/>
      </xdr:xfrm>
      <a:graphic>
        <a:graphicData uri="http://schemas.openxmlformats.org/drawingml/2006/chart">
          <c:chart r:id="rId13"/>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43</xdr:col>
      <xdr:colOff>171450</xdr:colOff>
      <xdr:row>0</xdr:row>
      <xdr:rowOff>0</xdr:rowOff>
    </xdr:from>
    <xdr:ext cx="14039850" cy="7286625"/>
    <xdr:graphicFrame>
      <xdr:nvGraphicFramePr>
        <xdr:cNvPr id="47" name="Chart 4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19</xdr:col>
      <xdr:colOff>1352550</xdr:colOff>
      <xdr:row>53</xdr:row>
      <xdr:rowOff>57150</xdr:rowOff>
    </xdr:from>
    <xdr:ext cx="3314700" cy="2047875"/>
    <xdr:graphicFrame>
      <xdr:nvGraphicFramePr>
        <xdr:cNvPr id="45" name="Chart 4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22</xdr:col>
      <xdr:colOff>571500</xdr:colOff>
      <xdr:row>53</xdr:row>
      <xdr:rowOff>47625</xdr:rowOff>
    </xdr:from>
    <xdr:ext cx="3314700" cy="2047875"/>
    <xdr:graphicFrame>
      <xdr:nvGraphicFramePr>
        <xdr:cNvPr id="46" name="Chart 46"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28</xdr:col>
      <xdr:colOff>219075</xdr:colOff>
      <xdr:row>28</xdr:row>
      <xdr:rowOff>95250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23</xdr:col>
      <xdr:colOff>5495925</xdr:colOff>
      <xdr:row>28</xdr:row>
      <xdr:rowOff>85725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30</xdr:col>
      <xdr:colOff>1352550</xdr:colOff>
      <xdr:row>54</xdr:row>
      <xdr:rowOff>57150</xdr:rowOff>
    </xdr:from>
    <xdr:ext cx="3314700" cy="20478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33</xdr:col>
      <xdr:colOff>571500</xdr:colOff>
      <xdr:row>54</xdr:row>
      <xdr:rowOff>47625</xdr:rowOff>
    </xdr:from>
    <xdr:ext cx="3314700" cy="204787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41</xdr:col>
      <xdr:colOff>714375</xdr:colOff>
      <xdr:row>69</xdr:row>
      <xdr:rowOff>38100</xdr:rowOff>
    </xdr:from>
    <xdr:ext cx="3314700" cy="2047875"/>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41</xdr:col>
      <xdr:colOff>657225</xdr:colOff>
      <xdr:row>55</xdr:row>
      <xdr:rowOff>171450</xdr:rowOff>
    </xdr:from>
    <xdr:ext cx="3314700" cy="2047875"/>
    <xdr:graphicFrame>
      <xdr:nvGraphicFramePr>
        <xdr:cNvPr id="13" name="Chart 1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24</xdr:col>
      <xdr:colOff>1333500</xdr:colOff>
      <xdr:row>23</xdr:row>
      <xdr:rowOff>9525</xdr:rowOff>
    </xdr:from>
    <xdr:ext cx="3314700" cy="2047875"/>
    <xdr:graphicFrame>
      <xdr:nvGraphicFramePr>
        <xdr:cNvPr id="15" name="Chart 15"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24</xdr:col>
      <xdr:colOff>1333500</xdr:colOff>
      <xdr:row>28</xdr:row>
      <xdr:rowOff>1876425</xdr:rowOff>
    </xdr:from>
    <xdr:ext cx="3314700" cy="2047875"/>
    <xdr:graphicFrame>
      <xdr:nvGraphicFramePr>
        <xdr:cNvPr id="19" name="Chart 19"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27</xdr:col>
      <xdr:colOff>533400</xdr:colOff>
      <xdr:row>23</xdr:row>
      <xdr:rowOff>9525</xdr:rowOff>
    </xdr:from>
    <xdr:ext cx="3314700" cy="2047875"/>
    <xdr:graphicFrame>
      <xdr:nvGraphicFramePr>
        <xdr:cNvPr id="21" name="Chart 21"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27</xdr:col>
      <xdr:colOff>523875</xdr:colOff>
      <xdr:row>28</xdr:row>
      <xdr:rowOff>1876425</xdr:rowOff>
    </xdr:from>
    <xdr:ext cx="3314700" cy="2047875"/>
    <xdr:graphicFrame>
      <xdr:nvGraphicFramePr>
        <xdr:cNvPr id="23" name="Chart 23"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30</xdr:col>
      <xdr:colOff>942975</xdr:colOff>
      <xdr:row>23</xdr:row>
      <xdr:rowOff>9525</xdr:rowOff>
    </xdr:from>
    <xdr:ext cx="3314700" cy="2047875"/>
    <xdr:graphicFrame>
      <xdr:nvGraphicFramePr>
        <xdr:cNvPr id="25" name="Chart 25"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30</xdr:col>
      <xdr:colOff>952500</xdr:colOff>
      <xdr:row>28</xdr:row>
      <xdr:rowOff>1876425</xdr:rowOff>
    </xdr:from>
    <xdr:ext cx="3314700" cy="2047875"/>
    <xdr:graphicFrame>
      <xdr:nvGraphicFramePr>
        <xdr:cNvPr id="26" name="Chart 26"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34</xdr:col>
      <xdr:colOff>390525</xdr:colOff>
      <xdr:row>22</xdr:row>
      <xdr:rowOff>219075</xdr:rowOff>
    </xdr:from>
    <xdr:ext cx="3314700" cy="2047875"/>
    <xdr:graphicFrame>
      <xdr:nvGraphicFramePr>
        <xdr:cNvPr id="27" name="Chart 27"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34</xdr:col>
      <xdr:colOff>409575</xdr:colOff>
      <xdr:row>28</xdr:row>
      <xdr:rowOff>1857375</xdr:rowOff>
    </xdr:from>
    <xdr:ext cx="3314700" cy="2047875"/>
    <xdr:graphicFrame>
      <xdr:nvGraphicFramePr>
        <xdr:cNvPr id="29" name="Chart 29"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24</xdr:col>
      <xdr:colOff>1362075</xdr:colOff>
      <xdr:row>45</xdr:row>
      <xdr:rowOff>142875</xdr:rowOff>
    </xdr:from>
    <xdr:ext cx="3314700" cy="2047875"/>
    <xdr:graphicFrame>
      <xdr:nvGraphicFramePr>
        <xdr:cNvPr id="30" name="Chart 30" title="Chart"/>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24</xdr:col>
      <xdr:colOff>1362075</xdr:colOff>
      <xdr:row>55</xdr:row>
      <xdr:rowOff>180975</xdr:rowOff>
    </xdr:from>
    <xdr:ext cx="3314700" cy="2047875"/>
    <xdr:graphicFrame>
      <xdr:nvGraphicFramePr>
        <xdr:cNvPr id="31" name="Chart 31" title="Chart"/>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37</xdr:col>
      <xdr:colOff>828675</xdr:colOff>
      <xdr:row>22</xdr:row>
      <xdr:rowOff>200025</xdr:rowOff>
    </xdr:from>
    <xdr:ext cx="3314700" cy="2047875"/>
    <xdr:graphicFrame>
      <xdr:nvGraphicFramePr>
        <xdr:cNvPr id="32" name="Chart 32" title="Chart"/>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37</xdr:col>
      <xdr:colOff>809625</xdr:colOff>
      <xdr:row>28</xdr:row>
      <xdr:rowOff>1828800</xdr:rowOff>
    </xdr:from>
    <xdr:ext cx="3314700" cy="2047875"/>
    <xdr:graphicFrame>
      <xdr:nvGraphicFramePr>
        <xdr:cNvPr id="33" name="Chart 33" title="Chart"/>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37</xdr:col>
      <xdr:colOff>838200</xdr:colOff>
      <xdr:row>45</xdr:row>
      <xdr:rowOff>142875</xdr:rowOff>
    </xdr:from>
    <xdr:ext cx="3314700" cy="2047875"/>
    <xdr:graphicFrame>
      <xdr:nvGraphicFramePr>
        <xdr:cNvPr id="35" name="Chart 35" title="Chart"/>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37</xdr:col>
      <xdr:colOff>866775</xdr:colOff>
      <xdr:row>55</xdr:row>
      <xdr:rowOff>152400</xdr:rowOff>
    </xdr:from>
    <xdr:ext cx="3314700" cy="2047875"/>
    <xdr:graphicFrame>
      <xdr:nvGraphicFramePr>
        <xdr:cNvPr id="36" name="Chart 36" title="Chart"/>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27</xdr:col>
      <xdr:colOff>561975</xdr:colOff>
      <xdr:row>45</xdr:row>
      <xdr:rowOff>133350</xdr:rowOff>
    </xdr:from>
    <xdr:ext cx="3314700" cy="2047875"/>
    <xdr:graphicFrame>
      <xdr:nvGraphicFramePr>
        <xdr:cNvPr id="37" name="Chart 37" title="Chart"/>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27</xdr:col>
      <xdr:colOff>561975</xdr:colOff>
      <xdr:row>55</xdr:row>
      <xdr:rowOff>180975</xdr:rowOff>
    </xdr:from>
    <xdr:ext cx="3314700" cy="2047875"/>
    <xdr:graphicFrame>
      <xdr:nvGraphicFramePr>
        <xdr:cNvPr id="38" name="Chart 38" title="Chart"/>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31</xdr:col>
      <xdr:colOff>9525</xdr:colOff>
      <xdr:row>45</xdr:row>
      <xdr:rowOff>142875</xdr:rowOff>
    </xdr:from>
    <xdr:ext cx="3314700" cy="2047875"/>
    <xdr:graphicFrame>
      <xdr:nvGraphicFramePr>
        <xdr:cNvPr id="39" name="Chart 39" title="Chart"/>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34</xdr:col>
      <xdr:colOff>428625</xdr:colOff>
      <xdr:row>45</xdr:row>
      <xdr:rowOff>142875</xdr:rowOff>
    </xdr:from>
    <xdr:ext cx="3314700" cy="2047875"/>
    <xdr:graphicFrame>
      <xdr:nvGraphicFramePr>
        <xdr:cNvPr id="41" name="Chart 41" title="Chart"/>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31</xdr:col>
      <xdr:colOff>9525</xdr:colOff>
      <xdr:row>55</xdr:row>
      <xdr:rowOff>152400</xdr:rowOff>
    </xdr:from>
    <xdr:ext cx="3314700" cy="2047875"/>
    <xdr:graphicFrame>
      <xdr:nvGraphicFramePr>
        <xdr:cNvPr id="42" name="Chart 42" title="Chart"/>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34</xdr:col>
      <xdr:colOff>447675</xdr:colOff>
      <xdr:row>55</xdr:row>
      <xdr:rowOff>85725</xdr:rowOff>
    </xdr:from>
    <xdr:ext cx="3314700" cy="2047875"/>
    <xdr:graphicFrame>
      <xdr:nvGraphicFramePr>
        <xdr:cNvPr id="43" name="Chart 43" title="Chart"/>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35</xdr:col>
      <xdr:colOff>581025</xdr:colOff>
      <xdr:row>35</xdr:row>
      <xdr:rowOff>0</xdr:rowOff>
    </xdr:from>
    <xdr:ext cx="3314700" cy="2047875"/>
    <xdr:graphicFrame>
      <xdr:nvGraphicFramePr>
        <xdr:cNvPr id="44" name="Chart 44" title="Chart"/>
        <xdr:cNvGraphicFramePr/>
      </xdr:nvGraphicFramePr>
      <xdr:xfrm>
        <a:off x="0" y="0"/>
        <a:ext cx="0" cy="0"/>
      </xdr:xfrm>
      <a:graphic>
        <a:graphicData uri="http://schemas.openxmlformats.org/drawingml/2006/chart">
          <c:chart r:id="rId23"/>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28</xdr:col>
      <xdr:colOff>219075</xdr:colOff>
      <xdr:row>28</xdr:row>
      <xdr:rowOff>95250</xdr:rowOff>
    </xdr:from>
    <xdr:ext cx="5715000" cy="3533775"/>
    <xdr:graphicFrame>
      <xdr:nvGraphicFramePr>
        <xdr:cNvPr id="16" name="Chart 1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23</xdr:col>
      <xdr:colOff>5495925</xdr:colOff>
      <xdr:row>28</xdr:row>
      <xdr:rowOff>85725</xdr:rowOff>
    </xdr:from>
    <xdr:ext cx="5715000" cy="3533775"/>
    <xdr:graphicFrame>
      <xdr:nvGraphicFramePr>
        <xdr:cNvPr id="17" name="Chart 17"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52</xdr:col>
      <xdr:colOff>161925</xdr:colOff>
      <xdr:row>0</xdr:row>
      <xdr:rowOff>0</xdr:rowOff>
    </xdr:from>
    <xdr:ext cx="14544675" cy="8239125"/>
    <xdr:graphicFrame>
      <xdr:nvGraphicFramePr>
        <xdr:cNvPr id="34" name="Chart 3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43</xdr:col>
      <xdr:colOff>666750</xdr:colOff>
      <xdr:row>10</xdr:row>
      <xdr:rowOff>104775</xdr:rowOff>
    </xdr:from>
    <xdr:ext cx="13439775" cy="6753225"/>
    <xdr:graphicFrame>
      <xdr:nvGraphicFramePr>
        <xdr:cNvPr id="40" name="Chart 40"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1" Type="http://schemas.openxmlformats.org/officeDocument/2006/relationships/hyperlink" Target="http://proxyapps.exascaleproject.org/apps/minife" TargetMode="External"/><Relationship Id="rId10" Type="http://schemas.openxmlformats.org/officeDocument/2006/relationships/hyperlink" Target="http://proxyapps.exascaleproject.org/apps/miniamr" TargetMode="External"/><Relationship Id="rId13" Type="http://schemas.openxmlformats.org/officeDocument/2006/relationships/hyperlink" Target="http://proxyapps.exascaleproject.org/apps/nekbone" TargetMode="External"/><Relationship Id="rId12" Type="http://schemas.openxmlformats.org/officeDocument/2006/relationships/hyperlink" Target="http://proxyapps.exascaleproject.org/apps/minitri" TargetMode="External"/><Relationship Id="rId1" Type="http://schemas.openxmlformats.org/officeDocument/2006/relationships/hyperlink" Target="http://hpci-aplfs.aics.riken.jp/document/roadmap2017/roadmap_170713.pdf" TargetMode="External"/><Relationship Id="rId2" Type="http://schemas.openxmlformats.org/officeDocument/2006/relationships/hyperlink" Target="http://www.prace-ri.eu/ueabs/" TargetMode="External"/><Relationship Id="rId3" Type="http://schemas.openxmlformats.org/officeDocument/2006/relationships/hyperlink" Target="https://mantevo.org/packages/" TargetMode="External"/><Relationship Id="rId4" Type="http://schemas.openxmlformats.org/officeDocument/2006/relationships/hyperlink" Target="https://portal.nersc.gov/project/CAL/designforward.htm" TargetMode="External"/><Relationship Id="rId9" Type="http://schemas.openxmlformats.org/officeDocument/2006/relationships/hyperlink" Target="http://proxyapps.exascaleproject.org/apps/macsio" TargetMode="External"/><Relationship Id="rId15" Type="http://schemas.openxmlformats.org/officeDocument/2006/relationships/hyperlink" Target="http://proxyapps.exascaleproject.org/apps/swfft" TargetMode="External"/><Relationship Id="rId14" Type="http://schemas.openxmlformats.org/officeDocument/2006/relationships/hyperlink" Target="http://proxyapps.exascaleproject.org/apps/sw4lite" TargetMode="External"/><Relationship Id="rId17" Type="http://schemas.openxmlformats.org/officeDocument/2006/relationships/drawing" Target="../drawings/drawing1.xml"/><Relationship Id="rId16" Type="http://schemas.openxmlformats.org/officeDocument/2006/relationships/hyperlink" Target="http://proxyapps.exascaleproject.org/apps/xsbench" TargetMode="External"/><Relationship Id="rId5" Type="http://schemas.openxmlformats.org/officeDocument/2006/relationships/hyperlink" Target="http://proxyapps.exascaleproject.org/apps/amg" TargetMode="External"/><Relationship Id="rId6" Type="http://schemas.openxmlformats.org/officeDocument/2006/relationships/hyperlink" Target="http://proxyapps.exascaleproject.org/apps/candle" TargetMode="External"/><Relationship Id="rId7" Type="http://schemas.openxmlformats.org/officeDocument/2006/relationships/hyperlink" Target="http://proxyapps.exascaleproject.org/apps/comd" TargetMode="External"/><Relationship Id="rId8" Type="http://schemas.openxmlformats.org/officeDocument/2006/relationships/hyperlink" Target="http://proxyapps.exascaleproject.org/apps/laghos"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www.prace-ri.eu/ueabs/"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proxyapps.exascaleproject.org/apps/amg" TargetMode="External"/><Relationship Id="rId2" Type="http://schemas.openxmlformats.org/officeDocument/2006/relationships/hyperlink" Target="http://proxyapps.exascaleproject.org/apps/candle" TargetMode="External"/><Relationship Id="rId3" Type="http://schemas.openxmlformats.org/officeDocument/2006/relationships/hyperlink" Target="http://proxyapps.exascaleproject.org/apps/comd" TargetMode="External"/><Relationship Id="rId4" Type="http://schemas.openxmlformats.org/officeDocument/2006/relationships/hyperlink" Target="http://proxyapps.exascaleproject.org/apps/laghos" TargetMode="External"/><Relationship Id="rId9" Type="http://schemas.openxmlformats.org/officeDocument/2006/relationships/hyperlink" Target="http://proxyapps.exascaleproject.org/apps/nekbone" TargetMode="External"/><Relationship Id="rId5" Type="http://schemas.openxmlformats.org/officeDocument/2006/relationships/hyperlink" Target="http://proxyapps.exascaleproject.org/apps/macsio" TargetMode="External"/><Relationship Id="rId6" Type="http://schemas.openxmlformats.org/officeDocument/2006/relationships/hyperlink" Target="http://proxyapps.exascaleproject.org/apps/miniamr" TargetMode="External"/><Relationship Id="rId7" Type="http://schemas.openxmlformats.org/officeDocument/2006/relationships/hyperlink" Target="http://proxyapps.exascaleproject.org/apps/minife" TargetMode="External"/><Relationship Id="rId8" Type="http://schemas.openxmlformats.org/officeDocument/2006/relationships/hyperlink" Target="http://proxyapps.exascaleproject.org/apps/minitri" TargetMode="External"/><Relationship Id="rId11" Type="http://schemas.openxmlformats.org/officeDocument/2006/relationships/hyperlink" Target="http://proxyapps.exascaleproject.org/apps/swfft" TargetMode="External"/><Relationship Id="rId10" Type="http://schemas.openxmlformats.org/officeDocument/2006/relationships/hyperlink" Target="http://proxyapps.exascaleproject.org/apps/sw4lite" TargetMode="External"/><Relationship Id="rId13" Type="http://schemas.openxmlformats.org/officeDocument/2006/relationships/drawing" Target="../drawings/drawing11.xml"/><Relationship Id="rId12" Type="http://schemas.openxmlformats.org/officeDocument/2006/relationships/hyperlink" Target="http://proxyapps.exascaleproject.org/apps/xsbench"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proxyapps.exascaleproject.org/apps/sw4lite" TargetMode="External"/><Relationship Id="rId10" Type="http://schemas.openxmlformats.org/officeDocument/2006/relationships/hyperlink" Target="http://proxyapps.exascaleproject.org/apps/nekbone" TargetMode="External"/><Relationship Id="rId13" Type="http://schemas.openxmlformats.org/officeDocument/2006/relationships/hyperlink" Target="http://proxyapps.exascaleproject.org/apps/xsbench" TargetMode="External"/><Relationship Id="rId12" Type="http://schemas.openxmlformats.org/officeDocument/2006/relationships/hyperlink" Target="http://proxyapps.exascaleproject.org/apps/swfft" TargetMode="External"/><Relationship Id="rId1" Type="http://schemas.openxmlformats.org/officeDocument/2006/relationships/hyperlink" Target="http://www.prace-ri.eu/ueabs/" TargetMode="External"/><Relationship Id="rId2" Type="http://schemas.openxmlformats.org/officeDocument/2006/relationships/hyperlink" Target="http://proxyapps.exascaleproject.org/apps/amg" TargetMode="External"/><Relationship Id="rId3" Type="http://schemas.openxmlformats.org/officeDocument/2006/relationships/hyperlink" Target="http://proxyapps.exascaleproject.org/apps/candle" TargetMode="External"/><Relationship Id="rId4" Type="http://schemas.openxmlformats.org/officeDocument/2006/relationships/hyperlink" Target="http://proxyapps.exascaleproject.org/apps/comd" TargetMode="External"/><Relationship Id="rId9" Type="http://schemas.openxmlformats.org/officeDocument/2006/relationships/hyperlink" Target="http://proxyapps.exascaleproject.org/apps/minitri" TargetMode="External"/><Relationship Id="rId14" Type="http://schemas.openxmlformats.org/officeDocument/2006/relationships/drawing" Target="../drawings/drawing2.xml"/><Relationship Id="rId5" Type="http://schemas.openxmlformats.org/officeDocument/2006/relationships/hyperlink" Target="http://proxyapps.exascaleproject.org/apps/laghos" TargetMode="External"/><Relationship Id="rId6" Type="http://schemas.openxmlformats.org/officeDocument/2006/relationships/hyperlink" Target="http://proxyapps.exascaleproject.org/apps/macsio" TargetMode="External"/><Relationship Id="rId7" Type="http://schemas.openxmlformats.org/officeDocument/2006/relationships/hyperlink" Target="http://proxyapps.exascaleproject.org/apps/miniamr" TargetMode="External"/><Relationship Id="rId8" Type="http://schemas.openxmlformats.org/officeDocument/2006/relationships/hyperlink" Target="http://proxyapps.exascaleproject.org/apps/minif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prace-ri.eu/ueabs/"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proxyapps.exascaleproject.org/apps/swfft" TargetMode="External"/><Relationship Id="rId11" Type="http://schemas.openxmlformats.org/officeDocument/2006/relationships/hyperlink" Target="http://proxyapps.exascaleproject.org/apps/candle" TargetMode="External"/><Relationship Id="rId22" Type="http://schemas.openxmlformats.org/officeDocument/2006/relationships/drawing" Target="../drawings/drawing4.xml"/><Relationship Id="rId10" Type="http://schemas.openxmlformats.org/officeDocument/2006/relationships/hyperlink" Target="http://proxyapps.exascaleproject.org/apps/amg" TargetMode="External"/><Relationship Id="rId21" Type="http://schemas.openxmlformats.org/officeDocument/2006/relationships/hyperlink" Target="http://proxyapps.exascaleproject.org/apps/xsbench" TargetMode="External"/><Relationship Id="rId13" Type="http://schemas.openxmlformats.org/officeDocument/2006/relationships/hyperlink" Target="http://proxyapps.exascaleproject.org/apps/laghos" TargetMode="External"/><Relationship Id="rId12" Type="http://schemas.openxmlformats.org/officeDocument/2006/relationships/hyperlink" Target="http://proxyapps.exascaleproject.org/apps/comd" TargetMode="External"/><Relationship Id="rId1" Type="http://schemas.openxmlformats.org/officeDocument/2006/relationships/hyperlink" Target="http://www.zib.de/features/supercomputing-zib" TargetMode="External"/><Relationship Id="rId2" Type="http://schemas.openxmlformats.org/officeDocument/2006/relationships/hyperlink" Target="http://www.nersc.gov/assets/Uploads/17-NERSC-3962-report-final.pdf" TargetMode="External"/><Relationship Id="rId3" Type="http://schemas.openxmlformats.org/officeDocument/2006/relationships/hyperlink" Target="http://www.ssken.gr.jp/MAINSITE/event/2017/20171026-sci/lecture-03/SSKEN_sci2017_NakajimaKengo_presentation.pdf" TargetMode="External"/><Relationship Id="rId4" Type="http://schemas.openxmlformats.org/officeDocument/2006/relationships/hyperlink" Target="https://www.hpci-office.jp/k-computer/documents/annualreport2016.pdf" TargetMode="External"/><Relationship Id="rId9" Type="http://schemas.openxmlformats.org/officeDocument/2006/relationships/hyperlink" Target="https://www.alcf.anl.gov/files/ALCF_2016AR.pdf" TargetMode="External"/><Relationship Id="rId15" Type="http://schemas.openxmlformats.org/officeDocument/2006/relationships/hyperlink" Target="http://proxyapps.exascaleproject.org/apps/miniamr" TargetMode="External"/><Relationship Id="rId14" Type="http://schemas.openxmlformats.org/officeDocument/2006/relationships/hyperlink" Target="http://proxyapps.exascaleproject.org/apps/macsio" TargetMode="External"/><Relationship Id="rId17" Type="http://schemas.openxmlformats.org/officeDocument/2006/relationships/hyperlink" Target="http://proxyapps.exascaleproject.org/apps/minitri" TargetMode="External"/><Relationship Id="rId16" Type="http://schemas.openxmlformats.org/officeDocument/2006/relationships/hyperlink" Target="http://proxyapps.exascaleproject.org/apps/minife" TargetMode="External"/><Relationship Id="rId5" Type="http://schemas.openxmlformats.org/officeDocument/2006/relationships/hyperlink" Target="https://www.cscs.ch/fileadmin/user_upload/contents_publications/annual_reports/AR2017_Online.pdf" TargetMode="External"/><Relationship Id="rId19" Type="http://schemas.openxmlformats.org/officeDocument/2006/relationships/hyperlink" Target="http://proxyapps.exascaleproject.org/apps/sw4lite" TargetMode="External"/><Relationship Id="rId6" Type="http://schemas.openxmlformats.org/officeDocument/2006/relationships/hyperlink" Target="https://hpc.fau.de/systems/hpc-usage-reports/" TargetMode="External"/><Relationship Id="rId18" Type="http://schemas.openxmlformats.org/officeDocument/2006/relationships/hyperlink" Target="http://proxyapps.exascaleproject.org/apps/nekbone" TargetMode="External"/><Relationship Id="rId7" Type="http://schemas.openxmlformats.org/officeDocument/2006/relationships/hyperlink" Target="https://www.slideshare.net/ultrafilter/nchc-i-sc2013leipzig" TargetMode="External"/><Relationship Id="rId8" Type="http://schemas.openxmlformats.org/officeDocument/2006/relationships/hyperlink" Target="https://www.hlrs.de/fileadmin/sys/public/aboutus/media/report/HLRS-Annual_Report_2017.pdf"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proxyapps.exascaleproject.org/apps/macsio" TargetMode="External"/><Relationship Id="rId22" Type="http://schemas.openxmlformats.org/officeDocument/2006/relationships/hyperlink" Target="http://proxyapps.exascaleproject.org/apps/minife" TargetMode="External"/><Relationship Id="rId21" Type="http://schemas.openxmlformats.org/officeDocument/2006/relationships/hyperlink" Target="http://proxyapps.exascaleproject.org/apps/miniamr" TargetMode="External"/><Relationship Id="rId24" Type="http://schemas.openxmlformats.org/officeDocument/2006/relationships/hyperlink" Target="http://proxyapps.exascaleproject.org/apps/nekbone" TargetMode="External"/><Relationship Id="rId23" Type="http://schemas.openxmlformats.org/officeDocument/2006/relationships/hyperlink" Target="http://proxyapps.exascaleproject.org/apps/minitri" TargetMode="External"/><Relationship Id="rId1" Type="http://schemas.openxmlformats.org/officeDocument/2006/relationships/hyperlink" Target="http://proxyapps.exascaleproject.org/apps/amg" TargetMode="External"/><Relationship Id="rId2" Type="http://schemas.openxmlformats.org/officeDocument/2006/relationships/hyperlink" Target="http://proxyapps.exascaleproject.org/apps/candle" TargetMode="External"/><Relationship Id="rId3" Type="http://schemas.openxmlformats.org/officeDocument/2006/relationships/hyperlink" Target="http://proxyapps.exascaleproject.org/apps/comd" TargetMode="External"/><Relationship Id="rId4" Type="http://schemas.openxmlformats.org/officeDocument/2006/relationships/hyperlink" Target="http://proxyapps.exascaleproject.org/apps/laghos" TargetMode="External"/><Relationship Id="rId9" Type="http://schemas.openxmlformats.org/officeDocument/2006/relationships/hyperlink" Target="http://proxyapps.exascaleproject.org/apps/nekbone" TargetMode="External"/><Relationship Id="rId26" Type="http://schemas.openxmlformats.org/officeDocument/2006/relationships/hyperlink" Target="http://proxyapps.exascaleproject.org/apps/swfft" TargetMode="External"/><Relationship Id="rId25" Type="http://schemas.openxmlformats.org/officeDocument/2006/relationships/hyperlink" Target="http://proxyapps.exascaleproject.org/apps/sw4lite" TargetMode="External"/><Relationship Id="rId28" Type="http://schemas.openxmlformats.org/officeDocument/2006/relationships/drawing" Target="../drawings/drawing5.xml"/><Relationship Id="rId27" Type="http://schemas.openxmlformats.org/officeDocument/2006/relationships/hyperlink" Target="http://proxyapps.exascaleproject.org/apps/xsbench" TargetMode="External"/><Relationship Id="rId5" Type="http://schemas.openxmlformats.org/officeDocument/2006/relationships/hyperlink" Target="http://proxyapps.exascaleproject.org/apps/macsio" TargetMode="External"/><Relationship Id="rId6" Type="http://schemas.openxmlformats.org/officeDocument/2006/relationships/hyperlink" Target="http://proxyapps.exascaleproject.org/apps/miniamr" TargetMode="External"/><Relationship Id="rId7" Type="http://schemas.openxmlformats.org/officeDocument/2006/relationships/hyperlink" Target="http://proxyapps.exascaleproject.org/apps/minife" TargetMode="External"/><Relationship Id="rId8" Type="http://schemas.openxmlformats.org/officeDocument/2006/relationships/hyperlink" Target="http://proxyapps.exascaleproject.org/apps/minitri" TargetMode="External"/><Relationship Id="rId11" Type="http://schemas.openxmlformats.org/officeDocument/2006/relationships/hyperlink" Target="http://proxyapps.exascaleproject.org/apps/swfft" TargetMode="External"/><Relationship Id="rId10" Type="http://schemas.openxmlformats.org/officeDocument/2006/relationships/hyperlink" Target="http://proxyapps.exascaleproject.org/apps/sw4lite" TargetMode="External"/><Relationship Id="rId13" Type="http://schemas.openxmlformats.org/officeDocument/2006/relationships/hyperlink" Target="http://www.prace-ri.eu/ueabs/" TargetMode="External"/><Relationship Id="rId12" Type="http://schemas.openxmlformats.org/officeDocument/2006/relationships/hyperlink" Target="http://proxyapps.exascaleproject.org/apps/xsbench" TargetMode="External"/><Relationship Id="rId15" Type="http://schemas.openxmlformats.org/officeDocument/2006/relationships/hyperlink" Target="https://portal.nersc.gov/project/CAL/designforward.htm" TargetMode="External"/><Relationship Id="rId14" Type="http://schemas.openxmlformats.org/officeDocument/2006/relationships/hyperlink" Target="https://mantevo.org/packages/" TargetMode="External"/><Relationship Id="rId17" Type="http://schemas.openxmlformats.org/officeDocument/2006/relationships/hyperlink" Target="http://proxyapps.exascaleproject.org/apps/candle" TargetMode="External"/><Relationship Id="rId16" Type="http://schemas.openxmlformats.org/officeDocument/2006/relationships/hyperlink" Target="http://proxyapps.exascaleproject.org/apps/amg" TargetMode="External"/><Relationship Id="rId19" Type="http://schemas.openxmlformats.org/officeDocument/2006/relationships/hyperlink" Target="http://proxyapps.exascaleproject.org/apps/laghos" TargetMode="External"/><Relationship Id="rId18" Type="http://schemas.openxmlformats.org/officeDocument/2006/relationships/hyperlink" Target="http://proxyapps.exascaleproject.org/apps/com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prace-ri.eu/ueabs/" TargetMode="External"/><Relationship Id="rId2" Type="http://schemas.openxmlformats.org/officeDocument/2006/relationships/hyperlink" Target="http://proxyapps.exascaleproject.org/apps/amg" TargetMode="External"/><Relationship Id="rId3" Type="http://schemas.openxmlformats.org/officeDocument/2006/relationships/hyperlink" Target="http://proxyapps.exascaleproject.org/apps/candle" TargetMode="External"/><Relationship Id="rId4" Type="http://schemas.openxmlformats.org/officeDocument/2006/relationships/hyperlink" Target="http://proxyapps.exascaleproject.org/apps/comd" TargetMode="External"/><Relationship Id="rId9" Type="http://schemas.openxmlformats.org/officeDocument/2006/relationships/hyperlink" Target="http://proxyapps.exascaleproject.org/apps/minitri" TargetMode="External"/><Relationship Id="rId5" Type="http://schemas.openxmlformats.org/officeDocument/2006/relationships/hyperlink" Target="http://proxyapps.exascaleproject.org/apps/laghos" TargetMode="External"/><Relationship Id="rId6" Type="http://schemas.openxmlformats.org/officeDocument/2006/relationships/hyperlink" Target="http://proxyapps.exascaleproject.org/apps/macsio" TargetMode="External"/><Relationship Id="rId7" Type="http://schemas.openxmlformats.org/officeDocument/2006/relationships/hyperlink" Target="http://proxyapps.exascaleproject.org/apps/miniamr" TargetMode="External"/><Relationship Id="rId8" Type="http://schemas.openxmlformats.org/officeDocument/2006/relationships/hyperlink" Target="http://proxyapps.exascaleproject.org/apps/minife" TargetMode="External"/><Relationship Id="rId11" Type="http://schemas.openxmlformats.org/officeDocument/2006/relationships/hyperlink" Target="http://proxyapps.exascaleproject.org/apps/sw4lite" TargetMode="External"/><Relationship Id="rId10" Type="http://schemas.openxmlformats.org/officeDocument/2006/relationships/hyperlink" Target="http://proxyapps.exascaleproject.org/apps/nekbone" TargetMode="External"/><Relationship Id="rId13" Type="http://schemas.openxmlformats.org/officeDocument/2006/relationships/hyperlink" Target="http://proxyapps.exascaleproject.org/apps/xsbench" TargetMode="External"/><Relationship Id="rId12" Type="http://schemas.openxmlformats.org/officeDocument/2006/relationships/hyperlink" Target="http://proxyapps.exascaleproject.org/apps/swfft" TargetMode="External"/><Relationship Id="rId1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prace-ri.eu/ueabs/"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hpci-aplfs.aics.riken.jp/document/roadmap2017/roadmap_170713.pdf" TargetMode="External"/><Relationship Id="rId2" Type="http://schemas.openxmlformats.org/officeDocument/2006/relationships/hyperlink" Target="http://www.prace-ri.eu/ueabs/" TargetMode="External"/><Relationship Id="rId3" Type="http://schemas.openxmlformats.org/officeDocument/2006/relationships/hyperlink" Target="https://mantevo.org/packages/" TargetMode="External"/><Relationship Id="rId4" Type="http://schemas.openxmlformats.org/officeDocument/2006/relationships/hyperlink" Target="https://portal.nersc.gov/project/CAL/designforward.htm"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www.prace-ri.eu/ueabs/"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4.29"/>
    <col customWidth="1" min="3" max="3" width="80.86"/>
    <col customWidth="1" min="4" max="4" width="31.43"/>
    <col customWidth="1" min="5" max="5" width="45.29"/>
    <col customWidth="1" min="6" max="6" width="36.71"/>
    <col customWidth="1" min="7" max="10" width="28.86"/>
    <col customWidth="1" min="11" max="11" width="43.57"/>
    <col customWidth="1" min="12" max="12" width="28.86"/>
    <col customWidth="1" min="13" max="14" width="28.43"/>
    <col customWidth="1" min="15" max="15" width="28.86"/>
    <col customWidth="1" min="16" max="17" width="45.57"/>
    <col customWidth="1" min="18" max="19" width="35.57"/>
    <col customWidth="1" min="20" max="21" width="29.14"/>
    <col customWidth="1" min="22" max="23" width="29.57"/>
    <col customWidth="1" min="24" max="24" width="45.0"/>
    <col customWidth="1" min="25" max="25" width="165.57"/>
    <col customWidth="1" min="26" max="26" width="155.29"/>
    <col customWidth="1" min="27" max="27" width="32.86"/>
  </cols>
  <sheetData>
    <row r="1" ht="33.0" customHeight="1">
      <c r="A1" s="1" t="s">
        <v>385</v>
      </c>
      <c r="B1" s="3" t="s">
        <v>1156</v>
      </c>
      <c r="C1" s="3" t="s">
        <v>2</v>
      </c>
      <c r="D1" s="3" t="s">
        <v>3</v>
      </c>
      <c r="E1" s="3" t="s">
        <v>1157</v>
      </c>
      <c r="F1" s="3" t="s">
        <v>5</v>
      </c>
      <c r="G1" s="3" t="s">
        <v>6</v>
      </c>
      <c r="H1" s="3" t="s">
        <v>7</v>
      </c>
      <c r="I1" s="3" t="s">
        <v>1158</v>
      </c>
      <c r="J1" s="3" t="s">
        <v>1159</v>
      </c>
      <c r="K1" s="3" t="s">
        <v>8</v>
      </c>
      <c r="L1" s="3" t="s">
        <v>1160</v>
      </c>
      <c r="M1" s="3" t="s">
        <v>10</v>
      </c>
      <c r="N1" s="3" t="s">
        <v>11</v>
      </c>
      <c r="O1" s="3" t="s">
        <v>12</v>
      </c>
      <c r="P1" s="3" t="s">
        <v>1161</v>
      </c>
      <c r="Q1" s="3" t="s">
        <v>1162</v>
      </c>
      <c r="R1" s="5" t="s">
        <v>15</v>
      </c>
      <c r="S1" s="5" t="s">
        <v>1163</v>
      </c>
      <c r="T1" s="5" t="s">
        <v>17</v>
      </c>
      <c r="U1" s="5" t="s">
        <v>18</v>
      </c>
      <c r="V1" s="5" t="s">
        <v>19</v>
      </c>
      <c r="W1" s="5" t="s">
        <v>20</v>
      </c>
      <c r="X1" s="5" t="s">
        <v>21</v>
      </c>
      <c r="Y1" s="5" t="s">
        <v>1164</v>
      </c>
      <c r="Z1" s="5" t="s">
        <v>1165</v>
      </c>
      <c r="AA1" s="7" t="s">
        <v>1166</v>
      </c>
      <c r="AB1" s="7" t="s">
        <v>1167</v>
      </c>
      <c r="AC1" s="7" t="s">
        <v>1168</v>
      </c>
      <c r="AD1" s="7" t="s">
        <v>1169</v>
      </c>
      <c r="AE1" s="7" t="s">
        <v>1170</v>
      </c>
      <c r="AF1" s="7" t="s">
        <v>1171</v>
      </c>
      <c r="AG1" s="7" t="s">
        <v>1172</v>
      </c>
      <c r="AH1" s="7" t="s">
        <v>0</v>
      </c>
      <c r="AI1" s="6" t="s">
        <v>26</v>
      </c>
      <c r="AJ1" s="6" t="s">
        <v>27</v>
      </c>
      <c r="AK1" s="7" t="s">
        <v>0</v>
      </c>
      <c r="AL1" s="141" t="s">
        <v>1173</v>
      </c>
      <c r="AM1" s="141" t="s">
        <v>1174</v>
      </c>
      <c r="AN1" s="141" t="s">
        <v>1175</v>
      </c>
      <c r="AO1" s="141" t="s">
        <v>1176</v>
      </c>
      <c r="AP1" s="141" t="s">
        <v>1177</v>
      </c>
      <c r="AQ1" s="141" t="s">
        <v>1178</v>
      </c>
      <c r="AR1" s="6" t="s">
        <v>0</v>
      </c>
      <c r="AS1" s="6" t="s">
        <v>0</v>
      </c>
      <c r="AT1" s="7" t="s">
        <v>386</v>
      </c>
      <c r="AU1" s="7" t="s">
        <v>0</v>
      </c>
      <c r="AV1" s="7" t="s">
        <v>0</v>
      </c>
      <c r="AW1" s="7" t="s">
        <v>0</v>
      </c>
      <c r="AX1" s="7" t="s">
        <v>0</v>
      </c>
    </row>
    <row r="2" ht="21.75" customHeight="1">
      <c r="A2" s="8" t="s">
        <v>30</v>
      </c>
      <c r="B2" s="21" t="s">
        <v>31</v>
      </c>
      <c r="C2" s="21" t="s">
        <v>1179</v>
      </c>
      <c r="D2" s="147" t="s">
        <v>33</v>
      </c>
      <c r="E2" s="68" t="s">
        <v>1180</v>
      </c>
      <c r="F2" s="12" t="s">
        <v>1181</v>
      </c>
      <c r="G2" s="113" t="s">
        <v>1182</v>
      </c>
      <c r="H2" s="52" t="s">
        <v>1183</v>
      </c>
      <c r="I2" s="174" t="s">
        <v>1184</v>
      </c>
      <c r="J2" s="174" t="s">
        <v>1185</v>
      </c>
      <c r="K2" s="16" t="s">
        <v>1186</v>
      </c>
      <c r="L2" s="174" t="s">
        <v>1187</v>
      </c>
      <c r="M2" s="16" t="s">
        <v>1188</v>
      </c>
      <c r="N2" s="16" t="s">
        <v>1189</v>
      </c>
      <c r="O2" s="12" t="s">
        <v>1190</v>
      </c>
      <c r="P2" s="22" t="s">
        <v>43</v>
      </c>
      <c r="Q2" s="113" t="s">
        <v>1191</v>
      </c>
      <c r="R2" s="11" t="s">
        <v>1192</v>
      </c>
      <c r="S2" s="12" t="s">
        <v>1193</v>
      </c>
      <c r="T2" s="12" t="s">
        <v>41</v>
      </c>
      <c r="U2" s="174" t="s">
        <v>41</v>
      </c>
      <c r="V2" s="11" t="s">
        <v>1194</v>
      </c>
      <c r="W2" s="12" t="s">
        <v>1195</v>
      </c>
      <c r="X2" s="22" t="s">
        <v>249</v>
      </c>
      <c r="Y2" s="21" t="s">
        <v>1196</v>
      </c>
      <c r="Z2" s="21" t="s">
        <v>1197</v>
      </c>
      <c r="AA2" s="8" t="s">
        <v>30</v>
      </c>
      <c r="AB2" s="7">
        <f>AL2/AL2</f>
        <v>1</v>
      </c>
      <c r="AC2" s="7">
        <f>(AL2/AM2)-AB2</f>
        <v>-0.00002495343895</v>
      </c>
      <c r="AD2" s="7">
        <f>(AL2/AN2)-AB2-AC2</f>
        <v>0.01243517853</v>
      </c>
      <c r="AE2" s="7">
        <f>(AL2/AO2)-AB2-AC2-AD2</f>
        <v>0.004947408849</v>
      </c>
      <c r="AF2" s="7">
        <f>(AL2/AP2)-AB2-AC2-AD2-AE2</f>
        <v>0.004880332078</v>
      </c>
      <c r="AG2" s="7">
        <f>(AL2/AQ2)-AB2-AC2-AD2-AE2-AF2</f>
        <v>0.004577561097</v>
      </c>
      <c r="AH2" s="7" t="s">
        <v>0</v>
      </c>
      <c r="AI2" s="25" t="s">
        <v>254</v>
      </c>
      <c r="AJ2" s="7" t="s">
        <v>0</v>
      </c>
      <c r="AK2" s="7" t="s">
        <v>0</v>
      </c>
      <c r="AL2" s="175" t="s">
        <v>1198</v>
      </c>
      <c r="AM2" s="176" t="s">
        <v>1199</v>
      </c>
      <c r="AN2" s="175" t="s">
        <v>1200</v>
      </c>
      <c r="AO2" s="176" t="s">
        <v>1201</v>
      </c>
      <c r="AP2" s="175" t="s">
        <v>1202</v>
      </c>
      <c r="AQ2" s="176" t="s">
        <v>1203</v>
      </c>
      <c r="AR2" s="144" t="s">
        <v>0</v>
      </c>
      <c r="AS2" s="144" t="s">
        <v>0</v>
      </c>
      <c r="AT2" s="7" t="s">
        <v>0</v>
      </c>
      <c r="AU2" s="25" t="s">
        <v>1204</v>
      </c>
      <c r="AV2" s="7" t="s">
        <v>0</v>
      </c>
      <c r="AW2" s="7" t="s">
        <v>0</v>
      </c>
      <c r="AX2" s="7" t="s">
        <v>0</v>
      </c>
    </row>
    <row r="3">
      <c r="A3" s="8" t="s">
        <v>58</v>
      </c>
      <c r="B3" s="21" t="s">
        <v>31</v>
      </c>
      <c r="C3" s="21" t="s">
        <v>59</v>
      </c>
      <c r="D3" s="147" t="s">
        <v>60</v>
      </c>
      <c r="E3" s="113" t="s">
        <v>1205</v>
      </c>
      <c r="F3" s="12" t="s">
        <v>1206</v>
      </c>
      <c r="G3" s="113" t="s">
        <v>1207</v>
      </c>
      <c r="H3" s="174" t="s">
        <v>1208</v>
      </c>
      <c r="I3" s="174" t="s">
        <v>1209</v>
      </c>
      <c r="J3" s="174" t="s">
        <v>1210</v>
      </c>
      <c r="K3" s="174" t="s">
        <v>1211</v>
      </c>
      <c r="L3" s="174" t="s">
        <v>1212</v>
      </c>
      <c r="M3" s="30" t="s">
        <v>0</v>
      </c>
      <c r="N3" s="30" t="s">
        <v>0</v>
      </c>
      <c r="O3" s="30" t="s">
        <v>0</v>
      </c>
      <c r="P3" s="17" t="s">
        <v>66</v>
      </c>
      <c r="Q3" s="42" t="s">
        <v>1213</v>
      </c>
      <c r="R3" s="113" t="s">
        <v>1214</v>
      </c>
      <c r="S3" s="174" t="s">
        <v>41</v>
      </c>
      <c r="T3" s="113" t="s">
        <v>1215</v>
      </c>
      <c r="U3" s="174" t="s">
        <v>1216</v>
      </c>
      <c r="V3" s="113" t="s">
        <v>1217</v>
      </c>
      <c r="W3" s="174" t="s">
        <v>1218</v>
      </c>
      <c r="X3" s="22" t="s">
        <v>249</v>
      </c>
      <c r="Y3" s="22" t="s">
        <v>1219</v>
      </c>
      <c r="Z3" s="22" t="s">
        <v>0</v>
      </c>
      <c r="AA3" s="8"/>
      <c r="AG3" s="7" t="s">
        <v>0</v>
      </c>
      <c r="AH3" s="7" t="s">
        <v>0</v>
      </c>
      <c r="AI3" s="25" t="s">
        <v>1220</v>
      </c>
      <c r="AJ3" s="7" t="s">
        <v>0</v>
      </c>
      <c r="AK3" s="7" t="s">
        <v>0</v>
      </c>
      <c r="AL3" s="175" t="s">
        <v>41</v>
      </c>
      <c r="AM3" s="144" t="s">
        <v>0</v>
      </c>
      <c r="AN3" s="144" t="s">
        <v>0</v>
      </c>
      <c r="AO3" s="144" t="s">
        <v>0</v>
      </c>
      <c r="AP3" s="144" t="s">
        <v>0</v>
      </c>
      <c r="AQ3" s="144" t="s">
        <v>0</v>
      </c>
      <c r="AR3" s="144" t="s">
        <v>0</v>
      </c>
      <c r="AS3" s="144" t="s">
        <v>0</v>
      </c>
      <c r="AT3" s="7" t="s">
        <v>0</v>
      </c>
      <c r="AU3" s="25" t="s">
        <v>68</v>
      </c>
      <c r="AV3" s="7" t="s">
        <v>0</v>
      </c>
      <c r="AW3" s="7" t="s">
        <v>0</v>
      </c>
      <c r="AX3" s="7" t="s">
        <v>0</v>
      </c>
    </row>
    <row r="4">
      <c r="A4" s="8" t="s">
        <v>69</v>
      </c>
      <c r="B4" s="21" t="s">
        <v>31</v>
      </c>
      <c r="C4" s="21" t="s">
        <v>1221</v>
      </c>
      <c r="D4" s="147" t="s">
        <v>33</v>
      </c>
      <c r="E4" s="11" t="s">
        <v>1222</v>
      </c>
      <c r="F4" s="12" t="s">
        <v>1223</v>
      </c>
      <c r="G4" s="11" t="s">
        <v>1224</v>
      </c>
      <c r="H4" s="174" t="s">
        <v>1225</v>
      </c>
      <c r="I4" s="12" t="s">
        <v>1226</v>
      </c>
      <c r="J4" s="12" t="s">
        <v>1227</v>
      </c>
      <c r="K4" s="12" t="s">
        <v>1228</v>
      </c>
      <c r="L4" s="12" t="s">
        <v>1229</v>
      </c>
      <c r="M4" s="16" t="s">
        <v>1230</v>
      </c>
      <c r="N4" s="16" t="s">
        <v>1231</v>
      </c>
      <c r="O4" s="12" t="s">
        <v>1232</v>
      </c>
      <c r="P4" s="17" t="s">
        <v>66</v>
      </c>
      <c r="Q4" s="42" t="s">
        <v>1213</v>
      </c>
      <c r="R4" s="11" t="s">
        <v>1233</v>
      </c>
      <c r="S4" s="12" t="s">
        <v>1234</v>
      </c>
      <c r="T4" s="174" t="s">
        <v>41</v>
      </c>
      <c r="U4" s="174" t="s">
        <v>41</v>
      </c>
      <c r="V4" s="11" t="s">
        <v>1235</v>
      </c>
      <c r="W4" s="12" t="s">
        <v>1236</v>
      </c>
      <c r="X4" s="22" t="s">
        <v>249</v>
      </c>
      <c r="Y4" s="22" t="s">
        <v>1237</v>
      </c>
      <c r="Z4" s="22" t="s">
        <v>0</v>
      </c>
      <c r="AA4" s="8" t="s">
        <v>69</v>
      </c>
      <c r="AB4" s="7">
        <f t="shared" ref="AB4:AB5" si="1">AL4/AL4</f>
        <v>1</v>
      </c>
      <c r="AC4" s="7">
        <f t="shared" ref="AC4:AC5" si="2">(AL4/AM4)-AB4</f>
        <v>0.1667864888</v>
      </c>
      <c r="AD4" s="7">
        <f t="shared" ref="AD4:AD5" si="3">(AL4/AN4)-AB4-AC4</f>
        <v>0.1656603827</v>
      </c>
      <c r="AE4" s="7">
        <f t="shared" ref="AE4:AE5" si="4">(AL4/AO4)-AB4-AC4-AD4</f>
        <v>0.1612717929</v>
      </c>
      <c r="AF4" s="7">
        <f t="shared" ref="AF4:AF5" si="5">(AL4/AP4)-AB4-AC4-AD4-AE4</f>
        <v>0.2436575923</v>
      </c>
      <c r="AG4" s="7">
        <f t="shared" ref="AG4:AG5" si="6">(AL4/AQ4)-AB4-AC4-AD4-AE4-AF4</f>
        <v>0.3221520382</v>
      </c>
      <c r="AH4" s="7" t="s">
        <v>0</v>
      </c>
      <c r="AI4" s="25" t="s">
        <v>254</v>
      </c>
      <c r="AJ4" s="7" t="s">
        <v>0</v>
      </c>
      <c r="AK4" s="7" t="s">
        <v>0</v>
      </c>
      <c r="AL4" s="176" t="s">
        <v>1238</v>
      </c>
      <c r="AM4" s="176" t="s">
        <v>1239</v>
      </c>
      <c r="AN4" s="175" t="s">
        <v>1240</v>
      </c>
      <c r="AO4" s="176" t="s">
        <v>1241</v>
      </c>
      <c r="AP4" s="175" t="s">
        <v>1242</v>
      </c>
      <c r="AQ4" s="176" t="s">
        <v>1243</v>
      </c>
      <c r="AR4" s="144" t="s">
        <v>0</v>
      </c>
      <c r="AS4" s="144" t="s">
        <v>0</v>
      </c>
      <c r="AT4" s="7" t="s">
        <v>0</v>
      </c>
      <c r="AU4" s="25" t="s">
        <v>1244</v>
      </c>
      <c r="AV4" s="7" t="s">
        <v>0</v>
      </c>
      <c r="AW4" s="7" t="s">
        <v>0</v>
      </c>
      <c r="AX4" s="7" t="s">
        <v>0</v>
      </c>
    </row>
    <row r="5">
      <c r="A5" s="8" t="s">
        <v>92</v>
      </c>
      <c r="B5" s="9" t="s">
        <v>93</v>
      </c>
      <c r="C5" s="9" t="s">
        <v>94</v>
      </c>
      <c r="D5" s="113" t="s">
        <v>95</v>
      </c>
      <c r="E5" s="113" t="s">
        <v>1245</v>
      </c>
      <c r="F5" s="174" t="s">
        <v>1246</v>
      </c>
      <c r="G5" s="113" t="s">
        <v>1247</v>
      </c>
      <c r="H5" s="174" t="s">
        <v>1248</v>
      </c>
      <c r="I5" s="174" t="s">
        <v>1249</v>
      </c>
      <c r="J5" s="174" t="s">
        <v>1250</v>
      </c>
      <c r="K5" s="174" t="s">
        <v>1251</v>
      </c>
      <c r="L5" s="174" t="s">
        <v>1252</v>
      </c>
      <c r="M5" s="30" t="s">
        <v>0</v>
      </c>
      <c r="N5" s="30" t="s">
        <v>0</v>
      </c>
      <c r="O5" s="174" t="s">
        <v>1253</v>
      </c>
      <c r="P5" s="22" t="s">
        <v>43</v>
      </c>
      <c r="Q5" s="30" t="s">
        <v>1213</v>
      </c>
      <c r="R5" s="41" t="s">
        <v>103</v>
      </c>
      <c r="S5" s="177" t="s">
        <v>1254</v>
      </c>
      <c r="T5" s="174" t="s">
        <v>41</v>
      </c>
      <c r="U5" s="174" t="s">
        <v>198</v>
      </c>
      <c r="V5" s="41" t="s">
        <v>106</v>
      </c>
      <c r="W5" s="174" t="s">
        <v>1255</v>
      </c>
      <c r="X5" s="22" t="s">
        <v>108</v>
      </c>
      <c r="Y5" s="22" t="s">
        <v>1256</v>
      </c>
      <c r="Z5" s="22" t="s">
        <v>0</v>
      </c>
      <c r="AA5" s="8" t="s">
        <v>92</v>
      </c>
      <c r="AB5" s="7">
        <f t="shared" si="1"/>
        <v>1</v>
      </c>
      <c r="AC5" s="7">
        <f t="shared" si="2"/>
        <v>0.1794504115</v>
      </c>
      <c r="AD5" s="7">
        <f t="shared" si="3"/>
        <v>0.1807623827</v>
      </c>
      <c r="AE5" s="7">
        <f t="shared" si="4"/>
        <v>0.3186102763</v>
      </c>
      <c r="AF5" s="7">
        <f t="shared" si="5"/>
        <v>0.08724475048</v>
      </c>
      <c r="AG5" s="7">
        <f t="shared" si="6"/>
        <v>0.5442718658</v>
      </c>
      <c r="AH5" s="7" t="s">
        <v>0</v>
      </c>
      <c r="AI5" s="25" t="s">
        <v>254</v>
      </c>
      <c r="AJ5" s="7" t="s">
        <v>0</v>
      </c>
      <c r="AK5" s="7" t="s">
        <v>0</v>
      </c>
      <c r="AL5" s="58" t="s">
        <v>1257</v>
      </c>
      <c r="AM5" s="58" t="s">
        <v>1258</v>
      </c>
      <c r="AN5" s="58" t="s">
        <v>1259</v>
      </c>
      <c r="AO5" s="58" t="s">
        <v>1260</v>
      </c>
      <c r="AP5" s="58" t="s">
        <v>1261</v>
      </c>
      <c r="AQ5" s="58" t="s">
        <v>1262</v>
      </c>
      <c r="AR5" s="144" t="s">
        <v>0</v>
      </c>
      <c r="AS5" s="144" t="s">
        <v>0</v>
      </c>
      <c r="AT5" s="7" t="s">
        <v>0</v>
      </c>
      <c r="AU5" s="25" t="s">
        <v>68</v>
      </c>
      <c r="AV5" s="7" t="s">
        <v>0</v>
      </c>
      <c r="AW5" s="7" t="s">
        <v>0</v>
      </c>
      <c r="AX5" s="7" t="s">
        <v>0</v>
      </c>
    </row>
    <row r="6">
      <c r="A6" s="8" t="s">
        <v>117</v>
      </c>
      <c r="B6" s="9" t="s">
        <v>93</v>
      </c>
      <c r="C6" s="9" t="s">
        <v>118</v>
      </c>
      <c r="D6" s="113" t="s">
        <v>33</v>
      </c>
      <c r="E6" s="113" t="s">
        <v>1263</v>
      </c>
      <c r="F6" s="174" t="s">
        <v>1264</v>
      </c>
      <c r="G6" s="113" t="s">
        <v>1265</v>
      </c>
      <c r="H6" s="174" t="s">
        <v>1266</v>
      </c>
      <c r="I6" s="174" t="s">
        <v>1267</v>
      </c>
      <c r="J6" s="174" t="s">
        <v>1268</v>
      </c>
      <c r="K6" s="174" t="s">
        <v>1269</v>
      </c>
      <c r="L6" s="174" t="s">
        <v>1270</v>
      </c>
      <c r="M6" s="30" t="s">
        <v>0</v>
      </c>
      <c r="N6" s="30" t="s">
        <v>0</v>
      </c>
      <c r="O6" s="174" t="s">
        <v>1253</v>
      </c>
      <c r="P6" s="22" t="s">
        <v>126</v>
      </c>
      <c r="Q6" s="30" t="s">
        <v>1213</v>
      </c>
      <c r="R6" s="174" t="s">
        <v>1271</v>
      </c>
      <c r="S6" s="174" t="s">
        <v>1272</v>
      </c>
      <c r="T6" s="174" t="s">
        <v>1273</v>
      </c>
      <c r="U6" s="174" t="s">
        <v>1274</v>
      </c>
      <c r="V6" s="174" t="s">
        <v>1275</v>
      </c>
      <c r="W6" s="174" t="s">
        <v>1276</v>
      </c>
      <c r="X6" s="22" t="s">
        <v>108</v>
      </c>
      <c r="Y6" s="22" t="s">
        <v>1256</v>
      </c>
      <c r="Z6" s="22" t="s">
        <v>0</v>
      </c>
      <c r="AA6" s="8"/>
      <c r="AH6" s="7" t="s">
        <v>0</v>
      </c>
      <c r="AI6" s="25" t="s">
        <v>254</v>
      </c>
      <c r="AJ6" s="7" t="s">
        <v>0</v>
      </c>
      <c r="AK6" s="7" t="s">
        <v>0</v>
      </c>
      <c r="AL6" s="175" t="s">
        <v>1277</v>
      </c>
      <c r="AM6" s="175" t="s">
        <v>1278</v>
      </c>
      <c r="AN6" s="175" t="s">
        <v>1279</v>
      </c>
      <c r="AO6" s="175" t="s">
        <v>1280</v>
      </c>
      <c r="AP6" s="175" t="s">
        <v>1281</v>
      </c>
      <c r="AQ6" s="175" t="s">
        <v>1282</v>
      </c>
      <c r="AR6" s="144" t="s">
        <v>0</v>
      </c>
      <c r="AS6" s="144" t="s">
        <v>0</v>
      </c>
      <c r="AT6" s="7" t="s">
        <v>0</v>
      </c>
      <c r="AU6" s="25" t="s">
        <v>68</v>
      </c>
      <c r="AV6" s="7" t="s">
        <v>0</v>
      </c>
      <c r="AW6" s="7" t="s">
        <v>0</v>
      </c>
      <c r="AX6" s="7" t="s">
        <v>0</v>
      </c>
    </row>
    <row r="7">
      <c r="A7" s="8" t="s">
        <v>139</v>
      </c>
      <c r="B7" s="9" t="s">
        <v>93</v>
      </c>
      <c r="C7" s="9" t="s">
        <v>140</v>
      </c>
      <c r="D7" s="113" t="s">
        <v>33</v>
      </c>
      <c r="E7" s="113" t="s">
        <v>1283</v>
      </c>
      <c r="F7" s="174" t="s">
        <v>1284</v>
      </c>
      <c r="G7" s="113" t="s">
        <v>1285</v>
      </c>
      <c r="H7" s="174" t="s">
        <v>1286</v>
      </c>
      <c r="I7" s="174" t="s">
        <v>1287</v>
      </c>
      <c r="J7" s="174" t="s">
        <v>1288</v>
      </c>
      <c r="K7" s="174" t="s">
        <v>1289</v>
      </c>
      <c r="L7" s="174" t="s">
        <v>1290</v>
      </c>
      <c r="M7" s="30" t="s">
        <v>0</v>
      </c>
      <c r="N7" s="30" t="s">
        <v>0</v>
      </c>
      <c r="O7" s="174" t="s">
        <v>1291</v>
      </c>
      <c r="P7" s="22" t="s">
        <v>43</v>
      </c>
      <c r="Q7" s="178" t="s">
        <v>1213</v>
      </c>
      <c r="R7" s="41" t="s">
        <v>148</v>
      </c>
      <c r="S7" s="174" t="s">
        <v>1292</v>
      </c>
      <c r="T7" s="174" t="s">
        <v>41</v>
      </c>
      <c r="U7" s="174" t="s">
        <v>198</v>
      </c>
      <c r="V7" s="41" t="s">
        <v>151</v>
      </c>
      <c r="W7" s="174" t="s">
        <v>1293</v>
      </c>
      <c r="X7" s="22" t="s">
        <v>108</v>
      </c>
      <c r="Y7" s="22" t="s">
        <v>1294</v>
      </c>
      <c r="Z7" s="22" t="s">
        <v>0</v>
      </c>
      <c r="AA7" s="8" t="s">
        <v>139</v>
      </c>
      <c r="AB7" s="7">
        <f t="shared" ref="AB7:AB13" si="7">AL7/AL7</f>
        <v>1</v>
      </c>
      <c r="AC7" s="7">
        <f t="shared" ref="AC7:AC13" si="8">(AL7/AM7)-AB7</f>
        <v>0.128059749</v>
      </c>
      <c r="AD7" s="7">
        <f t="shared" ref="AD7:AD13" si="9">(AL7/AN7)-AB7-AC7</f>
        <v>0.06667800909</v>
      </c>
      <c r="AE7" s="7">
        <f t="shared" ref="AE7:AE13" si="10">(AL7/AO7)-AB7-AC7-AD7</f>
        <v>0.1767773643</v>
      </c>
      <c r="AF7" s="7">
        <f t="shared" ref="AF7:AF13" si="11">(AL7/AP7)-AB7-AC7-AD7-AE7</f>
        <v>0.07354975158</v>
      </c>
      <c r="AG7" s="7">
        <f t="shared" ref="AG7:AG13" si="12">(AL7/AQ7)-AB7-AC7-AD7-AE7-AF7</f>
        <v>0.1416206434</v>
      </c>
      <c r="AH7" s="7" t="s">
        <v>0</v>
      </c>
      <c r="AI7" s="25" t="s">
        <v>254</v>
      </c>
      <c r="AJ7" s="7" t="s">
        <v>0</v>
      </c>
      <c r="AK7" s="7" t="s">
        <v>0</v>
      </c>
      <c r="AL7" s="175" t="s">
        <v>1295</v>
      </c>
      <c r="AM7" s="175" t="s">
        <v>1296</v>
      </c>
      <c r="AN7" s="175" t="s">
        <v>1297</v>
      </c>
      <c r="AO7" s="175" t="s">
        <v>1298</v>
      </c>
      <c r="AP7" s="175" t="s">
        <v>1299</v>
      </c>
      <c r="AQ7" s="175" t="s">
        <v>1300</v>
      </c>
      <c r="AR7" s="144" t="s">
        <v>0</v>
      </c>
      <c r="AS7" s="144" t="s">
        <v>0</v>
      </c>
      <c r="AT7" s="7" t="s">
        <v>0</v>
      </c>
      <c r="AU7" s="25" t="s">
        <v>68</v>
      </c>
      <c r="AV7" s="7" t="s">
        <v>0</v>
      </c>
      <c r="AW7" s="7" t="s">
        <v>0</v>
      </c>
      <c r="AX7" s="7" t="s">
        <v>0</v>
      </c>
    </row>
    <row r="8">
      <c r="A8" s="8" t="s">
        <v>159</v>
      </c>
      <c r="B8" s="9" t="s">
        <v>160</v>
      </c>
      <c r="C8" s="44" t="s">
        <v>161</v>
      </c>
      <c r="D8" s="113" t="s">
        <v>95</v>
      </c>
      <c r="E8" s="113" t="s">
        <v>1301</v>
      </c>
      <c r="F8" s="174" t="s">
        <v>1302</v>
      </c>
      <c r="G8" s="113" t="s">
        <v>1303</v>
      </c>
      <c r="H8" s="174" t="s">
        <v>1304</v>
      </c>
      <c r="I8" s="174" t="s">
        <v>1305</v>
      </c>
      <c r="J8" s="174" t="s">
        <v>1306</v>
      </c>
      <c r="K8" s="174" t="s">
        <v>1307</v>
      </c>
      <c r="L8" s="174" t="s">
        <v>1308</v>
      </c>
      <c r="M8" s="174" t="s">
        <v>1309</v>
      </c>
      <c r="N8" s="174" t="s">
        <v>1310</v>
      </c>
      <c r="O8" s="174" t="s">
        <v>1311</v>
      </c>
      <c r="P8" s="22" t="s">
        <v>43</v>
      </c>
      <c r="Q8" s="167" t="s">
        <v>1213</v>
      </c>
      <c r="R8" s="174" t="s">
        <v>1312</v>
      </c>
      <c r="S8" s="174" t="s">
        <v>1313</v>
      </c>
      <c r="T8" s="174" t="s">
        <v>629</v>
      </c>
      <c r="U8" s="174" t="s">
        <v>1314</v>
      </c>
      <c r="V8" s="174" t="s">
        <v>1315</v>
      </c>
      <c r="W8" s="174" t="s">
        <v>1316</v>
      </c>
      <c r="X8" s="22" t="s">
        <v>108</v>
      </c>
      <c r="Y8" s="22" t="s">
        <v>1317</v>
      </c>
      <c r="Z8" s="150" t="s">
        <v>178</v>
      </c>
      <c r="AA8" s="8" t="s">
        <v>159</v>
      </c>
      <c r="AB8" s="7">
        <f t="shared" si="7"/>
        <v>1</v>
      </c>
      <c r="AC8" s="7">
        <f t="shared" si="8"/>
        <v>0.1062767475</v>
      </c>
      <c r="AD8" s="7">
        <f t="shared" si="9"/>
        <v>0.1026086773</v>
      </c>
      <c r="AE8" s="7">
        <f t="shared" si="10"/>
        <v>0.1178895966</v>
      </c>
      <c r="AF8" s="7">
        <f t="shared" si="11"/>
        <v>0.1254721696</v>
      </c>
      <c r="AG8" s="7">
        <f t="shared" si="12"/>
        <v>0.1368921533</v>
      </c>
      <c r="AH8" s="7" t="s">
        <v>0</v>
      </c>
      <c r="AI8" s="25" t="s">
        <v>1220</v>
      </c>
      <c r="AJ8" s="7" t="s">
        <v>0</v>
      </c>
      <c r="AK8" s="7" t="s">
        <v>0</v>
      </c>
      <c r="AL8" s="175" t="s">
        <v>1318</v>
      </c>
      <c r="AM8" s="175" t="s">
        <v>1319</v>
      </c>
      <c r="AN8" s="175" t="s">
        <v>1320</v>
      </c>
      <c r="AO8" s="175" t="s">
        <v>1321</v>
      </c>
      <c r="AP8" s="175" t="s">
        <v>1322</v>
      </c>
      <c r="AQ8" s="175" t="s">
        <v>1323</v>
      </c>
      <c r="AR8" s="144" t="s">
        <v>0</v>
      </c>
      <c r="AS8" s="144" t="s">
        <v>0</v>
      </c>
      <c r="AT8" s="7" t="s">
        <v>0</v>
      </c>
      <c r="AU8" s="25" t="s">
        <v>68</v>
      </c>
      <c r="AV8" s="7" t="s">
        <v>0</v>
      </c>
      <c r="AW8" s="7" t="s">
        <v>0</v>
      </c>
      <c r="AX8" s="7" t="s">
        <v>0</v>
      </c>
    </row>
    <row r="9">
      <c r="A9" s="8" t="s">
        <v>185</v>
      </c>
      <c r="B9" s="9" t="s">
        <v>160</v>
      </c>
      <c r="C9" s="129" t="s">
        <v>186</v>
      </c>
      <c r="D9" s="113" t="s">
        <v>95</v>
      </c>
      <c r="E9" s="113" t="s">
        <v>1324</v>
      </c>
      <c r="F9" s="174" t="s">
        <v>1325</v>
      </c>
      <c r="G9" s="113" t="s">
        <v>1326</v>
      </c>
      <c r="H9" s="174" t="s">
        <v>1327</v>
      </c>
      <c r="I9" s="174" t="s">
        <v>1328</v>
      </c>
      <c r="J9" s="174" t="s">
        <v>1329</v>
      </c>
      <c r="K9" s="174" t="s">
        <v>1330</v>
      </c>
      <c r="L9" s="174" t="s">
        <v>1331</v>
      </c>
      <c r="M9" s="174" t="s">
        <v>1332</v>
      </c>
      <c r="N9" s="174" t="s">
        <v>1333</v>
      </c>
      <c r="O9" s="174" t="s">
        <v>1334</v>
      </c>
      <c r="P9" s="22" t="s">
        <v>43</v>
      </c>
      <c r="Q9" s="167" t="s">
        <v>1213</v>
      </c>
      <c r="R9" s="46" t="s">
        <v>196</v>
      </c>
      <c r="S9" s="174" t="s">
        <v>1335</v>
      </c>
      <c r="T9" s="174" t="s">
        <v>196</v>
      </c>
      <c r="U9" s="174" t="s">
        <v>198</v>
      </c>
      <c r="V9" s="174" t="s">
        <v>1336</v>
      </c>
      <c r="W9" s="174" t="s">
        <v>1337</v>
      </c>
      <c r="X9" s="22" t="s">
        <v>108</v>
      </c>
      <c r="Y9" s="22" t="s">
        <v>1338</v>
      </c>
      <c r="Z9" s="150" t="s">
        <v>202</v>
      </c>
      <c r="AA9" s="8" t="s">
        <v>185</v>
      </c>
      <c r="AB9" s="7">
        <f t="shared" si="7"/>
        <v>1</v>
      </c>
      <c r="AC9" s="7">
        <f t="shared" si="8"/>
        <v>0.1470588235</v>
      </c>
      <c r="AD9" s="7">
        <f t="shared" si="9"/>
        <v>0.3529411765</v>
      </c>
      <c r="AE9" s="7">
        <f t="shared" si="10"/>
        <v>0.3571428571</v>
      </c>
      <c r="AF9" s="7">
        <f t="shared" si="11"/>
        <v>0.1954887218</v>
      </c>
      <c r="AG9" s="7">
        <f t="shared" si="12"/>
        <v>0.1759398496</v>
      </c>
      <c r="AH9" s="7" t="s">
        <v>0</v>
      </c>
      <c r="AI9" s="25" t="s">
        <v>254</v>
      </c>
      <c r="AJ9" s="7" t="s">
        <v>0</v>
      </c>
      <c r="AK9" s="7" t="s">
        <v>0</v>
      </c>
      <c r="AL9" s="175" t="s">
        <v>1339</v>
      </c>
      <c r="AM9" s="175" t="s">
        <v>1340</v>
      </c>
      <c r="AN9" s="175" t="s">
        <v>1341</v>
      </c>
      <c r="AO9" s="175" t="s">
        <v>1342</v>
      </c>
      <c r="AP9" s="175" t="s">
        <v>1343</v>
      </c>
      <c r="AQ9" s="175" t="s">
        <v>1344</v>
      </c>
      <c r="AR9" s="144" t="s">
        <v>0</v>
      </c>
      <c r="AS9" s="144" t="s">
        <v>0</v>
      </c>
      <c r="AT9" s="7" t="s">
        <v>0</v>
      </c>
      <c r="AU9" s="25" t="s">
        <v>68</v>
      </c>
      <c r="AV9" s="7" t="s">
        <v>0</v>
      </c>
      <c r="AW9" s="7" t="s">
        <v>0</v>
      </c>
      <c r="AX9" s="7" t="s">
        <v>0</v>
      </c>
    </row>
    <row r="10">
      <c r="A10" s="8" t="s">
        <v>209</v>
      </c>
      <c r="B10" s="9" t="s">
        <v>160</v>
      </c>
      <c r="C10" s="21" t="s">
        <v>210</v>
      </c>
      <c r="D10" s="113" t="s">
        <v>211</v>
      </c>
      <c r="E10" s="113" t="s">
        <v>1345</v>
      </c>
      <c r="F10" s="174" t="s">
        <v>1346</v>
      </c>
      <c r="G10" s="113" t="s">
        <v>1347</v>
      </c>
      <c r="H10" s="174" t="s">
        <v>1348</v>
      </c>
      <c r="I10" s="174" t="s">
        <v>1349</v>
      </c>
      <c r="J10" s="174" t="s">
        <v>1350</v>
      </c>
      <c r="K10" s="174" t="s">
        <v>1351</v>
      </c>
      <c r="L10" s="174" t="s">
        <v>1352</v>
      </c>
      <c r="M10" s="174" t="s">
        <v>1353</v>
      </c>
      <c r="N10" s="174" t="s">
        <v>1354</v>
      </c>
      <c r="O10" s="174" t="s">
        <v>1355</v>
      </c>
      <c r="P10" s="22" t="s">
        <v>43</v>
      </c>
      <c r="Q10" s="167">
        <v>0.94</v>
      </c>
      <c r="R10" s="174" t="s">
        <v>1356</v>
      </c>
      <c r="S10" s="174" t="s">
        <v>1357</v>
      </c>
      <c r="T10" s="174" t="s">
        <v>196</v>
      </c>
      <c r="U10" s="174" t="s">
        <v>198</v>
      </c>
      <c r="V10" s="174" t="s">
        <v>1358</v>
      </c>
      <c r="W10" s="174" t="s">
        <v>1359</v>
      </c>
      <c r="X10" s="22" t="s">
        <v>108</v>
      </c>
      <c r="Y10" s="22" t="s">
        <v>224</v>
      </c>
      <c r="Z10" s="22" t="s">
        <v>0</v>
      </c>
      <c r="AA10" s="8" t="s">
        <v>209</v>
      </c>
      <c r="AB10" s="7">
        <f t="shared" si="7"/>
        <v>1</v>
      </c>
      <c r="AC10" s="7">
        <f t="shared" si="8"/>
        <v>0.1703215544</v>
      </c>
      <c r="AD10" s="7">
        <f t="shared" si="9"/>
        <v>0.1736241659</v>
      </c>
      <c r="AE10" s="7">
        <f t="shared" si="10"/>
        <v>0.1580593837</v>
      </c>
      <c r="AF10" s="7">
        <f t="shared" si="11"/>
        <v>0.2552242742</v>
      </c>
      <c r="AG10" s="7">
        <f t="shared" si="12"/>
        <v>0.3068988784</v>
      </c>
      <c r="AH10" s="7" t="s">
        <v>0</v>
      </c>
      <c r="AI10" s="25" t="s">
        <v>1360</v>
      </c>
      <c r="AJ10" s="7" t="s">
        <v>0</v>
      </c>
      <c r="AK10" s="7" t="s">
        <v>0</v>
      </c>
      <c r="AL10" s="175" t="s">
        <v>1361</v>
      </c>
      <c r="AM10" s="175" t="s">
        <v>1362</v>
      </c>
      <c r="AN10" s="175" t="s">
        <v>1363</v>
      </c>
      <c r="AO10" s="175" t="s">
        <v>1364</v>
      </c>
      <c r="AP10" s="175" t="s">
        <v>1365</v>
      </c>
      <c r="AQ10" s="175" t="s">
        <v>1366</v>
      </c>
      <c r="AR10" s="144" t="s">
        <v>0</v>
      </c>
      <c r="AS10" s="144" t="s">
        <v>0</v>
      </c>
      <c r="AT10" s="7" t="s">
        <v>0</v>
      </c>
      <c r="AU10" s="25" t="s">
        <v>68</v>
      </c>
      <c r="AV10" s="7" t="s">
        <v>0</v>
      </c>
      <c r="AW10" s="7" t="s">
        <v>0</v>
      </c>
      <c r="AX10" s="7" t="s">
        <v>0</v>
      </c>
    </row>
    <row r="11">
      <c r="A11" s="8" t="s">
        <v>232</v>
      </c>
      <c r="B11" s="9" t="s">
        <v>233</v>
      </c>
      <c r="C11" s="22" t="s">
        <v>234</v>
      </c>
      <c r="D11" s="113" t="s">
        <v>211</v>
      </c>
      <c r="E11" s="113" t="s">
        <v>1367</v>
      </c>
      <c r="F11" s="174" t="s">
        <v>1368</v>
      </c>
      <c r="G11" s="68" t="s">
        <v>1369</v>
      </c>
      <c r="H11" s="15" t="s">
        <v>1370</v>
      </c>
      <c r="I11" s="15" t="s">
        <v>1371</v>
      </c>
      <c r="J11" s="15" t="s">
        <v>1372</v>
      </c>
      <c r="K11" s="15" t="s">
        <v>1373</v>
      </c>
      <c r="L11" s="15" t="s">
        <v>1374</v>
      </c>
      <c r="M11" s="53" t="s">
        <v>1375</v>
      </c>
      <c r="N11" s="53" t="s">
        <v>1376</v>
      </c>
      <c r="O11" s="15" t="s">
        <v>1377</v>
      </c>
      <c r="P11" s="17" t="s">
        <v>43</v>
      </c>
      <c r="Q11" s="30" t="s">
        <v>1213</v>
      </c>
      <c r="R11" s="15" t="s">
        <v>1378</v>
      </c>
      <c r="S11" s="15" t="s">
        <v>1379</v>
      </c>
      <c r="T11" s="15" t="s">
        <v>196</v>
      </c>
      <c r="U11" s="15" t="s">
        <v>198</v>
      </c>
      <c r="V11" s="15" t="s">
        <v>1380</v>
      </c>
      <c r="W11" s="15" t="s">
        <v>1381</v>
      </c>
      <c r="X11" s="67" t="s">
        <v>1382</v>
      </c>
      <c r="Y11" s="22" t="s">
        <v>1383</v>
      </c>
      <c r="Z11" s="22" t="s">
        <v>0</v>
      </c>
      <c r="AA11" s="8" t="s">
        <v>232</v>
      </c>
      <c r="AB11" s="7">
        <f t="shared" si="7"/>
        <v>1</v>
      </c>
      <c r="AC11" s="7">
        <f t="shared" si="8"/>
        <v>0.1571385521</v>
      </c>
      <c r="AD11" s="7">
        <f t="shared" si="9"/>
        <v>0.1045783292</v>
      </c>
      <c r="AE11" s="7">
        <f t="shared" si="10"/>
        <v>0.1426904144</v>
      </c>
      <c r="AF11" s="7">
        <f t="shared" si="11"/>
        <v>-0.00645892914</v>
      </c>
      <c r="AG11" s="7">
        <f t="shared" si="12"/>
        <v>0.259036384</v>
      </c>
      <c r="AH11" s="7" t="s">
        <v>0</v>
      </c>
      <c r="AI11" s="25" t="s">
        <v>254</v>
      </c>
      <c r="AJ11" s="7" t="s">
        <v>0</v>
      </c>
      <c r="AK11" s="7" t="s">
        <v>0</v>
      </c>
      <c r="AL11" s="175" t="s">
        <v>1384</v>
      </c>
      <c r="AM11" s="175" t="s">
        <v>1385</v>
      </c>
      <c r="AN11" s="175" t="s">
        <v>1386</v>
      </c>
      <c r="AO11" s="175" t="s">
        <v>1387</v>
      </c>
      <c r="AP11" s="175" t="s">
        <v>1388</v>
      </c>
      <c r="AQ11" s="175" t="s">
        <v>1389</v>
      </c>
      <c r="AR11" s="144" t="s">
        <v>0</v>
      </c>
      <c r="AS11" s="144" t="s">
        <v>0</v>
      </c>
      <c r="AT11" s="7" t="s">
        <v>0</v>
      </c>
      <c r="AU11" s="25" t="s">
        <v>68</v>
      </c>
      <c r="AV11" s="7" t="s">
        <v>0</v>
      </c>
      <c r="AW11" s="7" t="s">
        <v>0</v>
      </c>
      <c r="AX11" s="7" t="s">
        <v>0</v>
      </c>
    </row>
    <row r="12">
      <c r="A12" s="57" t="s">
        <v>258</v>
      </c>
      <c r="B12" s="9" t="s">
        <v>233</v>
      </c>
      <c r="C12" s="22" t="s">
        <v>259</v>
      </c>
      <c r="D12" s="113" t="s">
        <v>211</v>
      </c>
      <c r="E12" s="113" t="s">
        <v>1390</v>
      </c>
      <c r="F12" s="174" t="s">
        <v>1391</v>
      </c>
      <c r="G12" s="113" t="s">
        <v>1392</v>
      </c>
      <c r="H12" s="174" t="s">
        <v>1393</v>
      </c>
      <c r="I12" s="174" t="s">
        <v>1394</v>
      </c>
      <c r="J12" s="174" t="s">
        <v>1395</v>
      </c>
      <c r="K12" s="174" t="s">
        <v>1396</v>
      </c>
      <c r="L12" s="174" t="s">
        <v>1397</v>
      </c>
      <c r="M12" s="59" t="s">
        <v>1398</v>
      </c>
      <c r="N12" s="59" t="s">
        <v>1399</v>
      </c>
      <c r="O12" s="59" t="s">
        <v>1400</v>
      </c>
      <c r="P12" s="21" t="s">
        <v>43</v>
      </c>
      <c r="Q12" s="179" t="s">
        <v>1213</v>
      </c>
      <c r="R12" s="174" t="s">
        <v>1401</v>
      </c>
      <c r="S12" s="174" t="s">
        <v>1402</v>
      </c>
      <c r="T12" s="174" t="s">
        <v>196</v>
      </c>
      <c r="U12" s="174" t="s">
        <v>198</v>
      </c>
      <c r="V12" s="174" t="s">
        <v>1403</v>
      </c>
      <c r="W12" s="174" t="s">
        <v>1404</v>
      </c>
      <c r="X12" s="22" t="s">
        <v>1382</v>
      </c>
      <c r="Y12" s="22" t="s">
        <v>1405</v>
      </c>
      <c r="Z12" s="22" t="s">
        <v>0</v>
      </c>
      <c r="AA12" s="57" t="s">
        <v>258</v>
      </c>
      <c r="AB12" s="7">
        <f t="shared" si="7"/>
        <v>1</v>
      </c>
      <c r="AC12" s="7">
        <f t="shared" si="8"/>
        <v>0.005537580522</v>
      </c>
      <c r="AD12" s="7">
        <f t="shared" si="9"/>
        <v>0.05546924461</v>
      </c>
      <c r="AE12" s="7">
        <f t="shared" si="10"/>
        <v>0.04198196979</v>
      </c>
      <c r="AF12" s="7">
        <f t="shared" si="11"/>
        <v>-0.03952247274</v>
      </c>
      <c r="AG12" s="7">
        <f t="shared" si="12"/>
        <v>-0.003484872455</v>
      </c>
      <c r="AH12" s="7" t="s">
        <v>0</v>
      </c>
      <c r="AI12" s="25" t="s">
        <v>1406</v>
      </c>
      <c r="AJ12" s="7" t="s">
        <v>0</v>
      </c>
      <c r="AK12" s="7" t="s">
        <v>0</v>
      </c>
      <c r="AL12" s="175" t="s">
        <v>1407</v>
      </c>
      <c r="AM12" s="175" t="s">
        <v>1408</v>
      </c>
      <c r="AN12" s="175" t="s">
        <v>1409</v>
      </c>
      <c r="AO12" s="175" t="s">
        <v>1410</v>
      </c>
      <c r="AP12" s="175" t="s">
        <v>1411</v>
      </c>
      <c r="AQ12" s="175" t="s">
        <v>1412</v>
      </c>
      <c r="AR12" s="144" t="s">
        <v>0</v>
      </c>
      <c r="AS12" s="144" t="s">
        <v>0</v>
      </c>
      <c r="AT12" s="7" t="s">
        <v>0</v>
      </c>
      <c r="AU12" s="25" t="s">
        <v>68</v>
      </c>
      <c r="AV12" s="7" t="s">
        <v>0</v>
      </c>
      <c r="AW12" s="7" t="s">
        <v>0</v>
      </c>
      <c r="AX12" s="7" t="s">
        <v>0</v>
      </c>
    </row>
    <row r="13">
      <c r="A13" s="57" t="s">
        <v>280</v>
      </c>
      <c r="B13" s="9" t="s">
        <v>233</v>
      </c>
      <c r="C13" s="22" t="s">
        <v>281</v>
      </c>
      <c r="D13" s="113" t="s">
        <v>33</v>
      </c>
      <c r="E13" s="113" t="s">
        <v>1413</v>
      </c>
      <c r="F13" s="174" t="s">
        <v>1414</v>
      </c>
      <c r="G13" s="113" t="s">
        <v>1415</v>
      </c>
      <c r="H13" s="174" t="s">
        <v>1416</v>
      </c>
      <c r="I13" s="174" t="s">
        <v>1417</v>
      </c>
      <c r="J13" s="174" t="s">
        <v>1418</v>
      </c>
      <c r="K13" s="174" t="s">
        <v>1419</v>
      </c>
      <c r="L13" s="174" t="s">
        <v>1420</v>
      </c>
      <c r="M13" s="59" t="s">
        <v>1421</v>
      </c>
      <c r="N13" s="59" t="s">
        <v>1422</v>
      </c>
      <c r="O13" s="174" t="s">
        <v>1423</v>
      </c>
      <c r="P13" s="21" t="s">
        <v>43</v>
      </c>
      <c r="Q13" s="179" t="s">
        <v>1213</v>
      </c>
      <c r="R13" s="174" t="s">
        <v>1424</v>
      </c>
      <c r="S13" s="174" t="s">
        <v>1425</v>
      </c>
      <c r="T13" s="174" t="s">
        <v>196</v>
      </c>
      <c r="U13" s="174" t="s">
        <v>198</v>
      </c>
      <c r="V13" s="174" t="s">
        <v>1426</v>
      </c>
      <c r="W13" s="174" t="s">
        <v>1427</v>
      </c>
      <c r="X13" s="22" t="s">
        <v>1382</v>
      </c>
      <c r="Y13" s="22" t="s">
        <v>1428</v>
      </c>
      <c r="Z13" s="22" t="s">
        <v>1429</v>
      </c>
      <c r="AA13" s="57" t="s">
        <v>280</v>
      </c>
      <c r="AB13" s="7">
        <f t="shared" si="7"/>
        <v>1</v>
      </c>
      <c r="AC13" s="7">
        <f t="shared" si="8"/>
        <v>0.04380046642</v>
      </c>
      <c r="AD13" s="7">
        <f t="shared" si="9"/>
        <v>0.05288263524</v>
      </c>
      <c r="AE13" s="7">
        <f t="shared" si="10"/>
        <v>0.0502955691</v>
      </c>
      <c r="AF13" s="7">
        <f t="shared" si="11"/>
        <v>-0.01119642503</v>
      </c>
      <c r="AG13" s="7">
        <f t="shared" si="12"/>
        <v>0.06871693366</v>
      </c>
      <c r="AH13" s="7" t="s">
        <v>0</v>
      </c>
      <c r="AI13" s="25" t="s">
        <v>54</v>
      </c>
      <c r="AJ13" s="7" t="s">
        <v>0</v>
      </c>
      <c r="AK13" s="7" t="s">
        <v>0</v>
      </c>
      <c r="AL13" s="175" t="s">
        <v>1430</v>
      </c>
      <c r="AM13" s="175" t="s">
        <v>1431</v>
      </c>
      <c r="AN13" s="175" t="s">
        <v>1432</v>
      </c>
      <c r="AO13" s="175" t="s">
        <v>1433</v>
      </c>
      <c r="AP13" s="175" t="s">
        <v>1434</v>
      </c>
      <c r="AQ13" s="175" t="s">
        <v>1435</v>
      </c>
      <c r="AR13" s="144" t="s">
        <v>0</v>
      </c>
      <c r="AS13" s="144" t="s">
        <v>0</v>
      </c>
      <c r="AT13" s="7" t="s">
        <v>0</v>
      </c>
      <c r="AU13" s="25" t="s">
        <v>68</v>
      </c>
      <c r="AV13" s="7" t="s">
        <v>0</v>
      </c>
      <c r="AW13" s="7" t="s">
        <v>0</v>
      </c>
      <c r="AX13" s="7" t="s">
        <v>0</v>
      </c>
    </row>
    <row r="14">
      <c r="A14" s="63" t="s">
        <v>0</v>
      </c>
      <c r="B14" s="62" t="s">
        <v>0</v>
      </c>
      <c r="C14" s="62" t="s">
        <v>0</v>
      </c>
      <c r="D14" s="62" t="s">
        <v>0</v>
      </c>
      <c r="E14" s="63" t="s">
        <v>0</v>
      </c>
      <c r="F14" s="63" t="s">
        <v>0</v>
      </c>
      <c r="G14" s="63" t="s">
        <v>0</v>
      </c>
      <c r="H14" s="63" t="s">
        <v>0</v>
      </c>
      <c r="I14" s="63" t="s">
        <v>0</v>
      </c>
      <c r="J14" s="63" t="s">
        <v>0</v>
      </c>
      <c r="K14" s="63" t="s">
        <v>0</v>
      </c>
      <c r="L14" s="63" t="s">
        <v>0</v>
      </c>
      <c r="M14" s="63" t="s">
        <v>0</v>
      </c>
      <c r="N14" s="63" t="s">
        <v>0</v>
      </c>
      <c r="O14" s="63" t="s">
        <v>0</v>
      </c>
      <c r="P14" s="63" t="s">
        <v>0</v>
      </c>
      <c r="Q14" s="63" t="s">
        <v>0</v>
      </c>
      <c r="R14" s="63" t="s">
        <v>0</v>
      </c>
      <c r="S14" s="63" t="s">
        <v>0</v>
      </c>
      <c r="T14" s="63" t="s">
        <v>0</v>
      </c>
      <c r="U14" s="63" t="s">
        <v>0</v>
      </c>
      <c r="V14" s="63" t="s">
        <v>0</v>
      </c>
      <c r="W14" s="63" t="s">
        <v>0</v>
      </c>
      <c r="X14" s="63" t="s">
        <v>0</v>
      </c>
      <c r="Y14" s="63" t="s">
        <v>0</v>
      </c>
      <c r="Z14" s="63" t="s">
        <v>0</v>
      </c>
      <c r="AA14" s="63"/>
      <c r="AB14" s="63" t="s">
        <v>0</v>
      </c>
      <c r="AC14" s="63" t="s">
        <v>0</v>
      </c>
      <c r="AD14" s="63" t="s">
        <v>0</v>
      </c>
      <c r="AE14" s="63" t="s">
        <v>0</v>
      </c>
      <c r="AF14" s="63" t="s">
        <v>0</v>
      </c>
      <c r="AG14" s="63" t="s">
        <v>0</v>
      </c>
      <c r="AH14" s="63" t="s">
        <v>0</v>
      </c>
      <c r="AI14" s="63" t="s">
        <v>0</v>
      </c>
      <c r="AJ14" s="63" t="s">
        <v>0</v>
      </c>
      <c r="AK14" s="63" t="s">
        <v>0</v>
      </c>
      <c r="AL14" s="63" t="s">
        <v>0</v>
      </c>
      <c r="AM14" s="63" t="s">
        <v>0</v>
      </c>
      <c r="AN14" s="63" t="s">
        <v>0</v>
      </c>
      <c r="AO14" s="63" t="s">
        <v>0</v>
      </c>
      <c r="AP14" s="63" t="s">
        <v>0</v>
      </c>
      <c r="AQ14" s="63" t="s">
        <v>0</v>
      </c>
      <c r="AR14" s="64" t="s">
        <v>0</v>
      </c>
      <c r="AS14" s="64" t="s">
        <v>0</v>
      </c>
      <c r="AT14" s="63" t="s">
        <v>0</v>
      </c>
      <c r="AU14" s="63" t="s">
        <v>0</v>
      </c>
      <c r="AV14" s="63" t="s">
        <v>0</v>
      </c>
      <c r="AW14" s="63" t="s">
        <v>0</v>
      </c>
      <c r="AX14" s="63" t="s">
        <v>0</v>
      </c>
    </row>
    <row r="15">
      <c r="A15" s="65" t="s">
        <v>303</v>
      </c>
      <c r="B15" s="136" t="s">
        <v>1</v>
      </c>
      <c r="C15" s="3" t="s">
        <v>304</v>
      </c>
      <c r="D15" s="3" t="s">
        <v>3</v>
      </c>
      <c r="E15" s="3" t="s">
        <v>4</v>
      </c>
      <c r="F15" s="3" t="s">
        <v>5</v>
      </c>
      <c r="G15" s="3" t="s">
        <v>6</v>
      </c>
      <c r="H15" s="3" t="s">
        <v>7</v>
      </c>
      <c r="I15" s="3" t="s">
        <v>1158</v>
      </c>
      <c r="J15" s="3" t="s">
        <v>1436</v>
      </c>
      <c r="K15" s="3" t="s">
        <v>305</v>
      </c>
      <c r="L15" s="3" t="s">
        <v>306</v>
      </c>
      <c r="M15" s="3" t="s">
        <v>0</v>
      </c>
      <c r="N15" s="3" t="s">
        <v>0</v>
      </c>
      <c r="O15" s="3" t="s">
        <v>12</v>
      </c>
      <c r="P15" s="3" t="s">
        <v>1161</v>
      </c>
      <c r="Q15" s="3" t="s">
        <v>1162</v>
      </c>
      <c r="R15" s="5" t="s">
        <v>15</v>
      </c>
      <c r="S15" s="5" t="s">
        <v>16</v>
      </c>
      <c r="T15" s="5" t="s">
        <v>17</v>
      </c>
      <c r="U15" s="5" t="s">
        <v>18</v>
      </c>
      <c r="V15" s="5" t="s">
        <v>19</v>
      </c>
      <c r="W15" s="5" t="s">
        <v>20</v>
      </c>
      <c r="X15" s="5" t="s">
        <v>21</v>
      </c>
      <c r="Y15" s="5" t="s">
        <v>1164</v>
      </c>
      <c r="Z15" s="5" t="s">
        <v>1165</v>
      </c>
      <c r="AA15" s="65"/>
      <c r="AG15" s="7" t="s">
        <v>0</v>
      </c>
      <c r="AH15" s="7" t="s">
        <v>0</v>
      </c>
      <c r="AI15" s="6" t="s">
        <v>26</v>
      </c>
      <c r="AJ15" s="6" t="s">
        <v>27</v>
      </c>
      <c r="AK15" s="7" t="s">
        <v>0</v>
      </c>
      <c r="AL15" s="141" t="s">
        <v>1173</v>
      </c>
      <c r="AM15" s="141" t="s">
        <v>1174</v>
      </c>
      <c r="AN15" s="141" t="s">
        <v>1175</v>
      </c>
      <c r="AO15" s="141" t="s">
        <v>1176</v>
      </c>
      <c r="AP15" s="141" t="s">
        <v>1177</v>
      </c>
      <c r="AQ15" s="141" t="s">
        <v>1178</v>
      </c>
      <c r="AR15" s="6" t="s">
        <v>0</v>
      </c>
      <c r="AS15" s="6" t="s">
        <v>0</v>
      </c>
      <c r="AT15" s="7" t="s">
        <v>0</v>
      </c>
      <c r="AU15" s="7" t="s">
        <v>0</v>
      </c>
      <c r="AV15" s="7" t="s">
        <v>0</v>
      </c>
      <c r="AW15" s="7" t="s">
        <v>0</v>
      </c>
      <c r="AX15" s="7" t="s">
        <v>0</v>
      </c>
    </row>
    <row r="16">
      <c r="A16" s="66" t="s">
        <v>307</v>
      </c>
      <c r="B16" s="67" t="s">
        <v>308</v>
      </c>
      <c r="C16" s="67" t="s">
        <v>309</v>
      </c>
      <c r="D16" s="68" t="s">
        <v>310</v>
      </c>
      <c r="E16" s="68" t="s">
        <v>1437</v>
      </c>
      <c r="F16" s="15" t="s">
        <v>1438</v>
      </c>
      <c r="G16" s="68" t="s">
        <v>1439</v>
      </c>
      <c r="H16" s="15" t="s">
        <v>692</v>
      </c>
      <c r="I16" s="58" t="s">
        <v>1440</v>
      </c>
      <c r="J16" s="15" t="s">
        <v>1441</v>
      </c>
      <c r="K16" s="52" t="s">
        <v>1442</v>
      </c>
      <c r="L16" s="15" t="s">
        <v>1443</v>
      </c>
      <c r="M16" s="15" t="s">
        <v>1444</v>
      </c>
      <c r="N16" s="15" t="s">
        <v>1445</v>
      </c>
      <c r="O16" s="15" t="s">
        <v>1446</v>
      </c>
      <c r="P16" s="67" t="s">
        <v>43</v>
      </c>
      <c r="Q16" s="52" t="s">
        <v>1447</v>
      </c>
      <c r="R16" s="15" t="s">
        <v>1448</v>
      </c>
      <c r="S16" s="15" t="s">
        <v>1449</v>
      </c>
      <c r="T16" s="15" t="s">
        <v>196</v>
      </c>
      <c r="U16" s="15" t="s">
        <v>198</v>
      </c>
      <c r="V16" s="15" t="s">
        <v>1450</v>
      </c>
      <c r="W16" s="15" t="s">
        <v>1451</v>
      </c>
      <c r="X16" s="70" t="s">
        <v>325</v>
      </c>
      <c r="Y16" s="70" t="s">
        <v>1452</v>
      </c>
      <c r="Z16" s="70" t="s">
        <v>0</v>
      </c>
      <c r="AA16" s="66" t="s">
        <v>307</v>
      </c>
      <c r="AB16" s="7">
        <f t="shared" ref="AB16:AB23" si="13">AL16/AL16</f>
        <v>1</v>
      </c>
      <c r="AC16" s="7">
        <f t="shared" ref="AC16:AC23" si="14">(AL16/AM16)-AB16</f>
        <v>-0.04739685287</v>
      </c>
      <c r="AD16" s="7">
        <f t="shared" ref="AD16:AD23" si="15">(AL16/AN16)-AB16-AC16</f>
        <v>0.02737271589</v>
      </c>
      <c r="AE16" s="7">
        <f t="shared" ref="AE16:AE23" si="16">(AL16/AO16)-AB16-AC16-AD16</f>
        <v>-0.04414585786</v>
      </c>
      <c r="AF16" s="7">
        <f t="shared" ref="AF16:AF23" si="17">(AL16/AP16)-AB16-AC16-AD16-AE16</f>
        <v>0.06970939368</v>
      </c>
      <c r="AG16" s="7">
        <f t="shared" ref="AG16:AG23" si="18">(AL16/AQ16)-AB16-AC16-AD16-AE16-AF16</f>
        <v>-0.00938270881</v>
      </c>
      <c r="AH16" s="7" t="s">
        <v>0</v>
      </c>
      <c r="AI16" s="25" t="s">
        <v>1220</v>
      </c>
      <c r="AJ16" s="7" t="s">
        <v>0</v>
      </c>
      <c r="AK16" s="7" t="s">
        <v>0</v>
      </c>
      <c r="AL16" s="175" t="s">
        <v>1453</v>
      </c>
      <c r="AM16" s="175" t="s">
        <v>1454</v>
      </c>
      <c r="AN16" s="175" t="s">
        <v>1455</v>
      </c>
      <c r="AO16" s="175" t="s">
        <v>1456</v>
      </c>
      <c r="AP16" s="175" t="s">
        <v>1457</v>
      </c>
      <c r="AQ16" s="175" t="s">
        <v>1458</v>
      </c>
      <c r="AR16" s="7" t="s">
        <v>0</v>
      </c>
      <c r="AS16" s="7" t="s">
        <v>0</v>
      </c>
      <c r="AT16" s="7" t="s">
        <v>0</v>
      </c>
      <c r="AU16" s="25" t="s">
        <v>1459</v>
      </c>
      <c r="AV16" s="7" t="s">
        <v>0</v>
      </c>
      <c r="AW16" s="7" t="s">
        <v>0</v>
      </c>
      <c r="AX16" s="7" t="s">
        <v>0</v>
      </c>
    </row>
    <row r="17">
      <c r="A17" s="66" t="s">
        <v>335</v>
      </c>
      <c r="B17" s="67" t="s">
        <v>93</v>
      </c>
      <c r="C17" s="67" t="s">
        <v>336</v>
      </c>
      <c r="D17" s="68" t="s">
        <v>337</v>
      </c>
      <c r="E17" s="68" t="s">
        <v>1460</v>
      </c>
      <c r="F17" s="15" t="s">
        <v>1461</v>
      </c>
      <c r="G17" s="68" t="s">
        <v>1462</v>
      </c>
      <c r="H17" s="15" t="s">
        <v>1463</v>
      </c>
      <c r="I17" s="15" t="s">
        <v>1464</v>
      </c>
      <c r="J17" s="15" t="s">
        <v>1465</v>
      </c>
      <c r="K17" s="15" t="s">
        <v>1466</v>
      </c>
      <c r="L17" s="15" t="s">
        <v>1467</v>
      </c>
      <c r="M17" s="71" t="s">
        <v>0</v>
      </c>
      <c r="N17" s="71" t="s">
        <v>0</v>
      </c>
      <c r="O17" s="15" t="s">
        <v>1468</v>
      </c>
      <c r="P17" s="67" t="s">
        <v>66</v>
      </c>
      <c r="Q17" s="15" t="s">
        <v>1469</v>
      </c>
      <c r="R17" s="15" t="s">
        <v>1470</v>
      </c>
      <c r="S17" s="15" t="s">
        <v>1471</v>
      </c>
      <c r="T17" s="15" t="s">
        <v>1472</v>
      </c>
      <c r="U17" s="15" t="s">
        <v>1473</v>
      </c>
      <c r="V17" s="15" t="s">
        <v>1474</v>
      </c>
      <c r="W17" s="15" t="s">
        <v>1475</v>
      </c>
      <c r="X17" s="70" t="s">
        <v>108</v>
      </c>
      <c r="Y17" s="70" t="s">
        <v>1476</v>
      </c>
      <c r="Z17" s="70" t="s">
        <v>0</v>
      </c>
      <c r="AA17" s="66" t="s">
        <v>1477</v>
      </c>
      <c r="AB17" s="7">
        <f t="shared" si="13"/>
        <v>1</v>
      </c>
      <c r="AC17" s="7">
        <f t="shared" si="14"/>
        <v>0.08693355868</v>
      </c>
      <c r="AD17" s="7">
        <f t="shared" si="15"/>
        <v>0.2087098561</v>
      </c>
      <c r="AE17" s="7">
        <f t="shared" si="16"/>
        <v>-0.129637749</v>
      </c>
      <c r="AF17" s="7">
        <f t="shared" si="17"/>
        <v>0.2171518045</v>
      </c>
      <c r="AG17" s="7">
        <f t="shared" si="18"/>
        <v>0.1060964555</v>
      </c>
      <c r="AH17" s="7" t="s">
        <v>0</v>
      </c>
      <c r="AI17" s="25" t="s">
        <v>254</v>
      </c>
      <c r="AJ17" s="7" t="s">
        <v>0</v>
      </c>
      <c r="AK17" s="7" t="s">
        <v>0</v>
      </c>
      <c r="AL17" s="175" t="s">
        <v>1478</v>
      </c>
      <c r="AM17" s="175" t="s">
        <v>1479</v>
      </c>
      <c r="AN17" s="175" t="s">
        <v>723</v>
      </c>
      <c r="AO17" s="175" t="s">
        <v>1480</v>
      </c>
      <c r="AP17" s="175" t="s">
        <v>1481</v>
      </c>
      <c r="AQ17" s="175" t="s">
        <v>1482</v>
      </c>
      <c r="AR17" s="144" t="s">
        <v>0</v>
      </c>
      <c r="AS17" s="144" t="s">
        <v>0</v>
      </c>
      <c r="AT17" s="7" t="s">
        <v>0</v>
      </c>
      <c r="AU17" s="25" t="s">
        <v>68</v>
      </c>
      <c r="AV17" s="7" t="s">
        <v>0</v>
      </c>
      <c r="AW17" s="7" t="s">
        <v>0</v>
      </c>
      <c r="AX17" s="7" t="s">
        <v>0</v>
      </c>
    </row>
    <row r="18">
      <c r="A18" s="66" t="s">
        <v>358</v>
      </c>
      <c r="B18" s="67" t="s">
        <v>31</v>
      </c>
      <c r="C18" s="153" t="s">
        <v>725</v>
      </c>
      <c r="D18" s="68" t="s">
        <v>211</v>
      </c>
      <c r="E18" s="11" t="s">
        <v>1483</v>
      </c>
      <c r="F18" s="12" t="s">
        <v>1484</v>
      </c>
      <c r="G18" s="68" t="s">
        <v>1485</v>
      </c>
      <c r="H18" s="15" t="s">
        <v>1486</v>
      </c>
      <c r="I18" s="15" t="s">
        <v>1487</v>
      </c>
      <c r="J18" s="15" t="s">
        <v>1488</v>
      </c>
      <c r="K18" s="12" t="s">
        <v>1489</v>
      </c>
      <c r="L18" s="12" t="s">
        <v>1490</v>
      </c>
      <c r="M18" s="16" t="s">
        <v>1491</v>
      </c>
      <c r="N18" s="16" t="s">
        <v>1492</v>
      </c>
      <c r="O18" s="12" t="s">
        <v>1493</v>
      </c>
      <c r="P18" s="73" t="s">
        <v>43</v>
      </c>
      <c r="Q18" s="180" t="s">
        <v>1494</v>
      </c>
      <c r="R18" s="38" t="s">
        <v>1495</v>
      </c>
      <c r="S18" s="12" t="s">
        <v>1496</v>
      </c>
      <c r="T18" s="11" t="s">
        <v>1497</v>
      </c>
      <c r="U18" s="12" t="s">
        <v>1498</v>
      </c>
      <c r="V18" s="11" t="s">
        <v>1499</v>
      </c>
      <c r="W18" s="12" t="s">
        <v>1500</v>
      </c>
      <c r="X18" s="22" t="s">
        <v>249</v>
      </c>
      <c r="Y18" s="36" t="s">
        <v>375</v>
      </c>
      <c r="Z18" s="36" t="s">
        <v>0</v>
      </c>
      <c r="AA18" s="66" t="s">
        <v>1501</v>
      </c>
      <c r="AB18" s="7">
        <f t="shared" si="13"/>
        <v>1</v>
      </c>
      <c r="AC18" s="7">
        <f t="shared" si="14"/>
        <v>0.09681298031</v>
      </c>
      <c r="AD18" s="7">
        <f t="shared" si="15"/>
        <v>0.07659373541</v>
      </c>
      <c r="AE18" s="7">
        <f t="shared" si="16"/>
        <v>0.06169188129</v>
      </c>
      <c r="AF18" s="7">
        <f t="shared" si="17"/>
        <v>0.08565972203</v>
      </c>
      <c r="AG18" s="7">
        <f t="shared" si="18"/>
        <v>0.07520656179</v>
      </c>
      <c r="AH18" s="7" t="s">
        <v>0</v>
      </c>
      <c r="AI18" s="25" t="s">
        <v>379</v>
      </c>
      <c r="AJ18" s="7" t="s">
        <v>0</v>
      </c>
      <c r="AK18" s="7" t="s">
        <v>0</v>
      </c>
      <c r="AL18" s="176" t="s">
        <v>1502</v>
      </c>
      <c r="AM18" s="175" t="s">
        <v>1503</v>
      </c>
      <c r="AN18" s="176" t="s">
        <v>1504</v>
      </c>
      <c r="AO18" s="176" t="s">
        <v>1505</v>
      </c>
      <c r="AP18" s="176" t="s">
        <v>1506</v>
      </c>
      <c r="AQ18" s="176" t="s">
        <v>1507</v>
      </c>
      <c r="AR18" s="144" t="s">
        <v>0</v>
      </c>
      <c r="AS18" s="144" t="s">
        <v>0</v>
      </c>
      <c r="AT18" s="7" t="s">
        <v>0</v>
      </c>
      <c r="AU18" s="25" t="s">
        <v>1508</v>
      </c>
      <c r="AV18" s="7" t="s">
        <v>0</v>
      </c>
      <c r="AW18" s="7" t="s">
        <v>0</v>
      </c>
      <c r="AX18" s="7" t="s">
        <v>0</v>
      </c>
    </row>
    <row r="19">
      <c r="A19" s="66" t="s">
        <v>382</v>
      </c>
      <c r="B19" s="67" t="s">
        <v>308</v>
      </c>
      <c r="C19" s="67" t="s">
        <v>383</v>
      </c>
      <c r="D19" s="68" t="s">
        <v>33</v>
      </c>
      <c r="E19" s="68" t="s">
        <v>1509</v>
      </c>
      <c r="F19" s="79" t="s">
        <v>1510</v>
      </c>
      <c r="G19" s="68" t="s">
        <v>1511</v>
      </c>
      <c r="H19" s="15" t="s">
        <v>1512</v>
      </c>
      <c r="I19" s="15" t="s">
        <v>1513</v>
      </c>
      <c r="J19" s="15" t="s">
        <v>1514</v>
      </c>
      <c r="K19" s="15" t="s">
        <v>1515</v>
      </c>
      <c r="L19" s="15" t="s">
        <v>1516</v>
      </c>
      <c r="M19" s="15" t="s">
        <v>1517</v>
      </c>
      <c r="N19" s="15" t="s">
        <v>1518</v>
      </c>
      <c r="O19" s="15" t="s">
        <v>1519</v>
      </c>
      <c r="P19" s="21" t="s">
        <v>43</v>
      </c>
      <c r="Q19" s="179" t="s">
        <v>1213</v>
      </c>
      <c r="R19" s="15" t="s">
        <v>1520</v>
      </c>
      <c r="S19" s="181" t="s">
        <v>1521</v>
      </c>
      <c r="T19" s="15" t="s">
        <v>196</v>
      </c>
      <c r="U19" s="15" t="s">
        <v>198</v>
      </c>
      <c r="V19" s="15" t="s">
        <v>1522</v>
      </c>
      <c r="W19" s="15" t="s">
        <v>1523</v>
      </c>
      <c r="X19" s="70" t="s">
        <v>325</v>
      </c>
      <c r="Y19" s="36" t="s">
        <v>1524</v>
      </c>
      <c r="Z19" s="21" t="s">
        <v>446</v>
      </c>
      <c r="AA19" s="66" t="s">
        <v>1525</v>
      </c>
      <c r="AB19" s="7">
        <f t="shared" si="13"/>
        <v>1</v>
      </c>
      <c r="AC19" s="7">
        <f t="shared" si="14"/>
        <v>0.6093107564</v>
      </c>
      <c r="AD19" s="7">
        <f t="shared" si="15"/>
        <v>0.14218265</v>
      </c>
      <c r="AE19" s="7">
        <f t="shared" si="16"/>
        <v>0.002253582971</v>
      </c>
      <c r="AF19" s="7">
        <f t="shared" si="17"/>
        <v>0.4061114718</v>
      </c>
      <c r="AG19" s="7">
        <f t="shared" si="18"/>
        <v>0.01058456337</v>
      </c>
      <c r="AH19" s="7" t="s">
        <v>0</v>
      </c>
      <c r="AI19" s="25" t="s">
        <v>254</v>
      </c>
      <c r="AJ19" s="7" t="s">
        <v>0</v>
      </c>
      <c r="AK19" s="7" t="s">
        <v>0</v>
      </c>
      <c r="AL19" s="175" t="s">
        <v>1526</v>
      </c>
      <c r="AM19" s="175" t="s">
        <v>1527</v>
      </c>
      <c r="AN19" s="175" t="s">
        <v>1528</v>
      </c>
      <c r="AO19" s="175" t="s">
        <v>1529</v>
      </c>
      <c r="AP19" s="175" t="s">
        <v>1530</v>
      </c>
      <c r="AQ19" s="175" t="s">
        <v>1531</v>
      </c>
      <c r="AR19" s="7" t="s">
        <v>0</v>
      </c>
      <c r="AS19" s="7" t="s">
        <v>0</v>
      </c>
      <c r="AT19" s="7" t="s">
        <v>0</v>
      </c>
      <c r="AU19" s="25" t="s">
        <v>1532</v>
      </c>
      <c r="AV19" s="7" t="s">
        <v>0</v>
      </c>
      <c r="AW19" s="7" t="s">
        <v>0</v>
      </c>
      <c r="AX19" s="7" t="s">
        <v>0</v>
      </c>
    </row>
    <row r="20" ht="18.75" customHeight="1">
      <c r="A20" s="66" t="s">
        <v>457</v>
      </c>
      <c r="B20" s="67" t="s">
        <v>233</v>
      </c>
      <c r="C20" s="67" t="s">
        <v>460</v>
      </c>
      <c r="D20" s="68" t="s">
        <v>33</v>
      </c>
      <c r="E20" s="68" t="s">
        <v>1533</v>
      </c>
      <c r="F20" s="15" t="s">
        <v>1534</v>
      </c>
      <c r="G20" s="15" t="s">
        <v>1535</v>
      </c>
      <c r="H20" s="15" t="s">
        <v>1536</v>
      </c>
      <c r="I20" s="15" t="s">
        <v>1537</v>
      </c>
      <c r="J20" s="15" t="s">
        <v>1538</v>
      </c>
      <c r="K20" s="15" t="s">
        <v>1539</v>
      </c>
      <c r="L20" s="15" t="s">
        <v>1540</v>
      </c>
      <c r="M20" s="71" t="s">
        <v>0</v>
      </c>
      <c r="N20" s="71" t="s">
        <v>0</v>
      </c>
      <c r="O20" s="15" t="s">
        <v>1541</v>
      </c>
      <c r="P20" s="67" t="s">
        <v>43</v>
      </c>
      <c r="Q20" s="71" t="s">
        <v>1213</v>
      </c>
      <c r="R20" s="15" t="s">
        <v>1542</v>
      </c>
      <c r="S20" s="15" t="s">
        <v>1543</v>
      </c>
      <c r="T20" s="15" t="s">
        <v>1544</v>
      </c>
      <c r="U20" s="15" t="s">
        <v>1545</v>
      </c>
      <c r="V20" s="15" t="s">
        <v>1546</v>
      </c>
      <c r="W20" s="15" t="s">
        <v>1547</v>
      </c>
      <c r="X20" s="22" t="s">
        <v>1382</v>
      </c>
      <c r="Y20" s="22" t="s">
        <v>1548</v>
      </c>
      <c r="Z20" s="22" t="s">
        <v>0</v>
      </c>
      <c r="AA20" s="66" t="s">
        <v>1549</v>
      </c>
      <c r="AB20" s="7">
        <f t="shared" si="13"/>
        <v>1</v>
      </c>
      <c r="AC20" s="7">
        <f t="shared" si="14"/>
        <v>0.05617960826</v>
      </c>
      <c r="AD20" s="7">
        <f t="shared" si="15"/>
        <v>0.05942151699</v>
      </c>
      <c r="AE20" s="7">
        <f t="shared" si="16"/>
        <v>0.0345130314</v>
      </c>
      <c r="AF20" s="7">
        <f t="shared" si="17"/>
        <v>0.06961994963</v>
      </c>
      <c r="AG20" s="7">
        <f t="shared" si="18"/>
        <v>0.05685320348</v>
      </c>
      <c r="AH20" s="7" t="s">
        <v>0</v>
      </c>
      <c r="AI20" s="25" t="s">
        <v>254</v>
      </c>
      <c r="AJ20" s="7" t="s">
        <v>0</v>
      </c>
      <c r="AK20" s="7" t="s">
        <v>0</v>
      </c>
      <c r="AL20" s="175" t="s">
        <v>1550</v>
      </c>
      <c r="AM20" s="175" t="s">
        <v>1551</v>
      </c>
      <c r="AN20" s="175" t="s">
        <v>1552</v>
      </c>
      <c r="AO20" s="175" t="s">
        <v>1553</v>
      </c>
      <c r="AP20" s="175" t="s">
        <v>1554</v>
      </c>
      <c r="AQ20" s="175" t="s">
        <v>1555</v>
      </c>
      <c r="AR20" s="144" t="s">
        <v>0</v>
      </c>
      <c r="AS20" s="144" t="s">
        <v>0</v>
      </c>
      <c r="AT20" s="7" t="s">
        <v>0</v>
      </c>
      <c r="AU20" s="25" t="s">
        <v>68</v>
      </c>
      <c r="AV20" s="7" t="s">
        <v>0</v>
      </c>
      <c r="AW20" s="7" t="s">
        <v>0</v>
      </c>
      <c r="AX20" s="7" t="s">
        <v>0</v>
      </c>
    </row>
    <row r="21">
      <c r="A21" s="66" t="s">
        <v>503</v>
      </c>
      <c r="B21" s="67" t="s">
        <v>308</v>
      </c>
      <c r="C21" s="67" t="s">
        <v>506</v>
      </c>
      <c r="D21" s="68" t="s">
        <v>211</v>
      </c>
      <c r="E21" s="68" t="s">
        <v>1556</v>
      </c>
      <c r="F21" s="15" t="s">
        <v>1557</v>
      </c>
      <c r="G21" s="68" t="s">
        <v>1558</v>
      </c>
      <c r="H21" s="15" t="s">
        <v>1559</v>
      </c>
      <c r="I21" s="53" t="s">
        <v>1560</v>
      </c>
      <c r="J21" s="53" t="s">
        <v>1561</v>
      </c>
      <c r="K21" s="15" t="s">
        <v>1562</v>
      </c>
      <c r="L21" s="15" t="s">
        <v>1563</v>
      </c>
      <c r="M21" s="15" t="s">
        <v>1564</v>
      </c>
      <c r="N21" s="15" t="s">
        <v>1565</v>
      </c>
      <c r="O21" s="15" t="s">
        <v>1566</v>
      </c>
      <c r="P21" s="67" t="s">
        <v>66</v>
      </c>
      <c r="Q21" s="71" t="s">
        <v>1213</v>
      </c>
      <c r="R21" s="182" t="s">
        <v>1567</v>
      </c>
      <c r="S21" s="15" t="s">
        <v>1568</v>
      </c>
      <c r="T21" s="15" t="s">
        <v>196</v>
      </c>
      <c r="U21" s="15" t="s">
        <v>198</v>
      </c>
      <c r="V21" s="15" t="s">
        <v>1569</v>
      </c>
      <c r="W21" s="15" t="s">
        <v>1570</v>
      </c>
      <c r="X21" s="70" t="s">
        <v>325</v>
      </c>
      <c r="Y21" s="36" t="s">
        <v>1571</v>
      </c>
      <c r="Z21" s="36" t="s">
        <v>0</v>
      </c>
      <c r="AA21" s="66" t="s">
        <v>1572</v>
      </c>
      <c r="AB21" s="7">
        <f t="shared" si="13"/>
        <v>1</v>
      </c>
      <c r="AC21" s="7">
        <f t="shared" si="14"/>
        <v>0.3610128936</v>
      </c>
      <c r="AD21" s="7">
        <f t="shared" si="15"/>
        <v>0.170969225</v>
      </c>
      <c r="AE21" s="7">
        <f t="shared" si="16"/>
        <v>0.01354025552</v>
      </c>
      <c r="AF21" s="7">
        <f t="shared" si="17"/>
        <v>0.5695191704</v>
      </c>
      <c r="AG21" s="7">
        <f t="shared" si="18"/>
        <v>0.02013587613</v>
      </c>
      <c r="AH21" s="7" t="s">
        <v>0</v>
      </c>
      <c r="AI21" s="25" t="s">
        <v>254</v>
      </c>
      <c r="AJ21" s="7" t="s">
        <v>0</v>
      </c>
      <c r="AK21" s="7" t="s">
        <v>0</v>
      </c>
      <c r="AL21" s="175" t="s">
        <v>1573</v>
      </c>
      <c r="AM21" s="175" t="s">
        <v>1574</v>
      </c>
      <c r="AN21" s="175" t="s">
        <v>1575</v>
      </c>
      <c r="AO21" s="175" t="s">
        <v>1576</v>
      </c>
      <c r="AP21" s="175" t="s">
        <v>1577</v>
      </c>
      <c r="AQ21" s="175" t="s">
        <v>1578</v>
      </c>
      <c r="AR21" s="7" t="s">
        <v>0</v>
      </c>
      <c r="AS21" s="7" t="s">
        <v>0</v>
      </c>
      <c r="AT21" s="7" t="s">
        <v>0</v>
      </c>
      <c r="AU21" s="25" t="s">
        <v>1579</v>
      </c>
      <c r="AV21" s="7" t="s">
        <v>0</v>
      </c>
      <c r="AW21" s="7" t="s">
        <v>0</v>
      </c>
      <c r="AX21" s="7" t="s">
        <v>0</v>
      </c>
    </row>
    <row r="22">
      <c r="A22" s="66" t="s">
        <v>562</v>
      </c>
      <c r="B22" s="67" t="s">
        <v>308</v>
      </c>
      <c r="C22" s="67" t="s">
        <v>565</v>
      </c>
      <c r="D22" s="68" t="s">
        <v>211</v>
      </c>
      <c r="E22" s="68" t="s">
        <v>1580</v>
      </c>
      <c r="F22" s="79" t="s">
        <v>1581</v>
      </c>
      <c r="G22" s="14" t="s">
        <v>1582</v>
      </c>
      <c r="H22" s="52" t="s">
        <v>1583</v>
      </c>
      <c r="I22" s="52" t="s">
        <v>1584</v>
      </c>
      <c r="J22" s="52" t="s">
        <v>1585</v>
      </c>
      <c r="K22" s="15" t="s">
        <v>1586</v>
      </c>
      <c r="L22" s="15" t="s">
        <v>1587</v>
      </c>
      <c r="M22" s="15" t="s">
        <v>1588</v>
      </c>
      <c r="N22" s="15" t="s">
        <v>1589</v>
      </c>
      <c r="O22" s="15" t="s">
        <v>1590</v>
      </c>
      <c r="P22" s="90" t="s">
        <v>66</v>
      </c>
      <c r="Q22" s="183" t="s">
        <v>1213</v>
      </c>
      <c r="R22" s="15" t="s">
        <v>1591</v>
      </c>
      <c r="S22" s="15" t="s">
        <v>1592</v>
      </c>
      <c r="T22" s="15" t="s">
        <v>196</v>
      </c>
      <c r="U22" s="15" t="s">
        <v>198</v>
      </c>
      <c r="V22" s="15" t="s">
        <v>1593</v>
      </c>
      <c r="W22" s="15" t="s">
        <v>1594</v>
      </c>
      <c r="X22" s="70" t="s">
        <v>325</v>
      </c>
      <c r="Y22" s="21" t="s">
        <v>1595</v>
      </c>
      <c r="Z22" s="36" t="s">
        <v>602</v>
      </c>
      <c r="AA22" s="66" t="s">
        <v>1596</v>
      </c>
      <c r="AB22" s="7">
        <f t="shared" si="13"/>
        <v>1</v>
      </c>
      <c r="AC22" s="7">
        <f t="shared" si="14"/>
        <v>0.4584276324</v>
      </c>
      <c r="AD22" s="7">
        <f t="shared" si="15"/>
        <v>0.0770657722</v>
      </c>
      <c r="AE22" s="7">
        <f t="shared" si="16"/>
        <v>0.1817500586</v>
      </c>
      <c r="AF22" s="7">
        <f t="shared" si="17"/>
        <v>0.5321357206</v>
      </c>
      <c r="AG22" s="7">
        <f t="shared" si="18"/>
        <v>0.04952788595</v>
      </c>
      <c r="AH22" s="7" t="s">
        <v>0</v>
      </c>
      <c r="AI22" s="25" t="s">
        <v>1220</v>
      </c>
      <c r="AJ22" s="7" t="s">
        <v>0</v>
      </c>
      <c r="AK22" s="7" t="s">
        <v>0</v>
      </c>
      <c r="AL22" s="175" t="s">
        <v>1597</v>
      </c>
      <c r="AM22" s="175" t="s">
        <v>1598</v>
      </c>
      <c r="AN22" s="175" t="s">
        <v>1599</v>
      </c>
      <c r="AO22" s="175" t="s">
        <v>1600</v>
      </c>
      <c r="AP22" s="175" t="s">
        <v>1601</v>
      </c>
      <c r="AQ22" s="175" t="s">
        <v>1602</v>
      </c>
      <c r="AR22" s="7" t="s">
        <v>0</v>
      </c>
      <c r="AS22" s="7" t="s">
        <v>0</v>
      </c>
      <c r="AT22" s="7" t="s">
        <v>0</v>
      </c>
      <c r="AU22" s="25" t="s">
        <v>1603</v>
      </c>
      <c r="AV22" s="7" t="s">
        <v>0</v>
      </c>
      <c r="AW22" s="7" t="s">
        <v>0</v>
      </c>
      <c r="AX22" s="7" t="s">
        <v>0</v>
      </c>
    </row>
    <row r="23">
      <c r="A23" s="66" t="s">
        <v>614</v>
      </c>
      <c r="B23" s="67" t="s">
        <v>31</v>
      </c>
      <c r="C23" s="67" t="s">
        <v>616</v>
      </c>
      <c r="D23" s="68" t="s">
        <v>211</v>
      </c>
      <c r="E23" s="11" t="s">
        <v>1604</v>
      </c>
      <c r="F23" s="12" t="s">
        <v>1605</v>
      </c>
      <c r="G23" s="11" t="s">
        <v>1606</v>
      </c>
      <c r="H23" s="12" t="s">
        <v>1607</v>
      </c>
      <c r="I23" s="12" t="s">
        <v>1608</v>
      </c>
      <c r="J23" s="12" t="s">
        <v>1609</v>
      </c>
      <c r="K23" s="12" t="s">
        <v>1610</v>
      </c>
      <c r="L23" s="12" t="s">
        <v>1611</v>
      </c>
      <c r="M23" s="16" t="s">
        <v>1612</v>
      </c>
      <c r="N23" s="16" t="s">
        <v>1613</v>
      </c>
      <c r="O23" s="12" t="s">
        <v>1614</v>
      </c>
      <c r="P23" s="73" t="s">
        <v>43</v>
      </c>
      <c r="Q23" s="52" t="s">
        <v>1615</v>
      </c>
      <c r="R23" s="11" t="s">
        <v>1616</v>
      </c>
      <c r="S23" s="12" t="s">
        <v>1617</v>
      </c>
      <c r="T23" s="11" t="s">
        <v>1618</v>
      </c>
      <c r="U23" s="12" t="s">
        <v>1619</v>
      </c>
      <c r="V23" s="11" t="s">
        <v>1620</v>
      </c>
      <c r="W23" s="12" t="s">
        <v>1621</v>
      </c>
      <c r="X23" s="22" t="s">
        <v>249</v>
      </c>
      <c r="Y23" s="36" t="s">
        <v>1622</v>
      </c>
      <c r="Z23" s="36" t="s">
        <v>0</v>
      </c>
      <c r="AA23" s="66" t="s">
        <v>1623</v>
      </c>
      <c r="AB23" s="7">
        <f t="shared" si="13"/>
        <v>1</v>
      </c>
      <c r="AC23" s="7">
        <f t="shared" si="14"/>
        <v>0.1622913483</v>
      </c>
      <c r="AD23" s="7">
        <f t="shared" si="15"/>
        <v>0.1506595154</v>
      </c>
      <c r="AE23" s="7">
        <f t="shared" si="16"/>
        <v>0.1558658187</v>
      </c>
      <c r="AF23" s="7">
        <f t="shared" si="17"/>
        <v>0.2185389236</v>
      </c>
      <c r="AG23" s="7">
        <f t="shared" si="18"/>
        <v>0.2806265329</v>
      </c>
      <c r="AH23" s="7" t="s">
        <v>0</v>
      </c>
      <c r="AI23" s="25" t="s">
        <v>1220</v>
      </c>
      <c r="AJ23" s="7" t="s">
        <v>0</v>
      </c>
      <c r="AK23" s="7" t="s">
        <v>0</v>
      </c>
      <c r="AL23" s="176" t="s">
        <v>1624</v>
      </c>
      <c r="AM23" s="175" t="s">
        <v>1625</v>
      </c>
      <c r="AN23" s="175" t="s">
        <v>1626</v>
      </c>
      <c r="AO23" s="176" t="s">
        <v>1627</v>
      </c>
      <c r="AP23" s="175" t="s">
        <v>1628</v>
      </c>
      <c r="AQ23" s="176" t="s">
        <v>1629</v>
      </c>
      <c r="AR23" s="144" t="s">
        <v>0</v>
      </c>
      <c r="AS23" s="144" t="s">
        <v>0</v>
      </c>
      <c r="AT23" s="7" t="s">
        <v>0</v>
      </c>
      <c r="AU23" s="25" t="s">
        <v>1630</v>
      </c>
      <c r="AV23" s="7" t="s">
        <v>0</v>
      </c>
      <c r="AW23" s="7" t="s">
        <v>0</v>
      </c>
      <c r="AX23" s="7" t="s">
        <v>0</v>
      </c>
    </row>
    <row r="24">
      <c r="A24" s="63"/>
      <c r="B24" s="63"/>
      <c r="C24" s="63"/>
      <c r="D24" s="63"/>
      <c r="E24" s="63"/>
      <c r="F24" s="63"/>
      <c r="G24" s="63"/>
      <c r="H24" s="63"/>
      <c r="I24" s="63"/>
      <c r="J24" s="63"/>
      <c r="K24" s="63"/>
      <c r="L24" s="63"/>
      <c r="M24" s="63"/>
      <c r="N24" s="63"/>
      <c r="O24" s="63"/>
      <c r="P24" s="63"/>
      <c r="Q24" s="63"/>
      <c r="R24" s="63"/>
      <c r="S24" s="63">
        <f>R24+1</f>
        <v>1</v>
      </c>
      <c r="T24" s="63" t="s">
        <v>0</v>
      </c>
      <c r="U24" s="63" t="s">
        <v>0</v>
      </c>
      <c r="V24" s="63" t="s">
        <v>0</v>
      </c>
      <c r="W24" s="63" t="s">
        <v>0</v>
      </c>
      <c r="X24" s="63" t="s">
        <v>0</v>
      </c>
      <c r="Y24" s="63" t="s">
        <v>0</v>
      </c>
      <c r="Z24" s="63" t="s">
        <v>0</v>
      </c>
      <c r="AA24" s="63"/>
      <c r="AB24" s="63" t="s">
        <v>0</v>
      </c>
      <c r="AC24" s="63" t="s">
        <v>0</v>
      </c>
      <c r="AD24" s="63" t="s">
        <v>0</v>
      </c>
      <c r="AE24" s="63" t="s">
        <v>0</v>
      </c>
      <c r="AF24" s="63" t="s">
        <v>0</v>
      </c>
      <c r="AG24" s="63" t="s">
        <v>0</v>
      </c>
      <c r="AH24" s="63" t="s">
        <v>0</v>
      </c>
      <c r="AI24" s="63" t="s">
        <v>0</v>
      </c>
      <c r="AJ24" s="63" t="s">
        <v>0</v>
      </c>
      <c r="AK24" s="63" t="s">
        <v>0</v>
      </c>
      <c r="AL24" s="63" t="s">
        <v>0</v>
      </c>
      <c r="AM24" s="63" t="s">
        <v>0</v>
      </c>
      <c r="AN24" s="63" t="s">
        <v>0</v>
      </c>
      <c r="AO24" s="63" t="s">
        <v>0</v>
      </c>
      <c r="AP24" s="63" t="s">
        <v>0</v>
      </c>
      <c r="AQ24" s="63" t="s">
        <v>0</v>
      </c>
      <c r="AR24" s="63" t="s">
        <v>0</v>
      </c>
      <c r="AS24" s="63" t="s">
        <v>0</v>
      </c>
      <c r="AT24" s="63" t="s">
        <v>0</v>
      </c>
      <c r="AU24" s="63" t="s">
        <v>0</v>
      </c>
      <c r="AV24" s="63" t="s">
        <v>0</v>
      </c>
      <c r="AW24" s="63" t="s">
        <v>0</v>
      </c>
      <c r="AX24" s="63" t="s">
        <v>0</v>
      </c>
    </row>
    <row r="25">
      <c r="A25" s="95" t="s">
        <v>681</v>
      </c>
      <c r="B25" s="7" t="s">
        <v>683</v>
      </c>
      <c r="F25" s="7"/>
      <c r="I25" s="184"/>
      <c r="J25" s="184"/>
      <c r="Q25" s="7"/>
      <c r="X25" s="7"/>
      <c r="Y25" s="7"/>
      <c r="Z25" s="7"/>
      <c r="AA25" s="95" t="s">
        <v>681</v>
      </c>
      <c r="AB25" s="7">
        <f t="shared" ref="AB25:AB26" si="19">AL25/AL25</f>
        <v>1</v>
      </c>
      <c r="AC25" s="7">
        <f t="shared" ref="AC25:AC26" si="20">(AL25/AM25)-AB25</f>
        <v>0.1309739335</v>
      </c>
      <c r="AD25" s="7">
        <f t="shared" ref="AD25:AD26" si="21">(AL25/AN25)-AB25-AC25</f>
        <v>0.1533793628</v>
      </c>
      <c r="AE25" s="7">
        <f t="shared" ref="AE25:AE26" si="22">(AL25/AO25)-AB25-AC25-AD25</f>
        <v>0.1562386792</v>
      </c>
      <c r="AF25" s="7">
        <f t="shared" ref="AF25:AF26" si="23">(AL25/AP25)-AB25-AC25-AD25-AE25</f>
        <v>0.2022680135</v>
      </c>
      <c r="AG25" s="7">
        <f t="shared" ref="AG25:AG26" si="24">(AL25/AQ25)-AB25-AC25-AD25-AE25-AF25</f>
        <v>0.2094992568</v>
      </c>
      <c r="AL25" s="7">
        <v>477.974183</v>
      </c>
      <c r="AM25" s="7">
        <v>422.62175</v>
      </c>
      <c r="AN25" s="7">
        <v>372.151638</v>
      </c>
      <c r="AO25" s="7">
        <v>331.790119</v>
      </c>
      <c r="AP25" s="7">
        <v>290.940303</v>
      </c>
      <c r="AQ25" s="7">
        <v>258.035359</v>
      </c>
    </row>
    <row r="26">
      <c r="A26" s="95" t="s">
        <v>684</v>
      </c>
      <c r="B26" s="7" t="s">
        <v>683</v>
      </c>
      <c r="F26" s="7"/>
      <c r="I26" s="184"/>
      <c r="J26" s="184"/>
      <c r="Q26" s="7"/>
      <c r="X26" s="7"/>
      <c r="Y26" s="7"/>
      <c r="Z26" s="7"/>
      <c r="AA26" s="95" t="s">
        <v>684</v>
      </c>
      <c r="AB26" s="7">
        <f t="shared" si="19"/>
        <v>1</v>
      </c>
      <c r="AC26" s="7">
        <f t="shared" si="20"/>
        <v>0.1262769303</v>
      </c>
      <c r="AD26" s="7">
        <f t="shared" si="21"/>
        <v>0.09278413901</v>
      </c>
      <c r="AE26" s="7">
        <f t="shared" si="22"/>
        <v>0.05994579967</v>
      </c>
      <c r="AF26" s="7">
        <f t="shared" si="23"/>
        <v>0.0299998934</v>
      </c>
      <c r="AG26" s="7">
        <f t="shared" si="24"/>
        <v>0.02412776817</v>
      </c>
      <c r="AL26" s="7">
        <v>51.051375</v>
      </c>
      <c r="AM26" s="7">
        <v>45.327551</v>
      </c>
      <c r="AN26" s="7">
        <v>41.877619</v>
      </c>
      <c r="AO26" s="7">
        <v>39.914856</v>
      </c>
      <c r="AP26" s="7">
        <v>39.000085</v>
      </c>
      <c r="AQ26" s="7">
        <v>38.294241</v>
      </c>
    </row>
    <row r="27">
      <c r="A27" s="95"/>
      <c r="B27" s="7"/>
      <c r="F27" s="7"/>
      <c r="I27" s="184"/>
      <c r="J27" s="184"/>
      <c r="Q27" s="7"/>
      <c r="X27" s="7"/>
      <c r="Y27" s="7"/>
      <c r="Z27" s="7"/>
      <c r="AA27" s="95" t="s">
        <v>939</v>
      </c>
      <c r="AB27" s="7"/>
      <c r="AC27" s="7"/>
      <c r="AD27" s="7"/>
      <c r="AE27" s="7"/>
      <c r="AF27" s="7"/>
      <c r="AG27" s="7"/>
      <c r="AL27" s="7"/>
      <c r="AM27" s="7"/>
      <c r="AN27" s="7"/>
      <c r="AO27" s="7"/>
      <c r="AP27" s="7"/>
      <c r="AQ27" s="7"/>
    </row>
    <row r="28">
      <c r="A28" s="95" t="s">
        <v>685</v>
      </c>
      <c r="B28" s="7" t="s">
        <v>683</v>
      </c>
      <c r="F28" s="7"/>
      <c r="I28" s="184"/>
      <c r="J28" s="184"/>
      <c r="Q28" s="7"/>
      <c r="X28" s="7"/>
      <c r="Y28" s="7"/>
      <c r="Z28" s="7"/>
      <c r="AA28" s="7" t="s">
        <v>1631</v>
      </c>
      <c r="AB28" s="7">
        <f>AL28/AL28</f>
        <v>1</v>
      </c>
      <c r="AC28" s="7">
        <f>(AM28/AL28)-AB28</f>
        <v>0.1666666667</v>
      </c>
      <c r="AD28" s="7">
        <f>(AN28/AL28)-AB28-AC28</f>
        <v>0.1666666667</v>
      </c>
      <c r="AE28" s="7">
        <f>(AO28/AL28)-AB28-AC28-AD28</f>
        <v>0.1666666667</v>
      </c>
      <c r="AF28" s="7">
        <f>(AP28/AL28)-AB28-AC28-AD28-AE28</f>
        <v>0.25</v>
      </c>
      <c r="AG28" s="7">
        <f>(AQ28/AL28)-AB28-AC28-AD28-AE28-AF28</f>
        <v>0.3333333333</v>
      </c>
      <c r="AL28" s="7">
        <v>1.2</v>
      </c>
      <c r="AM28" s="7">
        <v>1.4</v>
      </c>
      <c r="AN28" s="7">
        <v>1.6</v>
      </c>
      <c r="AO28" s="7">
        <v>1.8</v>
      </c>
      <c r="AP28" s="7">
        <v>2.1</v>
      </c>
      <c r="AQ28" s="7">
        <v>2.5</v>
      </c>
    </row>
    <row r="29">
      <c r="A29" s="95" t="s">
        <v>686</v>
      </c>
      <c r="B29" s="7" t="s">
        <v>683</v>
      </c>
      <c r="F29" s="7"/>
      <c r="I29" s="184"/>
      <c r="J29" s="184"/>
      <c r="Q29" s="7"/>
      <c r="X29" s="7"/>
      <c r="Y29" s="7"/>
      <c r="Z29" s="7"/>
    </row>
    <row r="30">
      <c r="F30" s="7" t="s">
        <v>1632</v>
      </c>
      <c r="I30" s="184"/>
      <c r="J30" s="184"/>
      <c r="Q30" s="101" t="s">
        <v>1633</v>
      </c>
      <c r="X30" s="7" t="s">
        <v>939</v>
      </c>
      <c r="Y30" s="7"/>
      <c r="Z30" s="7"/>
    </row>
    <row r="31">
      <c r="F31" s="7"/>
      <c r="I31" s="184"/>
      <c r="J31" s="184"/>
      <c r="AC31" s="7"/>
      <c r="AD31" s="7"/>
      <c r="AE31" s="7"/>
      <c r="AF31" s="7"/>
      <c r="AG31" s="7"/>
      <c r="AH31" s="7"/>
      <c r="AI31" s="7"/>
      <c r="AJ31" s="7"/>
    </row>
    <row r="32">
      <c r="F32" s="7"/>
      <c r="I32" s="184"/>
      <c r="J32" s="184"/>
      <c r="AD32" s="7"/>
      <c r="AE32" s="7"/>
      <c r="AF32" s="7"/>
      <c r="AG32" s="7"/>
      <c r="AH32" s="7"/>
      <c r="AI32" s="7"/>
      <c r="AJ32" s="7"/>
    </row>
    <row r="33">
      <c r="F33" s="7"/>
      <c r="I33" s="184"/>
      <c r="J33" s="184"/>
      <c r="AD33" s="7"/>
      <c r="AE33" s="7"/>
      <c r="AF33" s="7"/>
      <c r="AG33" s="7"/>
      <c r="AH33" s="7"/>
      <c r="AI33" s="7"/>
      <c r="AJ33" s="7"/>
    </row>
    <row r="34">
      <c r="I34" s="184"/>
      <c r="J34" s="184"/>
      <c r="AD34" s="7"/>
      <c r="AE34" s="7"/>
      <c r="AF34" s="7"/>
      <c r="AG34" s="7"/>
      <c r="AH34" s="7"/>
      <c r="AI34" s="7"/>
      <c r="AJ34" s="7"/>
    </row>
    <row r="35">
      <c r="F35" s="7" t="s">
        <v>707</v>
      </c>
      <c r="I35" s="184"/>
      <c r="J35" s="184"/>
      <c r="AD35" s="7"/>
      <c r="AE35" s="7"/>
      <c r="AF35" s="7"/>
      <c r="AG35" s="7"/>
      <c r="AH35" s="7"/>
      <c r="AI35" s="7"/>
      <c r="AJ35" s="7"/>
      <c r="AK35" s="7"/>
    </row>
    <row r="36">
      <c r="F36" s="7" t="s">
        <v>1634</v>
      </c>
      <c r="I36" s="184"/>
      <c r="J36" s="184"/>
      <c r="AC36" s="7"/>
      <c r="AD36" s="7" t="s">
        <v>681</v>
      </c>
      <c r="AE36" s="7">
        <v>477.974183</v>
      </c>
      <c r="AF36" s="7">
        <v>422.62175</v>
      </c>
      <c r="AG36" s="7">
        <v>372.151638</v>
      </c>
      <c r="AH36" s="7">
        <v>331.790119</v>
      </c>
      <c r="AI36" s="7">
        <v>290.940303</v>
      </c>
      <c r="AJ36" s="7">
        <v>258.035359</v>
      </c>
      <c r="AK36" s="7"/>
      <c r="AL36" s="7"/>
      <c r="AM36" s="155"/>
      <c r="AN36" s="7"/>
      <c r="AO36" s="7"/>
    </row>
    <row r="37">
      <c r="F37" s="7" t="s">
        <v>1635</v>
      </c>
      <c r="I37" s="184"/>
      <c r="J37" s="184"/>
      <c r="AC37" s="7"/>
      <c r="AD37" s="7" t="s">
        <v>684</v>
      </c>
      <c r="AE37" s="7">
        <v>51.051375</v>
      </c>
      <c r="AF37" s="7">
        <v>45.327551</v>
      </c>
      <c r="AG37" s="7">
        <v>41.877619</v>
      </c>
      <c r="AH37" s="7">
        <v>39.914856</v>
      </c>
      <c r="AI37" s="7">
        <v>39.000085</v>
      </c>
      <c r="AJ37" s="7">
        <v>38.294241</v>
      </c>
      <c r="AK37" s="7"/>
      <c r="AL37" s="7"/>
      <c r="AM37" s="155"/>
      <c r="AN37" s="7"/>
      <c r="AO37" s="7"/>
    </row>
    <row r="38">
      <c r="E38" s="156" t="s">
        <v>1636</v>
      </c>
      <c r="F38" s="185" t="s">
        <v>710</v>
      </c>
      <c r="G38" s="157"/>
      <c r="H38" s="157"/>
      <c r="I38" s="186"/>
      <c r="J38" s="186"/>
      <c r="AD38" s="7" t="s">
        <v>1166</v>
      </c>
      <c r="AE38" s="7">
        <v>1.2</v>
      </c>
      <c r="AF38" s="7">
        <v>1.4</v>
      </c>
      <c r="AG38" s="7">
        <v>1.6</v>
      </c>
      <c r="AH38" s="7">
        <v>1.8</v>
      </c>
      <c r="AI38" s="7">
        <v>2.1</v>
      </c>
      <c r="AJ38" s="7">
        <v>2.5</v>
      </c>
      <c r="AK38" s="7"/>
      <c r="AL38" s="7"/>
      <c r="AM38" s="155"/>
      <c r="AN38" s="7"/>
      <c r="AO38" s="7"/>
    </row>
    <row r="39">
      <c r="E39" s="157"/>
      <c r="F39" s="185" t="s">
        <v>1637</v>
      </c>
      <c r="G39" s="157"/>
      <c r="H39" s="157"/>
      <c r="I39" s="186"/>
      <c r="J39" s="186"/>
      <c r="AD39" s="7"/>
      <c r="AE39" s="7"/>
      <c r="AF39" s="7"/>
      <c r="AG39" s="7"/>
      <c r="AH39" s="7"/>
      <c r="AI39" s="7"/>
      <c r="AJ39" s="7"/>
      <c r="AK39" s="7"/>
      <c r="AL39" s="7"/>
      <c r="AM39" s="155"/>
      <c r="AN39" s="7"/>
    </row>
    <row r="40">
      <c r="E40" s="157"/>
      <c r="F40" s="185" t="s">
        <v>1638</v>
      </c>
      <c r="G40" s="157"/>
      <c r="H40" s="157"/>
      <c r="I40" s="186"/>
      <c r="J40" s="186"/>
      <c r="AD40" s="7" t="s">
        <v>1639</v>
      </c>
      <c r="AE40" s="7"/>
      <c r="AF40" s="7"/>
      <c r="AG40" s="7"/>
      <c r="AL40" s="7"/>
      <c r="AM40" s="7"/>
      <c r="AN40" s="7"/>
    </row>
    <row r="41">
      <c r="E41" s="157"/>
      <c r="F41" s="156" t="s">
        <v>1640</v>
      </c>
      <c r="G41" s="157"/>
      <c r="H41" s="157"/>
      <c r="I41" s="186"/>
      <c r="J41" s="186"/>
      <c r="AD41" s="7" t="s">
        <v>1641</v>
      </c>
      <c r="AE41" s="7">
        <v>1.2</v>
      </c>
      <c r="AF41" s="7"/>
      <c r="AG41" s="7"/>
      <c r="AH41" s="7">
        <v>11.212663</v>
      </c>
      <c r="AL41" s="7"/>
      <c r="AM41" s="7"/>
      <c r="AN41" s="7"/>
    </row>
    <row r="42">
      <c r="I42" s="184"/>
      <c r="J42" s="184"/>
      <c r="AC42" s="7"/>
      <c r="AD42" s="7" t="s">
        <v>1642</v>
      </c>
      <c r="AE42" s="7">
        <v>1.4</v>
      </c>
      <c r="AF42" s="7"/>
      <c r="AG42" s="7"/>
      <c r="AH42" s="7">
        <v>11.167063</v>
      </c>
      <c r="AL42" s="7"/>
      <c r="AM42" s="7"/>
      <c r="AN42" s="155"/>
    </row>
    <row r="43">
      <c r="F43" s="158" t="s">
        <v>1643</v>
      </c>
      <c r="I43" s="184"/>
      <c r="J43" s="184"/>
      <c r="AD43" s="7" t="s">
        <v>1644</v>
      </c>
      <c r="AE43" s="7">
        <v>1.6</v>
      </c>
      <c r="AF43" s="7"/>
      <c r="AG43" s="7"/>
      <c r="AH43" s="7">
        <v>11.041133</v>
      </c>
      <c r="AL43" s="7"/>
      <c r="AM43" s="7"/>
      <c r="AN43" s="155"/>
    </row>
    <row r="44">
      <c r="I44" s="184"/>
      <c r="J44" s="184"/>
      <c r="AD44" s="7" t="s">
        <v>1645</v>
      </c>
      <c r="AE44" s="7">
        <v>1.8</v>
      </c>
      <c r="AF44" s="7"/>
      <c r="AG44" s="7"/>
      <c r="AH44" s="7">
        <v>10.848057</v>
      </c>
      <c r="AN44" s="155"/>
    </row>
    <row r="45">
      <c r="I45" s="184"/>
      <c r="J45" s="184"/>
      <c r="AD45" s="7" t="s">
        <v>1646</v>
      </c>
      <c r="AE45" s="7">
        <v>2.1</v>
      </c>
      <c r="AF45" s="7"/>
      <c r="AG45" s="7"/>
      <c r="AH45" s="7">
        <v>10.917546</v>
      </c>
    </row>
    <row r="46">
      <c r="I46" s="184"/>
      <c r="J46" s="184"/>
      <c r="AD46" s="7" t="s">
        <v>1647</v>
      </c>
      <c r="AE46" s="7">
        <v>2.5</v>
      </c>
      <c r="AF46" s="7"/>
      <c r="AG46" s="7"/>
      <c r="AH46" s="7">
        <v>10.725041</v>
      </c>
    </row>
    <row r="47">
      <c r="I47" s="184"/>
      <c r="J47" s="184"/>
      <c r="AE47" s="7">
        <v>2.9</v>
      </c>
      <c r="AF47" s="7"/>
      <c r="AG47" s="7"/>
    </row>
    <row r="48">
      <c r="I48" s="184"/>
      <c r="J48" s="184"/>
    </row>
    <row r="49">
      <c r="I49" s="184"/>
      <c r="J49" s="184"/>
      <c r="AM49" s="7"/>
      <c r="AN49" s="7"/>
    </row>
    <row r="50">
      <c r="I50" s="184"/>
      <c r="J50" s="184"/>
    </row>
    <row r="51">
      <c r="I51" s="184"/>
      <c r="J51" s="184"/>
    </row>
    <row r="52">
      <c r="I52" s="184"/>
      <c r="J52" s="184"/>
    </row>
    <row r="53">
      <c r="I53" s="184"/>
      <c r="J53" s="184"/>
      <c r="AF53" s="7"/>
      <c r="AG53" s="7"/>
      <c r="AM53" s="7"/>
    </row>
    <row r="54">
      <c r="I54" s="184"/>
      <c r="J54" s="184"/>
      <c r="AF54" s="7"/>
      <c r="AG54" s="7"/>
      <c r="AI54" s="7"/>
      <c r="AJ54" s="7"/>
      <c r="AM54" s="7"/>
    </row>
    <row r="55">
      <c r="I55" s="184"/>
      <c r="J55" s="184"/>
      <c r="AF55" s="7"/>
      <c r="AG55" s="7"/>
      <c r="AI55" s="7"/>
      <c r="AJ55" s="7"/>
      <c r="AM55" s="7"/>
    </row>
    <row r="56">
      <c r="I56" s="184"/>
      <c r="J56" s="184"/>
      <c r="AF56" s="7"/>
      <c r="AG56" s="7"/>
      <c r="AI56" s="7"/>
      <c r="AJ56" s="7"/>
      <c r="AM56" s="7"/>
    </row>
    <row r="57">
      <c r="I57" s="184"/>
      <c r="J57" s="184"/>
      <c r="AF57" s="7"/>
      <c r="AG57" s="7"/>
      <c r="AI57" s="7"/>
      <c r="AJ57" s="7"/>
      <c r="AM57" s="7"/>
    </row>
    <row r="58">
      <c r="I58" s="184"/>
      <c r="J58" s="184"/>
      <c r="AF58" s="7"/>
      <c r="AG58" s="7"/>
      <c r="AI58" s="7"/>
      <c r="AJ58" s="7"/>
      <c r="AM58" s="7"/>
    </row>
    <row r="59">
      <c r="I59" s="184"/>
      <c r="J59" s="184"/>
    </row>
    <row r="60">
      <c r="I60" s="184"/>
      <c r="J60" s="184"/>
    </row>
    <row r="61">
      <c r="I61" s="184"/>
      <c r="J61" s="184"/>
    </row>
    <row r="62">
      <c r="I62" s="184"/>
      <c r="J62" s="184"/>
    </row>
    <row r="63">
      <c r="I63" s="184"/>
      <c r="J63" s="184"/>
    </row>
    <row r="64">
      <c r="I64" s="184"/>
      <c r="J64" s="184"/>
    </row>
    <row r="65">
      <c r="I65" s="184"/>
      <c r="J65" s="184"/>
    </row>
    <row r="66">
      <c r="I66" s="184"/>
      <c r="J66" s="184"/>
    </row>
    <row r="67">
      <c r="I67" s="184"/>
      <c r="J67" s="184"/>
    </row>
    <row r="68">
      <c r="I68" s="184"/>
      <c r="J68" s="184"/>
    </row>
    <row r="69">
      <c r="I69" s="184"/>
      <c r="J69" s="184"/>
    </row>
    <row r="70">
      <c r="I70" s="184"/>
      <c r="J70" s="184"/>
    </row>
    <row r="71">
      <c r="I71" s="184"/>
      <c r="J71" s="184"/>
    </row>
    <row r="72">
      <c r="I72" s="184"/>
      <c r="J72" s="184"/>
    </row>
    <row r="73">
      <c r="I73" s="184"/>
      <c r="J73" s="184"/>
    </row>
    <row r="74">
      <c r="I74" s="184"/>
      <c r="J74" s="184"/>
    </row>
    <row r="75">
      <c r="I75" s="184"/>
      <c r="J75" s="184"/>
    </row>
    <row r="76">
      <c r="I76" s="184"/>
      <c r="J76" s="184"/>
    </row>
    <row r="77">
      <c r="I77" s="184"/>
      <c r="J77" s="184"/>
    </row>
    <row r="78">
      <c r="I78" s="184"/>
      <c r="J78" s="184"/>
    </row>
    <row r="79">
      <c r="I79" s="184"/>
      <c r="J79" s="184"/>
    </row>
    <row r="80">
      <c r="I80" s="184"/>
      <c r="J80" s="184"/>
    </row>
    <row r="81">
      <c r="I81" s="184"/>
      <c r="J81" s="184"/>
    </row>
    <row r="82">
      <c r="I82" s="184"/>
      <c r="J82" s="184"/>
    </row>
    <row r="83">
      <c r="I83" s="184"/>
      <c r="J83" s="184"/>
    </row>
    <row r="84">
      <c r="I84" s="184"/>
      <c r="J84" s="184"/>
    </row>
    <row r="85">
      <c r="I85" s="184"/>
      <c r="J85" s="184"/>
    </row>
    <row r="86">
      <c r="I86" s="184"/>
      <c r="J86" s="184"/>
    </row>
    <row r="87">
      <c r="I87" s="184"/>
      <c r="J87" s="184"/>
    </row>
    <row r="88">
      <c r="I88" s="184"/>
      <c r="J88" s="184"/>
    </row>
    <row r="89">
      <c r="I89" s="184"/>
      <c r="J89" s="184"/>
    </row>
    <row r="90">
      <c r="I90" s="184"/>
      <c r="J90" s="184"/>
    </row>
    <row r="91">
      <c r="I91" s="184"/>
      <c r="J91" s="184"/>
    </row>
    <row r="92">
      <c r="I92" s="184"/>
      <c r="J92" s="184"/>
    </row>
    <row r="93">
      <c r="I93" s="184"/>
      <c r="J93" s="184"/>
    </row>
    <row r="94">
      <c r="I94" s="184"/>
      <c r="J94" s="184"/>
    </row>
    <row r="95">
      <c r="I95" s="184"/>
      <c r="J95" s="184"/>
    </row>
    <row r="96">
      <c r="I96" s="184"/>
      <c r="J96" s="184"/>
    </row>
    <row r="97">
      <c r="I97" s="184"/>
      <c r="J97" s="184"/>
    </row>
    <row r="98">
      <c r="I98" s="184"/>
      <c r="J98" s="184"/>
    </row>
    <row r="99">
      <c r="I99" s="184"/>
      <c r="J99" s="184"/>
    </row>
    <row r="100">
      <c r="I100" s="184"/>
      <c r="J100" s="184"/>
    </row>
    <row r="101">
      <c r="I101" s="184"/>
      <c r="J101" s="184"/>
    </row>
    <row r="102">
      <c r="I102" s="184"/>
      <c r="J102" s="184"/>
    </row>
    <row r="103">
      <c r="I103" s="184"/>
      <c r="J103" s="184"/>
    </row>
    <row r="104">
      <c r="I104" s="184"/>
      <c r="J104" s="184"/>
    </row>
    <row r="105">
      <c r="I105" s="184"/>
      <c r="J105" s="184"/>
    </row>
    <row r="106">
      <c r="I106" s="184"/>
      <c r="J106" s="184"/>
    </row>
    <row r="107">
      <c r="I107" s="184"/>
      <c r="J107" s="184"/>
    </row>
    <row r="108">
      <c r="I108" s="184"/>
      <c r="J108" s="184"/>
    </row>
    <row r="109">
      <c r="I109" s="184"/>
      <c r="J109" s="184"/>
    </row>
    <row r="110">
      <c r="I110" s="184"/>
      <c r="J110" s="184"/>
    </row>
    <row r="111">
      <c r="I111" s="184"/>
      <c r="J111" s="184"/>
    </row>
    <row r="112">
      <c r="I112" s="184"/>
      <c r="J112" s="184"/>
    </row>
    <row r="113">
      <c r="I113" s="184"/>
      <c r="J113" s="184"/>
    </row>
    <row r="114">
      <c r="I114" s="184"/>
      <c r="J114" s="184"/>
    </row>
    <row r="115">
      <c r="I115" s="184"/>
      <c r="J115" s="184"/>
    </row>
    <row r="116">
      <c r="I116" s="184"/>
      <c r="J116" s="184"/>
    </row>
    <row r="117">
      <c r="I117" s="184"/>
      <c r="J117" s="184"/>
    </row>
    <row r="118">
      <c r="I118" s="184"/>
      <c r="J118" s="184"/>
    </row>
    <row r="119">
      <c r="I119" s="184"/>
      <c r="J119" s="184"/>
    </row>
    <row r="120">
      <c r="I120" s="184"/>
      <c r="J120" s="184"/>
    </row>
    <row r="121">
      <c r="I121" s="184"/>
      <c r="J121" s="184"/>
    </row>
    <row r="122">
      <c r="I122" s="184"/>
      <c r="J122" s="184"/>
    </row>
    <row r="123">
      <c r="I123" s="184"/>
      <c r="J123" s="184"/>
    </row>
    <row r="124">
      <c r="I124" s="184"/>
      <c r="J124" s="184"/>
    </row>
    <row r="125">
      <c r="I125" s="184"/>
      <c r="J125" s="184"/>
    </row>
    <row r="126">
      <c r="I126" s="184"/>
      <c r="J126" s="184"/>
    </row>
    <row r="127">
      <c r="I127" s="184"/>
      <c r="J127" s="184"/>
    </row>
    <row r="128">
      <c r="I128" s="184"/>
      <c r="J128" s="184"/>
    </row>
    <row r="129">
      <c r="I129" s="184"/>
      <c r="J129" s="184"/>
    </row>
    <row r="130">
      <c r="I130" s="184"/>
      <c r="J130" s="184"/>
    </row>
    <row r="131">
      <c r="I131" s="184"/>
      <c r="J131" s="184"/>
    </row>
    <row r="132">
      <c r="I132" s="184"/>
      <c r="J132" s="184"/>
    </row>
    <row r="133">
      <c r="I133" s="184"/>
      <c r="J133" s="184"/>
    </row>
    <row r="134">
      <c r="I134" s="184"/>
      <c r="J134" s="184"/>
    </row>
    <row r="135">
      <c r="I135" s="184"/>
      <c r="J135" s="184"/>
    </row>
    <row r="136">
      <c r="I136" s="184"/>
      <c r="J136" s="184"/>
    </row>
    <row r="137">
      <c r="I137" s="184"/>
      <c r="J137" s="184"/>
    </row>
    <row r="138">
      <c r="I138" s="184"/>
      <c r="J138" s="184"/>
    </row>
    <row r="139">
      <c r="I139" s="184"/>
      <c r="J139" s="184"/>
    </row>
    <row r="140">
      <c r="I140" s="184"/>
      <c r="J140" s="184"/>
    </row>
    <row r="141">
      <c r="I141" s="184"/>
      <c r="J141" s="184"/>
    </row>
    <row r="142">
      <c r="I142" s="184"/>
      <c r="J142" s="184"/>
    </row>
    <row r="143">
      <c r="I143" s="184"/>
      <c r="J143" s="184"/>
    </row>
    <row r="144">
      <c r="I144" s="184"/>
      <c r="J144" s="184"/>
    </row>
    <row r="145">
      <c r="I145" s="184"/>
      <c r="J145" s="184"/>
    </row>
    <row r="146">
      <c r="I146" s="184"/>
      <c r="J146" s="184"/>
    </row>
    <row r="147">
      <c r="I147" s="184"/>
      <c r="J147" s="184"/>
    </row>
    <row r="148">
      <c r="I148" s="184"/>
      <c r="J148" s="184"/>
    </row>
    <row r="149">
      <c r="I149" s="184"/>
      <c r="J149" s="184"/>
    </row>
    <row r="150">
      <c r="I150" s="184"/>
      <c r="J150" s="184"/>
    </row>
    <row r="151">
      <c r="I151" s="184"/>
      <c r="J151" s="184"/>
    </row>
    <row r="152">
      <c r="I152" s="184"/>
      <c r="J152" s="184"/>
    </row>
    <row r="153">
      <c r="I153" s="184"/>
      <c r="J153" s="184"/>
    </row>
    <row r="154">
      <c r="I154" s="184"/>
      <c r="J154" s="184"/>
    </row>
    <row r="155">
      <c r="I155" s="184"/>
      <c r="J155" s="184"/>
    </row>
    <row r="156">
      <c r="I156" s="184"/>
      <c r="J156" s="184"/>
    </row>
    <row r="157">
      <c r="I157" s="184"/>
      <c r="J157" s="184"/>
    </row>
    <row r="158">
      <c r="I158" s="184"/>
      <c r="J158" s="184"/>
    </row>
    <row r="159">
      <c r="I159" s="184"/>
      <c r="J159" s="184"/>
    </row>
    <row r="160">
      <c r="I160" s="184"/>
      <c r="J160" s="184"/>
    </row>
    <row r="161">
      <c r="I161" s="184"/>
      <c r="J161" s="184"/>
    </row>
    <row r="162">
      <c r="I162" s="184"/>
      <c r="J162" s="184"/>
    </row>
    <row r="163">
      <c r="I163" s="184"/>
      <c r="J163" s="184"/>
    </row>
    <row r="164">
      <c r="I164" s="184"/>
      <c r="J164" s="184"/>
    </row>
    <row r="165">
      <c r="I165" s="184"/>
      <c r="J165" s="184"/>
    </row>
    <row r="166">
      <c r="I166" s="184"/>
      <c r="J166" s="184"/>
    </row>
    <row r="167">
      <c r="I167" s="184"/>
      <c r="J167" s="184"/>
    </row>
    <row r="168">
      <c r="I168" s="184"/>
      <c r="J168" s="184"/>
    </row>
    <row r="169">
      <c r="I169" s="184"/>
      <c r="J169" s="184"/>
    </row>
    <row r="170">
      <c r="I170" s="184"/>
      <c r="J170" s="184"/>
    </row>
    <row r="171">
      <c r="I171" s="184"/>
      <c r="J171" s="184"/>
    </row>
    <row r="172">
      <c r="I172" s="184"/>
      <c r="J172" s="184"/>
    </row>
    <row r="173">
      <c r="I173" s="184"/>
      <c r="J173" s="184"/>
    </row>
    <row r="174">
      <c r="I174" s="184"/>
      <c r="J174" s="184"/>
    </row>
    <row r="175">
      <c r="I175" s="184"/>
      <c r="J175" s="184"/>
    </row>
    <row r="176">
      <c r="I176" s="184"/>
      <c r="J176" s="184"/>
    </row>
    <row r="177">
      <c r="I177" s="184"/>
      <c r="J177" s="184"/>
    </row>
    <row r="178">
      <c r="I178" s="184"/>
      <c r="J178" s="184"/>
    </row>
    <row r="179">
      <c r="I179" s="184"/>
      <c r="J179" s="184"/>
    </row>
    <row r="180">
      <c r="I180" s="184"/>
      <c r="J180" s="184"/>
    </row>
    <row r="181">
      <c r="I181" s="184"/>
      <c r="J181" s="184"/>
    </row>
    <row r="182">
      <c r="I182" s="184"/>
      <c r="J182" s="184"/>
    </row>
    <row r="183">
      <c r="I183" s="184"/>
      <c r="J183" s="184"/>
    </row>
    <row r="184">
      <c r="I184" s="184"/>
      <c r="J184" s="184"/>
    </row>
    <row r="185">
      <c r="I185" s="184"/>
      <c r="J185" s="184"/>
    </row>
    <row r="186">
      <c r="I186" s="184"/>
      <c r="J186" s="184"/>
    </row>
    <row r="187">
      <c r="I187" s="184"/>
      <c r="J187" s="184"/>
    </row>
    <row r="188">
      <c r="I188" s="184"/>
      <c r="J188" s="184"/>
    </row>
    <row r="189">
      <c r="I189" s="184"/>
      <c r="J189" s="184"/>
    </row>
    <row r="190">
      <c r="I190" s="184"/>
      <c r="J190" s="184"/>
    </row>
    <row r="191">
      <c r="I191" s="184"/>
      <c r="J191" s="184"/>
    </row>
    <row r="192">
      <c r="I192" s="184"/>
      <c r="J192" s="184"/>
    </row>
    <row r="193">
      <c r="I193" s="184"/>
      <c r="J193" s="184"/>
    </row>
    <row r="194">
      <c r="I194" s="184"/>
      <c r="J194" s="184"/>
    </row>
    <row r="195">
      <c r="I195" s="184"/>
      <c r="J195" s="184"/>
    </row>
    <row r="196">
      <c r="I196" s="184"/>
      <c r="J196" s="184"/>
    </row>
    <row r="197">
      <c r="I197" s="184"/>
      <c r="J197" s="184"/>
    </row>
    <row r="198">
      <c r="I198" s="184"/>
      <c r="J198" s="184"/>
    </row>
    <row r="199">
      <c r="I199" s="184"/>
      <c r="J199" s="184"/>
    </row>
    <row r="200">
      <c r="I200" s="184"/>
      <c r="J200" s="184"/>
    </row>
    <row r="201">
      <c r="I201" s="184"/>
      <c r="J201" s="184"/>
    </row>
    <row r="202">
      <c r="I202" s="184"/>
      <c r="J202" s="184"/>
    </row>
    <row r="203">
      <c r="I203" s="184"/>
      <c r="J203" s="184"/>
    </row>
    <row r="204">
      <c r="I204" s="184"/>
      <c r="J204" s="184"/>
    </row>
    <row r="205">
      <c r="A205" s="108" t="s">
        <v>385</v>
      </c>
      <c r="B205" s="3" t="s">
        <v>1</v>
      </c>
      <c r="C205" s="3" t="s">
        <v>2</v>
      </c>
      <c r="D205" s="3" t="s">
        <v>3</v>
      </c>
      <c r="E205" s="3" t="s">
        <v>834</v>
      </c>
      <c r="F205" s="3" t="s">
        <v>5</v>
      </c>
      <c r="G205" s="3" t="s">
        <v>835</v>
      </c>
      <c r="H205" s="3"/>
      <c r="I205" s="187"/>
      <c r="J205" s="187"/>
      <c r="K205" s="3" t="s">
        <v>305</v>
      </c>
      <c r="L205" s="3" t="s">
        <v>836</v>
      </c>
      <c r="M205" s="3"/>
      <c r="N205" s="3"/>
      <c r="O205" s="3"/>
      <c r="P205" s="3" t="s">
        <v>306</v>
      </c>
      <c r="Q205" s="3"/>
      <c r="R205" s="5" t="s">
        <v>837</v>
      </c>
      <c r="S205" s="5" t="s">
        <v>838</v>
      </c>
      <c r="T205" s="5" t="s">
        <v>839</v>
      </c>
      <c r="U205" s="5" t="s">
        <v>840</v>
      </c>
      <c r="V205" s="5" t="s">
        <v>841</v>
      </c>
      <c r="W205" s="5" t="s">
        <v>842</v>
      </c>
      <c r="X205" s="5" t="s">
        <v>21</v>
      </c>
      <c r="Y205" s="5" t="s">
        <v>23</v>
      </c>
      <c r="Z205" s="159"/>
    </row>
    <row r="206">
      <c r="A206" s="57" t="s">
        <v>30</v>
      </c>
      <c r="B206" s="21" t="s">
        <v>31</v>
      </c>
      <c r="C206" s="21"/>
      <c r="D206" s="10" t="s">
        <v>33</v>
      </c>
      <c r="E206" s="116">
        <f t="shared" ref="E206:E217" si="25">G206/L206</f>
        <v>0</v>
      </c>
      <c r="F206" s="111"/>
      <c r="G206" s="112"/>
      <c r="H206" s="112"/>
      <c r="I206" s="188"/>
      <c r="J206" s="188"/>
      <c r="K206" s="113">
        <v>24.147293281</v>
      </c>
      <c r="L206" s="113">
        <v>16.282866</v>
      </c>
      <c r="M206" s="113"/>
      <c r="N206" s="113"/>
      <c r="O206" s="113"/>
      <c r="P206" s="113">
        <f t="shared" ref="P206:P217" si="26">L206*100/K206</f>
        <v>67.43143346</v>
      </c>
      <c r="Q206" s="113"/>
      <c r="R206" s="114">
        <v>142.013071534</v>
      </c>
      <c r="S206" s="114">
        <f t="shared" ref="S206:S217" si="27">R206*100/(R206+T206+V206)</f>
        <v>21.63876579</v>
      </c>
      <c r="T206" s="114">
        <v>4.44E-7</v>
      </c>
      <c r="U206" s="114">
        <f t="shared" ref="U206:U217" si="28">T206*100/(R206+T206+V206)</f>
        <v>0.00000006765301185</v>
      </c>
      <c r="V206" s="114">
        <v>514.276999707</v>
      </c>
      <c r="W206" s="114">
        <f t="shared" ref="W206:W217" si="29">V206*100/(R206+T206+V206)</f>
        <v>78.36123414</v>
      </c>
      <c r="X206" s="22"/>
      <c r="Y206" s="21" t="s">
        <v>940</v>
      </c>
      <c r="Z206" s="21"/>
    </row>
    <row r="207">
      <c r="A207" s="57" t="s">
        <v>58</v>
      </c>
      <c r="B207" s="21" t="s">
        <v>31</v>
      </c>
      <c r="C207" s="21"/>
      <c r="D207" s="10" t="s">
        <v>60</v>
      </c>
      <c r="E207" s="116">
        <f t="shared" si="25"/>
        <v>81.96506181</v>
      </c>
      <c r="F207" s="111"/>
      <c r="G207" s="112">
        <f t="shared" ref="G207:G217" si="30">R207+T207</f>
        <v>6918.878567</v>
      </c>
      <c r="H207" s="112"/>
      <c r="I207" s="188"/>
      <c r="J207" s="188"/>
      <c r="K207" s="117">
        <v>299.336068822</v>
      </c>
      <c r="L207" s="117">
        <v>84.4125339985</v>
      </c>
      <c r="M207" s="117"/>
      <c r="N207" s="117"/>
      <c r="O207" s="117"/>
      <c r="P207" s="113">
        <f t="shared" si="26"/>
        <v>28.19992069</v>
      </c>
      <c r="Q207" s="113"/>
      <c r="R207" s="114">
        <v>0.010961698</v>
      </c>
      <c r="S207" s="114">
        <f t="shared" si="27"/>
        <v>0.0001128073451</v>
      </c>
      <c r="T207" s="114">
        <v>6918.867605249</v>
      </c>
      <c r="U207" s="114">
        <f t="shared" si="28"/>
        <v>71.20238907</v>
      </c>
      <c r="V207" s="114">
        <v>2798.306060702</v>
      </c>
      <c r="W207" s="114">
        <f t="shared" si="29"/>
        <v>28.79749812</v>
      </c>
      <c r="X207" s="22"/>
      <c r="Y207" s="22" t="s">
        <v>941</v>
      </c>
      <c r="Z207" s="22"/>
    </row>
    <row r="208">
      <c r="A208" s="57" t="s">
        <v>69</v>
      </c>
      <c r="B208" s="21" t="s">
        <v>31</v>
      </c>
      <c r="C208" s="21"/>
      <c r="D208" s="10" t="s">
        <v>33</v>
      </c>
      <c r="E208" s="110">
        <f t="shared" si="25"/>
        <v>49.79253143</v>
      </c>
      <c r="F208" s="111"/>
      <c r="G208" s="112">
        <f t="shared" si="30"/>
        <v>19.08512875</v>
      </c>
      <c r="H208" s="112"/>
      <c r="I208" s="188"/>
      <c r="J208" s="188"/>
      <c r="K208" s="111">
        <v>0.510844769</v>
      </c>
      <c r="L208" s="111">
        <v>0.383293</v>
      </c>
      <c r="M208" s="111"/>
      <c r="N208" s="111"/>
      <c r="O208" s="111"/>
      <c r="P208" s="113">
        <f t="shared" si="26"/>
        <v>75.03120777</v>
      </c>
      <c r="Q208" s="113"/>
      <c r="R208" s="119">
        <v>19.085128748</v>
      </c>
      <c r="S208" s="114">
        <f t="shared" si="27"/>
        <v>99.81934202</v>
      </c>
      <c r="T208" s="114">
        <v>0.0</v>
      </c>
      <c r="U208" s="114">
        <f t="shared" si="28"/>
        <v>0</v>
      </c>
      <c r="V208" s="120">
        <v>0.03454121</v>
      </c>
      <c r="W208" s="114">
        <f t="shared" si="29"/>
        <v>0.1806579825</v>
      </c>
      <c r="X208" s="22"/>
      <c r="Y208" s="22" t="s">
        <v>942</v>
      </c>
      <c r="Z208" s="22"/>
    </row>
    <row r="209">
      <c r="A209" s="57" t="s">
        <v>92</v>
      </c>
      <c r="B209" s="9" t="s">
        <v>93</v>
      </c>
      <c r="C209" s="9"/>
      <c r="D209" s="9" t="s">
        <v>850</v>
      </c>
      <c r="E209" s="116">
        <f t="shared" si="25"/>
        <v>7.763928401</v>
      </c>
      <c r="F209" s="113"/>
      <c r="G209" s="112">
        <f t="shared" si="30"/>
        <v>43.49927158</v>
      </c>
      <c r="H209" s="112"/>
      <c r="I209" s="188"/>
      <c r="J209" s="188"/>
      <c r="K209" s="113">
        <v>6.418983413</v>
      </c>
      <c r="L209" s="113">
        <v>5.602739919</v>
      </c>
      <c r="M209" s="113"/>
      <c r="N209" s="113"/>
      <c r="O209" s="113"/>
      <c r="P209" s="113">
        <f t="shared" si="26"/>
        <v>87.28391333</v>
      </c>
      <c r="Q209" s="113"/>
      <c r="R209" s="122">
        <v>43.499271581</v>
      </c>
      <c r="S209" s="114">
        <f t="shared" si="27"/>
        <v>9.356417136</v>
      </c>
      <c r="T209" s="113">
        <v>0.0</v>
      </c>
      <c r="U209" s="114">
        <f t="shared" si="28"/>
        <v>0</v>
      </c>
      <c r="V209" s="113">
        <v>421.414497735</v>
      </c>
      <c r="W209" s="114">
        <f t="shared" si="29"/>
        <v>90.64358286</v>
      </c>
      <c r="X209" s="22"/>
      <c r="Y209" s="22" t="s">
        <v>943</v>
      </c>
      <c r="Z209" s="22"/>
    </row>
    <row r="210">
      <c r="A210" s="57" t="s">
        <v>117</v>
      </c>
      <c r="B210" s="9" t="s">
        <v>93</v>
      </c>
      <c r="C210" s="9"/>
      <c r="D210" s="9" t="s">
        <v>33</v>
      </c>
      <c r="E210" s="116">
        <f t="shared" si="25"/>
        <v>0.01663709204</v>
      </c>
      <c r="F210" s="113"/>
      <c r="G210" s="112">
        <f t="shared" si="30"/>
        <v>0.163862546</v>
      </c>
      <c r="H210" s="112"/>
      <c r="I210" s="188"/>
      <c r="J210" s="188"/>
      <c r="K210" s="113">
        <v>9.94285944</v>
      </c>
      <c r="L210" s="113">
        <v>9.84923</v>
      </c>
      <c r="M210" s="113"/>
      <c r="N210" s="113"/>
      <c r="O210" s="113"/>
      <c r="P210" s="113">
        <f t="shared" si="26"/>
        <v>99.05832482</v>
      </c>
      <c r="Q210" s="113"/>
      <c r="R210" s="113">
        <v>0.163862258</v>
      </c>
      <c r="S210" s="114">
        <f t="shared" si="27"/>
        <v>0.2090184595</v>
      </c>
      <c r="T210" s="125">
        <v>2.88E-7</v>
      </c>
      <c r="U210" s="114">
        <f t="shared" si="28"/>
        <v>0.0000003673653534</v>
      </c>
      <c r="V210" s="113">
        <v>78.232207553</v>
      </c>
      <c r="W210" s="114">
        <f t="shared" si="29"/>
        <v>99.79098117</v>
      </c>
      <c r="X210" s="22"/>
      <c r="Y210" s="22" t="s">
        <v>944</v>
      </c>
      <c r="Z210" s="22"/>
    </row>
    <row r="211">
      <c r="A211" s="57" t="s">
        <v>139</v>
      </c>
      <c r="B211" s="9" t="s">
        <v>93</v>
      </c>
      <c r="C211" s="9"/>
      <c r="D211" s="9" t="s">
        <v>33</v>
      </c>
      <c r="E211" s="116">
        <f t="shared" si="25"/>
        <v>26.0630153</v>
      </c>
      <c r="F211" s="125"/>
      <c r="G211" s="112">
        <f t="shared" si="30"/>
        <v>1501.971435</v>
      </c>
      <c r="H211" s="112"/>
      <c r="I211" s="188"/>
      <c r="J211" s="188"/>
      <c r="K211" s="127">
        <v>62.371648399</v>
      </c>
      <c r="L211" s="113">
        <v>57.62846</v>
      </c>
      <c r="M211" s="113"/>
      <c r="N211" s="113"/>
      <c r="O211" s="113"/>
      <c r="P211" s="113">
        <f t="shared" si="26"/>
        <v>92.39528132</v>
      </c>
      <c r="Q211" s="113"/>
      <c r="R211" s="113">
        <v>1501.97143463</v>
      </c>
      <c r="S211" s="114">
        <f t="shared" si="27"/>
        <v>89.70820077</v>
      </c>
      <c r="T211" s="113">
        <v>0.0</v>
      </c>
      <c r="U211" s="114">
        <f t="shared" si="28"/>
        <v>0</v>
      </c>
      <c r="V211" s="113">
        <v>172.314106331</v>
      </c>
      <c r="W211" s="114">
        <f t="shared" si="29"/>
        <v>10.29179923</v>
      </c>
      <c r="X211" s="22"/>
      <c r="Y211" s="22" t="s">
        <v>945</v>
      </c>
      <c r="Z211" s="22"/>
    </row>
    <row r="212">
      <c r="A212" s="57" t="s">
        <v>159</v>
      </c>
      <c r="B212" s="9" t="s">
        <v>160</v>
      </c>
      <c r="C212" s="44"/>
      <c r="D212" s="22" t="s">
        <v>855</v>
      </c>
      <c r="E212" s="116">
        <f t="shared" si="25"/>
        <v>12.63655509</v>
      </c>
      <c r="F212" s="113"/>
      <c r="G212" s="112">
        <f t="shared" si="30"/>
        <v>18.77525455</v>
      </c>
      <c r="H212" s="112"/>
      <c r="I212" s="188"/>
      <c r="J212" s="188"/>
      <c r="K212" s="113">
        <v>2.142226746</v>
      </c>
      <c r="L212" s="113">
        <v>1.485789</v>
      </c>
      <c r="M212" s="113"/>
      <c r="N212" s="113"/>
      <c r="O212" s="113"/>
      <c r="P212" s="113">
        <f t="shared" si="26"/>
        <v>69.35722387</v>
      </c>
      <c r="Q212" s="113"/>
      <c r="R212" s="113">
        <v>18.775254548</v>
      </c>
      <c r="S212" s="114">
        <f t="shared" si="27"/>
        <v>13.45985314</v>
      </c>
      <c r="T212" s="113">
        <v>0.0</v>
      </c>
      <c r="U212" s="114">
        <f t="shared" si="28"/>
        <v>0</v>
      </c>
      <c r="V212" s="113">
        <v>120.715528548</v>
      </c>
      <c r="W212" s="114">
        <f t="shared" si="29"/>
        <v>86.54014686</v>
      </c>
      <c r="X212" s="22"/>
      <c r="Y212" s="22" t="s">
        <v>946</v>
      </c>
      <c r="Z212" s="22"/>
    </row>
    <row r="213">
      <c r="A213" s="57" t="s">
        <v>185</v>
      </c>
      <c r="B213" s="9" t="s">
        <v>160</v>
      </c>
      <c r="C213" s="129"/>
      <c r="D213" s="9" t="s">
        <v>857</v>
      </c>
      <c r="E213" s="124">
        <f t="shared" si="25"/>
        <v>0.000000001505105789</v>
      </c>
      <c r="F213" s="113"/>
      <c r="G213" s="112">
        <f t="shared" si="30"/>
        <v>0.000000008</v>
      </c>
      <c r="H213" s="112"/>
      <c r="I213" s="188"/>
      <c r="J213" s="188"/>
      <c r="K213" s="113">
        <v>6.355860486</v>
      </c>
      <c r="L213" s="113">
        <v>5.315241</v>
      </c>
      <c r="M213" s="113"/>
      <c r="N213" s="113"/>
      <c r="O213" s="113"/>
      <c r="P213" s="113">
        <f t="shared" si="26"/>
        <v>83.62740201</v>
      </c>
      <c r="Q213" s="113"/>
      <c r="R213" s="125">
        <v>8.0E-9</v>
      </c>
      <c r="S213" s="114">
        <f t="shared" si="27"/>
        <v>0.000000006769464677</v>
      </c>
      <c r="T213" s="113">
        <v>0.0</v>
      </c>
      <c r="U213" s="114">
        <f t="shared" si="28"/>
        <v>0</v>
      </c>
      <c r="V213" s="113">
        <v>118.177734592</v>
      </c>
      <c r="W213" s="114">
        <f t="shared" si="29"/>
        <v>99.99999999</v>
      </c>
      <c r="X213" s="22"/>
      <c r="Y213" s="22" t="s">
        <v>947</v>
      </c>
      <c r="Z213" s="22"/>
    </row>
    <row r="214">
      <c r="A214" s="57" t="s">
        <v>209</v>
      </c>
      <c r="B214" s="9" t="s">
        <v>160</v>
      </c>
      <c r="C214" s="129"/>
      <c r="D214" s="22" t="s">
        <v>860</v>
      </c>
      <c r="E214" s="110">
        <f t="shared" si="25"/>
        <v>64.48099763</v>
      </c>
      <c r="F214" s="113"/>
      <c r="G214" s="112">
        <f t="shared" si="30"/>
        <v>16.23979718</v>
      </c>
      <c r="H214" s="112"/>
      <c r="I214" s="188"/>
      <c r="J214" s="188"/>
      <c r="K214" s="113">
        <v>0.753715085</v>
      </c>
      <c r="L214" s="113">
        <v>0.251854</v>
      </c>
      <c r="M214" s="113"/>
      <c r="N214" s="113"/>
      <c r="O214" s="113"/>
      <c r="P214" s="113">
        <f t="shared" si="26"/>
        <v>33.41501384</v>
      </c>
      <c r="Q214" s="113"/>
      <c r="R214" s="68">
        <v>16.239797176</v>
      </c>
      <c r="S214" s="114">
        <f t="shared" si="27"/>
        <v>95.45684169</v>
      </c>
      <c r="T214" s="68">
        <v>0.0</v>
      </c>
      <c r="U214" s="114">
        <f t="shared" si="28"/>
        <v>0</v>
      </c>
      <c r="V214" s="68">
        <v>0.772914421</v>
      </c>
      <c r="W214" s="114">
        <f t="shared" si="29"/>
        <v>4.543158312</v>
      </c>
      <c r="X214" s="22"/>
      <c r="Y214" s="22" t="s">
        <v>948</v>
      </c>
      <c r="Z214" s="22"/>
    </row>
    <row r="215">
      <c r="A215" s="57" t="s">
        <v>232</v>
      </c>
      <c r="B215" s="9" t="s">
        <v>233</v>
      </c>
      <c r="C215" s="22"/>
      <c r="D215" s="67" t="s">
        <v>862</v>
      </c>
      <c r="E215" s="116">
        <f t="shared" si="25"/>
        <v>71.6619171</v>
      </c>
      <c r="F215" s="131"/>
      <c r="G215" s="112">
        <f t="shared" si="30"/>
        <v>134.5024672</v>
      </c>
      <c r="H215" s="112"/>
      <c r="I215" s="188"/>
      <c r="J215" s="188"/>
      <c r="K215" s="68">
        <v>2.023362284</v>
      </c>
      <c r="L215" s="68">
        <v>1.876903</v>
      </c>
      <c r="M215" s="68"/>
      <c r="N215" s="68"/>
      <c r="O215" s="68"/>
      <c r="P215" s="113">
        <f t="shared" si="26"/>
        <v>92.76158871</v>
      </c>
      <c r="Q215" s="113"/>
      <c r="R215" s="68">
        <v>134.502467187</v>
      </c>
      <c r="S215" s="114">
        <f t="shared" si="27"/>
        <v>98.83485123</v>
      </c>
      <c r="T215" s="68">
        <v>0.0</v>
      </c>
      <c r="U215" s="114">
        <f t="shared" si="28"/>
        <v>0</v>
      </c>
      <c r="V215" s="68">
        <v>1.585628781</v>
      </c>
      <c r="W215" s="114">
        <f t="shared" si="29"/>
        <v>1.165148773</v>
      </c>
      <c r="X215" s="132"/>
      <c r="Y215" s="22" t="s">
        <v>949</v>
      </c>
      <c r="Z215" s="22"/>
    </row>
    <row r="216">
      <c r="A216" s="57" t="s">
        <v>258</v>
      </c>
      <c r="B216" s="9" t="s">
        <v>233</v>
      </c>
      <c r="C216" s="22"/>
      <c r="D216" s="67" t="s">
        <v>860</v>
      </c>
      <c r="E216" s="116">
        <f t="shared" si="25"/>
        <v>9.922245097</v>
      </c>
      <c r="F216" s="113"/>
      <c r="G216" s="112">
        <f t="shared" si="30"/>
        <v>10.71699709</v>
      </c>
      <c r="H216" s="112"/>
      <c r="I216" s="188"/>
      <c r="J216" s="188"/>
      <c r="K216" s="113">
        <v>1.163434952</v>
      </c>
      <c r="L216" s="113">
        <v>1.080098</v>
      </c>
      <c r="M216" s="113"/>
      <c r="N216" s="113"/>
      <c r="O216" s="113"/>
      <c r="P216" s="113">
        <f t="shared" si="26"/>
        <v>92.83699086</v>
      </c>
      <c r="Q216" s="113"/>
      <c r="R216" s="130">
        <v>10.716997083</v>
      </c>
      <c r="S216" s="114">
        <f t="shared" si="27"/>
        <v>21.21314721</v>
      </c>
      <c r="T216" s="130">
        <v>2.0E-9</v>
      </c>
      <c r="U216" s="114">
        <f t="shared" si="28"/>
        <v>0.000000003958785665</v>
      </c>
      <c r="V216" s="68">
        <v>39.803545551</v>
      </c>
      <c r="W216" s="114">
        <f t="shared" si="29"/>
        <v>78.78685278</v>
      </c>
      <c r="X216" s="22"/>
      <c r="Y216" s="22" t="s">
        <v>950</v>
      </c>
      <c r="Z216" s="22"/>
    </row>
    <row r="217">
      <c r="A217" s="57" t="s">
        <v>280</v>
      </c>
      <c r="B217" s="9" t="s">
        <v>233</v>
      </c>
      <c r="C217" s="22"/>
      <c r="D217" s="22" t="s">
        <v>33</v>
      </c>
      <c r="E217" s="116">
        <f t="shared" si="25"/>
        <v>7.8904104</v>
      </c>
      <c r="F217" s="113"/>
      <c r="G217" s="112">
        <f t="shared" si="30"/>
        <v>16.59944299</v>
      </c>
      <c r="H217" s="112"/>
      <c r="I217" s="188"/>
      <c r="J217" s="188"/>
      <c r="K217" s="113">
        <v>12.144893592</v>
      </c>
      <c r="L217" s="113">
        <v>2.103749</v>
      </c>
      <c r="M217" s="113"/>
      <c r="N217" s="113"/>
      <c r="O217" s="113"/>
      <c r="P217" s="113">
        <f t="shared" si="26"/>
        <v>17.32208672</v>
      </c>
      <c r="Q217" s="113"/>
      <c r="R217" s="113">
        <v>16.599442734</v>
      </c>
      <c r="S217" s="114">
        <f t="shared" si="27"/>
        <v>45.01010222</v>
      </c>
      <c r="T217" s="125">
        <v>2.55E-7</v>
      </c>
      <c r="U217" s="114">
        <f t="shared" si="28"/>
        <v>0.0000006914434568</v>
      </c>
      <c r="V217" s="113">
        <v>20.279928345</v>
      </c>
      <c r="W217" s="114">
        <f t="shared" si="29"/>
        <v>54.98989709</v>
      </c>
      <c r="X217" s="22"/>
      <c r="Y217" s="22" t="s">
        <v>951</v>
      </c>
      <c r="Z217" s="22"/>
    </row>
    <row r="218">
      <c r="A218" s="134"/>
      <c r="B218" s="62"/>
      <c r="C218" s="62"/>
      <c r="D218" s="62"/>
      <c r="E218" s="134"/>
      <c r="F218" s="134"/>
      <c r="G218" s="134"/>
      <c r="H218" s="134"/>
      <c r="I218" s="189"/>
      <c r="J218" s="189"/>
      <c r="K218" s="134"/>
      <c r="L218" s="134"/>
      <c r="M218" s="134"/>
      <c r="N218" s="134"/>
      <c r="O218" s="134"/>
      <c r="P218" s="134"/>
      <c r="Q218" s="134"/>
      <c r="R218" s="134"/>
      <c r="S218" s="134"/>
      <c r="T218" s="134"/>
      <c r="U218" s="134"/>
      <c r="V218" s="134"/>
      <c r="W218" s="134"/>
      <c r="X218" s="134"/>
      <c r="Y218" s="134"/>
      <c r="Z218" s="134"/>
    </row>
    <row r="219">
      <c r="A219" s="65" t="s">
        <v>303</v>
      </c>
      <c r="B219" s="136" t="s">
        <v>1648</v>
      </c>
      <c r="C219" s="3" t="s">
        <v>304</v>
      </c>
      <c r="D219" s="3" t="s">
        <v>3</v>
      </c>
      <c r="E219" s="3" t="s">
        <v>4</v>
      </c>
      <c r="F219" s="3" t="s">
        <v>5</v>
      </c>
      <c r="G219" s="3" t="s">
        <v>6</v>
      </c>
      <c r="H219" s="3"/>
      <c r="I219" s="187"/>
      <c r="J219" s="187"/>
      <c r="K219" s="3" t="s">
        <v>305</v>
      </c>
      <c r="L219" s="3" t="s">
        <v>836</v>
      </c>
      <c r="M219" s="3"/>
      <c r="N219" s="3"/>
      <c r="O219" s="3"/>
      <c r="P219" s="3" t="s">
        <v>306</v>
      </c>
      <c r="Q219" s="3"/>
      <c r="R219" s="5"/>
      <c r="S219" s="5" t="s">
        <v>16</v>
      </c>
      <c r="T219" s="5"/>
      <c r="U219" s="5" t="s">
        <v>18</v>
      </c>
      <c r="V219" s="5"/>
      <c r="W219" s="5" t="s">
        <v>20</v>
      </c>
      <c r="X219" s="5" t="s">
        <v>21</v>
      </c>
      <c r="Y219" s="5" t="s">
        <v>23</v>
      </c>
      <c r="Z219" s="159"/>
    </row>
    <row r="220">
      <c r="A220" s="66" t="s">
        <v>307</v>
      </c>
      <c r="B220" s="67" t="s">
        <v>308</v>
      </c>
      <c r="C220" s="67"/>
      <c r="D220" s="67" t="s">
        <v>860</v>
      </c>
      <c r="E220" s="124">
        <f t="shared" ref="E220:E227" si="31">G220/L220</f>
        <v>38.2580521</v>
      </c>
      <c r="F220" s="68"/>
      <c r="G220" s="112">
        <f t="shared" ref="G220:G227" si="32">R220+T220</f>
        <v>4650.241672</v>
      </c>
      <c r="H220" s="112"/>
      <c r="I220" s="188"/>
      <c r="J220" s="188"/>
      <c r="K220" s="14">
        <v>138.315746029</v>
      </c>
      <c r="L220" s="68">
        <v>121.549358</v>
      </c>
      <c r="M220" s="68"/>
      <c r="N220" s="68"/>
      <c r="O220" s="68"/>
      <c r="P220" s="113">
        <f t="shared" ref="P220:P227" si="33">L220*100/K220</f>
        <v>87.87817836</v>
      </c>
      <c r="Q220" s="113"/>
      <c r="R220" s="68">
        <v>4650.241670238</v>
      </c>
      <c r="S220" s="114">
        <f t="shared" ref="S220:S227" si="34">R220*100/(R220+T220+V220)</f>
        <v>10.90070696</v>
      </c>
      <c r="T220" s="130">
        <v>1.386E-6</v>
      </c>
      <c r="U220" s="114">
        <f t="shared" ref="U220:U227" si="35">T220*100/(R220+T220+V220)</f>
        <v>0.000000003248945092</v>
      </c>
      <c r="V220" s="68">
        <v>38009.759060646</v>
      </c>
      <c r="W220" s="114">
        <f t="shared" ref="W220:W227" si="36">V220*100/(R220+T220+V220)</f>
        <v>89.09929303</v>
      </c>
      <c r="X220" s="70"/>
      <c r="Y220" s="70" t="s">
        <v>953</v>
      </c>
      <c r="Z220" s="70"/>
    </row>
    <row r="221">
      <c r="A221" s="66" t="s">
        <v>335</v>
      </c>
      <c r="B221" s="67" t="s">
        <v>93</v>
      </c>
      <c r="C221" s="67"/>
      <c r="D221" s="67" t="s">
        <v>850</v>
      </c>
      <c r="E221" s="116">
        <f t="shared" si="31"/>
        <v>143.468914</v>
      </c>
      <c r="F221" s="68"/>
      <c r="G221" s="112">
        <f t="shared" si="32"/>
        <v>1664.79434</v>
      </c>
      <c r="H221" s="112"/>
      <c r="I221" s="188"/>
      <c r="J221" s="188"/>
      <c r="K221" s="68">
        <v>11.714850905</v>
      </c>
      <c r="L221" s="68">
        <v>11.603868</v>
      </c>
      <c r="M221" s="68"/>
      <c r="N221" s="68"/>
      <c r="O221" s="68"/>
      <c r="P221" s="113">
        <f t="shared" si="33"/>
        <v>99.05263067</v>
      </c>
      <c r="Q221" s="113"/>
      <c r="R221" s="68">
        <v>91.012446173</v>
      </c>
      <c r="S221" s="114">
        <f t="shared" si="34"/>
        <v>0.3082850759</v>
      </c>
      <c r="T221" s="68">
        <v>1573.781893897</v>
      </c>
      <c r="U221" s="114">
        <f t="shared" si="35"/>
        <v>5.330847494</v>
      </c>
      <c r="V221" s="68">
        <v>27857.376300404</v>
      </c>
      <c r="W221" s="114">
        <f t="shared" si="36"/>
        <v>94.36086743</v>
      </c>
      <c r="X221" s="70"/>
      <c r="Y221" s="70" t="s">
        <v>954</v>
      </c>
      <c r="Z221" s="70"/>
    </row>
    <row r="222">
      <c r="A222" s="66" t="s">
        <v>358</v>
      </c>
      <c r="B222" s="67" t="s">
        <v>31</v>
      </c>
      <c r="C222" s="153"/>
      <c r="D222" s="67" t="s">
        <v>860</v>
      </c>
      <c r="E222" s="110">
        <f t="shared" si="31"/>
        <v>11.21993723</v>
      </c>
      <c r="F222" s="11"/>
      <c r="G222" s="112">
        <f t="shared" si="32"/>
        <v>307.5733958</v>
      </c>
      <c r="H222" s="112"/>
      <c r="I222" s="188"/>
      <c r="J222" s="188"/>
      <c r="K222" s="14">
        <v>27.683789512</v>
      </c>
      <c r="L222" s="14">
        <v>27.413112</v>
      </c>
      <c r="M222" s="14"/>
      <c r="N222" s="14"/>
      <c r="O222" s="14"/>
      <c r="P222" s="113">
        <f t="shared" si="33"/>
        <v>99.02225267</v>
      </c>
      <c r="Q222" s="113"/>
      <c r="R222" s="11">
        <v>307.570894827</v>
      </c>
      <c r="S222" s="114">
        <f t="shared" si="34"/>
        <v>31.04729482</v>
      </c>
      <c r="T222" s="68">
        <v>0.00250102</v>
      </c>
      <c r="U222" s="114">
        <f t="shared" si="35"/>
        <v>0.0002524618116</v>
      </c>
      <c r="V222" s="11">
        <v>683.079402029</v>
      </c>
      <c r="W222" s="114">
        <f t="shared" si="36"/>
        <v>68.95245272</v>
      </c>
      <c r="X222" s="22"/>
      <c r="Y222" s="36" t="s">
        <v>955</v>
      </c>
      <c r="Z222" s="36"/>
    </row>
    <row r="223">
      <c r="A223" s="66" t="s">
        <v>382</v>
      </c>
      <c r="B223" s="67" t="s">
        <v>308</v>
      </c>
      <c r="C223" s="67"/>
      <c r="D223" s="67" t="s">
        <v>873</v>
      </c>
      <c r="E223" s="124">
        <f t="shared" si="31"/>
        <v>58.90366162</v>
      </c>
      <c r="F223" s="77"/>
      <c r="G223" s="112">
        <f t="shared" si="32"/>
        <v>740.8072606</v>
      </c>
      <c r="H223" s="112"/>
      <c r="I223" s="188"/>
      <c r="J223" s="188"/>
      <c r="K223" s="68">
        <v>12.69024556</v>
      </c>
      <c r="L223" s="68">
        <v>12.576591</v>
      </c>
      <c r="M223" s="68"/>
      <c r="N223" s="68"/>
      <c r="O223" s="68"/>
      <c r="P223" s="113">
        <f t="shared" si="33"/>
        <v>99.10439432</v>
      </c>
      <c r="Q223" s="113"/>
      <c r="R223" s="140">
        <v>740.80726055</v>
      </c>
      <c r="S223" s="114">
        <f t="shared" si="34"/>
        <v>24.84752757</v>
      </c>
      <c r="T223" s="130">
        <v>9.6E-8</v>
      </c>
      <c r="U223" s="114">
        <f t="shared" si="35"/>
        <v>0.000000003219950416</v>
      </c>
      <c r="V223" s="68">
        <v>2240.605109468</v>
      </c>
      <c r="W223" s="114">
        <f t="shared" si="36"/>
        <v>75.15247243</v>
      </c>
      <c r="X223" s="70"/>
      <c r="Y223" s="36" t="s">
        <v>956</v>
      </c>
      <c r="Z223" s="36"/>
    </row>
    <row r="224">
      <c r="A224" s="66" t="s">
        <v>457</v>
      </c>
      <c r="B224" s="67" t="s">
        <v>233</v>
      </c>
      <c r="C224" s="67"/>
      <c r="D224" s="67" t="s">
        <v>33</v>
      </c>
      <c r="E224" s="116">
        <f t="shared" si="31"/>
        <v>0.0207951851</v>
      </c>
      <c r="F224" s="68"/>
      <c r="G224" s="112">
        <f t="shared" si="32"/>
        <v>5.187082389</v>
      </c>
      <c r="H224" s="112"/>
      <c r="I224" s="188"/>
      <c r="J224" s="188"/>
      <c r="K224" s="68">
        <v>249.494361936</v>
      </c>
      <c r="L224" s="68">
        <v>249.436702</v>
      </c>
      <c r="M224" s="68"/>
      <c r="N224" s="68"/>
      <c r="O224" s="68"/>
      <c r="P224" s="113">
        <f t="shared" si="33"/>
        <v>99.97688928</v>
      </c>
      <c r="Q224" s="113"/>
      <c r="R224" s="68">
        <v>4.003865913</v>
      </c>
      <c r="S224" s="114">
        <f t="shared" si="34"/>
        <v>0.7032185587</v>
      </c>
      <c r="T224" s="68">
        <v>1.183216476</v>
      </c>
      <c r="U224" s="114">
        <f t="shared" si="35"/>
        <v>0.2078140984</v>
      </c>
      <c r="V224" s="68">
        <v>564.175865116</v>
      </c>
      <c r="W224" s="114">
        <f t="shared" si="36"/>
        <v>99.08896734</v>
      </c>
      <c r="X224" s="143"/>
      <c r="Y224" s="36" t="s">
        <v>957</v>
      </c>
      <c r="Z224" s="36"/>
    </row>
    <row r="225">
      <c r="A225" s="66" t="s">
        <v>503</v>
      </c>
      <c r="B225" s="67" t="s">
        <v>308</v>
      </c>
      <c r="C225" s="67"/>
      <c r="D225" s="67" t="s">
        <v>860</v>
      </c>
      <c r="E225" s="124">
        <f t="shared" si="31"/>
        <v>130.4580879</v>
      </c>
      <c r="F225" s="68"/>
      <c r="G225" s="112">
        <f t="shared" si="32"/>
        <v>4182.521782</v>
      </c>
      <c r="H225" s="112"/>
      <c r="I225" s="188"/>
      <c r="J225" s="188"/>
      <c r="K225" s="68">
        <v>32.870936796</v>
      </c>
      <c r="L225" s="68">
        <v>32.060272</v>
      </c>
      <c r="M225" s="68"/>
      <c r="N225" s="68"/>
      <c r="O225" s="68"/>
      <c r="P225" s="113">
        <f t="shared" si="33"/>
        <v>97.53379467</v>
      </c>
      <c r="Q225" s="113"/>
      <c r="R225" s="68">
        <v>4182.521781443</v>
      </c>
      <c r="S225" s="114">
        <f t="shared" si="34"/>
        <v>27.75599568</v>
      </c>
      <c r="T225" s="130">
        <v>9.6E-8</v>
      </c>
      <c r="U225" s="114">
        <f t="shared" si="35"/>
        <v>0.0000000006370739293</v>
      </c>
      <c r="V225" s="68">
        <v>10886.37298706</v>
      </c>
      <c r="W225" s="114">
        <f t="shared" si="36"/>
        <v>72.24400432</v>
      </c>
      <c r="X225" s="70"/>
      <c r="Y225" s="36" t="s">
        <v>958</v>
      </c>
      <c r="Z225" s="36"/>
    </row>
    <row r="226">
      <c r="A226" s="66" t="s">
        <v>562</v>
      </c>
      <c r="B226" s="67" t="s">
        <v>308</v>
      </c>
      <c r="C226" s="67"/>
      <c r="D226" s="67" t="s">
        <v>211</v>
      </c>
      <c r="E226" s="116">
        <f t="shared" si="31"/>
        <v>85.26449065</v>
      </c>
      <c r="F226" s="77"/>
      <c r="G226" s="112">
        <f t="shared" si="32"/>
        <v>700.3654252</v>
      </c>
      <c r="H226" s="112"/>
      <c r="I226" s="188"/>
      <c r="J226" s="188"/>
      <c r="K226" s="68">
        <v>8.297161239</v>
      </c>
      <c r="L226" s="68">
        <v>8.214034</v>
      </c>
      <c r="M226" s="68"/>
      <c r="N226" s="68"/>
      <c r="O226" s="68"/>
      <c r="P226" s="113">
        <f t="shared" si="33"/>
        <v>98.99812434</v>
      </c>
      <c r="Q226" s="113"/>
      <c r="R226" s="68">
        <v>700.365424737</v>
      </c>
      <c r="S226" s="114">
        <f t="shared" si="34"/>
        <v>47.51439346</v>
      </c>
      <c r="T226" s="130">
        <v>4.56E-7</v>
      </c>
      <c r="U226" s="114">
        <f t="shared" si="35"/>
        <v>0.00000003093608372</v>
      </c>
      <c r="V226" s="68">
        <v>773.641446805</v>
      </c>
      <c r="W226" s="114">
        <f t="shared" si="36"/>
        <v>52.48560651</v>
      </c>
      <c r="X226" s="70"/>
      <c r="Y226" s="21" t="s">
        <v>959</v>
      </c>
      <c r="Z226" s="21"/>
    </row>
    <row r="227">
      <c r="A227" s="66" t="s">
        <v>614</v>
      </c>
      <c r="B227" s="67" t="s">
        <v>31</v>
      </c>
      <c r="C227" s="67"/>
      <c r="D227" s="67" t="s">
        <v>860</v>
      </c>
      <c r="E227" s="116">
        <f t="shared" si="31"/>
        <v>48.91346938</v>
      </c>
      <c r="F227" s="11"/>
      <c r="G227" s="112">
        <f t="shared" si="32"/>
        <v>234.9405403</v>
      </c>
      <c r="H227" s="112"/>
      <c r="I227" s="188"/>
      <c r="J227" s="188"/>
      <c r="K227" s="11">
        <v>5.709997759</v>
      </c>
      <c r="L227" s="11">
        <v>4.803187</v>
      </c>
      <c r="M227" s="11"/>
      <c r="N227" s="11"/>
      <c r="O227" s="11"/>
      <c r="P227" s="113">
        <f t="shared" si="33"/>
        <v>84.11889466</v>
      </c>
      <c r="Q227" s="113"/>
      <c r="R227" s="11">
        <v>1.300291094</v>
      </c>
      <c r="S227" s="114">
        <f t="shared" si="34"/>
        <v>0.05950157583</v>
      </c>
      <c r="T227" s="11">
        <v>233.640249163</v>
      </c>
      <c r="U227" s="114">
        <f t="shared" si="35"/>
        <v>10.69142369</v>
      </c>
      <c r="V227" s="11">
        <v>1950.364766192</v>
      </c>
      <c r="W227" s="114">
        <f t="shared" si="36"/>
        <v>89.24907474</v>
      </c>
      <c r="X227" s="22"/>
      <c r="Y227" s="36" t="s">
        <v>960</v>
      </c>
      <c r="Z227" s="36"/>
    </row>
    <row r="228">
      <c r="A228" s="134"/>
      <c r="B228" s="134"/>
      <c r="C228" s="134"/>
      <c r="D228" s="134"/>
      <c r="E228" s="134"/>
      <c r="F228" s="63"/>
      <c r="G228" s="134"/>
      <c r="H228" s="134"/>
      <c r="I228" s="189"/>
      <c r="J228" s="189"/>
      <c r="K228" s="134"/>
      <c r="L228" s="134"/>
      <c r="M228" s="134"/>
      <c r="N228" s="134"/>
      <c r="O228" s="134"/>
      <c r="P228" s="134"/>
      <c r="Q228" s="134"/>
      <c r="R228" s="134"/>
      <c r="S228" s="134"/>
      <c r="T228" s="134"/>
      <c r="U228" s="134"/>
      <c r="V228" s="134"/>
      <c r="W228" s="134"/>
      <c r="X228" s="134"/>
      <c r="Y228" s="134"/>
      <c r="Z228" s="134"/>
    </row>
    <row r="229">
      <c r="A229" s="67" t="s">
        <v>681</v>
      </c>
      <c r="B229" s="67" t="s">
        <v>683</v>
      </c>
      <c r="C229" s="67" t="s">
        <v>961</v>
      </c>
      <c r="D229" s="67" t="s">
        <v>33</v>
      </c>
      <c r="E229" s="148">
        <f t="shared" ref="E229:E230" si="37">G229/L229</f>
        <v>296.5554734</v>
      </c>
      <c r="F229" s="112"/>
      <c r="G229" s="112">
        <f t="shared" ref="G229:G230" si="38">R229+T229</f>
        <v>91030.96556</v>
      </c>
      <c r="H229" s="112"/>
      <c r="I229" s="188"/>
      <c r="J229" s="188"/>
      <c r="K229" s="112">
        <v>313.300094982</v>
      </c>
      <c r="L229" s="112">
        <v>306.961003</v>
      </c>
      <c r="M229" s="112"/>
      <c r="N229" s="112"/>
      <c r="O229" s="112"/>
      <c r="P229" s="113">
        <f t="shared" ref="P229:P230" si="39">L229*100/K229</f>
        <v>97.9766709</v>
      </c>
      <c r="Q229" s="113"/>
      <c r="R229" s="112">
        <v>91030.965563272</v>
      </c>
      <c r="S229" s="114">
        <f t="shared" ref="S229:S230" si="40">R229*100/(R229+T229+V229)</f>
        <v>74.44920653</v>
      </c>
      <c r="T229" s="112">
        <v>0.0</v>
      </c>
      <c r="U229" s="114">
        <f t="shared" ref="U229:U230" si="41">T229*100/(R229+T229+V229)</f>
        <v>0</v>
      </c>
      <c r="V229" s="112">
        <v>31241.614364588</v>
      </c>
      <c r="W229" s="114">
        <f t="shared" ref="W229:W230" si="42">V229*100/(R229+T229+V229)</f>
        <v>25.55079347</v>
      </c>
      <c r="X229" s="112"/>
      <c r="Y229" s="67" t="s">
        <v>962</v>
      </c>
      <c r="Z229" s="67"/>
    </row>
    <row r="230">
      <c r="A230" s="67" t="s">
        <v>684</v>
      </c>
      <c r="B230" s="67" t="s">
        <v>683</v>
      </c>
      <c r="C230" s="67" t="s">
        <v>963</v>
      </c>
      <c r="D230" s="67" t="s">
        <v>95</v>
      </c>
      <c r="E230" s="148">
        <f t="shared" si="37"/>
        <v>8.717051009</v>
      </c>
      <c r="F230" s="112"/>
      <c r="G230" s="112">
        <f t="shared" si="38"/>
        <v>336.3443012</v>
      </c>
      <c r="H230" s="112"/>
      <c r="I230" s="188"/>
      <c r="J230" s="188"/>
      <c r="K230" s="112">
        <v>327.518708423</v>
      </c>
      <c r="L230" s="112">
        <v>38.584643</v>
      </c>
      <c r="M230" s="112"/>
      <c r="N230" s="112"/>
      <c r="O230" s="112"/>
      <c r="P230" s="113">
        <f t="shared" si="39"/>
        <v>11.7808974</v>
      </c>
      <c r="Q230" s="113"/>
      <c r="R230" s="112">
        <v>336.344301108</v>
      </c>
      <c r="S230" s="114">
        <f t="shared" si="40"/>
        <v>78.8686719</v>
      </c>
      <c r="T230" s="112">
        <v>1.02E-7</v>
      </c>
      <c r="U230" s="114">
        <f t="shared" si="41"/>
        <v>0.00000002391776673</v>
      </c>
      <c r="V230" s="112">
        <v>90.116919697</v>
      </c>
      <c r="W230" s="114">
        <f t="shared" si="42"/>
        <v>21.13132807</v>
      </c>
      <c r="X230" s="112"/>
      <c r="Y230" s="67" t="s">
        <v>964</v>
      </c>
      <c r="Z230" s="67"/>
    </row>
    <row r="231">
      <c r="C231" s="7" t="s">
        <v>965</v>
      </c>
      <c r="E231" s="112"/>
      <c r="F231" s="112"/>
      <c r="G231" s="112"/>
      <c r="H231" s="112"/>
      <c r="I231" s="188"/>
      <c r="J231" s="188"/>
      <c r="K231" s="112"/>
      <c r="L231" s="112"/>
      <c r="M231" s="112"/>
      <c r="N231" s="112"/>
      <c r="O231" s="112"/>
      <c r="P231" s="112"/>
      <c r="Q231" s="112"/>
      <c r="R231" s="112"/>
      <c r="S231" s="112"/>
      <c r="T231" s="112"/>
      <c r="U231" s="112"/>
      <c r="V231" s="112"/>
      <c r="W231" s="112"/>
      <c r="X231" s="112"/>
    </row>
    <row r="232">
      <c r="B232" s="7" t="s">
        <v>966</v>
      </c>
      <c r="C232" s="7" t="s">
        <v>967</v>
      </c>
      <c r="E232" s="112"/>
      <c r="F232" s="112"/>
      <c r="G232" s="112"/>
      <c r="H232" s="112"/>
      <c r="I232" s="188"/>
      <c r="J232" s="188"/>
      <c r="K232" s="112"/>
      <c r="L232" s="112"/>
      <c r="M232" s="112"/>
      <c r="N232" s="112"/>
      <c r="O232" s="112"/>
      <c r="P232" s="112"/>
      <c r="Q232" s="112"/>
      <c r="R232" s="112"/>
      <c r="S232" s="112"/>
      <c r="T232" s="112"/>
      <c r="U232" s="112"/>
      <c r="V232" s="112"/>
      <c r="W232" s="112"/>
      <c r="X232" s="112"/>
    </row>
    <row r="233">
      <c r="B233" s="7" t="s">
        <v>968</v>
      </c>
      <c r="C233" s="7" t="s">
        <v>969</v>
      </c>
      <c r="E233" s="112"/>
      <c r="F233" s="112"/>
      <c r="G233" s="112"/>
      <c r="H233" s="112"/>
      <c r="I233" s="188"/>
      <c r="J233" s="188"/>
      <c r="K233" s="112"/>
      <c r="L233" s="112"/>
      <c r="M233" s="112"/>
      <c r="N233" s="112"/>
      <c r="O233" s="112"/>
      <c r="P233" s="112"/>
      <c r="Q233" s="112"/>
      <c r="R233" s="112"/>
      <c r="S233" s="112"/>
      <c r="T233" s="112"/>
      <c r="U233" s="112"/>
      <c r="V233" s="112"/>
      <c r="W233" s="112"/>
      <c r="X233" s="112"/>
    </row>
    <row r="234">
      <c r="E234" s="112"/>
      <c r="F234" s="112"/>
      <c r="G234" s="112"/>
      <c r="H234" s="112"/>
      <c r="I234" s="188"/>
      <c r="J234" s="188"/>
      <c r="K234" s="112"/>
      <c r="L234" s="112"/>
      <c r="M234" s="112"/>
      <c r="N234" s="112"/>
      <c r="O234" s="112"/>
      <c r="P234" s="112"/>
      <c r="Q234" s="112"/>
      <c r="R234" s="112"/>
      <c r="S234" s="112"/>
      <c r="T234" s="112"/>
      <c r="U234" s="112"/>
      <c r="V234" s="112"/>
      <c r="W234" s="112"/>
      <c r="X234" s="112"/>
    </row>
    <row r="235">
      <c r="B235" s="7" t="s">
        <v>970</v>
      </c>
      <c r="C235" s="7" t="s">
        <v>971</v>
      </c>
      <c r="E235" s="112"/>
      <c r="F235" s="112"/>
      <c r="G235" s="112"/>
      <c r="H235" s="112"/>
      <c r="I235" s="188"/>
      <c r="J235" s="188"/>
      <c r="K235" s="112"/>
      <c r="L235" s="112"/>
      <c r="M235" s="112"/>
      <c r="N235" s="112"/>
      <c r="O235" s="112"/>
      <c r="P235" s="112"/>
      <c r="Q235" s="112"/>
      <c r="R235" s="112"/>
      <c r="S235" s="112"/>
      <c r="T235" s="112"/>
      <c r="U235" s="112"/>
      <c r="V235" s="112"/>
      <c r="W235" s="112"/>
      <c r="X235" s="112"/>
    </row>
    <row r="236">
      <c r="C236" s="7" t="s">
        <v>972</v>
      </c>
      <c r="E236" s="112"/>
      <c r="F236" s="112"/>
      <c r="G236" s="112"/>
      <c r="H236" s="112"/>
      <c r="I236" s="188"/>
      <c r="J236" s="188"/>
      <c r="K236" s="112"/>
      <c r="L236" s="112"/>
      <c r="M236" s="112"/>
      <c r="N236" s="112"/>
      <c r="O236" s="112"/>
      <c r="P236" s="112"/>
      <c r="Q236" s="112"/>
      <c r="R236" s="112"/>
      <c r="S236" s="112"/>
      <c r="T236" s="112"/>
      <c r="U236" s="112"/>
      <c r="V236" s="112"/>
      <c r="W236" s="112"/>
      <c r="X236" s="112"/>
    </row>
    <row r="237">
      <c r="C237" s="7" t="s">
        <v>973</v>
      </c>
      <c r="E237" s="112"/>
      <c r="F237" s="112"/>
      <c r="G237" s="112"/>
      <c r="H237" s="112"/>
      <c r="I237" s="188"/>
      <c r="J237" s="188"/>
      <c r="K237" s="112"/>
      <c r="L237" s="112"/>
      <c r="M237" s="112"/>
      <c r="N237" s="112"/>
      <c r="O237" s="112"/>
      <c r="P237" s="112"/>
      <c r="Q237" s="112"/>
      <c r="R237" s="112"/>
      <c r="S237" s="112"/>
      <c r="T237" s="112"/>
      <c r="U237" s="112"/>
      <c r="V237" s="112"/>
      <c r="W237" s="112"/>
      <c r="X237" s="112"/>
    </row>
    <row r="238">
      <c r="C238" s="7" t="s">
        <v>974</v>
      </c>
      <c r="E238" s="112"/>
      <c r="F238" s="112"/>
      <c r="G238" s="112"/>
      <c r="H238" s="112"/>
      <c r="I238" s="188"/>
      <c r="J238" s="188"/>
      <c r="K238" s="112"/>
      <c r="L238" s="112"/>
      <c r="M238" s="112"/>
      <c r="N238" s="112"/>
      <c r="O238" s="112"/>
      <c r="P238" s="112"/>
      <c r="Q238" s="112"/>
      <c r="R238" s="112"/>
      <c r="S238" s="112"/>
      <c r="T238" s="112"/>
      <c r="U238" s="112"/>
      <c r="V238" s="112"/>
      <c r="W238" s="112"/>
      <c r="X238" s="112"/>
    </row>
    <row r="239">
      <c r="E239" s="112"/>
      <c r="F239" s="112"/>
      <c r="G239" s="112"/>
      <c r="H239" s="112"/>
      <c r="I239" s="188"/>
      <c r="J239" s="188"/>
      <c r="K239" s="112"/>
      <c r="L239" s="112"/>
      <c r="M239" s="112"/>
      <c r="N239" s="112"/>
      <c r="O239" s="112"/>
      <c r="P239" s="112"/>
      <c r="Q239" s="112"/>
      <c r="R239" s="112"/>
      <c r="S239" s="112"/>
      <c r="T239" s="112"/>
      <c r="U239" s="112"/>
      <c r="V239" s="112"/>
      <c r="W239" s="112"/>
      <c r="X239" s="112"/>
    </row>
    <row r="240">
      <c r="C240" s="7" t="s">
        <v>975</v>
      </c>
      <c r="E240" s="112"/>
      <c r="F240" s="112"/>
      <c r="G240" s="112"/>
      <c r="H240" s="112"/>
      <c r="I240" s="188"/>
      <c r="J240" s="188"/>
      <c r="K240" s="112"/>
      <c r="L240" s="112"/>
      <c r="M240" s="112"/>
      <c r="N240" s="112"/>
      <c r="O240" s="112"/>
      <c r="P240" s="112"/>
      <c r="Q240" s="112"/>
      <c r="R240" s="112"/>
      <c r="S240" s="112"/>
      <c r="T240" s="112"/>
      <c r="U240" s="112"/>
      <c r="V240" s="112"/>
      <c r="W240" s="112"/>
      <c r="X240" s="112"/>
    </row>
    <row r="241">
      <c r="C241" s="7" t="s">
        <v>976</v>
      </c>
      <c r="E241" s="112"/>
      <c r="F241" s="112"/>
      <c r="G241" s="112"/>
      <c r="H241" s="112"/>
      <c r="I241" s="188"/>
      <c r="J241" s="188"/>
      <c r="K241" s="112"/>
      <c r="L241" s="112"/>
      <c r="M241" s="112"/>
      <c r="N241" s="112"/>
      <c r="O241" s="112"/>
      <c r="P241" s="112"/>
      <c r="Q241" s="112"/>
      <c r="R241" s="112"/>
      <c r="S241" s="112"/>
      <c r="T241" s="112"/>
      <c r="U241" s="112"/>
      <c r="V241" s="112"/>
      <c r="W241" s="112"/>
      <c r="X241" s="112"/>
    </row>
    <row r="242">
      <c r="C242" s="7"/>
      <c r="E242" s="112"/>
      <c r="F242" s="112"/>
      <c r="G242" s="112"/>
      <c r="H242" s="112"/>
      <c r="I242" s="188"/>
      <c r="J242" s="188"/>
      <c r="K242" s="112"/>
      <c r="L242" s="112"/>
      <c r="M242" s="112"/>
      <c r="N242" s="112"/>
      <c r="O242" s="112"/>
      <c r="P242" s="112"/>
      <c r="Q242" s="112"/>
      <c r="R242" s="112"/>
      <c r="S242" s="112"/>
      <c r="T242" s="112"/>
      <c r="U242" s="112"/>
      <c r="V242" s="112"/>
      <c r="W242" s="112"/>
      <c r="X242" s="112"/>
    </row>
    <row r="243">
      <c r="C243" s="105" t="s">
        <v>1692</v>
      </c>
      <c r="I243" s="184"/>
      <c r="J243" s="184"/>
    </row>
    <row r="244">
      <c r="C244" s="7"/>
      <c r="I244" s="184"/>
      <c r="J244" s="184"/>
    </row>
    <row r="245">
      <c r="I245" s="184"/>
      <c r="J245" s="184"/>
    </row>
    <row r="246">
      <c r="I246" s="184"/>
      <c r="J246" s="184"/>
    </row>
    <row r="247">
      <c r="I247" s="184"/>
      <c r="J247" s="184"/>
    </row>
    <row r="248">
      <c r="I248" s="184"/>
      <c r="J248" s="184"/>
    </row>
    <row r="249">
      <c r="I249" s="184"/>
      <c r="J249" s="184"/>
    </row>
    <row r="250">
      <c r="I250" s="184"/>
      <c r="J250" s="184"/>
    </row>
    <row r="251">
      <c r="I251" s="184"/>
      <c r="J251" s="184"/>
    </row>
    <row r="252">
      <c r="I252" s="184"/>
      <c r="J252" s="184"/>
    </row>
    <row r="253">
      <c r="I253" s="184"/>
      <c r="J253" s="184"/>
    </row>
    <row r="254">
      <c r="I254" s="184"/>
      <c r="J254" s="184"/>
    </row>
    <row r="255">
      <c r="I255" s="184"/>
      <c r="J255" s="184"/>
    </row>
    <row r="256">
      <c r="I256" s="184"/>
      <c r="J256" s="184"/>
    </row>
    <row r="257">
      <c r="I257" s="184"/>
      <c r="J257" s="184"/>
    </row>
    <row r="258">
      <c r="I258" s="184"/>
      <c r="J258" s="184"/>
    </row>
    <row r="259">
      <c r="I259" s="184"/>
      <c r="J259" s="184"/>
    </row>
    <row r="260">
      <c r="I260" s="184"/>
      <c r="J260" s="184"/>
    </row>
    <row r="261">
      <c r="I261" s="184"/>
      <c r="J261" s="184"/>
    </row>
    <row r="262">
      <c r="I262" s="184"/>
      <c r="J262" s="184"/>
    </row>
    <row r="263">
      <c r="I263" s="184"/>
      <c r="J263" s="184"/>
    </row>
    <row r="264">
      <c r="I264" s="184"/>
      <c r="J264" s="184"/>
    </row>
    <row r="265">
      <c r="I265" s="184"/>
      <c r="J265" s="184"/>
    </row>
    <row r="266">
      <c r="I266" s="184"/>
      <c r="J266" s="184"/>
    </row>
    <row r="267">
      <c r="I267" s="184"/>
      <c r="J267" s="184"/>
    </row>
    <row r="268">
      <c r="I268" s="184"/>
      <c r="J268" s="184"/>
    </row>
    <row r="269">
      <c r="I269" s="184"/>
      <c r="J269" s="184"/>
    </row>
    <row r="270">
      <c r="I270" s="184"/>
      <c r="J270" s="184"/>
    </row>
    <row r="271">
      <c r="I271" s="184"/>
      <c r="J271" s="184"/>
    </row>
    <row r="272">
      <c r="I272" s="184"/>
      <c r="J272" s="184"/>
    </row>
    <row r="273">
      <c r="I273" s="184"/>
      <c r="J273" s="184"/>
    </row>
    <row r="274">
      <c r="I274" s="184"/>
      <c r="J274" s="184"/>
    </row>
    <row r="275">
      <c r="I275" s="184"/>
      <c r="J275" s="184"/>
    </row>
    <row r="276">
      <c r="I276" s="184"/>
      <c r="J276" s="184"/>
    </row>
    <row r="277">
      <c r="I277" s="184"/>
      <c r="J277" s="184"/>
    </row>
    <row r="278">
      <c r="I278" s="184"/>
      <c r="J278" s="184"/>
    </row>
    <row r="279">
      <c r="I279" s="184"/>
      <c r="J279" s="184"/>
    </row>
    <row r="280">
      <c r="I280" s="184"/>
      <c r="J280" s="184"/>
    </row>
    <row r="281">
      <c r="I281" s="184"/>
      <c r="J281" s="184"/>
    </row>
    <row r="282">
      <c r="I282" s="184"/>
      <c r="J282" s="184"/>
    </row>
    <row r="283">
      <c r="I283" s="184"/>
      <c r="J283" s="184"/>
    </row>
    <row r="284">
      <c r="I284" s="184"/>
      <c r="J284" s="184"/>
    </row>
    <row r="285">
      <c r="I285" s="184"/>
      <c r="J285" s="184"/>
    </row>
    <row r="286">
      <c r="I286" s="184"/>
      <c r="J286" s="184"/>
    </row>
    <row r="287">
      <c r="I287" s="184"/>
      <c r="J287" s="184"/>
    </row>
    <row r="288">
      <c r="I288" s="184"/>
      <c r="J288" s="184"/>
    </row>
    <row r="289">
      <c r="I289" s="184"/>
      <c r="J289" s="184"/>
    </row>
    <row r="290">
      <c r="I290" s="184"/>
      <c r="J290" s="184"/>
    </row>
    <row r="291">
      <c r="I291" s="184"/>
      <c r="J291" s="184"/>
    </row>
    <row r="292">
      <c r="I292" s="184"/>
      <c r="J292" s="184"/>
    </row>
    <row r="293">
      <c r="I293" s="184"/>
      <c r="J293" s="184"/>
    </row>
    <row r="294">
      <c r="I294" s="184"/>
      <c r="J294" s="184"/>
    </row>
    <row r="295">
      <c r="I295" s="184"/>
      <c r="J295" s="184"/>
    </row>
    <row r="296">
      <c r="I296" s="184"/>
      <c r="J296" s="184"/>
    </row>
    <row r="297">
      <c r="I297" s="184"/>
      <c r="J297" s="184"/>
    </row>
    <row r="298">
      <c r="I298" s="184"/>
      <c r="J298" s="184"/>
    </row>
    <row r="299">
      <c r="I299" s="184"/>
      <c r="J299" s="184"/>
    </row>
    <row r="300">
      <c r="I300" s="184"/>
      <c r="J300" s="184"/>
    </row>
    <row r="301">
      <c r="I301" s="184"/>
      <c r="J301" s="184"/>
    </row>
    <row r="302">
      <c r="I302" s="184"/>
      <c r="J302" s="184"/>
    </row>
    <row r="303">
      <c r="I303" s="184"/>
      <c r="J303" s="184"/>
    </row>
    <row r="304">
      <c r="I304" s="184"/>
      <c r="J304" s="184"/>
    </row>
    <row r="305">
      <c r="I305" s="184"/>
      <c r="J305" s="184"/>
    </row>
    <row r="306">
      <c r="I306" s="184"/>
      <c r="J306" s="184"/>
    </row>
    <row r="307">
      <c r="I307" s="184"/>
      <c r="J307" s="184"/>
    </row>
    <row r="308">
      <c r="I308" s="184"/>
      <c r="J308" s="184"/>
    </row>
    <row r="309">
      <c r="I309" s="184"/>
      <c r="J309" s="184"/>
    </row>
    <row r="310">
      <c r="I310" s="184"/>
      <c r="J310" s="184"/>
    </row>
    <row r="311">
      <c r="I311" s="184"/>
      <c r="J311" s="184"/>
    </row>
    <row r="312">
      <c r="I312" s="184"/>
      <c r="J312" s="184"/>
    </row>
    <row r="313">
      <c r="I313" s="184"/>
      <c r="J313" s="184"/>
    </row>
    <row r="314">
      <c r="I314" s="184"/>
      <c r="J314" s="184"/>
    </row>
    <row r="315">
      <c r="I315" s="184"/>
      <c r="J315" s="184"/>
    </row>
    <row r="316">
      <c r="I316" s="184"/>
      <c r="J316" s="184"/>
    </row>
    <row r="317">
      <c r="I317" s="184"/>
      <c r="J317" s="184"/>
    </row>
    <row r="318">
      <c r="I318" s="184"/>
      <c r="J318" s="184"/>
    </row>
    <row r="319">
      <c r="I319" s="184"/>
      <c r="J319" s="184"/>
    </row>
    <row r="320">
      <c r="I320" s="184"/>
      <c r="J320" s="184"/>
    </row>
    <row r="321">
      <c r="I321" s="184"/>
      <c r="J321" s="184"/>
    </row>
    <row r="322">
      <c r="I322" s="184"/>
      <c r="J322" s="184"/>
    </row>
    <row r="323">
      <c r="I323" s="184"/>
      <c r="J323" s="184"/>
    </row>
    <row r="324">
      <c r="I324" s="184"/>
      <c r="J324" s="184"/>
    </row>
    <row r="325">
      <c r="I325" s="184"/>
      <c r="J325" s="184"/>
    </row>
    <row r="326">
      <c r="I326" s="184"/>
      <c r="J326" s="184"/>
    </row>
    <row r="327">
      <c r="I327" s="184"/>
      <c r="J327" s="184"/>
    </row>
    <row r="328">
      <c r="I328" s="184"/>
      <c r="J328" s="184"/>
    </row>
    <row r="329">
      <c r="I329" s="184"/>
      <c r="J329" s="184"/>
    </row>
    <row r="330">
      <c r="I330" s="184"/>
      <c r="J330" s="184"/>
    </row>
    <row r="331">
      <c r="I331" s="184"/>
      <c r="J331" s="184"/>
    </row>
    <row r="332">
      <c r="I332" s="184"/>
      <c r="J332" s="184"/>
    </row>
    <row r="333">
      <c r="I333" s="184"/>
      <c r="J333" s="184"/>
    </row>
    <row r="334">
      <c r="I334" s="184"/>
      <c r="J334" s="184"/>
    </row>
    <row r="335">
      <c r="I335" s="184"/>
      <c r="J335" s="184"/>
    </row>
    <row r="336">
      <c r="I336" s="184"/>
      <c r="J336" s="184"/>
    </row>
    <row r="337">
      <c r="I337" s="184"/>
      <c r="J337" s="184"/>
    </row>
    <row r="338">
      <c r="I338" s="184"/>
      <c r="J338" s="184"/>
    </row>
    <row r="339">
      <c r="I339" s="184"/>
      <c r="J339" s="184"/>
    </row>
    <row r="340">
      <c r="I340" s="184"/>
      <c r="J340" s="184"/>
    </row>
    <row r="341">
      <c r="I341" s="184"/>
      <c r="J341" s="184"/>
    </row>
    <row r="342">
      <c r="I342" s="184"/>
      <c r="J342" s="184"/>
    </row>
    <row r="343">
      <c r="I343" s="184"/>
      <c r="J343" s="184"/>
    </row>
    <row r="344">
      <c r="I344" s="184"/>
      <c r="J344" s="184"/>
    </row>
    <row r="345">
      <c r="I345" s="184"/>
      <c r="J345" s="184"/>
    </row>
    <row r="346">
      <c r="I346" s="184"/>
      <c r="J346" s="184"/>
    </row>
    <row r="347">
      <c r="I347" s="184"/>
      <c r="J347" s="184"/>
    </row>
    <row r="348">
      <c r="I348" s="184"/>
      <c r="J348" s="184"/>
    </row>
    <row r="349">
      <c r="I349" s="184"/>
      <c r="J349" s="184"/>
    </row>
    <row r="350">
      <c r="I350" s="184"/>
      <c r="J350" s="184"/>
    </row>
    <row r="351">
      <c r="I351" s="184"/>
      <c r="J351" s="184"/>
    </row>
    <row r="352">
      <c r="I352" s="184"/>
      <c r="J352" s="184"/>
    </row>
    <row r="353">
      <c r="I353" s="184"/>
      <c r="J353" s="184"/>
    </row>
    <row r="354">
      <c r="I354" s="184"/>
      <c r="J354" s="184"/>
    </row>
    <row r="355">
      <c r="I355" s="184"/>
      <c r="J355" s="184"/>
    </row>
    <row r="356">
      <c r="I356" s="184"/>
      <c r="J356" s="184"/>
    </row>
    <row r="357">
      <c r="I357" s="184"/>
      <c r="J357" s="184"/>
    </row>
    <row r="358">
      <c r="I358" s="184"/>
      <c r="J358" s="184"/>
    </row>
    <row r="359">
      <c r="I359" s="184"/>
      <c r="J359" s="184"/>
    </row>
    <row r="360">
      <c r="I360" s="184"/>
      <c r="J360" s="184"/>
    </row>
    <row r="361">
      <c r="I361" s="184"/>
      <c r="J361" s="184"/>
    </row>
    <row r="362">
      <c r="I362" s="184"/>
      <c r="J362" s="184"/>
    </row>
    <row r="363">
      <c r="I363" s="184"/>
      <c r="J363" s="184"/>
    </row>
    <row r="364">
      <c r="I364" s="184"/>
      <c r="J364" s="184"/>
    </row>
    <row r="365">
      <c r="I365" s="184"/>
      <c r="J365" s="184"/>
    </row>
    <row r="366">
      <c r="I366" s="184"/>
      <c r="J366" s="184"/>
    </row>
    <row r="367">
      <c r="I367" s="184"/>
      <c r="J367" s="184"/>
    </row>
    <row r="368">
      <c r="I368" s="184"/>
      <c r="J368" s="184"/>
    </row>
    <row r="369">
      <c r="I369" s="184"/>
      <c r="J369" s="184"/>
    </row>
    <row r="370">
      <c r="I370" s="184"/>
      <c r="J370" s="184"/>
    </row>
    <row r="371">
      <c r="I371" s="184"/>
      <c r="J371" s="184"/>
    </row>
    <row r="372">
      <c r="I372" s="184"/>
      <c r="J372" s="184"/>
    </row>
    <row r="373">
      <c r="I373" s="184"/>
      <c r="J373" s="184"/>
    </row>
    <row r="374">
      <c r="I374" s="184"/>
      <c r="J374" s="184"/>
    </row>
    <row r="375">
      <c r="I375" s="184"/>
      <c r="J375" s="184"/>
    </row>
    <row r="376">
      <c r="I376" s="184"/>
      <c r="J376" s="184"/>
    </row>
    <row r="377">
      <c r="I377" s="184"/>
      <c r="J377" s="184"/>
    </row>
    <row r="378">
      <c r="I378" s="184"/>
      <c r="J378" s="184"/>
    </row>
    <row r="379">
      <c r="I379" s="184"/>
      <c r="J379" s="184"/>
    </row>
    <row r="380">
      <c r="I380" s="184"/>
      <c r="J380" s="184"/>
    </row>
    <row r="381">
      <c r="I381" s="184"/>
      <c r="J381" s="184"/>
    </row>
    <row r="382">
      <c r="I382" s="184"/>
      <c r="J382" s="184"/>
    </row>
    <row r="383">
      <c r="I383" s="184"/>
      <c r="J383" s="184"/>
    </row>
    <row r="384">
      <c r="I384" s="184"/>
      <c r="J384" s="184"/>
    </row>
    <row r="385">
      <c r="I385" s="184"/>
      <c r="J385" s="184"/>
    </row>
    <row r="386">
      <c r="I386" s="184"/>
      <c r="J386" s="184"/>
    </row>
    <row r="387">
      <c r="I387" s="184"/>
      <c r="J387" s="184"/>
    </row>
    <row r="388">
      <c r="I388" s="184"/>
      <c r="J388" s="184"/>
    </row>
    <row r="389">
      <c r="I389" s="184"/>
      <c r="J389" s="184"/>
    </row>
    <row r="390">
      <c r="I390" s="184"/>
      <c r="J390" s="184"/>
    </row>
    <row r="391">
      <c r="I391" s="184"/>
      <c r="J391" s="184"/>
    </row>
    <row r="392">
      <c r="I392" s="184"/>
      <c r="J392" s="184"/>
    </row>
    <row r="393">
      <c r="I393" s="184"/>
      <c r="J393" s="184"/>
    </row>
    <row r="394">
      <c r="I394" s="184"/>
      <c r="J394" s="184"/>
    </row>
    <row r="395">
      <c r="I395" s="184"/>
      <c r="J395" s="184"/>
    </row>
    <row r="396">
      <c r="I396" s="184"/>
      <c r="J396" s="184"/>
    </row>
    <row r="397">
      <c r="I397" s="184"/>
      <c r="J397" s="184"/>
    </row>
    <row r="398">
      <c r="I398" s="184"/>
      <c r="J398" s="184"/>
    </row>
    <row r="399">
      <c r="I399" s="184"/>
      <c r="J399" s="184"/>
    </row>
    <row r="400">
      <c r="I400" s="184"/>
      <c r="J400" s="184"/>
    </row>
    <row r="401">
      <c r="I401" s="184"/>
      <c r="J401" s="184"/>
    </row>
    <row r="402">
      <c r="I402" s="184"/>
      <c r="J402" s="184"/>
    </row>
    <row r="403">
      <c r="I403" s="184"/>
      <c r="J403" s="184"/>
    </row>
    <row r="404">
      <c r="I404" s="184"/>
      <c r="J404" s="184"/>
    </row>
    <row r="405">
      <c r="I405" s="184"/>
      <c r="J405" s="184"/>
    </row>
    <row r="406">
      <c r="I406" s="184"/>
      <c r="J406" s="184"/>
    </row>
    <row r="407">
      <c r="I407" s="184"/>
      <c r="J407" s="184"/>
    </row>
    <row r="408">
      <c r="I408" s="184"/>
      <c r="J408" s="184"/>
    </row>
    <row r="409">
      <c r="I409" s="184"/>
      <c r="J409" s="184"/>
    </row>
    <row r="410">
      <c r="I410" s="184"/>
      <c r="J410" s="184"/>
    </row>
    <row r="411">
      <c r="I411" s="184"/>
      <c r="J411" s="184"/>
    </row>
    <row r="412">
      <c r="I412" s="184"/>
      <c r="J412" s="184"/>
    </row>
    <row r="413">
      <c r="I413" s="184"/>
      <c r="J413" s="184"/>
    </row>
    <row r="414">
      <c r="I414" s="184"/>
      <c r="J414" s="184"/>
    </row>
    <row r="415">
      <c r="I415" s="184"/>
      <c r="J415" s="184"/>
    </row>
    <row r="416">
      <c r="I416" s="184"/>
      <c r="J416" s="184"/>
    </row>
    <row r="417">
      <c r="I417" s="184"/>
      <c r="J417" s="184"/>
    </row>
    <row r="418">
      <c r="I418" s="184"/>
      <c r="J418" s="184"/>
    </row>
    <row r="419">
      <c r="I419" s="184"/>
      <c r="J419" s="184"/>
    </row>
    <row r="420">
      <c r="I420" s="184"/>
      <c r="J420" s="184"/>
    </row>
    <row r="421">
      <c r="I421" s="184"/>
      <c r="J421" s="184"/>
    </row>
    <row r="422">
      <c r="I422" s="184"/>
      <c r="J422" s="184"/>
    </row>
    <row r="423">
      <c r="I423" s="184"/>
      <c r="J423" s="184"/>
    </row>
    <row r="424">
      <c r="I424" s="184"/>
      <c r="J424" s="184"/>
    </row>
    <row r="425">
      <c r="I425" s="184"/>
      <c r="J425" s="184"/>
    </row>
    <row r="426">
      <c r="I426" s="184"/>
      <c r="J426" s="184"/>
    </row>
    <row r="427">
      <c r="I427" s="184"/>
      <c r="J427" s="184"/>
    </row>
    <row r="428">
      <c r="I428" s="184"/>
      <c r="J428" s="184"/>
    </row>
    <row r="429">
      <c r="I429" s="184"/>
      <c r="J429" s="184"/>
    </row>
    <row r="430">
      <c r="I430" s="184"/>
      <c r="J430" s="184"/>
    </row>
    <row r="431">
      <c r="I431" s="184"/>
      <c r="J431" s="184"/>
    </row>
    <row r="432">
      <c r="I432" s="184"/>
      <c r="J432" s="184"/>
    </row>
    <row r="433">
      <c r="I433" s="184"/>
      <c r="J433" s="184"/>
    </row>
    <row r="434">
      <c r="I434" s="184"/>
      <c r="J434" s="184"/>
    </row>
    <row r="435">
      <c r="I435" s="184"/>
      <c r="J435" s="184"/>
    </row>
    <row r="436">
      <c r="I436" s="184"/>
      <c r="J436" s="184"/>
    </row>
    <row r="437">
      <c r="I437" s="184"/>
      <c r="J437" s="184"/>
    </row>
    <row r="438">
      <c r="I438" s="184"/>
      <c r="J438" s="184"/>
    </row>
    <row r="439">
      <c r="I439" s="184"/>
      <c r="J439" s="184"/>
    </row>
    <row r="440">
      <c r="I440" s="184"/>
      <c r="J440" s="184"/>
    </row>
    <row r="441">
      <c r="I441" s="184"/>
      <c r="J441" s="184"/>
    </row>
    <row r="442">
      <c r="I442" s="184"/>
      <c r="J442" s="184"/>
    </row>
    <row r="443">
      <c r="I443" s="184"/>
      <c r="J443" s="184"/>
    </row>
    <row r="444">
      <c r="I444" s="184"/>
      <c r="J444" s="184"/>
    </row>
    <row r="445">
      <c r="I445" s="184"/>
      <c r="J445" s="184"/>
    </row>
    <row r="446">
      <c r="I446" s="184"/>
      <c r="J446" s="184"/>
    </row>
    <row r="447">
      <c r="I447" s="184"/>
      <c r="J447" s="184"/>
    </row>
    <row r="448">
      <c r="I448" s="184"/>
      <c r="J448" s="184"/>
    </row>
    <row r="449">
      <c r="I449" s="184"/>
      <c r="J449" s="184"/>
    </row>
    <row r="450">
      <c r="I450" s="184"/>
      <c r="J450" s="184"/>
    </row>
    <row r="451">
      <c r="I451" s="184"/>
      <c r="J451" s="184"/>
    </row>
    <row r="452">
      <c r="I452" s="184"/>
      <c r="J452" s="184"/>
    </row>
    <row r="453">
      <c r="I453" s="184"/>
      <c r="J453" s="184"/>
    </row>
    <row r="454">
      <c r="I454" s="184"/>
      <c r="J454" s="184"/>
    </row>
    <row r="455">
      <c r="I455" s="184"/>
      <c r="J455" s="184"/>
    </row>
    <row r="456">
      <c r="I456" s="184"/>
      <c r="J456" s="184"/>
    </row>
    <row r="457">
      <c r="I457" s="184"/>
      <c r="J457" s="184"/>
    </row>
    <row r="458">
      <c r="I458" s="184"/>
      <c r="J458" s="184"/>
    </row>
    <row r="459">
      <c r="I459" s="184"/>
      <c r="J459" s="184"/>
    </row>
    <row r="460">
      <c r="I460" s="184"/>
      <c r="J460" s="184"/>
    </row>
    <row r="461">
      <c r="I461" s="184"/>
      <c r="J461" s="184"/>
    </row>
    <row r="462">
      <c r="I462" s="184"/>
      <c r="J462" s="184"/>
    </row>
    <row r="463">
      <c r="I463" s="184"/>
      <c r="J463" s="184"/>
    </row>
    <row r="464">
      <c r="I464" s="184"/>
      <c r="J464" s="184"/>
    </row>
    <row r="465">
      <c r="I465" s="184"/>
      <c r="J465" s="184"/>
    </row>
    <row r="466">
      <c r="I466" s="184"/>
      <c r="J466" s="184"/>
    </row>
    <row r="467">
      <c r="I467" s="184"/>
      <c r="J467" s="184"/>
    </row>
    <row r="468">
      <c r="I468" s="184"/>
      <c r="J468" s="184"/>
    </row>
    <row r="469">
      <c r="I469" s="184"/>
      <c r="J469" s="184"/>
    </row>
    <row r="470">
      <c r="I470" s="184"/>
      <c r="J470" s="184"/>
    </row>
    <row r="471">
      <c r="I471" s="184"/>
      <c r="J471" s="184"/>
    </row>
    <row r="472">
      <c r="I472" s="184"/>
      <c r="J472" s="184"/>
    </row>
    <row r="473">
      <c r="I473" s="184"/>
      <c r="J473" s="184"/>
    </row>
    <row r="474">
      <c r="I474" s="184"/>
      <c r="J474" s="184"/>
    </row>
    <row r="475">
      <c r="I475" s="184"/>
      <c r="J475" s="184"/>
    </row>
    <row r="476">
      <c r="I476" s="184"/>
      <c r="J476" s="184"/>
    </row>
    <row r="477">
      <c r="I477" s="184"/>
      <c r="J477" s="184"/>
    </row>
    <row r="478">
      <c r="I478" s="184"/>
      <c r="J478" s="184"/>
    </row>
    <row r="479">
      <c r="I479" s="184"/>
      <c r="J479" s="184"/>
    </row>
    <row r="480">
      <c r="I480" s="184"/>
      <c r="J480" s="184"/>
    </row>
    <row r="481">
      <c r="I481" s="184"/>
      <c r="J481" s="184"/>
    </row>
    <row r="482">
      <c r="I482" s="184"/>
      <c r="J482" s="184"/>
    </row>
    <row r="483">
      <c r="I483" s="184"/>
      <c r="J483" s="184"/>
    </row>
    <row r="484">
      <c r="I484" s="184"/>
      <c r="J484" s="184"/>
    </row>
    <row r="485">
      <c r="I485" s="184"/>
      <c r="J485" s="184"/>
    </row>
    <row r="486">
      <c r="I486" s="184"/>
      <c r="J486" s="184"/>
    </row>
    <row r="487">
      <c r="I487" s="184"/>
      <c r="J487" s="184"/>
    </row>
    <row r="488">
      <c r="I488" s="184"/>
      <c r="J488" s="184"/>
    </row>
    <row r="489">
      <c r="I489" s="184"/>
      <c r="J489" s="184"/>
    </row>
    <row r="490">
      <c r="I490" s="184"/>
      <c r="J490" s="184"/>
    </row>
    <row r="491">
      <c r="I491" s="184"/>
      <c r="J491" s="184"/>
    </row>
    <row r="492">
      <c r="I492" s="184"/>
      <c r="J492" s="184"/>
    </row>
    <row r="493">
      <c r="I493" s="184"/>
      <c r="J493" s="184"/>
    </row>
    <row r="494">
      <c r="I494" s="184"/>
      <c r="J494" s="184"/>
    </row>
    <row r="495">
      <c r="I495" s="184"/>
      <c r="J495" s="184"/>
    </row>
    <row r="496">
      <c r="I496" s="184"/>
      <c r="J496" s="184"/>
    </row>
    <row r="497">
      <c r="I497" s="184"/>
      <c r="J497" s="184"/>
    </row>
    <row r="498">
      <c r="I498" s="184"/>
      <c r="J498" s="184"/>
    </row>
    <row r="499">
      <c r="I499" s="184"/>
      <c r="J499" s="184"/>
    </row>
    <row r="500">
      <c r="I500" s="184"/>
      <c r="J500" s="184"/>
    </row>
    <row r="501">
      <c r="I501" s="184"/>
      <c r="J501" s="184"/>
    </row>
    <row r="502">
      <c r="I502" s="184"/>
      <c r="J502" s="184"/>
    </row>
    <row r="503">
      <c r="I503" s="184"/>
      <c r="J503" s="184"/>
    </row>
    <row r="504">
      <c r="I504" s="184"/>
      <c r="J504" s="184"/>
    </row>
    <row r="505">
      <c r="I505" s="184"/>
      <c r="J505" s="184"/>
    </row>
    <row r="506">
      <c r="I506" s="184"/>
      <c r="J506" s="184"/>
    </row>
    <row r="507">
      <c r="I507" s="184"/>
      <c r="J507" s="184"/>
    </row>
    <row r="508">
      <c r="I508" s="184"/>
      <c r="J508" s="184"/>
    </row>
    <row r="509">
      <c r="I509" s="184"/>
      <c r="J509" s="184"/>
    </row>
    <row r="510">
      <c r="I510" s="184"/>
      <c r="J510" s="184"/>
    </row>
    <row r="511">
      <c r="I511" s="184"/>
      <c r="J511" s="184"/>
    </row>
    <row r="512">
      <c r="I512" s="184"/>
      <c r="J512" s="184"/>
    </row>
    <row r="513">
      <c r="I513" s="184"/>
      <c r="J513" s="184"/>
    </row>
    <row r="514">
      <c r="I514" s="184"/>
      <c r="J514" s="184"/>
    </row>
    <row r="515">
      <c r="I515" s="184"/>
      <c r="J515" s="184"/>
    </row>
    <row r="516">
      <c r="I516" s="184"/>
      <c r="J516" s="184"/>
    </row>
    <row r="517">
      <c r="I517" s="184"/>
      <c r="J517" s="184"/>
    </row>
    <row r="518">
      <c r="I518" s="184"/>
      <c r="J518" s="184"/>
    </row>
    <row r="519">
      <c r="I519" s="184"/>
      <c r="J519" s="184"/>
    </row>
    <row r="520">
      <c r="I520" s="184"/>
      <c r="J520" s="184"/>
    </row>
    <row r="521">
      <c r="I521" s="184"/>
      <c r="J521" s="184"/>
    </row>
    <row r="522">
      <c r="I522" s="184"/>
      <c r="J522" s="184"/>
    </row>
    <row r="523">
      <c r="I523" s="184"/>
      <c r="J523" s="184"/>
    </row>
    <row r="524">
      <c r="I524" s="184"/>
      <c r="J524" s="184"/>
    </row>
    <row r="525">
      <c r="I525" s="184"/>
      <c r="J525" s="184"/>
    </row>
    <row r="526">
      <c r="I526" s="184"/>
      <c r="J526" s="184"/>
    </row>
    <row r="527">
      <c r="I527" s="184"/>
      <c r="J527" s="184"/>
    </row>
    <row r="528">
      <c r="I528" s="184"/>
      <c r="J528" s="184"/>
    </row>
    <row r="529">
      <c r="I529" s="184"/>
      <c r="J529" s="184"/>
    </row>
    <row r="530">
      <c r="I530" s="184"/>
      <c r="J530" s="184"/>
    </row>
    <row r="531">
      <c r="I531" s="184"/>
      <c r="J531" s="184"/>
    </row>
    <row r="532">
      <c r="I532" s="184"/>
      <c r="J532" s="184"/>
    </row>
    <row r="533">
      <c r="I533" s="184"/>
      <c r="J533" s="184"/>
    </row>
    <row r="534">
      <c r="I534" s="184"/>
      <c r="J534" s="184"/>
    </row>
    <row r="535">
      <c r="I535" s="184"/>
      <c r="J535" s="184"/>
    </row>
    <row r="536">
      <c r="I536" s="184"/>
      <c r="J536" s="184"/>
    </row>
    <row r="537">
      <c r="I537" s="184"/>
      <c r="J537" s="184"/>
    </row>
    <row r="538">
      <c r="I538" s="184"/>
      <c r="J538" s="184"/>
    </row>
    <row r="539">
      <c r="I539" s="184"/>
      <c r="J539" s="184"/>
    </row>
    <row r="540">
      <c r="I540" s="184"/>
      <c r="J540" s="184"/>
    </row>
    <row r="541">
      <c r="I541" s="184"/>
      <c r="J541" s="184"/>
    </row>
    <row r="542">
      <c r="I542" s="184"/>
      <c r="J542" s="184"/>
    </row>
    <row r="543">
      <c r="I543" s="184"/>
      <c r="J543" s="184"/>
    </row>
    <row r="544">
      <c r="I544" s="184"/>
      <c r="J544" s="184"/>
    </row>
    <row r="545">
      <c r="I545" s="184"/>
      <c r="J545" s="184"/>
    </row>
    <row r="546">
      <c r="I546" s="184"/>
      <c r="J546" s="184"/>
    </row>
    <row r="547">
      <c r="I547" s="184"/>
      <c r="J547" s="184"/>
    </row>
    <row r="548">
      <c r="I548" s="184"/>
      <c r="J548" s="184"/>
    </row>
    <row r="549">
      <c r="I549" s="184"/>
      <c r="J549" s="184"/>
    </row>
    <row r="550">
      <c r="I550" s="184"/>
      <c r="J550" s="184"/>
    </row>
    <row r="551">
      <c r="I551" s="184"/>
      <c r="J551" s="184"/>
    </row>
    <row r="552">
      <c r="I552" s="184"/>
      <c r="J552" s="184"/>
    </row>
    <row r="553">
      <c r="I553" s="184"/>
      <c r="J553" s="184"/>
    </row>
    <row r="554">
      <c r="I554" s="184"/>
      <c r="J554" s="184"/>
    </row>
    <row r="555">
      <c r="I555" s="184"/>
      <c r="J555" s="184"/>
    </row>
    <row r="556">
      <c r="I556" s="184"/>
      <c r="J556" s="184"/>
    </row>
    <row r="557">
      <c r="I557" s="184"/>
      <c r="J557" s="184"/>
    </row>
    <row r="558">
      <c r="I558" s="184"/>
      <c r="J558" s="184"/>
    </row>
    <row r="559">
      <c r="I559" s="184"/>
      <c r="J559" s="184"/>
    </row>
    <row r="560">
      <c r="I560" s="184"/>
      <c r="J560" s="184"/>
    </row>
    <row r="561">
      <c r="I561" s="184"/>
      <c r="J561" s="184"/>
    </row>
    <row r="562">
      <c r="I562" s="184"/>
      <c r="J562" s="184"/>
    </row>
    <row r="563">
      <c r="I563" s="184"/>
      <c r="J563" s="184"/>
    </row>
    <row r="564">
      <c r="I564" s="184"/>
      <c r="J564" s="184"/>
    </row>
    <row r="565">
      <c r="I565" s="184"/>
      <c r="J565" s="184"/>
    </row>
    <row r="566">
      <c r="I566" s="184"/>
      <c r="J566" s="184"/>
    </row>
    <row r="567">
      <c r="I567" s="184"/>
      <c r="J567" s="184"/>
    </row>
    <row r="568">
      <c r="I568" s="184"/>
      <c r="J568" s="184"/>
    </row>
    <row r="569">
      <c r="I569" s="184"/>
      <c r="J569" s="184"/>
    </row>
    <row r="570">
      <c r="I570" s="184"/>
      <c r="J570" s="184"/>
    </row>
    <row r="571">
      <c r="I571" s="184"/>
      <c r="J571" s="184"/>
    </row>
    <row r="572">
      <c r="I572" s="184"/>
      <c r="J572" s="184"/>
    </row>
    <row r="573">
      <c r="I573" s="184"/>
      <c r="J573" s="184"/>
    </row>
    <row r="574">
      <c r="I574" s="184"/>
      <c r="J574" s="184"/>
    </row>
    <row r="575">
      <c r="I575" s="184"/>
      <c r="J575" s="184"/>
    </row>
    <row r="576">
      <c r="I576" s="184"/>
      <c r="J576" s="184"/>
    </row>
    <row r="577">
      <c r="I577" s="184"/>
      <c r="J577" s="184"/>
    </row>
    <row r="578">
      <c r="I578" s="184"/>
      <c r="J578" s="184"/>
    </row>
    <row r="579">
      <c r="I579" s="184"/>
      <c r="J579" s="184"/>
    </row>
    <row r="580">
      <c r="I580" s="184"/>
      <c r="J580" s="184"/>
    </row>
    <row r="581">
      <c r="I581" s="184"/>
      <c r="J581" s="184"/>
    </row>
    <row r="582">
      <c r="I582" s="184"/>
      <c r="J582" s="184"/>
    </row>
    <row r="583">
      <c r="I583" s="184"/>
      <c r="J583" s="184"/>
    </row>
    <row r="584">
      <c r="I584" s="184"/>
      <c r="J584" s="184"/>
    </row>
    <row r="585">
      <c r="I585" s="184"/>
      <c r="J585" s="184"/>
    </row>
    <row r="586">
      <c r="I586" s="184"/>
      <c r="J586" s="184"/>
    </row>
    <row r="587">
      <c r="I587" s="184"/>
      <c r="J587" s="184"/>
    </row>
    <row r="588">
      <c r="I588" s="184"/>
      <c r="J588" s="184"/>
    </row>
    <row r="589">
      <c r="I589" s="184"/>
      <c r="J589" s="184"/>
    </row>
    <row r="590">
      <c r="I590" s="184"/>
      <c r="J590" s="184"/>
    </row>
    <row r="591">
      <c r="I591" s="184"/>
      <c r="J591" s="184"/>
    </row>
    <row r="592">
      <c r="I592" s="184"/>
      <c r="J592" s="184"/>
    </row>
    <row r="593">
      <c r="I593" s="184"/>
      <c r="J593" s="184"/>
    </row>
    <row r="594">
      <c r="I594" s="184"/>
      <c r="J594" s="184"/>
    </row>
    <row r="595">
      <c r="I595" s="184"/>
      <c r="J595" s="184"/>
    </row>
    <row r="596">
      <c r="I596" s="184"/>
      <c r="J596" s="184"/>
    </row>
    <row r="597">
      <c r="I597" s="184"/>
      <c r="J597" s="184"/>
    </row>
    <row r="598">
      <c r="I598" s="184"/>
      <c r="J598" s="184"/>
    </row>
    <row r="599">
      <c r="I599" s="184"/>
      <c r="J599" s="184"/>
    </row>
    <row r="600">
      <c r="I600" s="184"/>
      <c r="J600" s="184"/>
    </row>
    <row r="601">
      <c r="I601" s="184"/>
      <c r="J601" s="184"/>
    </row>
    <row r="602">
      <c r="I602" s="184"/>
      <c r="J602" s="184"/>
    </row>
    <row r="603">
      <c r="I603" s="184"/>
      <c r="J603" s="184"/>
    </row>
    <row r="604">
      <c r="I604" s="184"/>
      <c r="J604" s="184"/>
    </row>
    <row r="605">
      <c r="I605" s="184"/>
      <c r="J605" s="184"/>
    </row>
    <row r="606">
      <c r="I606" s="184"/>
      <c r="J606" s="184"/>
    </row>
    <row r="607">
      <c r="I607" s="184"/>
      <c r="J607" s="184"/>
    </row>
    <row r="608">
      <c r="I608" s="184"/>
      <c r="J608" s="184"/>
    </row>
    <row r="609">
      <c r="I609" s="184"/>
      <c r="J609" s="184"/>
    </row>
    <row r="610">
      <c r="I610" s="184"/>
      <c r="J610" s="184"/>
    </row>
    <row r="611">
      <c r="I611" s="184"/>
      <c r="J611" s="184"/>
    </row>
    <row r="612">
      <c r="I612" s="184"/>
      <c r="J612" s="184"/>
    </row>
    <row r="613">
      <c r="I613" s="184"/>
      <c r="J613" s="184"/>
    </row>
    <row r="614">
      <c r="I614" s="184"/>
      <c r="J614" s="184"/>
    </row>
    <row r="615">
      <c r="I615" s="184"/>
      <c r="J615" s="184"/>
    </row>
    <row r="616">
      <c r="I616" s="184"/>
      <c r="J616" s="184"/>
    </row>
    <row r="617">
      <c r="I617" s="184"/>
      <c r="J617" s="184"/>
    </row>
    <row r="618">
      <c r="I618" s="184"/>
      <c r="J618" s="184"/>
    </row>
    <row r="619">
      <c r="I619" s="184"/>
      <c r="J619" s="184"/>
    </row>
    <row r="620">
      <c r="I620" s="184"/>
      <c r="J620" s="184"/>
    </row>
    <row r="621">
      <c r="I621" s="184"/>
      <c r="J621" s="184"/>
    </row>
    <row r="622">
      <c r="I622" s="184"/>
      <c r="J622" s="184"/>
    </row>
    <row r="623">
      <c r="I623" s="184"/>
      <c r="J623" s="184"/>
    </row>
    <row r="624">
      <c r="I624" s="184"/>
      <c r="J624" s="184"/>
    </row>
    <row r="625">
      <c r="I625" s="184"/>
      <c r="J625" s="184"/>
    </row>
    <row r="626">
      <c r="I626" s="184"/>
      <c r="J626" s="184"/>
    </row>
    <row r="627">
      <c r="I627" s="184"/>
      <c r="J627" s="184"/>
    </row>
    <row r="628">
      <c r="I628" s="184"/>
      <c r="J628" s="184"/>
    </row>
    <row r="629">
      <c r="I629" s="184"/>
      <c r="J629" s="184"/>
    </row>
    <row r="630">
      <c r="I630" s="184"/>
      <c r="J630" s="184"/>
    </row>
    <row r="631">
      <c r="I631" s="184"/>
      <c r="J631" s="184"/>
    </row>
    <row r="632">
      <c r="I632" s="184"/>
      <c r="J632" s="184"/>
    </row>
    <row r="633">
      <c r="I633" s="184"/>
      <c r="J633" s="184"/>
    </row>
    <row r="634">
      <c r="I634" s="184"/>
      <c r="J634" s="184"/>
    </row>
    <row r="635">
      <c r="I635" s="184"/>
      <c r="J635" s="184"/>
    </row>
    <row r="636">
      <c r="I636" s="184"/>
      <c r="J636" s="184"/>
    </row>
    <row r="637">
      <c r="I637" s="184"/>
      <c r="J637" s="184"/>
    </row>
    <row r="638">
      <c r="I638" s="184"/>
      <c r="J638" s="184"/>
    </row>
    <row r="639">
      <c r="I639" s="184"/>
      <c r="J639" s="184"/>
    </row>
    <row r="640">
      <c r="I640" s="184"/>
      <c r="J640" s="184"/>
    </row>
    <row r="641">
      <c r="I641" s="184"/>
      <c r="J641" s="184"/>
    </row>
    <row r="642">
      <c r="I642" s="184"/>
      <c r="J642" s="184"/>
    </row>
    <row r="643">
      <c r="I643" s="184"/>
      <c r="J643" s="184"/>
    </row>
    <row r="644">
      <c r="I644" s="184"/>
      <c r="J644" s="184"/>
    </row>
    <row r="645">
      <c r="I645" s="184"/>
      <c r="J645" s="184"/>
    </row>
    <row r="646">
      <c r="I646" s="184"/>
      <c r="J646" s="184"/>
    </row>
    <row r="647">
      <c r="I647" s="184"/>
      <c r="J647" s="184"/>
    </row>
    <row r="648">
      <c r="I648" s="184"/>
      <c r="J648" s="184"/>
    </row>
    <row r="649">
      <c r="I649" s="184"/>
      <c r="J649" s="184"/>
    </row>
    <row r="650">
      <c r="I650" s="184"/>
      <c r="J650" s="184"/>
    </row>
    <row r="651">
      <c r="I651" s="184"/>
      <c r="J651" s="184"/>
    </row>
    <row r="652">
      <c r="I652" s="184"/>
      <c r="J652" s="184"/>
    </row>
    <row r="653">
      <c r="I653" s="184"/>
      <c r="J653" s="184"/>
    </row>
    <row r="654">
      <c r="I654" s="184"/>
      <c r="J654" s="184"/>
    </row>
    <row r="655">
      <c r="I655" s="184"/>
      <c r="J655" s="184"/>
    </row>
    <row r="656">
      <c r="I656" s="184"/>
      <c r="J656" s="184"/>
    </row>
    <row r="657">
      <c r="I657" s="184"/>
      <c r="J657" s="184"/>
    </row>
    <row r="658">
      <c r="I658" s="184"/>
      <c r="J658" s="184"/>
    </row>
    <row r="659">
      <c r="I659" s="184"/>
      <c r="J659" s="184"/>
    </row>
    <row r="660">
      <c r="I660" s="184"/>
      <c r="J660" s="184"/>
    </row>
    <row r="661">
      <c r="I661" s="184"/>
      <c r="J661" s="184"/>
    </row>
    <row r="662">
      <c r="I662" s="184"/>
      <c r="J662" s="184"/>
    </row>
    <row r="663">
      <c r="I663" s="184"/>
      <c r="J663" s="184"/>
    </row>
    <row r="664">
      <c r="I664" s="184"/>
      <c r="J664" s="184"/>
    </row>
    <row r="665">
      <c r="I665" s="184"/>
      <c r="J665" s="184"/>
    </row>
    <row r="666">
      <c r="I666" s="184"/>
      <c r="J666" s="184"/>
    </row>
    <row r="667">
      <c r="I667" s="184"/>
      <c r="J667" s="184"/>
    </row>
    <row r="668">
      <c r="I668" s="184"/>
      <c r="J668" s="184"/>
    </row>
    <row r="669">
      <c r="I669" s="184"/>
      <c r="J669" s="184"/>
    </row>
    <row r="670">
      <c r="I670" s="184"/>
      <c r="J670" s="184"/>
    </row>
    <row r="671">
      <c r="I671" s="184"/>
      <c r="J671" s="184"/>
    </row>
    <row r="672">
      <c r="I672" s="184"/>
      <c r="J672" s="184"/>
    </row>
    <row r="673">
      <c r="I673" s="184"/>
      <c r="J673" s="184"/>
    </row>
    <row r="674">
      <c r="I674" s="184"/>
      <c r="J674" s="184"/>
    </row>
    <row r="675">
      <c r="I675" s="184"/>
      <c r="J675" s="184"/>
    </row>
    <row r="676">
      <c r="I676" s="184"/>
      <c r="J676" s="184"/>
    </row>
    <row r="677">
      <c r="I677" s="184"/>
      <c r="J677" s="184"/>
    </row>
    <row r="678">
      <c r="I678" s="184"/>
      <c r="J678" s="184"/>
    </row>
    <row r="679">
      <c r="I679" s="184"/>
      <c r="J679" s="184"/>
    </row>
    <row r="680">
      <c r="I680" s="184"/>
      <c r="J680" s="184"/>
    </row>
    <row r="681">
      <c r="I681" s="184"/>
      <c r="J681" s="184"/>
    </row>
    <row r="682">
      <c r="I682" s="184"/>
      <c r="J682" s="184"/>
    </row>
    <row r="683">
      <c r="I683" s="184"/>
      <c r="J683" s="184"/>
    </row>
    <row r="684">
      <c r="I684" s="184"/>
      <c r="J684" s="184"/>
    </row>
    <row r="685">
      <c r="I685" s="184"/>
      <c r="J685" s="184"/>
    </row>
    <row r="686">
      <c r="I686" s="184"/>
      <c r="J686" s="184"/>
    </row>
    <row r="687">
      <c r="I687" s="184"/>
      <c r="J687" s="184"/>
    </row>
    <row r="688">
      <c r="I688" s="184"/>
      <c r="J688" s="184"/>
    </row>
    <row r="689">
      <c r="I689" s="184"/>
      <c r="J689" s="184"/>
    </row>
    <row r="690">
      <c r="I690" s="184"/>
      <c r="J690" s="184"/>
    </row>
    <row r="691">
      <c r="I691" s="184"/>
      <c r="J691" s="184"/>
    </row>
    <row r="692">
      <c r="I692" s="184"/>
      <c r="J692" s="184"/>
    </row>
    <row r="693">
      <c r="I693" s="184"/>
      <c r="J693" s="184"/>
    </row>
    <row r="694">
      <c r="I694" s="184"/>
      <c r="J694" s="184"/>
    </row>
    <row r="695">
      <c r="I695" s="184"/>
      <c r="J695" s="184"/>
    </row>
    <row r="696">
      <c r="I696" s="184"/>
      <c r="J696" s="184"/>
    </row>
    <row r="697">
      <c r="I697" s="184"/>
      <c r="J697" s="184"/>
    </row>
    <row r="698">
      <c r="I698" s="184"/>
      <c r="J698" s="184"/>
    </row>
    <row r="699">
      <c r="I699" s="184"/>
      <c r="J699" s="184"/>
    </row>
    <row r="700">
      <c r="I700" s="184"/>
      <c r="J700" s="184"/>
    </row>
    <row r="701">
      <c r="I701" s="184"/>
      <c r="J701" s="184"/>
    </row>
    <row r="702">
      <c r="I702" s="184"/>
      <c r="J702" s="184"/>
    </row>
    <row r="703">
      <c r="I703" s="184"/>
      <c r="J703" s="184"/>
    </row>
    <row r="704">
      <c r="I704" s="184"/>
      <c r="J704" s="184"/>
    </row>
    <row r="705">
      <c r="I705" s="184"/>
      <c r="J705" s="184"/>
    </row>
    <row r="706">
      <c r="I706" s="184"/>
      <c r="J706" s="184"/>
    </row>
    <row r="707">
      <c r="I707" s="184"/>
      <c r="J707" s="184"/>
    </row>
    <row r="708">
      <c r="I708" s="184"/>
      <c r="J708" s="184"/>
    </row>
    <row r="709">
      <c r="I709" s="184"/>
      <c r="J709" s="184"/>
    </row>
    <row r="710">
      <c r="I710" s="184"/>
      <c r="J710" s="184"/>
    </row>
    <row r="711">
      <c r="I711" s="184"/>
      <c r="J711" s="184"/>
    </row>
    <row r="712">
      <c r="I712" s="184"/>
      <c r="J712" s="184"/>
    </row>
    <row r="713">
      <c r="I713" s="184"/>
      <c r="J713" s="184"/>
    </row>
    <row r="714">
      <c r="I714" s="184"/>
      <c r="J714" s="184"/>
    </row>
    <row r="715">
      <c r="I715" s="184"/>
      <c r="J715" s="184"/>
    </row>
    <row r="716">
      <c r="I716" s="184"/>
      <c r="J716" s="184"/>
    </row>
    <row r="717">
      <c r="I717" s="184"/>
      <c r="J717" s="184"/>
    </row>
    <row r="718">
      <c r="I718" s="184"/>
      <c r="J718" s="184"/>
    </row>
    <row r="719">
      <c r="I719" s="184"/>
      <c r="J719" s="184"/>
    </row>
    <row r="720">
      <c r="I720" s="184"/>
      <c r="J720" s="184"/>
    </row>
    <row r="721">
      <c r="I721" s="184"/>
      <c r="J721" s="184"/>
    </row>
    <row r="722">
      <c r="I722" s="184"/>
      <c r="J722" s="184"/>
    </row>
    <row r="723">
      <c r="I723" s="184"/>
      <c r="J723" s="184"/>
    </row>
    <row r="724">
      <c r="I724" s="184"/>
      <c r="J724" s="184"/>
    </row>
    <row r="725">
      <c r="I725" s="184"/>
      <c r="J725" s="184"/>
    </row>
    <row r="726">
      <c r="I726" s="184"/>
      <c r="J726" s="184"/>
    </row>
    <row r="727">
      <c r="I727" s="184"/>
      <c r="J727" s="184"/>
    </row>
    <row r="728">
      <c r="I728" s="184"/>
      <c r="J728" s="184"/>
    </row>
    <row r="729">
      <c r="I729" s="184"/>
      <c r="J729" s="184"/>
    </row>
    <row r="730">
      <c r="I730" s="184"/>
      <c r="J730" s="184"/>
    </row>
    <row r="731">
      <c r="I731" s="184"/>
      <c r="J731" s="184"/>
    </row>
    <row r="732">
      <c r="I732" s="184"/>
      <c r="J732" s="184"/>
    </row>
    <row r="733">
      <c r="I733" s="184"/>
      <c r="J733" s="184"/>
    </row>
    <row r="734">
      <c r="I734" s="184"/>
      <c r="J734" s="184"/>
    </row>
    <row r="735">
      <c r="I735" s="184"/>
      <c r="J735" s="184"/>
    </row>
    <row r="736">
      <c r="I736" s="184"/>
      <c r="J736" s="184"/>
    </row>
    <row r="737">
      <c r="I737" s="184"/>
      <c r="J737" s="184"/>
    </row>
    <row r="738">
      <c r="I738" s="184"/>
      <c r="J738" s="184"/>
    </row>
    <row r="739">
      <c r="I739" s="184"/>
      <c r="J739" s="184"/>
    </row>
    <row r="740">
      <c r="I740" s="184"/>
      <c r="J740" s="184"/>
    </row>
    <row r="741">
      <c r="I741" s="184"/>
      <c r="J741" s="184"/>
    </row>
    <row r="742">
      <c r="I742" s="184"/>
      <c r="J742" s="184"/>
    </row>
    <row r="743">
      <c r="I743" s="184"/>
      <c r="J743" s="184"/>
    </row>
    <row r="744">
      <c r="I744" s="184"/>
      <c r="J744" s="184"/>
    </row>
    <row r="745">
      <c r="I745" s="184"/>
      <c r="J745" s="184"/>
    </row>
    <row r="746">
      <c r="I746" s="184"/>
      <c r="J746" s="184"/>
    </row>
    <row r="747">
      <c r="I747" s="184"/>
      <c r="J747" s="184"/>
    </row>
    <row r="748">
      <c r="I748" s="184"/>
      <c r="J748" s="184"/>
    </row>
    <row r="749">
      <c r="I749" s="184"/>
      <c r="J749" s="184"/>
    </row>
    <row r="750">
      <c r="I750" s="184"/>
      <c r="J750" s="184"/>
    </row>
    <row r="751">
      <c r="I751" s="184"/>
      <c r="J751" s="184"/>
    </row>
    <row r="752">
      <c r="I752" s="184"/>
      <c r="J752" s="184"/>
    </row>
    <row r="753">
      <c r="I753" s="184"/>
      <c r="J753" s="184"/>
    </row>
    <row r="754">
      <c r="I754" s="184"/>
      <c r="J754" s="184"/>
    </row>
    <row r="755">
      <c r="I755" s="184"/>
      <c r="J755" s="184"/>
    </row>
    <row r="756">
      <c r="I756" s="184"/>
      <c r="J756" s="184"/>
    </row>
    <row r="757">
      <c r="I757" s="184"/>
      <c r="J757" s="184"/>
    </row>
    <row r="758">
      <c r="I758" s="184"/>
      <c r="J758" s="184"/>
    </row>
    <row r="759">
      <c r="I759" s="184"/>
      <c r="J759" s="184"/>
    </row>
    <row r="760">
      <c r="I760" s="184"/>
      <c r="J760" s="184"/>
    </row>
    <row r="761">
      <c r="I761" s="184"/>
      <c r="J761" s="184"/>
    </row>
    <row r="762">
      <c r="I762" s="184"/>
      <c r="J762" s="184"/>
    </row>
    <row r="763">
      <c r="I763" s="184"/>
      <c r="J763" s="184"/>
    </row>
    <row r="764">
      <c r="I764" s="184"/>
      <c r="J764" s="184"/>
    </row>
    <row r="765">
      <c r="I765" s="184"/>
      <c r="J765" s="184"/>
    </row>
    <row r="766">
      <c r="I766" s="184"/>
      <c r="J766" s="184"/>
    </row>
    <row r="767">
      <c r="I767" s="184"/>
      <c r="J767" s="184"/>
    </row>
    <row r="768">
      <c r="I768" s="184"/>
      <c r="J768" s="184"/>
    </row>
    <row r="769">
      <c r="I769" s="184"/>
      <c r="J769" s="184"/>
    </row>
    <row r="770">
      <c r="I770" s="184"/>
      <c r="J770" s="184"/>
    </row>
    <row r="771">
      <c r="I771" s="184"/>
      <c r="J771" s="184"/>
    </row>
    <row r="772">
      <c r="I772" s="184"/>
      <c r="J772" s="184"/>
    </row>
    <row r="773">
      <c r="I773" s="184"/>
      <c r="J773" s="184"/>
    </row>
    <row r="774">
      <c r="I774" s="184"/>
      <c r="J774" s="184"/>
    </row>
    <row r="775">
      <c r="I775" s="184"/>
      <c r="J775" s="184"/>
    </row>
    <row r="776">
      <c r="I776" s="184"/>
      <c r="J776" s="184"/>
    </row>
    <row r="777">
      <c r="I777" s="184"/>
      <c r="J777" s="184"/>
    </row>
    <row r="778">
      <c r="I778" s="184"/>
      <c r="J778" s="184"/>
    </row>
    <row r="779">
      <c r="I779" s="184"/>
      <c r="J779" s="184"/>
    </row>
    <row r="780">
      <c r="I780" s="184"/>
      <c r="J780" s="184"/>
    </row>
    <row r="781">
      <c r="I781" s="184"/>
      <c r="J781" s="184"/>
    </row>
    <row r="782">
      <c r="I782" s="184"/>
      <c r="J782" s="184"/>
    </row>
    <row r="783">
      <c r="I783" s="184"/>
      <c r="J783" s="184"/>
    </row>
    <row r="784">
      <c r="I784" s="184"/>
      <c r="J784" s="184"/>
    </row>
    <row r="785">
      <c r="I785" s="184"/>
      <c r="J785" s="184"/>
    </row>
    <row r="786">
      <c r="I786" s="184"/>
      <c r="J786" s="184"/>
    </row>
    <row r="787">
      <c r="I787" s="184"/>
      <c r="J787" s="184"/>
    </row>
    <row r="788">
      <c r="I788" s="184"/>
      <c r="J788" s="184"/>
    </row>
    <row r="789">
      <c r="I789" s="184"/>
      <c r="J789" s="184"/>
    </row>
    <row r="790">
      <c r="I790" s="184"/>
      <c r="J790" s="184"/>
    </row>
    <row r="791">
      <c r="I791" s="184"/>
      <c r="J791" s="184"/>
    </row>
    <row r="792">
      <c r="I792" s="184"/>
      <c r="J792" s="184"/>
    </row>
    <row r="793">
      <c r="I793" s="184"/>
      <c r="J793" s="184"/>
    </row>
    <row r="794">
      <c r="I794" s="184"/>
      <c r="J794" s="184"/>
    </row>
    <row r="795">
      <c r="I795" s="184"/>
      <c r="J795" s="184"/>
    </row>
    <row r="796">
      <c r="I796" s="184"/>
      <c r="J796" s="184"/>
    </row>
    <row r="797">
      <c r="I797" s="184"/>
      <c r="J797" s="184"/>
    </row>
    <row r="798">
      <c r="I798" s="184"/>
      <c r="J798" s="184"/>
    </row>
    <row r="799">
      <c r="I799" s="184"/>
      <c r="J799" s="184"/>
    </row>
    <row r="800">
      <c r="I800" s="184"/>
      <c r="J800" s="184"/>
    </row>
    <row r="801">
      <c r="I801" s="184"/>
      <c r="J801" s="184"/>
    </row>
    <row r="802">
      <c r="I802" s="184"/>
      <c r="J802" s="184"/>
    </row>
    <row r="803">
      <c r="I803" s="184"/>
      <c r="J803" s="184"/>
    </row>
    <row r="804">
      <c r="I804" s="184"/>
      <c r="J804" s="184"/>
    </row>
    <row r="805">
      <c r="I805" s="184"/>
      <c r="J805" s="184"/>
    </row>
    <row r="806">
      <c r="I806" s="184"/>
      <c r="J806" s="184"/>
    </row>
    <row r="807">
      <c r="I807" s="184"/>
      <c r="J807" s="184"/>
    </row>
    <row r="808">
      <c r="I808" s="184"/>
      <c r="J808" s="184"/>
    </row>
    <row r="809">
      <c r="I809" s="184"/>
      <c r="J809" s="184"/>
    </row>
    <row r="810">
      <c r="I810" s="184"/>
      <c r="J810" s="184"/>
    </row>
    <row r="811">
      <c r="I811" s="184"/>
      <c r="J811" s="184"/>
    </row>
    <row r="812">
      <c r="I812" s="184"/>
      <c r="J812" s="184"/>
    </row>
    <row r="813">
      <c r="I813" s="184"/>
      <c r="J813" s="184"/>
    </row>
    <row r="814">
      <c r="I814" s="184"/>
      <c r="J814" s="184"/>
    </row>
    <row r="815">
      <c r="I815" s="184"/>
      <c r="J815" s="184"/>
    </row>
    <row r="816">
      <c r="I816" s="184"/>
      <c r="J816" s="184"/>
    </row>
    <row r="817">
      <c r="I817" s="184"/>
      <c r="J817" s="184"/>
    </row>
    <row r="818">
      <c r="I818" s="184"/>
      <c r="J818" s="184"/>
    </row>
    <row r="819">
      <c r="I819" s="184"/>
      <c r="J819" s="184"/>
    </row>
    <row r="820">
      <c r="I820" s="184"/>
      <c r="J820" s="184"/>
    </row>
    <row r="821">
      <c r="I821" s="184"/>
      <c r="J821" s="184"/>
    </row>
    <row r="822">
      <c r="I822" s="184"/>
      <c r="J822" s="184"/>
    </row>
    <row r="823">
      <c r="I823" s="184"/>
      <c r="J823" s="184"/>
    </row>
    <row r="824">
      <c r="I824" s="184"/>
      <c r="J824" s="184"/>
    </row>
    <row r="825">
      <c r="I825" s="184"/>
      <c r="J825" s="184"/>
    </row>
    <row r="826">
      <c r="I826" s="184"/>
      <c r="J826" s="184"/>
    </row>
    <row r="827">
      <c r="I827" s="184"/>
      <c r="J827" s="184"/>
    </row>
    <row r="828">
      <c r="I828" s="184"/>
      <c r="J828" s="184"/>
    </row>
    <row r="829">
      <c r="I829" s="184"/>
      <c r="J829" s="184"/>
    </row>
    <row r="830">
      <c r="I830" s="184"/>
      <c r="J830" s="184"/>
    </row>
    <row r="831">
      <c r="I831" s="184"/>
      <c r="J831" s="184"/>
    </row>
    <row r="832">
      <c r="I832" s="184"/>
      <c r="J832" s="184"/>
    </row>
    <row r="833">
      <c r="I833" s="184"/>
      <c r="J833" s="184"/>
    </row>
    <row r="834">
      <c r="I834" s="184"/>
      <c r="J834" s="184"/>
    </row>
    <row r="835">
      <c r="I835" s="184"/>
      <c r="J835" s="184"/>
    </row>
    <row r="836">
      <c r="I836" s="184"/>
      <c r="J836" s="184"/>
    </row>
    <row r="837">
      <c r="I837" s="184"/>
      <c r="J837" s="184"/>
    </row>
    <row r="838">
      <c r="I838" s="184"/>
      <c r="J838" s="184"/>
    </row>
    <row r="839">
      <c r="I839" s="184"/>
      <c r="J839" s="184"/>
    </row>
    <row r="840">
      <c r="I840" s="184"/>
      <c r="J840" s="184"/>
    </row>
    <row r="841">
      <c r="I841" s="184"/>
      <c r="J841" s="184"/>
    </row>
    <row r="842">
      <c r="I842" s="184"/>
      <c r="J842" s="184"/>
    </row>
    <row r="843">
      <c r="I843" s="184"/>
      <c r="J843" s="184"/>
    </row>
    <row r="844">
      <c r="I844" s="184"/>
      <c r="J844" s="184"/>
    </row>
    <row r="845">
      <c r="I845" s="184"/>
      <c r="J845" s="184"/>
    </row>
    <row r="846">
      <c r="I846" s="184"/>
      <c r="J846" s="184"/>
    </row>
    <row r="847">
      <c r="I847" s="184"/>
      <c r="J847" s="184"/>
    </row>
    <row r="848">
      <c r="I848" s="184"/>
      <c r="J848" s="184"/>
    </row>
    <row r="849">
      <c r="I849" s="184"/>
      <c r="J849" s="184"/>
    </row>
    <row r="850">
      <c r="I850" s="184"/>
      <c r="J850" s="184"/>
    </row>
    <row r="851">
      <c r="I851" s="184"/>
      <c r="J851" s="184"/>
    </row>
    <row r="852">
      <c r="I852" s="184"/>
      <c r="J852" s="184"/>
    </row>
    <row r="853">
      <c r="I853" s="184"/>
      <c r="J853" s="184"/>
    </row>
    <row r="854">
      <c r="I854" s="184"/>
      <c r="J854" s="184"/>
    </row>
    <row r="855">
      <c r="I855" s="184"/>
      <c r="J855" s="184"/>
    </row>
    <row r="856">
      <c r="I856" s="184"/>
      <c r="J856" s="184"/>
    </row>
    <row r="857">
      <c r="I857" s="184"/>
      <c r="J857" s="184"/>
    </row>
    <row r="858">
      <c r="I858" s="184"/>
      <c r="J858" s="184"/>
    </row>
    <row r="859">
      <c r="I859" s="184"/>
      <c r="J859" s="184"/>
    </row>
    <row r="860">
      <c r="I860" s="184"/>
      <c r="J860" s="184"/>
    </row>
    <row r="861">
      <c r="I861" s="184"/>
      <c r="J861" s="184"/>
    </row>
    <row r="862">
      <c r="I862" s="184"/>
      <c r="J862" s="184"/>
    </row>
    <row r="863">
      <c r="I863" s="184"/>
      <c r="J863" s="184"/>
    </row>
    <row r="864">
      <c r="I864" s="184"/>
      <c r="J864" s="184"/>
    </row>
    <row r="865">
      <c r="I865" s="184"/>
      <c r="J865" s="184"/>
    </row>
    <row r="866">
      <c r="I866" s="184"/>
      <c r="J866" s="184"/>
    </row>
    <row r="867">
      <c r="I867" s="184"/>
      <c r="J867" s="184"/>
    </row>
    <row r="868">
      <c r="I868" s="184"/>
      <c r="J868" s="184"/>
    </row>
    <row r="869">
      <c r="I869" s="184"/>
      <c r="J869" s="184"/>
    </row>
    <row r="870">
      <c r="I870" s="184"/>
      <c r="J870" s="184"/>
    </row>
    <row r="871">
      <c r="I871" s="184"/>
      <c r="J871" s="184"/>
    </row>
    <row r="872">
      <c r="I872" s="184"/>
      <c r="J872" s="184"/>
    </row>
    <row r="873">
      <c r="I873" s="184"/>
      <c r="J873" s="184"/>
    </row>
    <row r="874">
      <c r="I874" s="184"/>
      <c r="J874" s="184"/>
    </row>
    <row r="875">
      <c r="I875" s="184"/>
      <c r="J875" s="184"/>
    </row>
    <row r="876">
      <c r="I876" s="184"/>
      <c r="J876" s="184"/>
    </row>
    <row r="877">
      <c r="I877" s="184"/>
      <c r="J877" s="184"/>
    </row>
    <row r="878">
      <c r="I878" s="184"/>
      <c r="J878" s="184"/>
    </row>
    <row r="879">
      <c r="I879" s="184"/>
      <c r="J879" s="184"/>
    </row>
    <row r="880">
      <c r="I880" s="184"/>
      <c r="J880" s="184"/>
    </row>
    <row r="881">
      <c r="I881" s="184"/>
      <c r="J881" s="184"/>
    </row>
    <row r="882">
      <c r="I882" s="184"/>
      <c r="J882" s="184"/>
    </row>
    <row r="883">
      <c r="I883" s="184"/>
      <c r="J883" s="184"/>
    </row>
    <row r="884">
      <c r="I884" s="184"/>
      <c r="J884" s="184"/>
    </row>
    <row r="885">
      <c r="I885" s="184"/>
      <c r="J885" s="184"/>
    </row>
    <row r="886">
      <c r="I886" s="184"/>
      <c r="J886" s="184"/>
    </row>
    <row r="887">
      <c r="I887" s="184"/>
      <c r="J887" s="184"/>
    </row>
    <row r="888">
      <c r="I888" s="184"/>
      <c r="J888" s="184"/>
    </row>
    <row r="889">
      <c r="I889" s="184"/>
      <c r="J889" s="184"/>
    </row>
    <row r="890">
      <c r="I890" s="184"/>
      <c r="J890" s="184"/>
    </row>
    <row r="891">
      <c r="I891" s="184"/>
      <c r="J891" s="184"/>
    </row>
    <row r="892">
      <c r="I892" s="184"/>
      <c r="J892" s="184"/>
    </row>
    <row r="893">
      <c r="I893" s="184"/>
      <c r="J893" s="184"/>
    </row>
    <row r="894">
      <c r="I894" s="184"/>
      <c r="J894" s="184"/>
    </row>
    <row r="895">
      <c r="I895" s="184"/>
      <c r="J895" s="184"/>
    </row>
    <row r="896">
      <c r="I896" s="184"/>
      <c r="J896" s="184"/>
    </row>
    <row r="897">
      <c r="I897" s="184"/>
      <c r="J897" s="184"/>
    </row>
    <row r="898">
      <c r="I898" s="184"/>
      <c r="J898" s="184"/>
    </row>
    <row r="899">
      <c r="I899" s="184"/>
      <c r="J899" s="184"/>
    </row>
    <row r="900">
      <c r="I900" s="184"/>
      <c r="J900" s="184"/>
    </row>
    <row r="901">
      <c r="I901" s="184"/>
      <c r="J901" s="184"/>
    </row>
    <row r="902">
      <c r="I902" s="184"/>
      <c r="J902" s="184"/>
    </row>
    <row r="903">
      <c r="I903" s="184"/>
      <c r="J903" s="184"/>
    </row>
    <row r="904">
      <c r="I904" s="184"/>
      <c r="J904" s="184"/>
    </row>
    <row r="905">
      <c r="I905" s="184"/>
      <c r="J905" s="184"/>
    </row>
    <row r="906">
      <c r="I906" s="184"/>
      <c r="J906" s="184"/>
    </row>
    <row r="907">
      <c r="I907" s="184"/>
      <c r="J907" s="184"/>
    </row>
    <row r="908">
      <c r="I908" s="184"/>
      <c r="J908" s="184"/>
    </row>
    <row r="909">
      <c r="I909" s="184"/>
      <c r="J909" s="184"/>
    </row>
    <row r="910">
      <c r="I910" s="184"/>
      <c r="J910" s="184"/>
    </row>
    <row r="911">
      <c r="I911" s="184"/>
      <c r="J911" s="184"/>
    </row>
    <row r="912">
      <c r="I912" s="184"/>
      <c r="J912" s="184"/>
    </row>
    <row r="913">
      <c r="I913" s="184"/>
      <c r="J913" s="184"/>
    </row>
    <row r="914">
      <c r="I914" s="184"/>
      <c r="J914" s="184"/>
    </row>
    <row r="915">
      <c r="I915" s="184"/>
      <c r="J915" s="184"/>
    </row>
    <row r="916">
      <c r="I916" s="184"/>
      <c r="J916" s="184"/>
    </row>
    <row r="917">
      <c r="I917" s="184"/>
      <c r="J917" s="184"/>
    </row>
    <row r="918">
      <c r="I918" s="184"/>
      <c r="J918" s="184"/>
    </row>
    <row r="919">
      <c r="I919" s="184"/>
      <c r="J919" s="184"/>
    </row>
    <row r="920">
      <c r="I920" s="184"/>
      <c r="J920" s="184"/>
    </row>
    <row r="921">
      <c r="I921" s="184"/>
      <c r="J921" s="184"/>
    </row>
    <row r="922">
      <c r="I922" s="184"/>
      <c r="J922" s="184"/>
    </row>
    <row r="923">
      <c r="I923" s="184"/>
      <c r="J923" s="184"/>
    </row>
    <row r="924">
      <c r="I924" s="184"/>
      <c r="J924" s="184"/>
    </row>
    <row r="925">
      <c r="I925" s="184"/>
      <c r="J925" s="184"/>
    </row>
    <row r="926">
      <c r="I926" s="184"/>
      <c r="J926" s="184"/>
    </row>
    <row r="927">
      <c r="I927" s="184"/>
      <c r="J927" s="184"/>
    </row>
    <row r="928">
      <c r="I928" s="184"/>
      <c r="J928" s="184"/>
    </row>
    <row r="929">
      <c r="I929" s="184"/>
      <c r="J929" s="184"/>
    </row>
    <row r="930">
      <c r="I930" s="184"/>
      <c r="J930" s="184"/>
    </row>
    <row r="931">
      <c r="I931" s="184"/>
      <c r="J931" s="184"/>
    </row>
    <row r="932">
      <c r="I932" s="184"/>
      <c r="J932" s="184"/>
    </row>
    <row r="933">
      <c r="I933" s="184"/>
      <c r="J933" s="184"/>
    </row>
    <row r="934">
      <c r="I934" s="184"/>
      <c r="J934" s="184"/>
    </row>
    <row r="935">
      <c r="I935" s="184"/>
      <c r="J935" s="184"/>
    </row>
    <row r="936">
      <c r="I936" s="184"/>
      <c r="J936" s="184"/>
    </row>
    <row r="937">
      <c r="I937" s="184"/>
      <c r="J937" s="184"/>
    </row>
    <row r="938">
      <c r="I938" s="184"/>
      <c r="J938" s="184"/>
    </row>
    <row r="939">
      <c r="I939" s="184"/>
      <c r="J939" s="184"/>
    </row>
    <row r="940">
      <c r="I940" s="184"/>
      <c r="J940" s="184"/>
    </row>
    <row r="941">
      <c r="I941" s="184"/>
      <c r="J941" s="184"/>
    </row>
    <row r="942">
      <c r="I942" s="184"/>
      <c r="J942" s="184"/>
    </row>
    <row r="943">
      <c r="I943" s="184"/>
      <c r="J943" s="184"/>
    </row>
    <row r="944">
      <c r="I944" s="184"/>
      <c r="J944" s="184"/>
    </row>
    <row r="945">
      <c r="I945" s="184"/>
      <c r="J945" s="184"/>
    </row>
    <row r="946">
      <c r="I946" s="184"/>
      <c r="J946" s="184"/>
    </row>
    <row r="947">
      <c r="I947" s="184"/>
      <c r="J947" s="184"/>
    </row>
    <row r="948">
      <c r="I948" s="184"/>
      <c r="J948" s="184"/>
    </row>
    <row r="949">
      <c r="I949" s="184"/>
      <c r="J949" s="184"/>
    </row>
    <row r="950">
      <c r="I950" s="184"/>
      <c r="J950" s="184"/>
    </row>
    <row r="951">
      <c r="I951" s="184"/>
      <c r="J951" s="184"/>
    </row>
    <row r="952">
      <c r="I952" s="184"/>
      <c r="J952" s="184"/>
    </row>
    <row r="953">
      <c r="I953" s="184"/>
      <c r="J953" s="184"/>
    </row>
    <row r="954">
      <c r="I954" s="184"/>
      <c r="J954" s="184"/>
    </row>
    <row r="955">
      <c r="I955" s="184"/>
      <c r="J955" s="184"/>
    </row>
    <row r="956">
      <c r="I956" s="184"/>
      <c r="J956" s="184"/>
    </row>
    <row r="957">
      <c r="I957" s="184"/>
      <c r="J957" s="184"/>
    </row>
    <row r="958">
      <c r="I958" s="184"/>
      <c r="J958" s="184"/>
    </row>
    <row r="959">
      <c r="I959" s="184"/>
      <c r="J959" s="184"/>
    </row>
    <row r="960">
      <c r="I960" s="184"/>
      <c r="J960" s="184"/>
    </row>
    <row r="961">
      <c r="I961" s="184"/>
      <c r="J961" s="184"/>
    </row>
    <row r="962">
      <c r="I962" s="184"/>
      <c r="J962" s="184"/>
    </row>
    <row r="963">
      <c r="I963" s="184"/>
      <c r="J963" s="184"/>
    </row>
    <row r="964">
      <c r="I964" s="184"/>
      <c r="J964" s="184"/>
    </row>
    <row r="965">
      <c r="I965" s="184"/>
      <c r="J965" s="184"/>
    </row>
    <row r="966">
      <c r="I966" s="184"/>
      <c r="J966" s="184"/>
    </row>
    <row r="967">
      <c r="I967" s="184"/>
      <c r="J967" s="184"/>
    </row>
    <row r="968">
      <c r="I968" s="184"/>
      <c r="J968" s="184"/>
    </row>
    <row r="969">
      <c r="I969" s="184"/>
      <c r="J969" s="184"/>
    </row>
    <row r="970">
      <c r="I970" s="184"/>
      <c r="J970" s="184"/>
    </row>
    <row r="971">
      <c r="I971" s="184"/>
      <c r="J971" s="184"/>
    </row>
    <row r="972">
      <c r="I972" s="184"/>
      <c r="J972" s="184"/>
    </row>
    <row r="973">
      <c r="I973" s="184"/>
      <c r="J973" s="184"/>
    </row>
    <row r="974">
      <c r="I974" s="184"/>
      <c r="J974" s="184"/>
    </row>
    <row r="975">
      <c r="I975" s="184"/>
      <c r="J975" s="184"/>
    </row>
    <row r="976">
      <c r="I976" s="184"/>
      <c r="J976" s="184"/>
    </row>
    <row r="977">
      <c r="I977" s="184"/>
      <c r="J977" s="184"/>
    </row>
    <row r="978">
      <c r="I978" s="184"/>
      <c r="J978" s="184"/>
    </row>
    <row r="979">
      <c r="I979" s="184"/>
      <c r="J979" s="184"/>
    </row>
    <row r="980">
      <c r="I980" s="184"/>
      <c r="J980" s="184"/>
    </row>
    <row r="981">
      <c r="I981" s="184"/>
      <c r="J981" s="184"/>
    </row>
    <row r="982">
      <c r="I982" s="184"/>
      <c r="J982" s="184"/>
    </row>
    <row r="983">
      <c r="I983" s="184"/>
      <c r="J983" s="184"/>
    </row>
    <row r="984">
      <c r="I984" s="184"/>
      <c r="J984" s="184"/>
    </row>
    <row r="985">
      <c r="I985" s="184"/>
      <c r="J985" s="184"/>
    </row>
    <row r="986">
      <c r="I986" s="184"/>
      <c r="J986" s="184"/>
    </row>
    <row r="987">
      <c r="I987" s="184"/>
      <c r="J987" s="184"/>
    </row>
    <row r="988">
      <c r="I988" s="184"/>
      <c r="J988" s="184"/>
    </row>
    <row r="989">
      <c r="I989" s="184"/>
      <c r="J989" s="184"/>
    </row>
    <row r="990">
      <c r="I990" s="184"/>
      <c r="J990" s="184"/>
    </row>
    <row r="991">
      <c r="I991" s="184"/>
      <c r="J991" s="184"/>
    </row>
    <row r="992">
      <c r="I992" s="184"/>
      <c r="J992" s="184"/>
    </row>
    <row r="993">
      <c r="I993" s="184"/>
      <c r="J993" s="184"/>
    </row>
    <row r="994">
      <c r="I994" s="184"/>
      <c r="J994" s="184"/>
    </row>
    <row r="995">
      <c r="I995" s="184"/>
      <c r="J995" s="184"/>
    </row>
    <row r="996">
      <c r="I996" s="184"/>
      <c r="J996" s="184"/>
    </row>
    <row r="997">
      <c r="I997" s="184"/>
      <c r="J997" s="184"/>
    </row>
    <row r="998">
      <c r="I998" s="184"/>
      <c r="J998" s="184"/>
    </row>
    <row r="999">
      <c r="I999" s="184"/>
      <c r="J999" s="184"/>
    </row>
    <row r="1000">
      <c r="I1000" s="184"/>
      <c r="J1000" s="184"/>
    </row>
    <row r="1001">
      <c r="I1001" s="184"/>
      <c r="J1001" s="184"/>
    </row>
    <row r="1002">
      <c r="I1002" s="184"/>
      <c r="J1002" s="184"/>
    </row>
    <row r="1003">
      <c r="I1003" s="184"/>
      <c r="J1003" s="184"/>
    </row>
    <row r="1004">
      <c r="I1004" s="184"/>
      <c r="J1004" s="184"/>
    </row>
    <row r="1005">
      <c r="I1005" s="184"/>
      <c r="J1005" s="184"/>
    </row>
    <row r="1006">
      <c r="I1006" s="184"/>
      <c r="J1006" s="184"/>
    </row>
  </sheetData>
  <hyperlinks>
    <hyperlink r:id="rId1" ref="Q30"/>
    <hyperlink r:id="rId2" ref="F38"/>
    <hyperlink r:id="rId3" ref="F39"/>
    <hyperlink r:id="rId4" ref="F40"/>
    <hyperlink r:id="rId5" ref="A206"/>
    <hyperlink r:id="rId6" ref="A207"/>
    <hyperlink r:id="rId7" ref="A208"/>
    <hyperlink r:id="rId8" ref="A209"/>
    <hyperlink r:id="rId9" ref="A210"/>
    <hyperlink r:id="rId10" ref="A211"/>
    <hyperlink r:id="rId11" ref="A212"/>
    <hyperlink r:id="rId12" ref="A213"/>
    <hyperlink r:id="rId13" ref="A214"/>
    <hyperlink r:id="rId14" ref="A215"/>
    <hyperlink r:id="rId15" ref="A216"/>
    <hyperlink r:id="rId16" ref="A217"/>
  </hyperlinks>
  <drawing r:id="rId1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2" width="24.29"/>
    <col customWidth="1" min="3" max="3" width="79.57"/>
    <col customWidth="1" min="4" max="4" width="29.71"/>
    <col customWidth="1" min="5" max="6" width="39.0"/>
    <col customWidth="1" min="7" max="9" width="37.71"/>
    <col customWidth="1" min="10" max="13" width="29.29"/>
    <col customWidth="1" min="14" max="15" width="55.57"/>
    <col customWidth="1" min="16" max="25" width="29.29"/>
    <col customWidth="1" min="26" max="26" width="47.14"/>
    <col customWidth="1" min="27" max="29" width="28.86"/>
    <col customWidth="1" min="30" max="31" width="29.14"/>
    <col customWidth="1" min="32" max="38" width="29.57"/>
    <col customWidth="1" min="39" max="39" width="47.14"/>
    <col customWidth="1" min="40" max="41" width="104.0"/>
    <col customWidth="1" min="45" max="45" width="17.71"/>
    <col customWidth="1" min="46" max="46" width="17.57"/>
    <col customWidth="1" min="47" max="48" width="16.57"/>
    <col customWidth="1" min="49" max="49" width="17.14"/>
    <col customWidth="1" min="50" max="50" width="17.86"/>
    <col customWidth="1" min="51" max="57" width="15.86"/>
    <col customWidth="1" min="58" max="65" width="24.71"/>
  </cols>
  <sheetData>
    <row r="1" ht="33.0" customHeight="1">
      <c r="A1" s="1" t="s">
        <v>0</v>
      </c>
      <c r="B1" s="3" t="s">
        <v>1</v>
      </c>
      <c r="C1" s="3" t="s">
        <v>2</v>
      </c>
      <c r="D1" s="3" t="s">
        <v>3</v>
      </c>
      <c r="E1" s="3" t="s">
        <v>4</v>
      </c>
      <c r="F1" s="3" t="s">
        <v>1649</v>
      </c>
      <c r="G1" s="3" t="s">
        <v>1650</v>
      </c>
      <c r="H1" s="3" t="s">
        <v>1651</v>
      </c>
      <c r="I1" s="3" t="s">
        <v>1652</v>
      </c>
      <c r="J1" s="3" t="s">
        <v>6</v>
      </c>
      <c r="K1" s="3" t="s">
        <v>7</v>
      </c>
      <c r="L1" s="3" t="s">
        <v>1158</v>
      </c>
      <c r="M1" s="3" t="s">
        <v>1159</v>
      </c>
      <c r="N1" s="3" t="s">
        <v>8</v>
      </c>
      <c r="O1" s="3" t="s">
        <v>1653</v>
      </c>
      <c r="P1" s="3" t="s">
        <v>9</v>
      </c>
      <c r="Q1" s="3" t="s">
        <v>1654</v>
      </c>
      <c r="R1" s="3" t="s">
        <v>1655</v>
      </c>
      <c r="S1" s="3" t="s">
        <v>12</v>
      </c>
      <c r="T1" s="3" t="s">
        <v>1656</v>
      </c>
      <c r="U1" s="3" t="s">
        <v>1657</v>
      </c>
      <c r="V1" s="3" t="s">
        <v>1658</v>
      </c>
      <c r="W1" s="190" t="s">
        <v>1875</v>
      </c>
      <c r="X1" s="3" t="s">
        <v>1876</v>
      </c>
      <c r="Y1" s="3" t="s">
        <v>1877</v>
      </c>
      <c r="Z1" s="3" t="s">
        <v>13</v>
      </c>
      <c r="AA1" s="3" t="s">
        <v>1162</v>
      </c>
      <c r="AB1" s="5" t="s">
        <v>1662</v>
      </c>
      <c r="AC1" s="5" t="s">
        <v>16</v>
      </c>
      <c r="AD1" s="5" t="s">
        <v>1663</v>
      </c>
      <c r="AE1" s="5" t="s">
        <v>18</v>
      </c>
      <c r="AF1" s="5" t="s">
        <v>1664</v>
      </c>
      <c r="AG1" s="5" t="s">
        <v>20</v>
      </c>
      <c r="AH1" s="5" t="s">
        <v>1665</v>
      </c>
      <c r="AI1" s="5" t="s">
        <v>1666</v>
      </c>
      <c r="AJ1" s="5" t="s">
        <v>1878</v>
      </c>
      <c r="AK1" s="5" t="s">
        <v>1668</v>
      </c>
      <c r="AL1" s="5" t="s">
        <v>1669</v>
      </c>
      <c r="AM1" s="5" t="s">
        <v>21</v>
      </c>
      <c r="AN1" s="5" t="s">
        <v>22</v>
      </c>
      <c r="AO1" s="5" t="s">
        <v>23</v>
      </c>
      <c r="AP1" s="5" t="s">
        <v>0</v>
      </c>
      <c r="AQ1" s="5" t="s">
        <v>0</v>
      </c>
      <c r="AR1" s="5" t="s">
        <v>0</v>
      </c>
      <c r="AS1" s="141" t="s">
        <v>1879</v>
      </c>
      <c r="AT1" s="141" t="s">
        <v>1880</v>
      </c>
      <c r="AU1" s="141" t="s">
        <v>1173</v>
      </c>
      <c r="AV1" s="141" t="s">
        <v>1670</v>
      </c>
      <c r="AW1" s="141" t="s">
        <v>1174</v>
      </c>
      <c r="AX1" s="141" t="s">
        <v>1671</v>
      </c>
      <c r="AY1" s="141" t="s">
        <v>2221</v>
      </c>
      <c r="AZ1" s="191"/>
      <c r="BA1" s="191"/>
      <c r="BB1" s="191"/>
      <c r="BC1" s="191"/>
      <c r="BD1" s="191"/>
      <c r="BE1" s="191"/>
      <c r="BF1" s="7" t="s">
        <v>1166</v>
      </c>
      <c r="BG1" s="192" t="s">
        <v>1882</v>
      </c>
      <c r="BH1" s="192" t="s">
        <v>1883</v>
      </c>
      <c r="BI1" s="192" t="s">
        <v>1167</v>
      </c>
      <c r="BJ1" s="192" t="s">
        <v>1677</v>
      </c>
      <c r="BK1" s="192" t="s">
        <v>1168</v>
      </c>
      <c r="BL1" s="192" t="s">
        <v>1678</v>
      </c>
      <c r="BM1" s="192" t="s">
        <v>2222</v>
      </c>
    </row>
    <row r="2" ht="15.0" customHeight="1">
      <c r="A2" s="8" t="s">
        <v>30</v>
      </c>
      <c r="B2" s="195" t="s">
        <v>31</v>
      </c>
      <c r="C2" s="10" t="s">
        <v>32</v>
      </c>
      <c r="D2" s="10" t="s">
        <v>33</v>
      </c>
      <c r="E2" s="198">
        <f>J2/O2</f>
        <v>14.83375588</v>
      </c>
      <c r="F2" s="198">
        <f>AF2/O2</f>
        <v>47.43715627</v>
      </c>
      <c r="G2" s="198">
        <f>46609.53/1000</f>
        <v>46.60953</v>
      </c>
      <c r="H2" s="198">
        <f>213395.31/1000</f>
        <v>213.39531</v>
      </c>
      <c r="I2" s="198">
        <f t="shared" ref="I2:I13" si="2">G2+H2</f>
        <v>260.00484</v>
      </c>
      <c r="J2" s="198">
        <f>AB2+AD2</f>
        <v>110.271486</v>
      </c>
      <c r="K2" s="198"/>
      <c r="L2" s="198"/>
      <c r="M2" s="198"/>
      <c r="N2" s="198" t="s">
        <v>2223</v>
      </c>
      <c r="O2" s="198" t="s">
        <v>2224</v>
      </c>
      <c r="P2" s="198">
        <f t="shared" ref="P2:P13" si="3">O2/N2*100</f>
        <v>33.6550219</v>
      </c>
      <c r="Q2" s="198"/>
      <c r="R2" s="198"/>
      <c r="S2" s="198" t="s">
        <v>2225</v>
      </c>
      <c r="T2" s="194">
        <f t="shared" ref="T2:T13" si="4">((100*U2)-((100-V2)*U2))/(100-V2)</f>
        <v>25348.66667</v>
      </c>
      <c r="U2" s="198" t="s">
        <v>2226</v>
      </c>
      <c r="V2" s="198">
        <f>100*0.94</f>
        <v>94</v>
      </c>
      <c r="W2" s="198"/>
      <c r="X2" s="198" t="s">
        <v>2227</v>
      </c>
      <c r="Y2" s="198" t="s">
        <v>2228</v>
      </c>
      <c r="Z2" s="198"/>
      <c r="AA2" s="198"/>
      <c r="AB2" s="198" t="s">
        <v>1889</v>
      </c>
      <c r="AC2" s="194">
        <f>AB2*100/(AB2+AD2+AF2)</f>
        <v>23.82132404</v>
      </c>
      <c r="AD2" s="198" t="s">
        <v>2229</v>
      </c>
      <c r="AE2" s="194">
        <f>AD2*100/(AB2+AD2+AF2)</f>
        <v>0.0000001814604398</v>
      </c>
      <c r="AF2" s="198" t="s">
        <v>2230</v>
      </c>
      <c r="AG2" s="194">
        <f>AF2*100/(AB2+AD2+AF2)</f>
        <v>76.17867578</v>
      </c>
      <c r="AH2" s="198" t="s">
        <v>2231</v>
      </c>
      <c r="AI2" s="194">
        <f>AH2/O2</f>
        <v>6.392376985</v>
      </c>
      <c r="AJ2" s="198" t="s">
        <v>1706</v>
      </c>
      <c r="AK2" s="198" t="s">
        <v>2232</v>
      </c>
      <c r="AL2" s="198" t="s">
        <v>2233</v>
      </c>
      <c r="AM2" s="198"/>
      <c r="AN2" s="198"/>
      <c r="AO2" s="198"/>
      <c r="AP2" s="198"/>
      <c r="AQ2" s="207"/>
      <c r="AR2" s="208"/>
      <c r="AS2" s="192" t="s">
        <v>2234</v>
      </c>
      <c r="AT2" s="192" t="s">
        <v>2235</v>
      </c>
      <c r="AU2" s="192" t="s">
        <v>2236</v>
      </c>
      <c r="AV2" s="192" t="s">
        <v>2237</v>
      </c>
      <c r="AW2" s="192" t="s">
        <v>2238</v>
      </c>
      <c r="AX2" s="192" t="s">
        <v>2239</v>
      </c>
      <c r="AY2" s="192" t="str">
        <f t="shared" ref="AY2:AY13" si="5">O2</f>
        <v>7.433821</v>
      </c>
      <c r="AZ2" s="111"/>
      <c r="BA2" s="111"/>
      <c r="BB2" s="111"/>
      <c r="BC2" s="111"/>
      <c r="BD2" s="111"/>
      <c r="BE2" s="111"/>
      <c r="BF2" s="8" t="s">
        <v>30</v>
      </c>
      <c r="BG2" s="192">
        <f t="shared" ref="BG2:BG13" si="6">$AS2/AS2</f>
        <v>1</v>
      </c>
      <c r="BH2" s="192">
        <f t="shared" ref="BH2:BH13" si="7">($AS2/AT2)-SUM($BG2)</f>
        <v>0.08994767473</v>
      </c>
      <c r="BI2" s="192">
        <f t="shared" ref="BI2:BM2" si="1">($AS2/AU2)-SUM($BG2:BH2)</f>
        <v>0.04614184504</v>
      </c>
      <c r="BJ2" s="192">
        <f t="shared" si="1"/>
        <v>0.04844955573</v>
      </c>
      <c r="BK2" s="192">
        <f t="shared" si="1"/>
        <v>0.05262793083</v>
      </c>
      <c r="BL2" s="192">
        <f t="shared" si="1"/>
        <v>0.03801432055</v>
      </c>
      <c r="BM2" s="192">
        <f t="shared" si="1"/>
        <v>-0.07594287335</v>
      </c>
    </row>
    <row r="3">
      <c r="A3" s="8" t="s">
        <v>58</v>
      </c>
      <c r="B3" s="195" t="s">
        <v>31</v>
      </c>
      <c r="C3" s="10" t="s">
        <v>59</v>
      </c>
      <c r="D3" s="10" t="s">
        <v>60</v>
      </c>
      <c r="E3" s="198">
        <f>6918.339947469/O3</f>
        <v>136.9228055</v>
      </c>
      <c r="F3" s="198" t="s">
        <v>1894</v>
      </c>
      <c r="G3" s="198">
        <f>8453.21/1000</f>
        <v>8.45321</v>
      </c>
      <c r="H3" s="198">
        <f>85166.83/1000</f>
        <v>85.16683</v>
      </c>
      <c r="I3" s="198">
        <f t="shared" si="2"/>
        <v>93.62004</v>
      </c>
      <c r="J3" s="198"/>
      <c r="K3" s="198"/>
      <c r="L3" s="198"/>
      <c r="M3" s="198"/>
      <c r="N3" s="198" t="s">
        <v>2240</v>
      </c>
      <c r="O3" s="198" t="s">
        <v>2241</v>
      </c>
      <c r="P3" s="198">
        <f t="shared" si="3"/>
        <v>16.96004003</v>
      </c>
      <c r="Q3" s="198"/>
      <c r="R3" s="198"/>
      <c r="S3" s="198" t="s">
        <v>2242</v>
      </c>
      <c r="T3" s="194">
        <f t="shared" si="4"/>
        <v>90229</v>
      </c>
      <c r="U3" s="198" t="s">
        <v>2243</v>
      </c>
      <c r="V3" s="198">
        <f>100*0.92</f>
        <v>92</v>
      </c>
      <c r="W3" s="198"/>
      <c r="X3" s="198" t="s">
        <v>2244</v>
      </c>
      <c r="Y3" s="198" t="s">
        <v>2245</v>
      </c>
      <c r="Z3" s="198"/>
      <c r="AA3" s="198"/>
      <c r="AB3" s="198"/>
      <c r="AC3" s="194"/>
      <c r="AD3" s="198"/>
      <c r="AE3" s="194"/>
      <c r="AF3" s="198"/>
      <c r="AG3" s="194"/>
      <c r="AH3" s="198"/>
      <c r="AI3" s="194"/>
      <c r="AJ3" s="198" t="s">
        <v>1706</v>
      </c>
      <c r="AK3" s="198" t="s">
        <v>2246</v>
      </c>
      <c r="AL3" s="198" t="s">
        <v>2233</v>
      </c>
      <c r="AM3" s="194"/>
      <c r="AN3" s="198"/>
      <c r="AO3" s="198"/>
      <c r="AP3" s="198"/>
      <c r="AQ3" s="207"/>
      <c r="AR3" s="208"/>
      <c r="AS3" s="192" t="s">
        <v>2247</v>
      </c>
      <c r="AT3" s="192" t="s">
        <v>2248</v>
      </c>
      <c r="AU3" s="192" t="s">
        <v>2249</v>
      </c>
      <c r="AV3" s="192" t="s">
        <v>2250</v>
      </c>
      <c r="AW3" s="192" t="s">
        <v>2251</v>
      </c>
      <c r="AX3" s="192" t="s">
        <v>2252</v>
      </c>
      <c r="AY3" s="192" t="str">
        <f t="shared" si="5"/>
        <v>50.5273020267</v>
      </c>
      <c r="AZ3" s="111"/>
      <c r="BA3" s="111"/>
      <c r="BB3" s="111"/>
      <c r="BC3" s="111"/>
      <c r="BD3" s="111"/>
      <c r="BE3" s="111"/>
      <c r="BF3" s="8" t="s">
        <v>1701</v>
      </c>
      <c r="BG3" s="192">
        <f t="shared" si="6"/>
        <v>1</v>
      </c>
      <c r="BH3" s="192">
        <f t="shared" si="7"/>
        <v>0.05251507921</v>
      </c>
      <c r="BI3" s="192">
        <f t="shared" ref="BI3:BM3" si="8">($AS3/AU3)-SUM($BG3:BH3)</f>
        <v>0.04943548034</v>
      </c>
      <c r="BJ3" s="192">
        <f t="shared" si="8"/>
        <v>0.1025742367</v>
      </c>
      <c r="BK3" s="192">
        <f t="shared" si="8"/>
        <v>0.004759876783</v>
      </c>
      <c r="BL3" s="192">
        <f t="shared" si="8"/>
        <v>0.01930076233</v>
      </c>
      <c r="BM3" s="192">
        <f t="shared" si="8"/>
        <v>0.03069045208</v>
      </c>
    </row>
    <row r="4">
      <c r="A4" s="8" t="s">
        <v>69</v>
      </c>
      <c r="B4" s="195" t="s">
        <v>31</v>
      </c>
      <c r="C4" s="10" t="s">
        <v>70</v>
      </c>
      <c r="D4" s="10" t="s">
        <v>33</v>
      </c>
      <c r="E4" s="198">
        <f t="shared" ref="E4:E13" si="10">J4/O4</f>
        <v>55.32373325</v>
      </c>
      <c r="F4" s="198">
        <f t="shared" ref="F4:F13" si="11">AF4/O4</f>
        <v>1.089063171</v>
      </c>
      <c r="G4" s="198">
        <f>183.14/1000</f>
        <v>0.18314</v>
      </c>
      <c r="H4" s="198">
        <f>29739.86/1000</f>
        <v>29.73986</v>
      </c>
      <c r="I4" s="198">
        <f t="shared" si="2"/>
        <v>29.923</v>
      </c>
      <c r="J4" s="198">
        <f t="shared" ref="J4:J13" si="12">AB4+AD4</f>
        <v>176.7225375</v>
      </c>
      <c r="K4" s="198"/>
      <c r="L4" s="198"/>
      <c r="M4" s="198"/>
      <c r="N4" s="198" t="s">
        <v>2253</v>
      </c>
      <c r="O4" s="198" t="s">
        <v>2254</v>
      </c>
      <c r="P4" s="198">
        <f t="shared" si="3"/>
        <v>86.3677938</v>
      </c>
      <c r="Q4" s="198"/>
      <c r="R4" s="198"/>
      <c r="S4" s="198" t="s">
        <v>2255</v>
      </c>
      <c r="T4" s="194">
        <f t="shared" si="4"/>
        <v>1333</v>
      </c>
      <c r="U4" s="198" t="s">
        <v>2256</v>
      </c>
      <c r="V4" s="198">
        <f>100*0.86</f>
        <v>86</v>
      </c>
      <c r="W4" s="198"/>
      <c r="X4" s="198" t="s">
        <v>2257</v>
      </c>
      <c r="Y4" s="198" t="s">
        <v>2258</v>
      </c>
      <c r="Z4" s="198"/>
      <c r="AA4" s="198"/>
      <c r="AB4" s="198" t="s">
        <v>2259</v>
      </c>
      <c r="AC4" s="194">
        <f t="shared" ref="AC4:AC13" si="13">AB4*100/(AB4+AD4+AF4)</f>
        <v>89.81201102</v>
      </c>
      <c r="AD4" s="198" t="s">
        <v>2260</v>
      </c>
      <c r="AE4" s="194">
        <f t="shared" ref="AE4:AE13" si="14">AD4*100/(AB4+AD4+AF4)</f>
        <v>8.257463925</v>
      </c>
      <c r="AF4" s="198" t="s">
        <v>2261</v>
      </c>
      <c r="AG4" s="194">
        <f t="shared" ref="AG4:AG13" si="15">AF4*100/(AB4+AD4+AF4)</f>
        <v>1.930525058</v>
      </c>
      <c r="AH4" s="198" t="s">
        <v>2262</v>
      </c>
      <c r="AI4" s="194">
        <f t="shared" ref="AI4:AI13" si="16">AH4/O4</f>
        <v>11.54635245</v>
      </c>
      <c r="AJ4" s="198" t="s">
        <v>1706</v>
      </c>
      <c r="AK4" s="198" t="s">
        <v>2263</v>
      </c>
      <c r="AL4" s="198" t="s">
        <v>2233</v>
      </c>
      <c r="AM4" s="198"/>
      <c r="AN4" s="198"/>
      <c r="AO4" s="198"/>
      <c r="AP4" s="198"/>
      <c r="AQ4" s="207"/>
      <c r="AR4" s="208"/>
      <c r="AS4" s="192" t="s">
        <v>2264</v>
      </c>
      <c r="AT4" s="192" t="s">
        <v>2265</v>
      </c>
      <c r="AU4" s="192" t="s">
        <v>2266</v>
      </c>
      <c r="AV4" s="192" t="s">
        <v>2267</v>
      </c>
      <c r="AW4" s="192" t="s">
        <v>2268</v>
      </c>
      <c r="AX4" s="192" t="s">
        <v>2269</v>
      </c>
      <c r="AY4" s="192" t="str">
        <f t="shared" si="5"/>
        <v>3.194335</v>
      </c>
      <c r="AZ4" s="111"/>
      <c r="BA4" s="111"/>
      <c r="BB4" s="111"/>
      <c r="BC4" s="111"/>
      <c r="BD4" s="111"/>
      <c r="BE4" s="111"/>
      <c r="BF4" s="8" t="s">
        <v>69</v>
      </c>
      <c r="BG4" s="192">
        <f t="shared" si="6"/>
        <v>1</v>
      </c>
      <c r="BH4" s="192">
        <f t="shared" si="7"/>
        <v>0.1013310632</v>
      </c>
      <c r="BI4" s="192">
        <f t="shared" ref="BI4:BM4" si="9">($AS4/AU4)-SUM($BG4:BH4)</f>
        <v>0.09313748486</v>
      </c>
      <c r="BJ4" s="192">
        <f t="shared" si="9"/>
        <v>0.09165058055</v>
      </c>
      <c r="BK4" s="192">
        <f t="shared" si="9"/>
        <v>0.08491194729</v>
      </c>
      <c r="BL4" s="192">
        <f t="shared" si="9"/>
        <v>0.09041114305</v>
      </c>
      <c r="BM4" s="192">
        <f t="shared" si="9"/>
        <v>0.05974951577</v>
      </c>
    </row>
    <row r="5">
      <c r="A5" s="8" t="s">
        <v>92</v>
      </c>
      <c r="B5" s="195" t="s">
        <v>93</v>
      </c>
      <c r="C5" s="9" t="s">
        <v>94</v>
      </c>
      <c r="D5" s="9" t="s">
        <v>95</v>
      </c>
      <c r="E5" s="198">
        <f t="shared" si="10"/>
        <v>6.743016389</v>
      </c>
      <c r="F5" s="198">
        <f t="shared" si="11"/>
        <v>82.99699102</v>
      </c>
      <c r="G5" s="198">
        <f>1.95/1000</f>
        <v>0.00195</v>
      </c>
      <c r="H5" s="198">
        <f>1510.7/1000</f>
        <v>1.5107</v>
      </c>
      <c r="I5" s="198">
        <f t="shared" si="2"/>
        <v>1.51265</v>
      </c>
      <c r="J5" s="198">
        <f t="shared" si="12"/>
        <v>85.80522382</v>
      </c>
      <c r="K5" s="198"/>
      <c r="L5" s="198"/>
      <c r="M5" s="198"/>
      <c r="N5" s="198" t="s">
        <v>2270</v>
      </c>
      <c r="O5" s="198" t="s">
        <v>2271</v>
      </c>
      <c r="P5" s="198">
        <f t="shared" si="3"/>
        <v>91.72822948</v>
      </c>
      <c r="Q5" s="198"/>
      <c r="R5" s="198"/>
      <c r="S5" s="198" t="s">
        <v>2272</v>
      </c>
      <c r="T5" s="194">
        <f t="shared" si="4"/>
        <v>26313</v>
      </c>
      <c r="U5" s="198" t="s">
        <v>2273</v>
      </c>
      <c r="V5" s="198">
        <f t="shared" ref="V5:V6" si="18">100*0.98</f>
        <v>98</v>
      </c>
      <c r="W5" s="198"/>
      <c r="X5" s="198" t="s">
        <v>2139</v>
      </c>
      <c r="Y5" s="198" t="s">
        <v>2274</v>
      </c>
      <c r="Z5" s="198"/>
      <c r="AA5" s="198"/>
      <c r="AB5" s="198" t="s">
        <v>2275</v>
      </c>
      <c r="AC5" s="194">
        <f t="shared" si="13"/>
        <v>7.476973818</v>
      </c>
      <c r="AD5" s="198" t="s">
        <v>1914</v>
      </c>
      <c r="AE5" s="194">
        <f t="shared" si="14"/>
        <v>0.03697295342</v>
      </c>
      <c r="AF5" s="198" t="s">
        <v>2276</v>
      </c>
      <c r="AG5" s="194">
        <f t="shared" si="15"/>
        <v>92.48605323</v>
      </c>
      <c r="AH5" s="198" t="s">
        <v>2277</v>
      </c>
      <c r="AI5" s="194">
        <f t="shared" si="16"/>
        <v>8.345375421</v>
      </c>
      <c r="AJ5" s="198" t="s">
        <v>1706</v>
      </c>
      <c r="AK5" s="198" t="s">
        <v>2278</v>
      </c>
      <c r="AL5" s="198" t="s">
        <v>54</v>
      </c>
      <c r="AM5" s="198"/>
      <c r="AN5" s="198"/>
      <c r="AO5" s="198"/>
      <c r="AP5" s="198"/>
      <c r="AQ5" s="207"/>
      <c r="AR5" s="208"/>
      <c r="AS5" s="192" t="s">
        <v>2279</v>
      </c>
      <c r="AT5" s="192" t="s">
        <v>2280</v>
      </c>
      <c r="AU5" s="192" t="s">
        <v>2281</v>
      </c>
      <c r="AV5" s="192" t="s">
        <v>2282</v>
      </c>
      <c r="AW5" s="192" t="s">
        <v>2283</v>
      </c>
      <c r="AX5" s="192" t="s">
        <v>2284</v>
      </c>
      <c r="AY5" s="192" t="str">
        <f t="shared" si="5"/>
        <v>12.725050462</v>
      </c>
      <c r="AZ5" s="111"/>
      <c r="BA5" s="111"/>
      <c r="BB5" s="111"/>
      <c r="BC5" s="111"/>
      <c r="BD5" s="111"/>
      <c r="BE5" s="111"/>
      <c r="BF5" s="8" t="s">
        <v>92</v>
      </c>
      <c r="BG5" s="192">
        <f t="shared" si="6"/>
        <v>1</v>
      </c>
      <c r="BH5" s="192">
        <f t="shared" si="7"/>
        <v>0.1072240048</v>
      </c>
      <c r="BI5" s="192">
        <f t="shared" ref="BI5:BM5" si="17">($AS5/AU5)-SUM($BG5:BH5)</f>
        <v>0.0948126229</v>
      </c>
      <c r="BJ5" s="192">
        <f t="shared" si="17"/>
        <v>0.1064417722</v>
      </c>
      <c r="BK5" s="192">
        <f t="shared" si="17"/>
        <v>0.1013366924</v>
      </c>
      <c r="BL5" s="192">
        <f t="shared" si="17"/>
        <v>0.09118687615</v>
      </c>
      <c r="BM5" s="192">
        <f t="shared" si="17"/>
        <v>0.103055912</v>
      </c>
    </row>
    <row r="6">
      <c r="A6" s="8" t="s">
        <v>117</v>
      </c>
      <c r="B6" s="195" t="s">
        <v>93</v>
      </c>
      <c r="C6" s="9" t="s">
        <v>118</v>
      </c>
      <c r="D6" s="9" t="s">
        <v>33</v>
      </c>
      <c r="E6" s="198">
        <f t="shared" si="10"/>
        <v>0.01865606418</v>
      </c>
      <c r="F6" s="198">
        <f t="shared" si="11"/>
        <v>2.343382061</v>
      </c>
      <c r="G6" s="198">
        <f>21.82/1000</f>
        <v>0.02182</v>
      </c>
      <c r="H6" s="198">
        <f>579.41/1000</f>
        <v>0.57941</v>
      </c>
      <c r="I6" s="198">
        <f t="shared" si="2"/>
        <v>0.60123</v>
      </c>
      <c r="J6" s="198">
        <f t="shared" si="12"/>
        <v>0.620047035</v>
      </c>
      <c r="K6" s="198"/>
      <c r="L6" s="198"/>
      <c r="M6" s="198"/>
      <c r="N6" s="198" t="s">
        <v>2285</v>
      </c>
      <c r="O6" s="198" t="s">
        <v>2286</v>
      </c>
      <c r="P6" s="198">
        <f t="shared" si="3"/>
        <v>98.74562588</v>
      </c>
      <c r="Q6" s="198"/>
      <c r="R6" s="198"/>
      <c r="S6" s="198" t="s">
        <v>2287</v>
      </c>
      <c r="T6" s="194">
        <f t="shared" si="4"/>
        <v>4361</v>
      </c>
      <c r="U6" s="198" t="s">
        <v>1919</v>
      </c>
      <c r="V6" s="198">
        <f t="shared" si="18"/>
        <v>98</v>
      </c>
      <c r="W6" s="198"/>
      <c r="X6" s="198" t="s">
        <v>1797</v>
      </c>
      <c r="Y6" s="198" t="s">
        <v>2288</v>
      </c>
      <c r="Z6" s="198"/>
      <c r="AA6" s="198"/>
      <c r="AB6" s="198" t="s">
        <v>2289</v>
      </c>
      <c r="AC6" s="194">
        <f t="shared" si="13"/>
        <v>0.7808850868</v>
      </c>
      <c r="AD6" s="198" t="s">
        <v>1922</v>
      </c>
      <c r="AE6" s="194">
        <f t="shared" si="14"/>
        <v>0.008944000865</v>
      </c>
      <c r="AF6" s="198" t="s">
        <v>2290</v>
      </c>
      <c r="AG6" s="194">
        <f t="shared" si="15"/>
        <v>99.21017091</v>
      </c>
      <c r="AH6" s="198" t="s">
        <v>2291</v>
      </c>
      <c r="AI6" s="194">
        <f t="shared" si="16"/>
        <v>19.20608621</v>
      </c>
      <c r="AJ6" s="198" t="s">
        <v>1706</v>
      </c>
      <c r="AK6" s="198" t="s">
        <v>2292</v>
      </c>
      <c r="AL6" s="198" t="s">
        <v>2233</v>
      </c>
      <c r="AM6" s="198"/>
      <c r="AN6" s="198"/>
      <c r="AO6" s="198"/>
      <c r="AP6" s="198"/>
      <c r="AQ6" s="207"/>
      <c r="AR6" s="208"/>
      <c r="AS6" s="192" t="s">
        <v>2293</v>
      </c>
      <c r="AT6" s="192" t="s">
        <v>2294</v>
      </c>
      <c r="AU6" s="192" t="s">
        <v>2295</v>
      </c>
      <c r="AV6" s="192" t="s">
        <v>2296</v>
      </c>
      <c r="AW6" s="192" t="s">
        <v>2297</v>
      </c>
      <c r="AX6" s="192" t="s">
        <v>2298</v>
      </c>
      <c r="AY6" s="192" t="str">
        <f t="shared" si="5"/>
        <v>33.235683</v>
      </c>
      <c r="AZ6" s="111"/>
      <c r="BA6" s="111"/>
      <c r="BB6" s="111"/>
      <c r="BC6" s="111"/>
      <c r="BD6" s="111"/>
      <c r="BE6" s="111"/>
      <c r="BF6" s="8" t="s">
        <v>117</v>
      </c>
      <c r="BG6" s="192">
        <f t="shared" si="6"/>
        <v>1</v>
      </c>
      <c r="BH6" s="192">
        <f t="shared" si="7"/>
        <v>0.1069020699</v>
      </c>
      <c r="BI6" s="192">
        <f t="shared" ref="BI6:BM6" si="19">($AS6/AU6)-SUM($BG6:BH6)</f>
        <v>0.1032772828</v>
      </c>
      <c r="BJ6" s="192">
        <f t="shared" si="19"/>
        <v>0.1045924146</v>
      </c>
      <c r="BK6" s="192">
        <f t="shared" si="19"/>
        <v>0.1023191734</v>
      </c>
      <c r="BL6" s="192">
        <f t="shared" si="19"/>
        <v>0.1019193784</v>
      </c>
      <c r="BM6" s="192">
        <f t="shared" si="19"/>
        <v>0.09905951265</v>
      </c>
    </row>
    <row r="7">
      <c r="A7" s="8" t="s">
        <v>139</v>
      </c>
      <c r="B7" s="195" t="s">
        <v>93</v>
      </c>
      <c r="C7" s="9" t="s">
        <v>140</v>
      </c>
      <c r="D7" s="9" t="s">
        <v>33</v>
      </c>
      <c r="E7" s="198">
        <f t="shared" si="10"/>
        <v>6.529306995</v>
      </c>
      <c r="F7" s="198">
        <f t="shared" si="11"/>
        <v>75.21566003</v>
      </c>
      <c r="G7" s="198">
        <f>6408.47/1000</f>
        <v>6.40847</v>
      </c>
      <c r="H7" s="198">
        <f>199592.89/1000</f>
        <v>199.59289</v>
      </c>
      <c r="I7" s="198">
        <f t="shared" si="2"/>
        <v>206.00136</v>
      </c>
      <c r="J7" s="198">
        <f t="shared" si="12"/>
        <v>291.5501287</v>
      </c>
      <c r="K7" s="198"/>
      <c r="L7" s="198"/>
      <c r="M7" s="198"/>
      <c r="N7" s="198" t="s">
        <v>2299</v>
      </c>
      <c r="O7" s="198" t="s">
        <v>2300</v>
      </c>
      <c r="P7" s="198">
        <f t="shared" si="3"/>
        <v>78.82370544</v>
      </c>
      <c r="Q7" s="198"/>
      <c r="R7" s="198"/>
      <c r="S7" s="198" t="s">
        <v>2301</v>
      </c>
      <c r="T7" s="194">
        <f t="shared" si="4"/>
        <v>63655.17241</v>
      </c>
      <c r="U7" s="198" t="s">
        <v>1929</v>
      </c>
      <c r="V7" s="198">
        <f>100*0.71</f>
        <v>71</v>
      </c>
      <c r="W7" s="198"/>
      <c r="X7" s="198" t="s">
        <v>1930</v>
      </c>
      <c r="Y7" s="198">
        <v>75.3</v>
      </c>
      <c r="Z7" s="198"/>
      <c r="AA7" s="198"/>
      <c r="AB7" s="198" t="s">
        <v>1932</v>
      </c>
      <c r="AC7" s="194">
        <f t="shared" si="13"/>
        <v>7.987037269</v>
      </c>
      <c r="AD7" s="198" t="s">
        <v>1933</v>
      </c>
      <c r="AE7" s="194">
        <f t="shared" si="14"/>
        <v>0.0003743516125</v>
      </c>
      <c r="AF7" s="198" t="s">
        <v>2302</v>
      </c>
      <c r="AG7" s="194">
        <f t="shared" si="15"/>
        <v>92.01258838</v>
      </c>
      <c r="AH7" s="198" t="s">
        <v>2303</v>
      </c>
      <c r="AI7" s="194">
        <f t="shared" si="16"/>
        <v>5.336542079</v>
      </c>
      <c r="AJ7" s="198" t="s">
        <v>1706</v>
      </c>
      <c r="AK7" s="198" t="s">
        <v>2304</v>
      </c>
      <c r="AL7" s="198" t="s">
        <v>2233</v>
      </c>
      <c r="AM7" s="198"/>
      <c r="AN7" s="198"/>
      <c r="AO7" s="198"/>
      <c r="AP7" s="198"/>
      <c r="AQ7" s="207"/>
      <c r="AR7" s="208"/>
      <c r="AS7" s="192" t="s">
        <v>2305</v>
      </c>
      <c r="AT7" s="192" t="s">
        <v>2306</v>
      </c>
      <c r="AU7" s="192" t="s">
        <v>2307</v>
      </c>
      <c r="AV7" s="192" t="s">
        <v>2308</v>
      </c>
      <c r="AW7" s="192" t="s">
        <v>2309</v>
      </c>
      <c r="AX7" s="192" t="s">
        <v>2310</v>
      </c>
      <c r="AY7" s="192" t="str">
        <f t="shared" si="5"/>
        <v>44.652538</v>
      </c>
      <c r="AZ7" s="111"/>
      <c r="BA7" s="111"/>
      <c r="BB7" s="111"/>
      <c r="BC7" s="111"/>
      <c r="BD7" s="111"/>
      <c r="BE7" s="111"/>
      <c r="BF7" s="8" t="s">
        <v>139</v>
      </c>
      <c r="BG7" s="192">
        <f t="shared" si="6"/>
        <v>1</v>
      </c>
      <c r="BH7" s="192">
        <f t="shared" si="7"/>
        <v>0.05860079409</v>
      </c>
      <c r="BI7" s="192">
        <f t="shared" ref="BI7:BM7" si="20">($AS7/AU7)-SUM($BG7:BH7)</f>
        <v>0.04636361926</v>
      </c>
      <c r="BJ7" s="192">
        <f t="shared" si="20"/>
        <v>0.04563166331</v>
      </c>
      <c r="BK7" s="192">
        <f t="shared" si="20"/>
        <v>0.03900808267</v>
      </c>
      <c r="BL7" s="192">
        <f t="shared" si="20"/>
        <v>0.03393289814</v>
      </c>
      <c r="BM7" s="192">
        <f t="shared" si="20"/>
        <v>0.024242632</v>
      </c>
    </row>
    <row r="8">
      <c r="A8" s="8" t="s">
        <v>159</v>
      </c>
      <c r="B8" s="195" t="s">
        <v>160</v>
      </c>
      <c r="C8" s="44" t="s">
        <v>161</v>
      </c>
      <c r="D8" s="9" t="s">
        <v>95</v>
      </c>
      <c r="E8" s="198">
        <f t="shared" si="10"/>
        <v>49.1321116</v>
      </c>
      <c r="F8" s="198">
        <f t="shared" si="11"/>
        <v>999.8630762</v>
      </c>
      <c r="G8" s="198">
        <f>12039.26/1000</f>
        <v>12.03926</v>
      </c>
      <c r="H8" s="198">
        <f>299468.5/1000</f>
        <v>299.4685</v>
      </c>
      <c r="I8" s="198">
        <f t="shared" si="2"/>
        <v>311.50776</v>
      </c>
      <c r="J8" s="198">
        <f t="shared" si="12"/>
        <v>32.89213083</v>
      </c>
      <c r="K8" s="198"/>
      <c r="L8" s="198"/>
      <c r="M8" s="198"/>
      <c r="N8" s="198" t="s">
        <v>2311</v>
      </c>
      <c r="O8" s="198" t="s">
        <v>2312</v>
      </c>
      <c r="P8" s="198">
        <f t="shared" si="3"/>
        <v>37.5968949</v>
      </c>
      <c r="Q8" s="198"/>
      <c r="R8" s="198"/>
      <c r="S8" s="198" t="s">
        <v>2313</v>
      </c>
      <c r="T8" s="194">
        <f t="shared" si="4"/>
        <v>2881.5</v>
      </c>
      <c r="U8" s="198" t="s">
        <v>1885</v>
      </c>
      <c r="V8" s="198">
        <f>100*0.6</f>
        <v>60</v>
      </c>
      <c r="W8" s="198"/>
      <c r="X8" s="198" t="s">
        <v>2314</v>
      </c>
      <c r="Y8" s="198" t="s">
        <v>2315</v>
      </c>
      <c r="Z8" s="198"/>
      <c r="AA8" s="198"/>
      <c r="AB8" s="198" t="s">
        <v>2316</v>
      </c>
      <c r="AC8" s="194">
        <f t="shared" si="13"/>
        <v>4.683710391</v>
      </c>
      <c r="AD8" s="198" t="s">
        <v>2317</v>
      </c>
      <c r="AE8" s="194">
        <f t="shared" si="14"/>
        <v>0.00002049487224</v>
      </c>
      <c r="AF8" s="198" t="s">
        <v>2318</v>
      </c>
      <c r="AG8" s="194">
        <f t="shared" si="15"/>
        <v>95.31626911</v>
      </c>
      <c r="AH8" s="198" t="s">
        <v>2319</v>
      </c>
      <c r="AI8" s="194">
        <f t="shared" si="16"/>
        <v>7.392629633</v>
      </c>
      <c r="AJ8" s="198" t="s">
        <v>1706</v>
      </c>
      <c r="AK8" s="198" t="s">
        <v>2320</v>
      </c>
      <c r="AL8" s="198" t="s">
        <v>2233</v>
      </c>
      <c r="AM8" s="198"/>
      <c r="AN8" s="198"/>
      <c r="AO8" s="198"/>
      <c r="AP8" s="198"/>
      <c r="AQ8" s="207"/>
      <c r="AR8" s="208"/>
      <c r="AS8" s="192" t="s">
        <v>2321</v>
      </c>
      <c r="AT8" s="192" t="s">
        <v>2322</v>
      </c>
      <c r="AU8" s="192" t="s">
        <v>2323</v>
      </c>
      <c r="AV8" s="192" t="s">
        <v>2324</v>
      </c>
      <c r="AW8" s="192" t="s">
        <v>2325</v>
      </c>
      <c r="AX8" s="192" t="s">
        <v>2326</v>
      </c>
      <c r="AY8" s="192" t="str">
        <f t="shared" si="5"/>
        <v>0.669463</v>
      </c>
      <c r="AZ8" s="111"/>
      <c r="BA8" s="111"/>
      <c r="BB8" s="111"/>
      <c r="BC8" s="111"/>
      <c r="BD8" s="111"/>
      <c r="BE8" s="111"/>
      <c r="BF8" s="8" t="s">
        <v>159</v>
      </c>
      <c r="BG8" s="192">
        <f t="shared" si="6"/>
        <v>1</v>
      </c>
      <c r="BH8" s="192">
        <f t="shared" si="7"/>
        <v>0.0824679436</v>
      </c>
      <c r="BI8" s="192">
        <f t="shared" ref="BI8:BM8" si="21">($AS8/AU8)-SUM($BG8:BH8)</f>
        <v>0.06333554089</v>
      </c>
      <c r="BJ8" s="192">
        <f t="shared" si="21"/>
        <v>0.05212838328</v>
      </c>
      <c r="BK8" s="192">
        <f t="shared" si="21"/>
        <v>0.05311318698</v>
      </c>
      <c r="BL8" s="192">
        <f t="shared" si="21"/>
        <v>0.007505378385</v>
      </c>
      <c r="BM8" s="192">
        <f t="shared" si="21"/>
        <v>0.03876248782</v>
      </c>
    </row>
    <row r="9">
      <c r="A9" s="8" t="s">
        <v>185</v>
      </c>
      <c r="B9" s="195" t="s">
        <v>160</v>
      </c>
      <c r="C9" s="48" t="s">
        <v>186</v>
      </c>
      <c r="D9" s="9" t="s">
        <v>95</v>
      </c>
      <c r="E9" s="198">
        <f t="shared" si="10"/>
        <v>0.00000004640947298</v>
      </c>
      <c r="F9" s="198">
        <f t="shared" si="11"/>
        <v>12.38932561</v>
      </c>
      <c r="G9" s="198">
        <f>119.26/1000</f>
        <v>0.11926</v>
      </c>
      <c r="H9" s="198">
        <f>20030.56/1000</f>
        <v>20.03056</v>
      </c>
      <c r="I9" s="198">
        <f t="shared" si="2"/>
        <v>20.14982</v>
      </c>
      <c r="J9" s="198">
        <f t="shared" si="12"/>
        <v>0.000000443</v>
      </c>
      <c r="K9" s="198"/>
      <c r="L9" s="198"/>
      <c r="M9" s="198"/>
      <c r="N9" s="198" t="s">
        <v>2327</v>
      </c>
      <c r="O9" s="198" t="s">
        <v>2328</v>
      </c>
      <c r="P9" s="198">
        <f t="shared" si="3"/>
        <v>76.91541113</v>
      </c>
      <c r="Q9" s="198"/>
      <c r="R9" s="198"/>
      <c r="S9" s="198" t="s">
        <v>2329</v>
      </c>
      <c r="T9" s="194">
        <f t="shared" si="4"/>
        <v>2569.125</v>
      </c>
      <c r="U9" s="198" t="s">
        <v>2330</v>
      </c>
      <c r="V9" s="198">
        <f>100*0.68</f>
        <v>68</v>
      </c>
      <c r="W9" s="198"/>
      <c r="X9" s="198" t="s">
        <v>1716</v>
      </c>
      <c r="Y9" s="198" t="s">
        <v>2331</v>
      </c>
      <c r="Z9" s="198"/>
      <c r="AA9" s="198"/>
      <c r="AB9" s="198" t="s">
        <v>1950</v>
      </c>
      <c r="AC9" s="194">
        <f t="shared" si="13"/>
        <v>0.00000004143347146</v>
      </c>
      <c r="AD9" s="198" t="s">
        <v>2332</v>
      </c>
      <c r="AE9" s="194">
        <f t="shared" si="14"/>
        <v>0.0000003331589338</v>
      </c>
      <c r="AF9" s="198" t="s">
        <v>2333</v>
      </c>
      <c r="AG9" s="194">
        <f t="shared" si="15"/>
        <v>99.99999963</v>
      </c>
      <c r="AH9" s="198" t="s">
        <v>2334</v>
      </c>
      <c r="AI9" s="194">
        <f t="shared" si="16"/>
        <v>4.102486112</v>
      </c>
      <c r="AJ9" s="198" t="s">
        <v>1706</v>
      </c>
      <c r="AK9" s="198" t="s">
        <v>2335</v>
      </c>
      <c r="AL9" s="198" t="s">
        <v>2233</v>
      </c>
      <c r="AM9" s="198"/>
      <c r="AN9" s="198"/>
      <c r="AO9" s="198"/>
      <c r="AP9" s="198"/>
      <c r="AQ9" s="207"/>
      <c r="AR9" s="208"/>
      <c r="AS9" s="192" t="s">
        <v>2336</v>
      </c>
      <c r="AT9" s="192" t="s">
        <v>2337</v>
      </c>
      <c r="AU9" s="192" t="s">
        <v>2338</v>
      </c>
      <c r="AV9" s="192" t="s">
        <v>2339</v>
      </c>
      <c r="AW9" s="192" t="s">
        <v>2340</v>
      </c>
      <c r="AX9" s="192" t="s">
        <v>2341</v>
      </c>
      <c r="AY9" s="192" t="str">
        <f t="shared" si="5"/>
        <v>9.545465</v>
      </c>
      <c r="AZ9" s="111"/>
      <c r="BA9" s="111"/>
      <c r="BB9" s="111"/>
      <c r="BC9" s="111"/>
      <c r="BD9" s="111"/>
      <c r="BE9" s="111"/>
      <c r="BF9" s="8" t="s">
        <v>185</v>
      </c>
      <c r="BG9" s="192">
        <f t="shared" si="6"/>
        <v>1</v>
      </c>
      <c r="BH9" s="192">
        <f t="shared" si="7"/>
        <v>0.05868923797</v>
      </c>
      <c r="BI9" s="192">
        <f t="shared" ref="BI9:BM9" si="22">($AS9/AU9)-SUM($BG9:BH9)</f>
        <v>0.06956636667</v>
      </c>
      <c r="BJ9" s="192">
        <f t="shared" si="22"/>
        <v>0.0634600472</v>
      </c>
      <c r="BK9" s="192">
        <f t="shared" si="22"/>
        <v>0.1330790845</v>
      </c>
      <c r="BL9" s="192">
        <f t="shared" si="22"/>
        <v>-0.009864572713</v>
      </c>
      <c r="BM9" s="192">
        <f t="shared" si="22"/>
        <v>0.005039057331</v>
      </c>
    </row>
    <row r="10">
      <c r="A10" s="8" t="s">
        <v>209</v>
      </c>
      <c r="B10" s="195" t="s">
        <v>160</v>
      </c>
      <c r="C10" s="9" t="s">
        <v>210</v>
      </c>
      <c r="D10" s="22" t="s">
        <v>211</v>
      </c>
      <c r="E10" s="198">
        <f t="shared" si="10"/>
        <v>137.5421301</v>
      </c>
      <c r="F10" s="198">
        <f t="shared" si="11"/>
        <v>7.866091238</v>
      </c>
      <c r="G10" s="198">
        <f>12843.76/1000</f>
        <v>12.84376</v>
      </c>
      <c r="H10" s="198">
        <f>298622.34/1000</f>
        <v>298.62234</v>
      </c>
      <c r="I10" s="198">
        <f t="shared" si="2"/>
        <v>311.4661</v>
      </c>
      <c r="J10" s="198">
        <f t="shared" si="12"/>
        <v>410.3807399</v>
      </c>
      <c r="K10" s="198"/>
      <c r="L10" s="198"/>
      <c r="M10" s="198"/>
      <c r="N10" s="198" t="s">
        <v>2342</v>
      </c>
      <c r="O10" s="198" t="s">
        <v>2343</v>
      </c>
      <c r="P10" s="198">
        <f t="shared" si="3"/>
        <v>34.09497594</v>
      </c>
      <c r="Q10" s="198"/>
      <c r="R10" s="198"/>
      <c r="S10" s="198" t="s">
        <v>2344</v>
      </c>
      <c r="T10" s="194">
        <f t="shared" si="4"/>
        <v>11443.84615</v>
      </c>
      <c r="U10" s="198" t="s">
        <v>2345</v>
      </c>
      <c r="V10" s="198">
        <f>100*0.87</f>
        <v>87</v>
      </c>
      <c r="W10" s="198"/>
      <c r="X10" s="198" t="s">
        <v>2244</v>
      </c>
      <c r="Y10" s="198" t="s">
        <v>2346</v>
      </c>
      <c r="Z10" s="198"/>
      <c r="AA10" s="198"/>
      <c r="AB10" s="198" t="s">
        <v>2347</v>
      </c>
      <c r="AC10" s="194">
        <f t="shared" si="13"/>
        <v>94.59033271</v>
      </c>
      <c r="AD10" s="198" t="s">
        <v>2348</v>
      </c>
      <c r="AE10" s="194">
        <f t="shared" si="14"/>
        <v>0.000006704612389</v>
      </c>
      <c r="AF10" s="198" t="s">
        <v>2349</v>
      </c>
      <c r="AG10" s="194">
        <f t="shared" si="15"/>
        <v>5.409660586</v>
      </c>
      <c r="AH10" s="198" t="s">
        <v>2350</v>
      </c>
      <c r="AI10" s="194">
        <f t="shared" si="16"/>
        <v>6.494247492</v>
      </c>
      <c r="AJ10" s="198" t="s">
        <v>1706</v>
      </c>
      <c r="AK10" s="198" t="s">
        <v>2351</v>
      </c>
      <c r="AL10" s="198" t="s">
        <v>2233</v>
      </c>
      <c r="AM10" s="198"/>
      <c r="AN10" s="198"/>
      <c r="AO10" s="198"/>
      <c r="AP10" s="198"/>
      <c r="AQ10" s="207"/>
      <c r="AR10" s="208"/>
      <c r="AS10" s="192" t="s">
        <v>2352</v>
      </c>
      <c r="AT10" s="192" t="s">
        <v>2353</v>
      </c>
      <c r="AU10" s="192" t="s">
        <v>2354</v>
      </c>
      <c r="AV10" s="192" t="s">
        <v>2355</v>
      </c>
      <c r="AW10" s="192" t="s">
        <v>2356</v>
      </c>
      <c r="AX10" s="192" t="s">
        <v>2357</v>
      </c>
      <c r="AY10" s="192" t="str">
        <f t="shared" si="5"/>
        <v>2.983673</v>
      </c>
      <c r="AZ10" s="111"/>
      <c r="BA10" s="111"/>
      <c r="BB10" s="111"/>
      <c r="BC10" s="111"/>
      <c r="BD10" s="111"/>
      <c r="BE10" s="111"/>
      <c r="BF10" s="8" t="s">
        <v>209</v>
      </c>
      <c r="BG10" s="192">
        <f t="shared" si="6"/>
        <v>1</v>
      </c>
      <c r="BH10" s="192">
        <f t="shared" si="7"/>
        <v>0.05462261434</v>
      </c>
      <c r="BI10" s="192">
        <f t="shared" ref="BI10:BM10" si="23">($AS10/AU10)-SUM($BG10:BH10)</f>
        <v>0.0392015265</v>
      </c>
      <c r="BJ10" s="192">
        <f t="shared" si="23"/>
        <v>0.03809125781</v>
      </c>
      <c r="BK10" s="192">
        <f t="shared" si="23"/>
        <v>0.03467270938</v>
      </c>
      <c r="BL10" s="192">
        <f t="shared" si="23"/>
        <v>0.01809007949</v>
      </c>
      <c r="BM10" s="192">
        <f t="shared" si="23"/>
        <v>0.05875599578</v>
      </c>
    </row>
    <row r="11">
      <c r="A11" s="8" t="s">
        <v>232</v>
      </c>
      <c r="B11" s="195" t="s">
        <v>233</v>
      </c>
      <c r="C11" s="9" t="s">
        <v>234</v>
      </c>
      <c r="D11" s="9" t="s">
        <v>211</v>
      </c>
      <c r="E11" s="198">
        <f t="shared" si="10"/>
        <v>93.06888326</v>
      </c>
      <c r="F11" s="198">
        <f t="shared" si="11"/>
        <v>0.4867911785</v>
      </c>
      <c r="G11" s="198">
        <f>2438.64/1000</f>
        <v>2.43864</v>
      </c>
      <c r="H11" s="198">
        <f>114361.51/1000</f>
        <v>114.36151</v>
      </c>
      <c r="I11" s="198">
        <f t="shared" si="2"/>
        <v>116.80015</v>
      </c>
      <c r="J11" s="198">
        <f t="shared" si="12"/>
        <v>146.048252</v>
      </c>
      <c r="K11" s="198"/>
      <c r="L11" s="198"/>
      <c r="M11" s="198"/>
      <c r="N11" s="198" t="s">
        <v>2358</v>
      </c>
      <c r="O11" s="198" t="s">
        <v>2359</v>
      </c>
      <c r="P11" s="198">
        <f t="shared" si="3"/>
        <v>66.41722597</v>
      </c>
      <c r="Q11" s="198"/>
      <c r="R11" s="198"/>
      <c r="S11" s="198" t="s">
        <v>2360</v>
      </c>
      <c r="T11" s="194">
        <f t="shared" si="4"/>
        <v>8520</v>
      </c>
      <c r="U11" s="198" t="s">
        <v>2361</v>
      </c>
      <c r="V11" s="198">
        <f>100*0.96</f>
        <v>96</v>
      </c>
      <c r="W11" s="198"/>
      <c r="X11" s="198" t="s">
        <v>2362</v>
      </c>
      <c r="Y11" s="198" t="s">
        <v>2363</v>
      </c>
      <c r="Z11" s="198"/>
      <c r="AA11" s="198"/>
      <c r="AB11" s="198" t="s">
        <v>2364</v>
      </c>
      <c r="AC11" s="194">
        <f t="shared" si="13"/>
        <v>99.47966269</v>
      </c>
      <c r="AD11" s="198" t="s">
        <v>2365</v>
      </c>
      <c r="AE11" s="194">
        <f t="shared" si="14"/>
        <v>0.00001485980569</v>
      </c>
      <c r="AF11" s="198" t="s">
        <v>2366</v>
      </c>
      <c r="AG11" s="194">
        <f t="shared" si="15"/>
        <v>0.5203224512</v>
      </c>
      <c r="AH11" s="198" t="s">
        <v>2367</v>
      </c>
      <c r="AI11" s="194">
        <f t="shared" si="16"/>
        <v>2.753431246</v>
      </c>
      <c r="AJ11" s="198" t="s">
        <v>1706</v>
      </c>
      <c r="AK11" s="198" t="s">
        <v>2368</v>
      </c>
      <c r="AL11" s="198" t="s">
        <v>2233</v>
      </c>
      <c r="AM11" s="198"/>
      <c r="AN11" s="198"/>
      <c r="AO11" s="198"/>
      <c r="AP11" s="198"/>
      <c r="AQ11" s="207"/>
      <c r="AR11" s="208"/>
      <c r="AS11" s="192" t="s">
        <v>2369</v>
      </c>
      <c r="AT11" s="192" t="s">
        <v>2370</v>
      </c>
      <c r="AU11" s="192" t="s">
        <v>2371</v>
      </c>
      <c r="AV11" s="192" t="s">
        <v>2372</v>
      </c>
      <c r="AW11" s="192" t="s">
        <v>2373</v>
      </c>
      <c r="AX11" s="192" t="s">
        <v>2374</v>
      </c>
      <c r="AY11" s="192" t="str">
        <f t="shared" si="5"/>
        <v>1.569249</v>
      </c>
      <c r="AZ11" s="111"/>
      <c r="BA11" s="111"/>
      <c r="BB11" s="111"/>
      <c r="BC11" s="111"/>
      <c r="BD11" s="111"/>
      <c r="BE11" s="111"/>
      <c r="BF11" s="8" t="s">
        <v>232</v>
      </c>
      <c r="BG11" s="192">
        <f t="shared" si="6"/>
        <v>1</v>
      </c>
      <c r="BH11" s="192">
        <f t="shared" si="7"/>
        <v>0.08994165595</v>
      </c>
      <c r="BI11" s="192">
        <f t="shared" ref="BI11:BM11" si="24">($AS11/AU11)-SUM($BG11:BH11)</f>
        <v>0.08457910824</v>
      </c>
      <c r="BJ11" s="192">
        <f t="shared" si="24"/>
        <v>0.09740382265</v>
      </c>
      <c r="BK11" s="192">
        <f t="shared" si="24"/>
        <v>0.07986991437</v>
      </c>
      <c r="BL11" s="192">
        <f t="shared" si="24"/>
        <v>0.09239640032</v>
      </c>
      <c r="BM11" s="192">
        <f t="shared" si="24"/>
        <v>0.06257443654</v>
      </c>
    </row>
    <row r="12">
      <c r="A12" s="57" t="s">
        <v>258</v>
      </c>
      <c r="B12" s="195" t="s">
        <v>233</v>
      </c>
      <c r="C12" s="9" t="s">
        <v>259</v>
      </c>
      <c r="D12" s="9" t="s">
        <v>211</v>
      </c>
      <c r="E12" s="198">
        <f t="shared" si="10"/>
        <v>10.55924949</v>
      </c>
      <c r="F12" s="198">
        <f t="shared" si="11"/>
        <v>35.08503636</v>
      </c>
      <c r="G12" s="198">
        <f>567.01/1000</f>
        <v>0.56701</v>
      </c>
      <c r="H12" s="198">
        <f>115230.22/1000</f>
        <v>115.23022</v>
      </c>
      <c r="I12" s="198">
        <f t="shared" si="2"/>
        <v>115.79723</v>
      </c>
      <c r="J12" s="198">
        <f t="shared" si="12"/>
        <v>12.55972043</v>
      </c>
      <c r="K12" s="198"/>
      <c r="L12" s="198"/>
      <c r="M12" s="198"/>
      <c r="N12" s="198" t="s">
        <v>2375</v>
      </c>
      <c r="O12" s="198" t="s">
        <v>2376</v>
      </c>
      <c r="P12" s="198">
        <f t="shared" si="3"/>
        <v>64.37357536</v>
      </c>
      <c r="Q12" s="198"/>
      <c r="R12" s="198"/>
      <c r="S12" s="198" t="s">
        <v>2377</v>
      </c>
      <c r="T12" s="194">
        <f t="shared" si="4"/>
        <v>2441.176471</v>
      </c>
      <c r="U12" s="198" t="s">
        <v>2378</v>
      </c>
      <c r="V12" s="198">
        <f>100*0.83</f>
        <v>83</v>
      </c>
      <c r="W12" s="198"/>
      <c r="X12" s="198" t="s">
        <v>2379</v>
      </c>
      <c r="Y12" s="198" t="s">
        <v>2380</v>
      </c>
      <c r="Z12" s="198"/>
      <c r="AA12" s="198"/>
      <c r="AB12" s="198" t="s">
        <v>2381</v>
      </c>
      <c r="AC12" s="194">
        <f t="shared" si="13"/>
        <v>23.12437775</v>
      </c>
      <c r="AD12" s="198" t="s">
        <v>2382</v>
      </c>
      <c r="AE12" s="194">
        <f t="shared" si="14"/>
        <v>0.009404052947</v>
      </c>
      <c r="AF12" s="198" t="s">
        <v>2383</v>
      </c>
      <c r="AG12" s="194">
        <f t="shared" si="15"/>
        <v>76.8662182</v>
      </c>
      <c r="AH12" s="198" t="s">
        <v>2384</v>
      </c>
      <c r="AI12" s="194">
        <f t="shared" si="16"/>
        <v>21.98970794</v>
      </c>
      <c r="AJ12" s="198" t="s">
        <v>1706</v>
      </c>
      <c r="AK12" s="198" t="s">
        <v>2385</v>
      </c>
      <c r="AL12" s="198" t="s">
        <v>2233</v>
      </c>
      <c r="AM12" s="198"/>
      <c r="AN12" s="198"/>
      <c r="AO12" s="198"/>
      <c r="AP12" s="198"/>
      <c r="AQ12" s="207"/>
      <c r="AR12" s="208"/>
      <c r="AS12" s="192" t="s">
        <v>2386</v>
      </c>
      <c r="AT12" s="192" t="s">
        <v>2387</v>
      </c>
      <c r="AU12" s="192" t="s">
        <v>2388</v>
      </c>
      <c r="AV12" s="192" t="s">
        <v>2389</v>
      </c>
      <c r="AW12" s="192" t="s">
        <v>2390</v>
      </c>
      <c r="AX12" s="192" t="s">
        <v>2391</v>
      </c>
      <c r="AY12" s="192" t="str">
        <f t="shared" si="5"/>
        <v>1.189452</v>
      </c>
      <c r="AZ12" s="111"/>
      <c r="BA12" s="111"/>
      <c r="BB12" s="111"/>
      <c r="BC12" s="111"/>
      <c r="BD12" s="111"/>
      <c r="BE12" s="111"/>
      <c r="BF12" s="57" t="s">
        <v>258</v>
      </c>
      <c r="BG12" s="192">
        <f t="shared" si="6"/>
        <v>1</v>
      </c>
      <c r="BH12" s="192">
        <f t="shared" si="7"/>
        <v>0.07208567479</v>
      </c>
      <c r="BI12" s="192">
        <f t="shared" ref="BI12:BM12" si="25">($AS12/AU12)-SUM($BG12:BH12)</f>
        <v>0.06623262622</v>
      </c>
      <c r="BJ12" s="192">
        <f t="shared" si="25"/>
        <v>0.05646685595</v>
      </c>
      <c r="BK12" s="192">
        <f t="shared" si="25"/>
        <v>0.05991920571</v>
      </c>
      <c r="BL12" s="192">
        <f t="shared" si="25"/>
        <v>0.0605824612</v>
      </c>
      <c r="BM12" s="192">
        <f t="shared" si="25"/>
        <v>0.04276209277</v>
      </c>
    </row>
    <row r="13">
      <c r="A13" s="57" t="s">
        <v>280</v>
      </c>
      <c r="B13" s="195" t="s">
        <v>233</v>
      </c>
      <c r="C13" s="9" t="s">
        <v>281</v>
      </c>
      <c r="D13" s="9" t="s">
        <v>33</v>
      </c>
      <c r="E13" s="198">
        <f t="shared" si="10"/>
        <v>25.43034462</v>
      </c>
      <c r="F13" s="198">
        <f t="shared" si="11"/>
        <v>13.47803859</v>
      </c>
      <c r="G13" s="198">
        <f>5919.93/1000</f>
        <v>5.91993</v>
      </c>
      <c r="H13" s="198">
        <f>199379.27/1000</f>
        <v>199.37927</v>
      </c>
      <c r="I13" s="198">
        <f t="shared" si="2"/>
        <v>205.2992</v>
      </c>
      <c r="J13" s="198">
        <f t="shared" si="12"/>
        <v>31.01955291</v>
      </c>
      <c r="K13" s="198"/>
      <c r="L13" s="198"/>
      <c r="M13" s="198"/>
      <c r="N13" s="198" t="s">
        <v>2392</v>
      </c>
      <c r="O13" s="198" t="s">
        <v>2393</v>
      </c>
      <c r="P13" s="198">
        <f t="shared" si="3"/>
        <v>5.305837023</v>
      </c>
      <c r="Q13" s="198"/>
      <c r="R13" s="198"/>
      <c r="S13" s="198" t="s">
        <v>2377</v>
      </c>
      <c r="T13" s="194">
        <f t="shared" si="4"/>
        <v>640.2564103</v>
      </c>
      <c r="U13" s="198" t="s">
        <v>2394</v>
      </c>
      <c r="V13" s="198">
        <f>100*0.22</f>
        <v>22</v>
      </c>
      <c r="W13" s="198"/>
      <c r="X13" s="198" t="s">
        <v>1343</v>
      </c>
      <c r="Y13" s="198" t="s">
        <v>2395</v>
      </c>
      <c r="Z13" s="198"/>
      <c r="AA13" s="198"/>
      <c r="AB13" s="198" t="s">
        <v>2396</v>
      </c>
      <c r="AC13" s="194">
        <f t="shared" si="13"/>
        <v>64.48102863</v>
      </c>
      <c r="AD13" s="198" t="s">
        <v>2397</v>
      </c>
      <c r="AE13" s="194">
        <f t="shared" si="14"/>
        <v>0.8785224936</v>
      </c>
      <c r="AF13" s="198" t="s">
        <v>2398</v>
      </c>
      <c r="AG13" s="194">
        <f t="shared" si="15"/>
        <v>34.64044887</v>
      </c>
      <c r="AH13" s="198" t="s">
        <v>2399</v>
      </c>
      <c r="AI13" s="194">
        <f t="shared" si="16"/>
        <v>2.783381025</v>
      </c>
      <c r="AJ13" s="198" t="s">
        <v>1706</v>
      </c>
      <c r="AK13" s="198" t="s">
        <v>2400</v>
      </c>
      <c r="AL13" s="198" t="s">
        <v>2233</v>
      </c>
      <c r="AM13" s="198"/>
      <c r="AN13" s="198"/>
      <c r="AO13" s="198"/>
      <c r="AP13" s="198"/>
      <c r="AQ13" s="207"/>
      <c r="AR13" s="208"/>
      <c r="AS13" s="192" t="s">
        <v>2401</v>
      </c>
      <c r="AT13" s="192" t="s">
        <v>2402</v>
      </c>
      <c r="AU13" s="192" t="s">
        <v>2403</v>
      </c>
      <c r="AV13" s="192" t="s">
        <v>2404</v>
      </c>
      <c r="AW13" s="192" t="s">
        <v>2405</v>
      </c>
      <c r="AX13" s="192" t="s">
        <v>2406</v>
      </c>
      <c r="AY13" s="192" t="str">
        <f t="shared" si="5"/>
        <v>1.219785</v>
      </c>
      <c r="AZ13" s="111"/>
      <c r="BA13" s="111"/>
      <c r="BB13" s="111"/>
      <c r="BC13" s="111"/>
      <c r="BD13" s="111"/>
      <c r="BE13" s="111"/>
      <c r="BF13" s="57" t="s">
        <v>280</v>
      </c>
      <c r="BG13" s="192">
        <f t="shared" si="6"/>
        <v>1</v>
      </c>
      <c r="BH13" s="192">
        <f t="shared" si="7"/>
        <v>0.07730284994</v>
      </c>
      <c r="BI13" s="192">
        <f t="shared" ref="BI13:BM13" si="26">($AS13/AU13)-SUM($BG13:BH13)</f>
        <v>0.05603419869</v>
      </c>
      <c r="BJ13" s="192">
        <f t="shared" si="26"/>
        <v>0.1080059597</v>
      </c>
      <c r="BK13" s="192">
        <f t="shared" si="26"/>
        <v>0.01279856852</v>
      </c>
      <c r="BL13" s="192">
        <f t="shared" si="26"/>
        <v>0.07200012397</v>
      </c>
      <c r="BM13" s="192">
        <f t="shared" si="26"/>
        <v>0.0243020249</v>
      </c>
    </row>
    <row r="14">
      <c r="A14" s="61" t="s">
        <v>0</v>
      </c>
      <c r="B14" s="61" t="s">
        <v>0</v>
      </c>
      <c r="C14" s="62" t="s">
        <v>0</v>
      </c>
      <c r="D14" s="62" t="s">
        <v>0</v>
      </c>
      <c r="E14" s="63" t="s">
        <v>0</v>
      </c>
      <c r="F14" s="63"/>
      <c r="G14" s="63" t="s">
        <v>0</v>
      </c>
      <c r="H14" s="63"/>
      <c r="I14" s="63"/>
      <c r="J14" s="63" t="s">
        <v>0</v>
      </c>
      <c r="K14" s="63" t="s">
        <v>0</v>
      </c>
      <c r="L14" s="63"/>
      <c r="M14" s="63"/>
      <c r="N14" s="63" t="s">
        <v>0</v>
      </c>
      <c r="O14" s="63"/>
      <c r="P14" s="63" t="s">
        <v>0</v>
      </c>
      <c r="Q14" s="63" t="s">
        <v>0</v>
      </c>
      <c r="R14" s="63"/>
      <c r="S14" s="63"/>
      <c r="T14" s="63"/>
      <c r="U14" s="63" t="s">
        <v>0</v>
      </c>
      <c r="V14" s="63" t="s">
        <v>0</v>
      </c>
      <c r="W14" s="63"/>
      <c r="X14" s="63"/>
      <c r="Y14" s="63"/>
      <c r="Z14" s="63" t="s">
        <v>0</v>
      </c>
      <c r="AA14" s="63"/>
      <c r="AB14" s="209" t="s">
        <v>0</v>
      </c>
      <c r="AC14" s="209" t="s">
        <v>0</v>
      </c>
      <c r="AD14" s="209" t="s">
        <v>0</v>
      </c>
      <c r="AE14" s="209" t="s">
        <v>0</v>
      </c>
      <c r="AF14" s="63" t="s">
        <v>0</v>
      </c>
      <c r="AG14" s="63" t="s">
        <v>0</v>
      </c>
      <c r="AH14" s="63"/>
      <c r="AI14" s="63"/>
      <c r="AJ14" s="63"/>
      <c r="AK14" s="63"/>
      <c r="AL14" s="63"/>
      <c r="AM14" s="63" t="s">
        <v>0</v>
      </c>
      <c r="AN14" s="63" t="s">
        <v>0</v>
      </c>
      <c r="AO14" s="63" t="s">
        <v>0</v>
      </c>
      <c r="AP14" s="63" t="s">
        <v>0</v>
      </c>
      <c r="AQ14" s="63" t="s">
        <v>0</v>
      </c>
      <c r="AR14" s="63" t="s">
        <v>0</v>
      </c>
      <c r="AS14" s="64" t="s">
        <v>0</v>
      </c>
      <c r="AT14" s="64" t="s">
        <v>0</v>
      </c>
      <c r="AU14" s="63" t="s">
        <v>0</v>
      </c>
      <c r="AV14" s="63" t="s">
        <v>0</v>
      </c>
      <c r="AW14" s="63"/>
      <c r="AX14" s="63"/>
      <c r="AY14" s="63" t="s">
        <v>0</v>
      </c>
      <c r="AZ14" s="63"/>
      <c r="BA14" s="63"/>
      <c r="BB14" s="63"/>
      <c r="BC14" s="63"/>
      <c r="BD14" s="63"/>
      <c r="BE14" s="63"/>
      <c r="BF14" s="63"/>
      <c r="BG14" s="63" t="s">
        <v>0</v>
      </c>
      <c r="BH14" s="63" t="s">
        <v>0</v>
      </c>
      <c r="BI14" s="63" t="s">
        <v>0</v>
      </c>
      <c r="BJ14" s="63" t="s">
        <v>0</v>
      </c>
      <c r="BK14" s="63"/>
      <c r="BL14" s="63"/>
      <c r="BM14" s="63"/>
    </row>
    <row r="15">
      <c r="A15" s="65" t="s">
        <v>303</v>
      </c>
      <c r="B15" s="3" t="s">
        <v>1</v>
      </c>
      <c r="C15" s="3" t="s">
        <v>304</v>
      </c>
      <c r="D15" s="3" t="s">
        <v>3</v>
      </c>
      <c r="E15" s="3" t="s">
        <v>4</v>
      </c>
      <c r="F15" s="3" t="s">
        <v>1649</v>
      </c>
      <c r="G15" s="3" t="s">
        <v>1650</v>
      </c>
      <c r="H15" s="3" t="s">
        <v>1651</v>
      </c>
      <c r="I15" s="3" t="s">
        <v>1652</v>
      </c>
      <c r="J15" s="3" t="s">
        <v>6</v>
      </c>
      <c r="K15" s="3" t="s">
        <v>7</v>
      </c>
      <c r="L15" s="3"/>
      <c r="M15" s="3"/>
      <c r="N15" s="3" t="s">
        <v>305</v>
      </c>
      <c r="O15" s="3" t="s">
        <v>1653</v>
      </c>
      <c r="P15" s="3" t="s">
        <v>306</v>
      </c>
      <c r="Q15" s="3" t="s">
        <v>0</v>
      </c>
      <c r="R15" s="3"/>
      <c r="S15" s="3"/>
      <c r="T15" s="3"/>
      <c r="U15" s="3" t="s">
        <v>0</v>
      </c>
      <c r="V15" s="3" t="s">
        <v>12</v>
      </c>
      <c r="W15" s="3"/>
      <c r="X15" s="3"/>
      <c r="Y15" s="3"/>
      <c r="Z15" s="3" t="s">
        <v>13</v>
      </c>
      <c r="AA15" s="3" t="s">
        <v>1162</v>
      </c>
      <c r="AB15" s="210" t="s">
        <v>1662</v>
      </c>
      <c r="AC15" s="210" t="s">
        <v>16</v>
      </c>
      <c r="AD15" s="210" t="s">
        <v>1663</v>
      </c>
      <c r="AE15" s="210" t="s">
        <v>18</v>
      </c>
      <c r="AF15" s="5" t="s">
        <v>1664</v>
      </c>
      <c r="AG15" s="5" t="s">
        <v>20</v>
      </c>
      <c r="AH15" s="5" t="s">
        <v>1665</v>
      </c>
      <c r="AI15" s="5" t="s">
        <v>1666</v>
      </c>
      <c r="AJ15" s="5" t="s">
        <v>1878</v>
      </c>
      <c r="AK15" s="5" t="s">
        <v>1668</v>
      </c>
      <c r="AL15" s="5"/>
      <c r="AM15" s="5" t="s">
        <v>21</v>
      </c>
      <c r="AN15" s="5" t="s">
        <v>0</v>
      </c>
      <c r="AO15" s="5" t="s">
        <v>23</v>
      </c>
      <c r="AP15" s="5" t="s">
        <v>0</v>
      </c>
      <c r="AQ15" s="5" t="s">
        <v>0</v>
      </c>
      <c r="AR15" s="5" t="s">
        <v>0</v>
      </c>
      <c r="AS15" s="141" t="s">
        <v>1879</v>
      </c>
      <c r="AT15" s="141" t="s">
        <v>1880</v>
      </c>
      <c r="AU15" s="141" t="s">
        <v>1173</v>
      </c>
      <c r="AV15" s="141" t="s">
        <v>1670</v>
      </c>
      <c r="AW15" s="141" t="s">
        <v>1174</v>
      </c>
      <c r="AX15" s="141" t="s">
        <v>1671</v>
      </c>
      <c r="AY15" s="141" t="s">
        <v>2221</v>
      </c>
      <c r="AZ15" s="141"/>
      <c r="BA15" s="141"/>
      <c r="BB15" s="141"/>
      <c r="BC15" s="141"/>
      <c r="BD15" s="141"/>
      <c r="BE15" s="141"/>
      <c r="BF15" s="65"/>
      <c r="BG15" s="7" t="s">
        <v>0</v>
      </c>
      <c r="BH15" s="7" t="s">
        <v>0</v>
      </c>
      <c r="BI15" s="7" t="s">
        <v>0</v>
      </c>
      <c r="BJ15" s="7" t="s">
        <v>0</v>
      </c>
      <c r="BK15" s="7"/>
      <c r="BL15" s="7"/>
      <c r="BM15" s="7"/>
    </row>
    <row r="16">
      <c r="A16" s="66" t="s">
        <v>307</v>
      </c>
      <c r="B16" s="196" t="s">
        <v>308</v>
      </c>
      <c r="C16" s="67" t="s">
        <v>309</v>
      </c>
      <c r="D16" s="67" t="s">
        <v>310</v>
      </c>
      <c r="E16" s="198">
        <f t="shared" ref="E16:E23" si="28">J16/O16</f>
        <v>65.36128135</v>
      </c>
      <c r="F16" s="198">
        <f t="shared" ref="F16:F23" si="29">AF16/O16</f>
        <v>395.7078769</v>
      </c>
      <c r="G16" s="198">
        <f>5919.93/100</f>
        <v>59.1993</v>
      </c>
      <c r="H16" s="198">
        <f>123884.38/1000</f>
        <v>123.88438</v>
      </c>
      <c r="I16" s="198">
        <f t="shared" ref="I16:I23" si="30">G16+H16</f>
        <v>183.08368</v>
      </c>
      <c r="J16" s="198">
        <f t="shared" ref="J16:J23" si="31">AB16+AD16</f>
        <v>631.5218769</v>
      </c>
      <c r="K16" s="198"/>
      <c r="L16" s="198"/>
      <c r="M16" s="198"/>
      <c r="N16" s="198" t="s">
        <v>2407</v>
      </c>
      <c r="O16" s="198" t="s">
        <v>2408</v>
      </c>
      <c r="P16" s="198">
        <f t="shared" ref="P16:P23" si="32">O16/N16*100</f>
        <v>66.95616204</v>
      </c>
      <c r="Q16" s="198"/>
      <c r="R16" s="198"/>
      <c r="S16" s="198" t="s">
        <v>2036</v>
      </c>
      <c r="T16" s="194">
        <f t="shared" ref="T16:T23" si="33">((100*U16)-((100-V16)*U16))/(100-V16)</f>
        <v>19785.33333</v>
      </c>
      <c r="U16" s="198" t="s">
        <v>2409</v>
      </c>
      <c r="V16" s="198">
        <f>100*0.88</f>
        <v>88</v>
      </c>
      <c r="W16" s="198"/>
      <c r="X16" s="198" t="s">
        <v>2410</v>
      </c>
      <c r="Y16" s="198" t="s">
        <v>491</v>
      </c>
      <c r="Z16" s="198"/>
      <c r="AA16" s="198"/>
      <c r="AB16" s="198" t="s">
        <v>2411</v>
      </c>
      <c r="AC16" s="194">
        <f t="shared" ref="AC16:AC23" si="34">AB16*100/(AB16+AD16+AF16)</f>
        <v>14.17602519</v>
      </c>
      <c r="AD16" s="198" t="s">
        <v>2412</v>
      </c>
      <c r="AE16" s="194">
        <f t="shared" ref="AE16:AE23" si="35">AD16*100/(AB16+AD16+AF16)</f>
        <v>0.0000002876185626</v>
      </c>
      <c r="AF16" s="198" t="s">
        <v>2413</v>
      </c>
      <c r="AG16" s="194">
        <f t="shared" ref="AG16:AG23" si="36">AF16*100/(AB16+AD16+AF16)</f>
        <v>85.82397452</v>
      </c>
      <c r="AH16" s="198" t="s">
        <v>2414</v>
      </c>
      <c r="AI16" s="194">
        <f t="shared" ref="AI16:AI23" si="37">AH16/O16</f>
        <v>2.121118904</v>
      </c>
      <c r="AJ16" s="198" t="s">
        <v>1706</v>
      </c>
      <c r="AK16" s="198" t="s">
        <v>2415</v>
      </c>
      <c r="AL16" s="198" t="s">
        <v>2233</v>
      </c>
      <c r="AM16" s="198"/>
      <c r="AN16" s="198"/>
      <c r="AO16" s="198"/>
      <c r="AP16" s="198"/>
      <c r="AQ16" s="211"/>
      <c r="AR16" s="211"/>
      <c r="AS16" s="192" t="s">
        <v>2416</v>
      </c>
      <c r="AT16" s="192" t="s">
        <v>2417</v>
      </c>
      <c r="AU16" s="192" t="s">
        <v>2418</v>
      </c>
      <c r="AV16" s="192" t="s">
        <v>2419</v>
      </c>
      <c r="AW16" s="192" t="s">
        <v>2420</v>
      </c>
      <c r="AX16" s="192" t="s">
        <v>2421</v>
      </c>
      <c r="AY16" s="192" t="str">
        <f t="shared" ref="AY16:AY23" si="38">O16</f>
        <v>9.662018</v>
      </c>
      <c r="AZ16" s="111"/>
      <c r="BA16" s="111"/>
      <c r="BB16" s="111"/>
      <c r="BC16" s="111"/>
      <c r="BD16" s="111"/>
      <c r="BE16" s="111"/>
      <c r="BF16" s="66" t="s">
        <v>307</v>
      </c>
      <c r="BG16" s="192">
        <f t="shared" ref="BG16:BG23" si="39">$AS16/AS16</f>
        <v>1</v>
      </c>
      <c r="BH16" s="192">
        <f t="shared" ref="BH16:BH23" si="40">($AS16/AT16)-SUM($BG16)</f>
        <v>0.09040554719</v>
      </c>
      <c r="BI16" s="192">
        <f t="shared" ref="BI16:BM16" si="27">($AS16/AU16)-SUM($BG16:BH16)</f>
        <v>0.07019974455</v>
      </c>
      <c r="BJ16" s="192">
        <f t="shared" si="27"/>
        <v>0.1300271276</v>
      </c>
      <c r="BK16" s="192">
        <f t="shared" si="27"/>
        <v>0.01007909314</v>
      </c>
      <c r="BL16" s="192">
        <f t="shared" si="27"/>
        <v>0.1104056374</v>
      </c>
      <c r="BM16" s="192">
        <f t="shared" si="27"/>
        <v>0.05744749157</v>
      </c>
    </row>
    <row r="17">
      <c r="A17" s="66" t="s">
        <v>335</v>
      </c>
      <c r="B17" s="196" t="s">
        <v>93</v>
      </c>
      <c r="C17" s="67" t="s">
        <v>336</v>
      </c>
      <c r="D17" s="67" t="s">
        <v>337</v>
      </c>
      <c r="E17" s="198">
        <f t="shared" si="28"/>
        <v>127.0300403</v>
      </c>
      <c r="F17" s="198">
        <f t="shared" si="29"/>
        <v>1494.761608</v>
      </c>
      <c r="G17" s="198">
        <f>311.37/1000</f>
        <v>0.31137</v>
      </c>
      <c r="H17" s="198">
        <f>105997.88/1000</f>
        <v>105.99788</v>
      </c>
      <c r="I17" s="198">
        <f t="shared" si="30"/>
        <v>106.30925</v>
      </c>
      <c r="J17" s="198">
        <f t="shared" si="31"/>
        <v>1714.506543</v>
      </c>
      <c r="K17" s="198"/>
      <c r="L17" s="198"/>
      <c r="M17" s="198"/>
      <c r="N17" s="198" t="s">
        <v>2422</v>
      </c>
      <c r="O17" s="198" t="s">
        <v>2423</v>
      </c>
      <c r="P17" s="198">
        <f t="shared" si="32"/>
        <v>95.01975716</v>
      </c>
      <c r="Q17" s="198"/>
      <c r="R17" s="198"/>
      <c r="S17" s="198" t="s">
        <v>2424</v>
      </c>
      <c r="T17" s="194">
        <f t="shared" si="33"/>
        <v>40576.66667</v>
      </c>
      <c r="U17" s="198" t="s">
        <v>2425</v>
      </c>
      <c r="V17" s="198">
        <f>100*0.94</f>
        <v>94</v>
      </c>
      <c r="W17" s="198"/>
      <c r="X17" s="198" t="s">
        <v>2426</v>
      </c>
      <c r="Y17" s="198" t="s">
        <v>1728</v>
      </c>
      <c r="Z17" s="198"/>
      <c r="AA17" s="198"/>
      <c r="AB17" s="198" t="s">
        <v>2427</v>
      </c>
      <c r="AC17" s="194">
        <f t="shared" si="34"/>
        <v>0.614868098</v>
      </c>
      <c r="AD17" s="198" t="s">
        <v>2428</v>
      </c>
      <c r="AE17" s="194">
        <f t="shared" si="35"/>
        <v>7.2178298</v>
      </c>
      <c r="AF17" s="198" t="s">
        <v>2429</v>
      </c>
      <c r="AG17" s="194">
        <f t="shared" si="36"/>
        <v>92.1673021</v>
      </c>
      <c r="AH17" s="198" t="s">
        <v>2430</v>
      </c>
      <c r="AI17" s="194">
        <f t="shared" si="37"/>
        <v>5.055315154</v>
      </c>
      <c r="AJ17" s="198" t="s">
        <v>1706</v>
      </c>
      <c r="AK17" s="198" t="s">
        <v>2431</v>
      </c>
      <c r="AL17" s="198" t="s">
        <v>2233</v>
      </c>
      <c r="AM17" s="198"/>
      <c r="AN17" s="198"/>
      <c r="AO17" s="198"/>
      <c r="AP17" s="198"/>
      <c r="AQ17" s="211"/>
      <c r="AR17" s="211"/>
      <c r="AS17" s="192" t="s">
        <v>2432</v>
      </c>
      <c r="AT17" s="192" t="s">
        <v>2433</v>
      </c>
      <c r="AU17" s="192" t="s">
        <v>2434</v>
      </c>
      <c r="AV17" s="192" t="s">
        <v>2435</v>
      </c>
      <c r="AW17" s="192" t="s">
        <v>2436</v>
      </c>
      <c r="AX17" s="192" t="s">
        <v>2437</v>
      </c>
      <c r="AY17" s="192" t="str">
        <f t="shared" si="38"/>
        <v>13.496859</v>
      </c>
      <c r="AZ17" s="111"/>
      <c r="BA17" s="111"/>
      <c r="BB17" s="111"/>
      <c r="BC17" s="111"/>
      <c r="BD17" s="111"/>
      <c r="BE17" s="111"/>
      <c r="BF17" s="66" t="s">
        <v>1477</v>
      </c>
      <c r="BG17" s="192">
        <f t="shared" si="39"/>
        <v>1</v>
      </c>
      <c r="BH17" s="192">
        <f t="shared" si="40"/>
        <v>0.158219199</v>
      </c>
      <c r="BI17" s="192">
        <f t="shared" ref="BI17:BM17" si="41">($AS17/AU17)-SUM($BG17:BH17)</f>
        <v>0.04055256139</v>
      </c>
      <c r="BJ17" s="192">
        <f t="shared" si="41"/>
        <v>0.1063129015</v>
      </c>
      <c r="BK17" s="192">
        <f t="shared" si="41"/>
        <v>0.05836479875</v>
      </c>
      <c r="BL17" s="192">
        <f t="shared" si="41"/>
        <v>0.06982314882</v>
      </c>
      <c r="BM17" s="192">
        <f t="shared" si="41"/>
        <v>0.05278877706</v>
      </c>
    </row>
    <row r="18">
      <c r="A18" s="66" t="s">
        <v>358</v>
      </c>
      <c r="B18" s="196" t="s">
        <v>31</v>
      </c>
      <c r="C18" s="67" t="s">
        <v>359</v>
      </c>
      <c r="D18" s="67" t="s">
        <v>211</v>
      </c>
      <c r="E18" s="198">
        <f t="shared" si="28"/>
        <v>12.29118077</v>
      </c>
      <c r="F18" s="198">
        <f t="shared" si="29"/>
        <v>26.91191826</v>
      </c>
      <c r="G18" s="198">
        <f>1176.99/1000</f>
        <v>1.17699</v>
      </c>
      <c r="H18" s="198">
        <f>83072.44/1000</f>
        <v>83.07244</v>
      </c>
      <c r="I18" s="198">
        <f t="shared" si="30"/>
        <v>84.24943</v>
      </c>
      <c r="J18" s="198">
        <f t="shared" si="31"/>
        <v>422.5691602</v>
      </c>
      <c r="K18" s="198"/>
      <c r="L18" s="198"/>
      <c r="M18" s="198"/>
      <c r="N18" s="198" t="s">
        <v>2438</v>
      </c>
      <c r="O18" s="198" t="s">
        <v>2439</v>
      </c>
      <c r="P18" s="198">
        <f t="shared" si="32"/>
        <v>96.18137972</v>
      </c>
      <c r="Q18" s="198"/>
      <c r="R18" s="198"/>
      <c r="S18" s="198" t="s">
        <v>2255</v>
      </c>
      <c r="T18" s="194">
        <f t="shared" si="33"/>
        <v>45183.5</v>
      </c>
      <c r="U18" s="198" t="s">
        <v>2440</v>
      </c>
      <c r="V18" s="198">
        <f>100*0.92</f>
        <v>92</v>
      </c>
      <c r="W18" s="198"/>
      <c r="X18" s="198" t="s">
        <v>2441</v>
      </c>
      <c r="Y18" s="198" t="s">
        <v>2442</v>
      </c>
      <c r="Z18" s="198"/>
      <c r="AA18" s="198"/>
      <c r="AB18" s="198" t="s">
        <v>2015</v>
      </c>
      <c r="AC18" s="194">
        <f t="shared" si="34"/>
        <v>31.34771186</v>
      </c>
      <c r="AD18" s="198" t="s">
        <v>2016</v>
      </c>
      <c r="AE18" s="194">
        <f t="shared" si="35"/>
        <v>0.004862490711</v>
      </c>
      <c r="AF18" s="198" t="s">
        <v>2017</v>
      </c>
      <c r="AG18" s="194">
        <f t="shared" si="36"/>
        <v>68.64742565</v>
      </c>
      <c r="AH18" s="198" t="s">
        <v>2443</v>
      </c>
      <c r="AI18" s="194">
        <f t="shared" si="37"/>
        <v>0.2475434657</v>
      </c>
      <c r="AJ18" s="198" t="s">
        <v>1706</v>
      </c>
      <c r="AK18" s="198" t="s">
        <v>2444</v>
      </c>
      <c r="AL18" s="198" t="s">
        <v>733</v>
      </c>
      <c r="AM18" s="198"/>
      <c r="AN18" s="198"/>
      <c r="AO18" s="198"/>
      <c r="AP18" s="198"/>
      <c r="AQ18" s="211"/>
      <c r="AR18" s="211"/>
      <c r="AS18" s="192" t="s">
        <v>2445</v>
      </c>
      <c r="AT18" s="192" t="s">
        <v>2446</v>
      </c>
      <c r="AU18" s="192" t="s">
        <v>2447</v>
      </c>
      <c r="AV18" s="192" t="s">
        <v>2448</v>
      </c>
      <c r="AW18" s="192" t="s">
        <v>2449</v>
      </c>
      <c r="AX18" s="192" t="s">
        <v>2450</v>
      </c>
      <c r="AY18" s="192" t="str">
        <f t="shared" si="38"/>
        <v>34.379867</v>
      </c>
      <c r="AZ18" s="111"/>
      <c r="BA18" s="111"/>
      <c r="BB18" s="111"/>
      <c r="BC18" s="111"/>
      <c r="BD18" s="111"/>
      <c r="BE18" s="111"/>
      <c r="BF18" s="66" t="s">
        <v>1501</v>
      </c>
      <c r="BG18" s="192">
        <f t="shared" si="39"/>
        <v>1</v>
      </c>
      <c r="BH18" s="192">
        <f t="shared" si="40"/>
        <v>0.07317091714</v>
      </c>
      <c r="BI18" s="192">
        <f t="shared" ref="BI18:BM18" si="42">($AS18/AU18)-SUM($BG18:BH18)</f>
        <v>0.06399761441</v>
      </c>
      <c r="BJ18" s="192">
        <f t="shared" si="42"/>
        <v>0.05255108622</v>
      </c>
      <c r="BK18" s="192">
        <f t="shared" si="42"/>
        <v>0.05201853032</v>
      </c>
      <c r="BL18" s="192">
        <f t="shared" si="42"/>
        <v>0.04950199847</v>
      </c>
      <c r="BM18" s="192">
        <f t="shared" si="42"/>
        <v>-0.002024978856</v>
      </c>
    </row>
    <row r="19">
      <c r="A19" s="66" t="s">
        <v>382</v>
      </c>
      <c r="B19" s="196" t="s">
        <v>308</v>
      </c>
      <c r="C19" s="67" t="s">
        <v>383</v>
      </c>
      <c r="D19" s="67" t="s">
        <v>33</v>
      </c>
      <c r="E19" s="198">
        <f t="shared" si="28"/>
        <v>58.0916962</v>
      </c>
      <c r="F19" s="198">
        <f t="shared" si="29"/>
        <v>91.69715966</v>
      </c>
      <c r="G19" s="198">
        <f>2083.16/1000</f>
        <v>2.08316</v>
      </c>
      <c r="H19" s="198">
        <f>59360.52/1000</f>
        <v>59.36052</v>
      </c>
      <c r="I19" s="198">
        <f t="shared" si="30"/>
        <v>61.44368</v>
      </c>
      <c r="J19" s="198">
        <f t="shared" si="31"/>
        <v>1142.017104</v>
      </c>
      <c r="K19" s="198"/>
      <c r="L19" s="198"/>
      <c r="M19" s="198"/>
      <c r="N19" s="198" t="s">
        <v>2451</v>
      </c>
      <c r="O19" s="198" t="s">
        <v>2452</v>
      </c>
      <c r="P19" s="198">
        <f t="shared" si="32"/>
        <v>96.42520657</v>
      </c>
      <c r="Q19" s="198"/>
      <c r="R19" s="198"/>
      <c r="S19" s="198" t="s">
        <v>2377</v>
      </c>
      <c r="T19" s="194">
        <f t="shared" si="33"/>
        <v>42921.66667</v>
      </c>
      <c r="U19" s="198" t="s">
        <v>2453</v>
      </c>
      <c r="V19" s="198">
        <f>100*0.91</f>
        <v>91</v>
      </c>
      <c r="W19" s="198"/>
      <c r="X19" s="198" t="s">
        <v>2454</v>
      </c>
      <c r="Y19" s="198" t="s">
        <v>2455</v>
      </c>
      <c r="Z19" s="198"/>
      <c r="AA19" s="198"/>
      <c r="AB19" s="198" t="s">
        <v>2456</v>
      </c>
      <c r="AC19" s="194">
        <f t="shared" si="34"/>
        <v>38.73665747</v>
      </c>
      <c r="AD19" s="198" t="s">
        <v>2457</v>
      </c>
      <c r="AE19" s="194">
        <f t="shared" si="35"/>
        <v>0.04573115681</v>
      </c>
      <c r="AF19" s="198" t="s">
        <v>2458</v>
      </c>
      <c r="AG19" s="194">
        <f t="shared" si="36"/>
        <v>61.21761138</v>
      </c>
      <c r="AH19" s="198" t="s">
        <v>2459</v>
      </c>
      <c r="AI19" s="194">
        <f t="shared" si="37"/>
        <v>8.868733331</v>
      </c>
      <c r="AJ19" s="198" t="s">
        <v>1706</v>
      </c>
      <c r="AK19" s="198" t="s">
        <v>2460</v>
      </c>
      <c r="AL19" s="198" t="s">
        <v>2233</v>
      </c>
      <c r="AM19" s="198"/>
      <c r="AN19" s="198"/>
      <c r="AO19" s="198"/>
      <c r="AP19" s="198"/>
      <c r="AQ19" s="211"/>
      <c r="AR19" s="211"/>
      <c r="AS19" s="192" t="s">
        <v>2461</v>
      </c>
      <c r="AT19" s="192" t="s">
        <v>2462</v>
      </c>
      <c r="AU19" s="192" t="s">
        <v>2463</v>
      </c>
      <c r="AV19" s="192" t="s">
        <v>2464</v>
      </c>
      <c r="AW19" s="192" t="s">
        <v>2465</v>
      </c>
      <c r="AX19" s="192" t="s">
        <v>2466</v>
      </c>
      <c r="AY19" s="192" t="str">
        <f t="shared" si="38"/>
        <v>19.65887</v>
      </c>
      <c r="AZ19" s="111"/>
      <c r="BA19" s="111"/>
      <c r="BB19" s="111"/>
      <c r="BC19" s="111"/>
      <c r="BD19" s="111"/>
      <c r="BE19" s="111"/>
      <c r="BF19" s="66" t="s">
        <v>1525</v>
      </c>
      <c r="BG19" s="192">
        <f t="shared" si="39"/>
        <v>1</v>
      </c>
      <c r="BH19" s="192">
        <f t="shared" si="40"/>
        <v>0.09853180723</v>
      </c>
      <c r="BI19" s="192">
        <f t="shared" ref="BI19:BM19" si="43">($AS19/AU19)-SUM($BG19:BH19)</f>
        <v>0.1304071027</v>
      </c>
      <c r="BJ19" s="192">
        <f t="shared" si="43"/>
        <v>0.08616145286</v>
      </c>
      <c r="BK19" s="192">
        <f t="shared" si="43"/>
        <v>0.09265103956</v>
      </c>
      <c r="BL19" s="192">
        <f t="shared" si="43"/>
        <v>0.09815530268</v>
      </c>
      <c r="BM19" s="192">
        <f t="shared" si="43"/>
        <v>0.02947579657</v>
      </c>
    </row>
    <row r="20">
      <c r="A20" s="66" t="s">
        <v>457</v>
      </c>
      <c r="B20" s="196" t="s">
        <v>233</v>
      </c>
      <c r="C20" s="67" t="s">
        <v>460</v>
      </c>
      <c r="D20" s="67" t="s">
        <v>33</v>
      </c>
      <c r="E20" s="198">
        <f t="shared" si="28"/>
        <v>0.001171380061</v>
      </c>
      <c r="F20" s="198">
        <f t="shared" si="29"/>
        <v>0.09564624674</v>
      </c>
      <c r="G20" s="198">
        <f>231.52/1000</f>
        <v>0.23152</v>
      </c>
      <c r="H20" s="198">
        <f>2486.66/1000</f>
        <v>2.48666</v>
      </c>
      <c r="I20" s="198">
        <f t="shared" si="30"/>
        <v>2.71818</v>
      </c>
      <c r="J20" s="198">
        <f t="shared" si="31"/>
        <v>0.848718608</v>
      </c>
      <c r="K20" s="198"/>
      <c r="L20" s="198"/>
      <c r="M20" s="198"/>
      <c r="N20" s="198" t="s">
        <v>2467</v>
      </c>
      <c r="O20" s="198" t="s">
        <v>2468</v>
      </c>
      <c r="P20" s="198">
        <f t="shared" si="32"/>
        <v>99.98163107</v>
      </c>
      <c r="Q20" s="198"/>
      <c r="R20" s="198"/>
      <c r="S20" s="198" t="s">
        <v>2469</v>
      </c>
      <c r="T20" s="194">
        <f t="shared" si="33"/>
        <v>19494.75</v>
      </c>
      <c r="U20" s="198" t="s">
        <v>2470</v>
      </c>
      <c r="V20" s="198">
        <f>100*0.68</f>
        <v>68</v>
      </c>
      <c r="W20" s="198"/>
      <c r="X20" s="198" t="s">
        <v>1797</v>
      </c>
      <c r="Y20" s="198" t="s">
        <v>2471</v>
      </c>
      <c r="Z20" s="198"/>
      <c r="AA20" s="198"/>
      <c r="AB20" s="198" t="s">
        <v>2472</v>
      </c>
      <c r="AC20" s="194">
        <f t="shared" si="34"/>
        <v>1.177137055</v>
      </c>
      <c r="AD20" s="198" t="s">
        <v>2473</v>
      </c>
      <c r="AE20" s="194">
        <f t="shared" si="35"/>
        <v>0.03274600077</v>
      </c>
      <c r="AF20" s="198" t="s">
        <v>2474</v>
      </c>
      <c r="AG20" s="194">
        <f t="shared" si="36"/>
        <v>98.79011694</v>
      </c>
      <c r="AH20" s="198" t="s">
        <v>2475</v>
      </c>
      <c r="AI20" s="194">
        <f t="shared" si="37"/>
        <v>1.137606821</v>
      </c>
      <c r="AJ20" s="198" t="s">
        <v>1706</v>
      </c>
      <c r="AK20" s="198">
        <v>88.67</v>
      </c>
      <c r="AL20" s="198" t="s">
        <v>2233</v>
      </c>
      <c r="AM20" s="198"/>
      <c r="AN20" s="198"/>
      <c r="AO20" s="198"/>
      <c r="AP20" s="198"/>
      <c r="AQ20" s="211"/>
      <c r="AR20" s="211"/>
      <c r="AS20" s="192" t="s">
        <v>2476</v>
      </c>
      <c r="AT20" s="192" t="s">
        <v>2477</v>
      </c>
      <c r="AU20" s="192" t="s">
        <v>2478</v>
      </c>
      <c r="AV20" s="192" t="s">
        <v>2479</v>
      </c>
      <c r="AW20" s="192" t="s">
        <v>2480</v>
      </c>
      <c r="AX20" s="192" t="s">
        <v>2481</v>
      </c>
      <c r="AY20" s="192" t="str">
        <f t="shared" si="38"/>
        <v>724.545889</v>
      </c>
      <c r="AZ20" s="111"/>
      <c r="BA20" s="111"/>
      <c r="BB20" s="111"/>
      <c r="BC20" s="111"/>
      <c r="BD20" s="111"/>
      <c r="BE20" s="111"/>
      <c r="BF20" s="66" t="s">
        <v>1549</v>
      </c>
      <c r="BG20" s="192">
        <f t="shared" si="39"/>
        <v>1</v>
      </c>
      <c r="BH20" s="192">
        <f t="shared" si="40"/>
        <v>0.09884106318</v>
      </c>
      <c r="BI20" s="192">
        <f t="shared" ref="BI20:BM20" si="44">($AS20/AU20)-SUM($BG20:BH20)</f>
        <v>0.09884122708</v>
      </c>
      <c r="BJ20" s="192">
        <f t="shared" si="44"/>
        <v>0.09755767547</v>
      </c>
      <c r="BK20" s="192">
        <f t="shared" si="44"/>
        <v>0.09645910411</v>
      </c>
      <c r="BL20" s="192">
        <f t="shared" si="44"/>
        <v>0.09608952298</v>
      </c>
      <c r="BM20" s="192">
        <f t="shared" si="44"/>
        <v>0.002343345525</v>
      </c>
    </row>
    <row r="21">
      <c r="A21" s="66" t="s">
        <v>503</v>
      </c>
      <c r="B21" s="196" t="s">
        <v>308</v>
      </c>
      <c r="C21" s="67" t="s">
        <v>506</v>
      </c>
      <c r="D21" s="67" t="s">
        <v>211</v>
      </c>
      <c r="E21" s="198">
        <f t="shared" si="28"/>
        <v>261.7701727</v>
      </c>
      <c r="F21" s="198">
        <f t="shared" si="29"/>
        <v>961.6472761</v>
      </c>
      <c r="G21" s="198">
        <f>2412.84/1000</f>
        <v>2.41284</v>
      </c>
      <c r="H21" s="198">
        <f>26803.59/1000</f>
        <v>26.80359</v>
      </c>
      <c r="I21" s="198">
        <f t="shared" si="30"/>
        <v>29.21643</v>
      </c>
      <c r="J21" s="198">
        <f t="shared" si="31"/>
        <v>6289.342</v>
      </c>
      <c r="K21" s="198"/>
      <c r="L21" s="198"/>
      <c r="M21" s="198"/>
      <c r="N21" s="198" t="s">
        <v>2482</v>
      </c>
      <c r="O21" s="198" t="s">
        <v>2483</v>
      </c>
      <c r="P21" s="198">
        <f t="shared" si="32"/>
        <v>90.0388018</v>
      </c>
      <c r="Q21" s="198"/>
      <c r="R21" s="198"/>
      <c r="S21" s="198" t="s">
        <v>2484</v>
      </c>
      <c r="T21" s="194">
        <f t="shared" si="33"/>
        <v>93508</v>
      </c>
      <c r="U21" s="198" t="s">
        <v>2485</v>
      </c>
      <c r="V21" s="198">
        <f>100*0.97</f>
        <v>97</v>
      </c>
      <c r="W21" s="198"/>
      <c r="X21" s="198" t="s">
        <v>2227</v>
      </c>
      <c r="Y21" s="198" t="s">
        <v>2486</v>
      </c>
      <c r="Z21" s="198"/>
      <c r="AA21" s="198"/>
      <c r="AB21" s="198" t="s">
        <v>2487</v>
      </c>
      <c r="AC21" s="194">
        <f t="shared" si="34"/>
        <v>21.38961843</v>
      </c>
      <c r="AD21" s="198" t="s">
        <v>2488</v>
      </c>
      <c r="AE21" s="194">
        <f t="shared" si="35"/>
        <v>0.00701711656</v>
      </c>
      <c r="AF21" s="198" t="s">
        <v>2489</v>
      </c>
      <c r="AG21" s="194">
        <f t="shared" si="36"/>
        <v>78.60336446</v>
      </c>
      <c r="AH21" s="198" t="s">
        <v>2490</v>
      </c>
      <c r="AI21" s="194">
        <f t="shared" si="37"/>
        <v>7.15318395</v>
      </c>
      <c r="AJ21" s="198" t="s">
        <v>1706</v>
      </c>
      <c r="AK21" s="198" t="s">
        <v>2491</v>
      </c>
      <c r="AL21" s="198" t="s">
        <v>2233</v>
      </c>
      <c r="AM21" s="198"/>
      <c r="AN21" s="198"/>
      <c r="AO21" s="198"/>
      <c r="AP21" s="198"/>
      <c r="AQ21" s="211"/>
      <c r="AR21" s="211"/>
      <c r="AS21" s="192" t="s">
        <v>2492</v>
      </c>
      <c r="AT21" s="192" t="s">
        <v>2493</v>
      </c>
      <c r="AU21" s="192" t="s">
        <v>2494</v>
      </c>
      <c r="AV21" s="192" t="s">
        <v>2495</v>
      </c>
      <c r="AW21" s="192" t="s">
        <v>2496</v>
      </c>
      <c r="AX21" s="192" t="s">
        <v>2497</v>
      </c>
      <c r="AY21" s="192" t="str">
        <f t="shared" si="38"/>
        <v>24.026198</v>
      </c>
      <c r="AZ21" s="111"/>
      <c r="BA21" s="111"/>
      <c r="BB21" s="111"/>
      <c r="BC21" s="111"/>
      <c r="BD21" s="111"/>
      <c r="BE21" s="111"/>
      <c r="BF21" s="66" t="s">
        <v>1572</v>
      </c>
      <c r="BG21" s="192">
        <f t="shared" si="39"/>
        <v>1</v>
      </c>
      <c r="BH21" s="192">
        <f t="shared" si="40"/>
        <v>0.09526750384</v>
      </c>
      <c r="BI21" s="192">
        <f t="shared" ref="BI21:BM21" si="45">($AS21/AU21)-SUM($BG21:BH21)</f>
        <v>0.09754311936</v>
      </c>
      <c r="BJ21" s="192">
        <f t="shared" si="45"/>
        <v>0.09497836707</v>
      </c>
      <c r="BK21" s="192">
        <f t="shared" si="45"/>
        <v>0.09309248196</v>
      </c>
      <c r="BL21" s="192">
        <f t="shared" si="45"/>
        <v>0.09024781972</v>
      </c>
      <c r="BM21" s="192">
        <f t="shared" si="45"/>
        <v>0.08096771483</v>
      </c>
    </row>
    <row r="22">
      <c r="A22" s="66" t="s">
        <v>562</v>
      </c>
      <c r="B22" s="196" t="s">
        <v>308</v>
      </c>
      <c r="C22" s="21" t="s">
        <v>565</v>
      </c>
      <c r="D22" s="67" t="s">
        <v>211</v>
      </c>
      <c r="E22" s="198">
        <f t="shared" si="28"/>
        <v>107.8960653</v>
      </c>
      <c r="F22" s="198">
        <f t="shared" si="29"/>
        <v>135.9203092</v>
      </c>
      <c r="G22" s="198">
        <f>1190.19/1000</f>
        <v>1.19019</v>
      </c>
      <c r="H22" s="198">
        <f>63197.46/1000</f>
        <v>63.19746</v>
      </c>
      <c r="I22" s="198">
        <f t="shared" si="30"/>
        <v>64.38765</v>
      </c>
      <c r="J22" s="198">
        <f t="shared" si="31"/>
        <v>1575.932196</v>
      </c>
      <c r="K22" s="198"/>
      <c r="L22" s="198"/>
      <c r="M22" s="198"/>
      <c r="N22" s="198" t="s">
        <v>2498</v>
      </c>
      <c r="O22" s="198" t="s">
        <v>2499</v>
      </c>
      <c r="P22" s="198">
        <f t="shared" si="32"/>
        <v>95.44127591</v>
      </c>
      <c r="Q22" s="198"/>
      <c r="R22" s="198"/>
      <c r="S22" s="198" t="s">
        <v>1963</v>
      </c>
      <c r="T22" s="194">
        <f t="shared" si="33"/>
        <v>34020</v>
      </c>
      <c r="U22" s="198" t="s">
        <v>2500</v>
      </c>
      <c r="V22" s="198">
        <f>100*0.9</f>
        <v>90</v>
      </c>
      <c r="W22" s="198"/>
      <c r="X22" s="198" t="s">
        <v>2501</v>
      </c>
      <c r="Y22" s="198" t="s">
        <v>2502</v>
      </c>
      <c r="Z22" s="198"/>
      <c r="AA22" s="198"/>
      <c r="AB22" s="198" t="s">
        <v>2503</v>
      </c>
      <c r="AC22" s="194">
        <f t="shared" si="34"/>
        <v>44.23551911</v>
      </c>
      <c r="AD22" s="198" t="s">
        <v>2504</v>
      </c>
      <c r="AE22" s="194">
        <f t="shared" si="35"/>
        <v>0.01748297317</v>
      </c>
      <c r="AF22" s="198" t="s">
        <v>2505</v>
      </c>
      <c r="AG22" s="194">
        <f t="shared" si="36"/>
        <v>55.74699792</v>
      </c>
      <c r="AH22" s="198" t="s">
        <v>2506</v>
      </c>
      <c r="AI22" s="194">
        <f t="shared" si="37"/>
        <v>7.037871704</v>
      </c>
      <c r="AJ22" s="198" t="s">
        <v>1706</v>
      </c>
      <c r="AK22" s="198" t="s">
        <v>2507</v>
      </c>
      <c r="AL22" s="198" t="s">
        <v>2233</v>
      </c>
      <c r="AM22" s="198"/>
      <c r="AN22" s="198"/>
      <c r="AO22" s="198"/>
      <c r="AP22" s="198"/>
      <c r="AQ22" s="211"/>
      <c r="AR22" s="211"/>
      <c r="AS22" s="192" t="s">
        <v>2508</v>
      </c>
      <c r="AT22" s="192" t="s">
        <v>2509</v>
      </c>
      <c r="AU22" s="192" t="s">
        <v>2510</v>
      </c>
      <c r="AV22" s="192" t="s">
        <v>2511</v>
      </c>
      <c r="AW22" s="192" t="s">
        <v>2512</v>
      </c>
      <c r="AX22" s="192" t="s">
        <v>2513</v>
      </c>
      <c r="AY22" s="192" t="str">
        <f t="shared" si="38"/>
        <v>14.606021</v>
      </c>
      <c r="AZ22" s="111"/>
      <c r="BA22" s="111"/>
      <c r="BB22" s="111"/>
      <c r="BC22" s="111"/>
      <c r="BD22" s="111"/>
      <c r="BE22" s="111"/>
      <c r="BF22" s="66" t="s">
        <v>1596</v>
      </c>
      <c r="BG22" s="192">
        <f t="shared" si="39"/>
        <v>1</v>
      </c>
      <c r="BH22" s="192">
        <f t="shared" si="40"/>
        <v>0.07784073716</v>
      </c>
      <c r="BI22" s="192">
        <f t="shared" ref="BI22:BM22" si="46">($AS22/AU22)-SUM($BG22:BH22)</f>
        <v>0.08286817934</v>
      </c>
      <c r="BJ22" s="192">
        <f t="shared" si="46"/>
        <v>0.07124950503</v>
      </c>
      <c r="BK22" s="192">
        <f t="shared" si="46"/>
        <v>0.07707679366</v>
      </c>
      <c r="BL22" s="192">
        <f t="shared" si="46"/>
        <v>0.08326158931</v>
      </c>
      <c r="BM22" s="192">
        <f t="shared" si="46"/>
        <v>0.09411287544</v>
      </c>
    </row>
    <row r="23">
      <c r="A23" s="66" t="s">
        <v>614</v>
      </c>
      <c r="B23" s="196" t="s">
        <v>31</v>
      </c>
      <c r="C23" s="67" t="s">
        <v>616</v>
      </c>
      <c r="D23" s="67" t="s">
        <v>211</v>
      </c>
      <c r="E23" s="198">
        <f t="shared" si="28"/>
        <v>33.66078555</v>
      </c>
      <c r="F23" s="198">
        <f t="shared" si="29"/>
        <v>230.4194247</v>
      </c>
      <c r="G23" s="198">
        <f>422.29/1000</f>
        <v>0.42229</v>
      </c>
      <c r="H23" s="198">
        <f>116462.09/1000</f>
        <v>116.46209</v>
      </c>
      <c r="I23" s="198">
        <f t="shared" si="30"/>
        <v>116.88438</v>
      </c>
      <c r="J23" s="198">
        <f t="shared" si="31"/>
        <v>260.8654667</v>
      </c>
      <c r="K23" s="198"/>
      <c r="L23" s="198"/>
      <c r="M23" s="198"/>
      <c r="N23" s="198" t="s">
        <v>2514</v>
      </c>
      <c r="O23" s="198" t="s">
        <v>2515</v>
      </c>
      <c r="P23" s="198">
        <f t="shared" si="32"/>
        <v>85.28874124</v>
      </c>
      <c r="Q23" s="198"/>
      <c r="R23" s="198"/>
      <c r="S23" s="198" t="s">
        <v>1909</v>
      </c>
      <c r="T23" s="194">
        <f t="shared" si="33"/>
        <v>19596.18182</v>
      </c>
      <c r="U23" s="198" t="s">
        <v>2516</v>
      </c>
      <c r="V23" s="198">
        <f>100*0.89</f>
        <v>89</v>
      </c>
      <c r="W23" s="198"/>
      <c r="X23" s="198" t="s">
        <v>2517</v>
      </c>
      <c r="Y23" s="198" t="s">
        <v>2518</v>
      </c>
      <c r="Z23" s="198"/>
      <c r="AA23" s="198"/>
      <c r="AB23" s="198" t="s">
        <v>2519</v>
      </c>
      <c r="AC23" s="194">
        <f t="shared" si="34"/>
        <v>0.11239297</v>
      </c>
      <c r="AD23" s="198" t="s">
        <v>2520</v>
      </c>
      <c r="AE23" s="194">
        <f t="shared" si="35"/>
        <v>12.63403189</v>
      </c>
      <c r="AF23" s="198" t="s">
        <v>2521</v>
      </c>
      <c r="AG23" s="194">
        <f t="shared" si="36"/>
        <v>87.25357514</v>
      </c>
      <c r="AH23" s="198" t="s">
        <v>2522</v>
      </c>
      <c r="AI23" s="194">
        <f t="shared" si="37"/>
        <v>2.885988742</v>
      </c>
      <c r="AJ23" s="198" t="s">
        <v>1706</v>
      </c>
      <c r="AK23" s="198" t="s">
        <v>2523</v>
      </c>
      <c r="AL23" s="198" t="s">
        <v>2233</v>
      </c>
      <c r="AM23" s="198"/>
      <c r="AN23" s="198"/>
      <c r="AO23" s="198"/>
      <c r="AP23" s="198"/>
      <c r="AQ23" s="211"/>
      <c r="AR23" s="211"/>
      <c r="AS23" s="192" t="s">
        <v>2524</v>
      </c>
      <c r="AT23" s="192" t="s">
        <v>2525</v>
      </c>
      <c r="AU23" s="192" t="s">
        <v>2526</v>
      </c>
      <c r="AV23" s="192" t="s">
        <v>2527</v>
      </c>
      <c r="AW23" s="192" t="s">
        <v>2528</v>
      </c>
      <c r="AX23" s="192" t="s">
        <v>2529</v>
      </c>
      <c r="AY23" s="192" t="str">
        <f t="shared" si="38"/>
        <v>7.749833</v>
      </c>
      <c r="AZ23" s="111"/>
      <c r="BA23" s="111"/>
      <c r="BB23" s="111"/>
      <c r="BC23" s="111"/>
      <c r="BD23" s="111"/>
      <c r="BE23" s="111"/>
      <c r="BF23" s="66" t="s">
        <v>1623</v>
      </c>
      <c r="BG23" s="192">
        <f t="shared" si="39"/>
        <v>1</v>
      </c>
      <c r="BH23" s="192">
        <f t="shared" si="40"/>
        <v>0.0846894594</v>
      </c>
      <c r="BI23" s="192">
        <f t="shared" ref="BI23:BM23" si="47">($AS23/AU23)-SUM($BG23:BH23)</f>
        <v>0.07420474782</v>
      </c>
      <c r="BJ23" s="192">
        <f t="shared" si="47"/>
        <v>0.07796793877</v>
      </c>
      <c r="BK23" s="192">
        <f t="shared" si="47"/>
        <v>0.06934721741</v>
      </c>
      <c r="BL23" s="192">
        <f t="shared" si="47"/>
        <v>0.07270882286</v>
      </c>
      <c r="BM23" s="192">
        <f t="shared" si="47"/>
        <v>0.06335224719</v>
      </c>
    </row>
    <row r="24">
      <c r="A24" s="63" t="s">
        <v>0</v>
      </c>
      <c r="B24" s="63" t="s">
        <v>0</v>
      </c>
      <c r="C24" s="63" t="s">
        <v>0</v>
      </c>
      <c r="D24" s="63" t="s">
        <v>0</v>
      </c>
      <c r="E24" s="63" t="s">
        <v>0</v>
      </c>
      <c r="F24" s="63"/>
      <c r="G24" s="63" t="s">
        <v>0</v>
      </c>
      <c r="H24" s="63"/>
      <c r="I24" s="63"/>
      <c r="J24" s="63" t="s">
        <v>0</v>
      </c>
      <c r="K24" s="63" t="s">
        <v>0</v>
      </c>
      <c r="L24" s="63"/>
      <c r="M24" s="63"/>
      <c r="N24" s="63" t="s">
        <v>0</v>
      </c>
      <c r="O24" s="63"/>
      <c r="P24" s="63" t="s">
        <v>0</v>
      </c>
      <c r="Q24" s="63" t="s">
        <v>0</v>
      </c>
      <c r="R24" s="63"/>
      <c r="S24" s="63"/>
      <c r="T24" s="63"/>
      <c r="U24" s="63" t="s">
        <v>0</v>
      </c>
      <c r="V24" s="63" t="s">
        <v>0</v>
      </c>
      <c r="W24" s="63"/>
      <c r="X24" s="63"/>
      <c r="Y24" s="63"/>
      <c r="Z24" s="63" t="s">
        <v>0</v>
      </c>
      <c r="AA24" s="63"/>
      <c r="AB24" s="209" t="s">
        <v>0</v>
      </c>
      <c r="AC24" s="209" t="s">
        <v>0</v>
      </c>
      <c r="AD24" s="209" t="s">
        <v>0</v>
      </c>
      <c r="AE24" s="209" t="s">
        <v>0</v>
      </c>
      <c r="AF24" s="63" t="s">
        <v>0</v>
      </c>
      <c r="AG24" s="63" t="s">
        <v>0</v>
      </c>
      <c r="AH24" s="63"/>
      <c r="AI24" s="63"/>
      <c r="AJ24" s="63"/>
      <c r="AK24" s="63"/>
      <c r="AL24" s="63"/>
      <c r="AM24" s="63" t="s">
        <v>0</v>
      </c>
      <c r="AN24" s="63" t="s">
        <v>0</v>
      </c>
      <c r="AO24" s="63" t="s">
        <v>0</v>
      </c>
      <c r="AP24" s="63" t="s">
        <v>0</v>
      </c>
      <c r="AQ24" s="63" t="s">
        <v>0</v>
      </c>
      <c r="AR24" s="63" t="s">
        <v>0</v>
      </c>
      <c r="AS24" s="63" t="s">
        <v>0</v>
      </c>
      <c r="AT24" s="63" t="s">
        <v>0</v>
      </c>
      <c r="AU24" s="63" t="s">
        <v>0</v>
      </c>
      <c r="AV24" s="63" t="s">
        <v>0</v>
      </c>
      <c r="AW24" s="63"/>
      <c r="AX24" s="63"/>
      <c r="AY24" s="63" t="s">
        <v>0</v>
      </c>
      <c r="AZ24" s="63"/>
      <c r="BA24" s="63"/>
      <c r="BB24" s="63"/>
      <c r="BC24" s="63"/>
      <c r="BD24" s="63"/>
      <c r="BE24" s="63"/>
      <c r="BF24" s="63"/>
      <c r="BG24" s="63" t="s">
        <v>0</v>
      </c>
      <c r="BH24" s="63" t="s">
        <v>0</v>
      </c>
      <c r="BI24" s="63" t="s">
        <v>0</v>
      </c>
      <c r="BJ24" s="63" t="s">
        <v>0</v>
      </c>
      <c r="BK24" s="63"/>
      <c r="BL24" s="63"/>
      <c r="BM24" s="63"/>
    </row>
    <row r="25">
      <c r="A25" s="95" t="s">
        <v>681</v>
      </c>
      <c r="B25" s="7" t="s">
        <v>683</v>
      </c>
      <c r="E25" s="198">
        <f t="shared" ref="E25:E28" si="49">J25/O25</f>
        <v>1261.536276</v>
      </c>
      <c r="F25" s="198">
        <f t="shared" ref="F25:F28" si="50">AF25/O25</f>
        <v>139.289644</v>
      </c>
      <c r="G25" s="198">
        <f>27455.26/1000</f>
        <v>27.45526</v>
      </c>
      <c r="H25" s="198">
        <f>140917.12/1000</f>
        <v>140.91712</v>
      </c>
      <c r="I25" s="198">
        <f t="shared" ref="I25:I28" si="51">G25+H25</f>
        <v>168.37238</v>
      </c>
      <c r="J25" s="198">
        <f t="shared" ref="J25:J28" si="52">AB25+AD25</f>
        <v>184893.0891</v>
      </c>
      <c r="K25" s="198"/>
      <c r="L25" s="198"/>
      <c r="M25" s="198"/>
      <c r="N25" s="198" t="s">
        <v>2530</v>
      </c>
      <c r="O25" s="198" t="s">
        <v>2531</v>
      </c>
      <c r="P25" s="198">
        <f t="shared" ref="P25:P28" si="53">O25/N25*100</f>
        <v>95.05441314</v>
      </c>
      <c r="Q25" s="198"/>
      <c r="R25" s="198"/>
      <c r="S25" s="198" t="s">
        <v>2532</v>
      </c>
      <c r="T25" s="194">
        <f t="shared" ref="T25:T28" si="54">((100*U25)-((100-V25)*U25))/(100-V25)</f>
        <v>1897500</v>
      </c>
      <c r="U25" s="198" t="s">
        <v>2533</v>
      </c>
      <c r="V25" s="198">
        <f>100*0.92</f>
        <v>92</v>
      </c>
      <c r="W25" s="198"/>
      <c r="X25" s="198" t="s">
        <v>2534</v>
      </c>
      <c r="Y25" s="198" t="s">
        <v>2535</v>
      </c>
      <c r="Z25" s="198"/>
      <c r="AA25" s="198"/>
      <c r="AB25" s="198" t="s">
        <v>2536</v>
      </c>
      <c r="AC25" s="194">
        <f t="shared" ref="AC25:AC28" si="55">AB25*100/(AB25+AD25+AF25)</f>
        <v>90.0565979</v>
      </c>
      <c r="AD25" s="198" t="s">
        <v>2537</v>
      </c>
      <c r="AE25" s="194">
        <f t="shared" ref="AE25:AE28" si="56">AD25*100/(AB25+AD25+AF25)</f>
        <v>0.000007840534937</v>
      </c>
      <c r="AF25" s="198" t="s">
        <v>2538</v>
      </c>
      <c r="AG25" s="194">
        <f t="shared" ref="AG25:AG28" si="57">AF25*100/(AB25+AD25+AF25)</f>
        <v>9.943394256</v>
      </c>
      <c r="AH25" s="198" t="s">
        <v>2539</v>
      </c>
      <c r="AI25" s="194">
        <f t="shared" ref="AI25:AI28" si="58">AH25/O25</f>
        <v>1.885437885</v>
      </c>
      <c r="AJ25" s="198" t="s">
        <v>1706</v>
      </c>
      <c r="AK25" s="198" t="s">
        <v>2540</v>
      </c>
      <c r="AL25" s="198" t="s">
        <v>2233</v>
      </c>
      <c r="AM25" s="198"/>
      <c r="AN25" s="198"/>
      <c r="AO25" s="198"/>
      <c r="AP25" s="198"/>
      <c r="AS25" s="192" t="s">
        <v>2541</v>
      </c>
      <c r="AT25" s="192" t="s">
        <v>2542</v>
      </c>
      <c r="AU25" s="192" t="s">
        <v>2543</v>
      </c>
      <c r="AV25" s="192" t="s">
        <v>2544</v>
      </c>
      <c r="AW25" s="192" t="s">
        <v>2545</v>
      </c>
      <c r="AX25" s="192" t="s">
        <v>2546</v>
      </c>
      <c r="AY25" s="192" t="str">
        <f t="shared" ref="AY25:AY28" si="59">O25</f>
        <v>146.561849</v>
      </c>
      <c r="AZ25" s="111"/>
      <c r="BA25" s="111"/>
      <c r="BB25" s="111"/>
      <c r="BC25" s="111"/>
      <c r="BD25" s="111"/>
      <c r="BE25" s="111"/>
      <c r="BF25" s="95" t="s">
        <v>681</v>
      </c>
      <c r="BG25" s="192">
        <f t="shared" ref="BG25:BG29" si="60">$AS25/AS25</f>
        <v>1</v>
      </c>
      <c r="BH25" s="192">
        <f t="shared" ref="BH25:BH28" si="61">($AS25/AT25)-SUM($BG25)</f>
        <v>0.09014236387</v>
      </c>
      <c r="BI25" s="192">
        <f t="shared" ref="BI25:BM25" si="48">($AS25/AU25)-SUM($BG25:BH25)</f>
        <v>0.1002473412</v>
      </c>
      <c r="BJ25" s="192">
        <f t="shared" si="48"/>
        <v>0.08513733655</v>
      </c>
      <c r="BK25" s="192">
        <f t="shared" si="48"/>
        <v>0.1002355681</v>
      </c>
      <c r="BL25" s="192">
        <f t="shared" si="48"/>
        <v>0.08569429008</v>
      </c>
      <c r="BM25" s="192">
        <f t="shared" si="48"/>
        <v>0.06497773184</v>
      </c>
    </row>
    <row r="26">
      <c r="A26" s="95" t="s">
        <v>684</v>
      </c>
      <c r="B26" s="7" t="s">
        <v>683</v>
      </c>
      <c r="E26" s="198">
        <f t="shared" si="49"/>
        <v>14.29153546</v>
      </c>
      <c r="F26" s="198">
        <f t="shared" si="50"/>
        <v>409.0136749</v>
      </c>
      <c r="G26" s="198">
        <f>70896.12/1000</f>
        <v>70.89612</v>
      </c>
      <c r="H26" s="198">
        <f>181391/1000</f>
        <v>181.391</v>
      </c>
      <c r="I26" s="198">
        <f t="shared" si="51"/>
        <v>252.28712</v>
      </c>
      <c r="J26" s="198">
        <f t="shared" si="52"/>
        <v>612.6050811</v>
      </c>
      <c r="K26" s="198"/>
      <c r="L26" s="198"/>
      <c r="M26" s="198"/>
      <c r="N26" s="198" t="s">
        <v>2547</v>
      </c>
      <c r="O26" s="198" t="s">
        <v>2548</v>
      </c>
      <c r="P26" s="198">
        <f t="shared" si="53"/>
        <v>29.73756217</v>
      </c>
      <c r="Q26" s="198"/>
      <c r="R26" s="198"/>
      <c r="S26" s="198" t="s">
        <v>2549</v>
      </c>
      <c r="T26" s="194">
        <f t="shared" si="54"/>
        <v>69483</v>
      </c>
      <c r="U26" s="198" t="s">
        <v>2550</v>
      </c>
      <c r="V26" s="198">
        <f>100*0.95</f>
        <v>95</v>
      </c>
      <c r="W26" s="198"/>
      <c r="X26" s="198" t="s">
        <v>1980</v>
      </c>
      <c r="Y26" s="198" t="s">
        <v>2551</v>
      </c>
      <c r="Z26" s="198"/>
      <c r="AA26" s="198"/>
      <c r="AB26" s="198" t="s">
        <v>2552</v>
      </c>
      <c r="AC26" s="194">
        <f t="shared" si="55"/>
        <v>3.376177488</v>
      </c>
      <c r="AD26" s="198" t="s">
        <v>2553</v>
      </c>
      <c r="AE26" s="194">
        <f t="shared" si="56"/>
        <v>0.00000005612586832</v>
      </c>
      <c r="AF26" s="198" t="s">
        <v>2554</v>
      </c>
      <c r="AG26" s="194">
        <f t="shared" si="57"/>
        <v>96.62382246</v>
      </c>
      <c r="AH26" s="198" t="s">
        <v>2555</v>
      </c>
      <c r="AI26" s="194">
        <f t="shared" si="58"/>
        <v>2.878284798</v>
      </c>
      <c r="AJ26" s="198" t="s">
        <v>1706</v>
      </c>
      <c r="AK26" s="198" t="s">
        <v>2556</v>
      </c>
      <c r="AL26" s="198" t="s">
        <v>54</v>
      </c>
      <c r="AM26" s="198"/>
      <c r="AN26" s="198"/>
      <c r="AO26" s="198"/>
      <c r="AP26" s="198"/>
      <c r="AS26" s="192" t="s">
        <v>2557</v>
      </c>
      <c r="AT26" s="192" t="s">
        <v>2558</v>
      </c>
      <c r="AU26" s="192" t="s">
        <v>2559</v>
      </c>
      <c r="AV26" s="192" t="s">
        <v>2560</v>
      </c>
      <c r="AW26" s="192" t="s">
        <v>2561</v>
      </c>
      <c r="AX26" s="192" t="s">
        <v>2562</v>
      </c>
      <c r="AY26" s="192" t="str">
        <f t="shared" si="59"/>
        <v>42.864889</v>
      </c>
      <c r="AZ26" s="111"/>
      <c r="BA26" s="111"/>
      <c r="BB26" s="111"/>
      <c r="BC26" s="111"/>
      <c r="BD26" s="111"/>
      <c r="BE26" s="111"/>
      <c r="BF26" s="95" t="s">
        <v>684</v>
      </c>
      <c r="BG26" s="192">
        <f t="shared" si="60"/>
        <v>1</v>
      </c>
      <c r="BH26" s="192">
        <f t="shared" si="61"/>
        <v>0.002960049854</v>
      </c>
      <c r="BI26" s="192">
        <f t="shared" ref="BI26:BM26" si="62">($AS26/AU26)-SUM($BG26:BH26)</f>
        <v>0.0007025780761</v>
      </c>
      <c r="BJ26" s="192">
        <f t="shared" si="62"/>
        <v>0.007761604518</v>
      </c>
      <c r="BK26" s="192">
        <f t="shared" si="62"/>
        <v>-0.001082556882</v>
      </c>
      <c r="BL26" s="192">
        <f t="shared" si="62"/>
        <v>-0.001375473041</v>
      </c>
      <c r="BM26" s="192">
        <f t="shared" si="62"/>
        <v>-0.01874219891</v>
      </c>
    </row>
    <row r="27">
      <c r="A27" s="95" t="s">
        <v>685</v>
      </c>
      <c r="B27" s="7" t="s">
        <v>683</v>
      </c>
      <c r="E27" s="198">
        <f t="shared" si="49"/>
        <v>10.58093441</v>
      </c>
      <c r="F27" s="198">
        <f t="shared" si="50"/>
        <v>0.0003394624694</v>
      </c>
      <c r="G27" s="198">
        <f>43928.16/1000</f>
        <v>43.92816</v>
      </c>
      <c r="H27" s="198">
        <f>276674.91/1000</f>
        <v>276.67491</v>
      </c>
      <c r="I27" s="198">
        <f t="shared" si="51"/>
        <v>320.60307</v>
      </c>
      <c r="J27" s="198">
        <f t="shared" si="52"/>
        <v>16.10611849</v>
      </c>
      <c r="K27" s="198"/>
      <c r="L27" s="198"/>
      <c r="M27" s="198"/>
      <c r="N27" s="198" t="s">
        <v>2563</v>
      </c>
      <c r="O27" s="198" t="s">
        <v>2564</v>
      </c>
      <c r="P27" s="198">
        <f t="shared" si="53"/>
        <v>31.2793001</v>
      </c>
      <c r="Q27" s="198"/>
      <c r="R27" s="198"/>
      <c r="S27" s="198" t="s">
        <v>2565</v>
      </c>
      <c r="T27" s="194">
        <f t="shared" si="54"/>
        <v>2467.727273</v>
      </c>
      <c r="U27" s="198" t="s">
        <v>2566</v>
      </c>
      <c r="V27" s="198">
        <f>100*0.89</f>
        <v>89</v>
      </c>
      <c r="W27" s="198"/>
      <c r="X27" s="198" t="s">
        <v>2567</v>
      </c>
      <c r="Y27" s="198" t="s">
        <v>2568</v>
      </c>
      <c r="Z27" s="198"/>
      <c r="AA27" s="198"/>
      <c r="AB27" s="198" t="s">
        <v>2569</v>
      </c>
      <c r="AC27" s="194">
        <f t="shared" si="55"/>
        <v>99.99679094</v>
      </c>
      <c r="AD27" s="198" t="s">
        <v>2570</v>
      </c>
      <c r="AE27" s="194">
        <f t="shared" si="56"/>
        <v>0.0000009188759667</v>
      </c>
      <c r="AF27" s="198" t="s">
        <v>2571</v>
      </c>
      <c r="AG27" s="194">
        <f t="shared" si="57"/>
        <v>0.003208143682</v>
      </c>
      <c r="AH27" s="198" t="s">
        <v>2572</v>
      </c>
      <c r="AI27" s="194">
        <f t="shared" si="58"/>
        <v>0.9324349378</v>
      </c>
      <c r="AJ27" s="198" t="s">
        <v>1706</v>
      </c>
      <c r="AK27" s="198" t="s">
        <v>2573</v>
      </c>
      <c r="AL27" s="198" t="s">
        <v>2233</v>
      </c>
      <c r="AM27" s="198"/>
      <c r="AN27" s="198"/>
      <c r="AO27" s="198"/>
      <c r="AP27" s="198"/>
      <c r="AS27" s="192" t="s">
        <v>2574</v>
      </c>
      <c r="AT27" s="192" t="s">
        <v>2575</v>
      </c>
      <c r="AU27" s="192" t="s">
        <v>2576</v>
      </c>
      <c r="AV27" s="192" t="s">
        <v>2577</v>
      </c>
      <c r="AW27" s="192" t="s">
        <v>2578</v>
      </c>
      <c r="AX27" s="192" t="s">
        <v>2579</v>
      </c>
      <c r="AY27" s="192" t="str">
        <f t="shared" si="59"/>
        <v>1.522183</v>
      </c>
      <c r="AZ27" s="111"/>
      <c r="BA27" s="111"/>
      <c r="BB27" s="111"/>
      <c r="BC27" s="111"/>
      <c r="BD27" s="111"/>
      <c r="BE27" s="111"/>
      <c r="BF27" s="95" t="s">
        <v>1863</v>
      </c>
      <c r="BG27" s="192">
        <f t="shared" si="60"/>
        <v>1</v>
      </c>
      <c r="BH27" s="192">
        <f t="shared" si="61"/>
        <v>0.03687466658</v>
      </c>
      <c r="BI27" s="192">
        <f t="shared" ref="BI27:BM27" si="63">($AS27/AU27)-SUM($BG27:BH27)</f>
        <v>-0.01832206678</v>
      </c>
      <c r="BJ27" s="192">
        <f t="shared" si="63"/>
        <v>0.08305256586</v>
      </c>
      <c r="BK27" s="192">
        <f t="shared" si="63"/>
        <v>0.00474234648</v>
      </c>
      <c r="BL27" s="192">
        <f t="shared" si="63"/>
        <v>-0.001201714209</v>
      </c>
      <c r="BM27" s="192">
        <f t="shared" si="63"/>
        <v>0.01978858906</v>
      </c>
    </row>
    <row r="28">
      <c r="A28" s="95" t="s">
        <v>686</v>
      </c>
      <c r="B28" s="7" t="s">
        <v>683</v>
      </c>
      <c r="E28" s="198">
        <f t="shared" si="49"/>
        <v>4.395239284</v>
      </c>
      <c r="F28" s="198">
        <f t="shared" si="50"/>
        <v>0.00003451027723</v>
      </c>
      <c r="G28" s="198">
        <f>56128.2/1000</f>
        <v>56.1282</v>
      </c>
      <c r="H28" s="198">
        <f>138533.83/1000</f>
        <v>138.53383</v>
      </c>
      <c r="I28" s="198">
        <f t="shared" si="51"/>
        <v>194.66203</v>
      </c>
      <c r="J28" s="198">
        <f t="shared" si="52"/>
        <v>128.8490152</v>
      </c>
      <c r="K28" s="198"/>
      <c r="L28" s="198"/>
      <c r="M28" s="198"/>
      <c r="N28" s="198" t="s">
        <v>2580</v>
      </c>
      <c r="O28" s="198" t="s">
        <v>2581</v>
      </c>
      <c r="P28" s="198">
        <f t="shared" si="53"/>
        <v>49.51372098</v>
      </c>
      <c r="Q28" s="198"/>
      <c r="R28" s="198"/>
      <c r="S28" s="198" t="s">
        <v>2582</v>
      </c>
      <c r="T28" s="194">
        <f t="shared" si="54"/>
        <v>17082</v>
      </c>
      <c r="U28" s="198" t="s">
        <v>2583</v>
      </c>
      <c r="V28" s="198">
        <f>100*0.9</f>
        <v>90</v>
      </c>
      <c r="W28" s="198"/>
      <c r="X28" s="198" t="s">
        <v>1798</v>
      </c>
      <c r="Y28" s="198" t="s">
        <v>2584</v>
      </c>
      <c r="Z28" s="198"/>
      <c r="AA28" s="198"/>
      <c r="AB28" s="198" t="s">
        <v>2585</v>
      </c>
      <c r="AC28" s="194">
        <f t="shared" si="55"/>
        <v>99.9992146</v>
      </c>
      <c r="AD28" s="198" t="s">
        <v>2586</v>
      </c>
      <c r="AE28" s="194">
        <f t="shared" si="56"/>
        <v>0.0000002297244379</v>
      </c>
      <c r="AF28" s="198" t="s">
        <v>2587</v>
      </c>
      <c r="AG28" s="194">
        <f t="shared" si="57"/>
        <v>0.0007851678609</v>
      </c>
      <c r="AH28" s="198" t="s">
        <v>2588</v>
      </c>
      <c r="AI28" s="194">
        <f t="shared" si="58"/>
        <v>0.2653006475</v>
      </c>
      <c r="AJ28" s="198" t="s">
        <v>1706</v>
      </c>
      <c r="AK28" s="198" t="s">
        <v>2589</v>
      </c>
      <c r="AL28" s="198" t="s">
        <v>2233</v>
      </c>
      <c r="AM28" s="198"/>
      <c r="AN28" s="198"/>
      <c r="AO28" s="198"/>
      <c r="AP28" s="198"/>
      <c r="AS28" s="192" t="s">
        <v>2590</v>
      </c>
      <c r="AT28" s="192" t="s">
        <v>2591</v>
      </c>
      <c r="AU28" s="192" t="s">
        <v>2592</v>
      </c>
      <c r="AV28" s="192" t="s">
        <v>2593</v>
      </c>
      <c r="AW28" s="192" t="s">
        <v>2594</v>
      </c>
      <c r="AX28" s="192" t="s">
        <v>2595</v>
      </c>
      <c r="AY28" s="192" t="str">
        <f t="shared" si="59"/>
        <v>29.315586</v>
      </c>
      <c r="AZ28" s="111"/>
      <c r="BA28" s="111"/>
      <c r="BB28" s="111"/>
      <c r="BC28" s="111"/>
      <c r="BD28" s="111"/>
      <c r="BE28" s="111"/>
      <c r="BF28" s="95" t="s">
        <v>1874</v>
      </c>
      <c r="BG28" s="192">
        <f t="shared" si="60"/>
        <v>1</v>
      </c>
      <c r="BH28" s="192">
        <f t="shared" si="61"/>
        <v>0.005407683809</v>
      </c>
      <c r="BI28" s="192">
        <f t="shared" ref="BI28:BM28" si="64">($AS28/AU28)-SUM($BG28:BH28)</f>
        <v>0.001293599309</v>
      </c>
      <c r="BJ28" s="192">
        <f t="shared" si="64"/>
        <v>0.001585817955</v>
      </c>
      <c r="BK28" s="192">
        <f t="shared" si="64"/>
        <v>0.0003368158145</v>
      </c>
      <c r="BL28" s="192">
        <f t="shared" si="64"/>
        <v>-0.001586943936</v>
      </c>
      <c r="BM28" s="192">
        <f t="shared" si="64"/>
        <v>0.02313390612</v>
      </c>
    </row>
    <row r="29">
      <c r="E29" s="97" t="s">
        <v>687</v>
      </c>
      <c r="F29" s="97"/>
      <c r="G29" s="7" t="s">
        <v>688</v>
      </c>
      <c r="H29" s="7"/>
      <c r="I29" s="7"/>
      <c r="AS29" s="192">
        <v>1.0</v>
      </c>
      <c r="AT29" s="192">
        <f t="shared" ref="AT29:AY29" si="65">AS29+0.1
</f>
        <v>1.1</v>
      </c>
      <c r="AU29" s="192">
        <f t="shared" si="65"/>
        <v>1.2</v>
      </c>
      <c r="AV29" s="192">
        <f t="shared" si="65"/>
        <v>1.3</v>
      </c>
      <c r="AW29" s="192">
        <f t="shared" si="65"/>
        <v>1.4</v>
      </c>
      <c r="AX29" s="192">
        <f t="shared" si="65"/>
        <v>1.5</v>
      </c>
      <c r="AY29" s="192">
        <f t="shared" si="65"/>
        <v>1.6</v>
      </c>
      <c r="AZ29" s="192"/>
      <c r="BA29" s="192"/>
      <c r="BB29" s="192"/>
      <c r="BC29" s="192"/>
      <c r="BD29" s="192"/>
      <c r="BE29" s="192"/>
      <c r="BF29" s="192" t="s">
        <v>1631</v>
      </c>
      <c r="BG29" s="192">
        <f t="shared" si="60"/>
        <v>1</v>
      </c>
      <c r="BH29" s="192">
        <f>(AT29/$AS29)-SUM($BG29)</f>
        <v>0.1</v>
      </c>
      <c r="BI29" s="192">
        <f t="shared" ref="BI29:BM29" si="66">(AU29/$AS29)-SUM($BG29:BH29)</f>
        <v>0.1</v>
      </c>
      <c r="BJ29" s="192">
        <f t="shared" si="66"/>
        <v>0.1</v>
      </c>
      <c r="BK29" s="192">
        <f t="shared" si="66"/>
        <v>0.1</v>
      </c>
      <c r="BL29" s="192">
        <f t="shared" si="66"/>
        <v>0.1</v>
      </c>
      <c r="BM29" s="192">
        <f t="shared" si="66"/>
        <v>0.1</v>
      </c>
    </row>
    <row r="30">
      <c r="G30" s="7"/>
      <c r="H30" s="7"/>
      <c r="I30" s="7"/>
    </row>
    <row r="31">
      <c r="G31" s="7"/>
      <c r="H31" s="7"/>
      <c r="I31" s="7"/>
    </row>
    <row r="32">
      <c r="A32" s="7">
        <v>0.0</v>
      </c>
      <c r="B32" s="7">
        <f t="shared" ref="B32:AL32" si="67">A32+1</f>
        <v>1</v>
      </c>
      <c r="C32" s="7">
        <f t="shared" si="67"/>
        <v>2</v>
      </c>
      <c r="D32" s="7">
        <f t="shared" si="67"/>
        <v>3</v>
      </c>
      <c r="E32" s="7">
        <f t="shared" si="67"/>
        <v>4</v>
      </c>
      <c r="F32" s="7">
        <f t="shared" si="67"/>
        <v>5</v>
      </c>
      <c r="G32" s="7">
        <f t="shared" si="67"/>
        <v>6</v>
      </c>
      <c r="H32" s="7">
        <f t="shared" si="67"/>
        <v>7</v>
      </c>
      <c r="I32" s="7">
        <f t="shared" si="67"/>
        <v>8</v>
      </c>
      <c r="J32" s="7">
        <f t="shared" si="67"/>
        <v>9</v>
      </c>
      <c r="K32" s="7">
        <f t="shared" si="67"/>
        <v>10</v>
      </c>
      <c r="L32" s="7">
        <f t="shared" si="67"/>
        <v>11</v>
      </c>
      <c r="M32" s="7">
        <f t="shared" si="67"/>
        <v>12</v>
      </c>
      <c r="N32" s="7">
        <f t="shared" si="67"/>
        <v>13</v>
      </c>
      <c r="O32" s="7">
        <f t="shared" si="67"/>
        <v>14</v>
      </c>
      <c r="P32" s="7">
        <f t="shared" si="67"/>
        <v>15</v>
      </c>
      <c r="Q32" s="7">
        <f t="shared" si="67"/>
        <v>16</v>
      </c>
      <c r="R32" s="7">
        <f t="shared" si="67"/>
        <v>17</v>
      </c>
      <c r="S32" s="7">
        <f t="shared" si="67"/>
        <v>18</v>
      </c>
      <c r="T32" s="7">
        <f t="shared" si="67"/>
        <v>19</v>
      </c>
      <c r="U32" s="7">
        <f t="shared" si="67"/>
        <v>20</v>
      </c>
      <c r="V32" s="7">
        <f t="shared" si="67"/>
        <v>21</v>
      </c>
      <c r="W32" s="7">
        <f t="shared" si="67"/>
        <v>22</v>
      </c>
      <c r="X32" s="7">
        <f t="shared" si="67"/>
        <v>23</v>
      </c>
      <c r="Y32" s="7">
        <f t="shared" si="67"/>
        <v>24</v>
      </c>
      <c r="Z32" s="7">
        <f t="shared" si="67"/>
        <v>25</v>
      </c>
      <c r="AA32" s="7">
        <f t="shared" si="67"/>
        <v>26</v>
      </c>
      <c r="AB32" s="7">
        <f t="shared" si="67"/>
        <v>27</v>
      </c>
      <c r="AC32" s="7">
        <f t="shared" si="67"/>
        <v>28</v>
      </c>
      <c r="AD32" s="7">
        <f t="shared" si="67"/>
        <v>29</v>
      </c>
      <c r="AE32" s="7">
        <f t="shared" si="67"/>
        <v>30</v>
      </c>
      <c r="AF32" s="7">
        <f t="shared" si="67"/>
        <v>31</v>
      </c>
      <c r="AG32" s="7">
        <f t="shared" si="67"/>
        <v>32</v>
      </c>
      <c r="AH32" s="7">
        <f t="shared" si="67"/>
        <v>33</v>
      </c>
      <c r="AI32" s="7">
        <f t="shared" si="67"/>
        <v>34</v>
      </c>
      <c r="AJ32" s="7">
        <f t="shared" si="67"/>
        <v>35</v>
      </c>
      <c r="AK32" s="7">
        <f t="shared" si="67"/>
        <v>36</v>
      </c>
      <c r="AL32" s="7">
        <f t="shared" si="67"/>
        <v>37</v>
      </c>
    </row>
    <row r="34">
      <c r="G34" s="7" t="s">
        <v>707</v>
      </c>
      <c r="H34" s="7"/>
      <c r="I34" s="7"/>
    </row>
    <row r="35">
      <c r="G35" s="101" t="s">
        <v>710</v>
      </c>
      <c r="H35" s="7"/>
      <c r="I35" s="7"/>
    </row>
  </sheetData>
  <hyperlinks>
    <hyperlink r:id="rId1" ref="G35"/>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1" width="24.29"/>
    <col customWidth="1" min="2" max="2" width="80.86"/>
    <col customWidth="1" min="3" max="3" width="75.0"/>
    <col customWidth="1" min="4" max="4" width="29.14"/>
    <col customWidth="1" min="5" max="5" width="36.71"/>
    <col customWidth="1" min="6" max="8" width="28.86"/>
    <col customWidth="1" min="9" max="9" width="43.57"/>
    <col customWidth="1" min="10" max="12" width="28.86"/>
    <col customWidth="1" min="13" max="13" width="35.57"/>
    <col customWidth="1" min="14" max="14" width="29.14"/>
    <col customWidth="1" min="15" max="16" width="29.57"/>
    <col customWidth="1" min="17" max="17" width="45.0"/>
    <col customWidth="1" min="18" max="18" width="143.43"/>
    <col customWidth="1" min="19" max="19" width="155.29"/>
    <col customWidth="1" min="20" max="20" width="32.86"/>
  </cols>
  <sheetData>
    <row r="1" ht="33.0" customHeight="1">
      <c r="A1" s="1" t="s">
        <v>872</v>
      </c>
      <c r="B1" s="3" t="s">
        <v>875</v>
      </c>
      <c r="C1" s="3" t="s">
        <v>874</v>
      </c>
      <c r="D1" s="3" t="s">
        <v>877</v>
      </c>
      <c r="E1" s="3" t="s">
        <v>2203</v>
      </c>
      <c r="F1" s="3" t="s">
        <v>879</v>
      </c>
      <c r="G1" s="3" t="s">
        <v>885</v>
      </c>
      <c r="H1" s="3" t="s">
        <v>881</v>
      </c>
      <c r="I1" s="3" t="s">
        <v>882</v>
      </c>
      <c r="J1" s="3" t="s">
        <v>892</v>
      </c>
      <c r="K1" s="3" t="s">
        <v>2204</v>
      </c>
      <c r="L1" s="3" t="s">
        <v>889</v>
      </c>
      <c r="M1" s="5" t="s">
        <v>894</v>
      </c>
      <c r="N1" s="5" t="s">
        <v>2205</v>
      </c>
      <c r="O1" s="5"/>
      <c r="P1" s="5"/>
      <c r="Q1" s="5"/>
      <c r="R1" s="5"/>
      <c r="S1" s="5"/>
      <c r="T1" s="23"/>
      <c r="AB1" s="6"/>
      <c r="AE1" s="141"/>
      <c r="AF1" s="141"/>
      <c r="AG1" s="141"/>
      <c r="AH1" s="141"/>
      <c r="AI1" s="141"/>
      <c r="AJ1" s="141"/>
      <c r="AK1" s="6"/>
      <c r="AL1" s="6"/>
    </row>
    <row r="2">
      <c r="A2" s="8" t="s">
        <v>934</v>
      </c>
      <c r="B2" s="21" t="s">
        <v>2206</v>
      </c>
      <c r="C2" s="9" t="s">
        <v>935</v>
      </c>
      <c r="D2" s="113">
        <v>2016.0</v>
      </c>
      <c r="E2" s="68">
        <v>8.0</v>
      </c>
      <c r="F2" s="68">
        <v>9.0</v>
      </c>
      <c r="G2" s="68">
        <v>30.0</v>
      </c>
      <c r="H2" s="68">
        <v>0.0</v>
      </c>
      <c r="I2" s="68">
        <v>0.0</v>
      </c>
      <c r="J2" s="68">
        <v>22.0</v>
      </c>
      <c r="K2" s="68">
        <v>10.0</v>
      </c>
      <c r="L2" s="68">
        <v>1.0</v>
      </c>
      <c r="M2" s="68">
        <f t="shared" ref="M2:M9" si="1">100-SUM(E2:L2)</f>
        <v>20</v>
      </c>
      <c r="N2" s="68">
        <v>412.0</v>
      </c>
      <c r="O2" s="68"/>
      <c r="P2" s="68"/>
      <c r="Q2" s="22"/>
      <c r="R2" s="22"/>
      <c r="S2" s="22"/>
      <c r="T2" s="145"/>
      <c r="U2" s="145"/>
      <c r="W2" s="146"/>
      <c r="AE2" s="144"/>
      <c r="AF2" s="144"/>
      <c r="AG2" s="144"/>
      <c r="AH2" s="144"/>
      <c r="AI2" s="144"/>
      <c r="AJ2" s="144"/>
      <c r="AK2" s="144"/>
      <c r="AL2" s="144"/>
    </row>
    <row r="3">
      <c r="A3" s="8" t="s">
        <v>902</v>
      </c>
      <c r="B3" s="21" t="s">
        <v>2207</v>
      </c>
      <c r="C3" s="21" t="s">
        <v>2208</v>
      </c>
      <c r="D3" s="113">
        <v>2016.0</v>
      </c>
      <c r="E3" s="68">
        <v>15.0</v>
      </c>
      <c r="F3" s="68">
        <v>7.0</v>
      </c>
      <c r="G3" s="68">
        <v>28.0</v>
      </c>
      <c r="H3" s="68">
        <v>12.0</v>
      </c>
      <c r="I3" s="68">
        <v>13.0</v>
      </c>
      <c r="J3" s="68">
        <v>2.0</v>
      </c>
      <c r="K3" s="68">
        <v>5.0</v>
      </c>
      <c r="L3" s="68">
        <v>2.0</v>
      </c>
      <c r="M3" s="68">
        <f t="shared" si="1"/>
        <v>16</v>
      </c>
      <c r="N3" s="68">
        <v>36.0</v>
      </c>
      <c r="O3" s="68"/>
      <c r="P3" s="68"/>
      <c r="Q3" s="22"/>
      <c r="R3" s="22"/>
      <c r="S3" s="22"/>
      <c r="T3" s="145"/>
      <c r="U3" s="145"/>
      <c r="W3" s="146"/>
      <c r="AE3" s="144"/>
      <c r="AF3" s="144"/>
      <c r="AG3" s="144"/>
      <c r="AH3" s="144"/>
      <c r="AI3" s="144"/>
      <c r="AJ3" s="144"/>
      <c r="AK3" s="144"/>
      <c r="AL3" s="144"/>
    </row>
    <row r="4">
      <c r="A4" s="8" t="s">
        <v>930</v>
      </c>
      <c r="B4" s="129" t="s">
        <v>2209</v>
      </c>
      <c r="C4" s="9" t="s">
        <v>931</v>
      </c>
      <c r="D4" s="113">
        <v>2017.0</v>
      </c>
      <c r="E4" s="68">
        <v>7.0</v>
      </c>
      <c r="F4" s="68">
        <v>6.0</v>
      </c>
      <c r="G4" s="68">
        <v>28.2</v>
      </c>
      <c r="H4" s="68">
        <v>0.0</v>
      </c>
      <c r="I4" s="68">
        <v>0.0</v>
      </c>
      <c r="J4" s="68">
        <v>42.0</v>
      </c>
      <c r="K4" s="68">
        <v>0.0</v>
      </c>
      <c r="L4" s="68">
        <v>3.0</v>
      </c>
      <c r="M4" s="68">
        <f t="shared" si="1"/>
        <v>13.8</v>
      </c>
      <c r="N4" s="68">
        <v>62.5</v>
      </c>
      <c r="O4" s="68"/>
      <c r="P4" s="68"/>
      <c r="Q4" s="22"/>
      <c r="R4" s="22"/>
      <c r="S4" s="150"/>
      <c r="T4" s="150"/>
      <c r="U4" s="145"/>
      <c r="W4" s="146"/>
      <c r="AE4" s="144"/>
      <c r="AF4" s="144"/>
      <c r="AG4" s="144"/>
      <c r="AH4" s="144"/>
      <c r="AI4" s="144"/>
      <c r="AJ4" s="144"/>
      <c r="AK4" s="144"/>
      <c r="AL4" s="144"/>
    </row>
    <row r="5">
      <c r="A5" s="8" t="s">
        <v>921</v>
      </c>
      <c r="B5" s="9" t="s">
        <v>2210</v>
      </c>
      <c r="C5" s="9" t="s">
        <v>922</v>
      </c>
      <c r="D5" s="113">
        <v>2017.0</v>
      </c>
      <c r="E5" s="68">
        <v>3.0</v>
      </c>
      <c r="F5" s="68">
        <v>37.0</v>
      </c>
      <c r="G5" s="68">
        <v>7.0</v>
      </c>
      <c r="H5" s="68">
        <v>0.0</v>
      </c>
      <c r="I5" s="68">
        <v>5.0</v>
      </c>
      <c r="J5" s="68">
        <v>23.0</v>
      </c>
      <c r="K5" s="68">
        <v>6.0</v>
      </c>
      <c r="L5" s="68">
        <v>16.0</v>
      </c>
      <c r="M5" s="68">
        <f t="shared" si="1"/>
        <v>3</v>
      </c>
      <c r="N5" s="68">
        <v>12.5</v>
      </c>
      <c r="O5" s="68"/>
      <c r="P5" s="68"/>
      <c r="Q5" s="22"/>
      <c r="R5" s="22"/>
      <c r="S5" s="22"/>
      <c r="T5" s="145"/>
      <c r="U5" s="145"/>
      <c r="W5" s="146"/>
      <c r="AE5" s="144"/>
      <c r="AF5" s="144"/>
      <c r="AG5" s="144"/>
      <c r="AH5" s="144"/>
      <c r="AI5" s="144"/>
      <c r="AJ5" s="144"/>
      <c r="AK5" s="144"/>
      <c r="AL5" s="144"/>
    </row>
    <row r="6">
      <c r="A6" s="8" t="s">
        <v>917</v>
      </c>
      <c r="B6" s="9" t="s">
        <v>2211</v>
      </c>
      <c r="C6" s="9" t="s">
        <v>2212</v>
      </c>
      <c r="D6" s="113">
        <v>2017.0</v>
      </c>
      <c r="E6" s="68">
        <v>10.0</v>
      </c>
      <c r="F6" s="68">
        <v>0.0</v>
      </c>
      <c r="G6" s="68">
        <v>31.0</v>
      </c>
      <c r="H6" s="68">
        <v>0.0</v>
      </c>
      <c r="I6" s="68">
        <v>35.0</v>
      </c>
      <c r="J6" s="68">
        <v>9.0</v>
      </c>
      <c r="K6" s="68">
        <v>0.0</v>
      </c>
      <c r="L6" s="68">
        <v>8.0</v>
      </c>
      <c r="M6" s="68">
        <f t="shared" si="1"/>
        <v>7</v>
      </c>
      <c r="N6" s="68">
        <v>37.5</v>
      </c>
      <c r="O6" s="68"/>
      <c r="P6" s="68"/>
      <c r="Q6" s="22"/>
      <c r="R6" s="22"/>
      <c r="S6" s="22"/>
      <c r="T6" s="145"/>
      <c r="U6" s="145"/>
      <c r="W6" s="146"/>
      <c r="AE6" s="144"/>
      <c r="AF6" s="144"/>
      <c r="AG6" s="144"/>
      <c r="AH6" s="144"/>
      <c r="AI6" s="144"/>
      <c r="AJ6" s="144"/>
      <c r="AK6" s="144"/>
      <c r="AL6" s="144"/>
    </row>
    <row r="7">
      <c r="A7" s="8" t="s">
        <v>2213</v>
      </c>
      <c r="B7" s="9" t="s">
        <v>2214</v>
      </c>
      <c r="C7" s="21" t="s">
        <v>2215</v>
      </c>
      <c r="D7" s="113">
        <v>2016.0</v>
      </c>
      <c r="E7" s="68">
        <v>13.0</v>
      </c>
      <c r="F7" s="68">
        <v>23.0</v>
      </c>
      <c r="G7" s="68">
        <v>6.5</v>
      </c>
      <c r="H7" s="68">
        <v>0.0</v>
      </c>
      <c r="I7" s="68">
        <v>45.0</v>
      </c>
      <c r="J7" s="68">
        <v>0.0</v>
      </c>
      <c r="K7" s="68">
        <v>0.0</v>
      </c>
      <c r="L7" s="68">
        <v>12.0</v>
      </c>
      <c r="M7" s="68">
        <f t="shared" si="1"/>
        <v>0.5</v>
      </c>
      <c r="N7" s="68">
        <v>720.0</v>
      </c>
      <c r="O7" s="68"/>
      <c r="P7" s="68"/>
      <c r="Q7" s="22"/>
      <c r="R7" s="22"/>
      <c r="S7" s="22"/>
      <c r="T7" s="145"/>
      <c r="U7" s="145"/>
      <c r="W7" s="146"/>
      <c r="AE7" s="147"/>
      <c r="AF7" s="147"/>
      <c r="AG7" s="147"/>
      <c r="AH7" s="147"/>
      <c r="AI7" s="147"/>
      <c r="AJ7" s="147"/>
      <c r="AK7" s="144"/>
      <c r="AL7" s="144"/>
    </row>
    <row r="8">
      <c r="A8" s="8" t="s">
        <v>2216</v>
      </c>
      <c r="B8" s="21" t="s">
        <v>2217</v>
      </c>
      <c r="C8" s="21" t="s">
        <v>2218</v>
      </c>
      <c r="D8" s="11">
        <v>2017.0</v>
      </c>
      <c r="E8" s="68">
        <v>11.0</v>
      </c>
      <c r="F8" s="68">
        <v>0.0</v>
      </c>
      <c r="G8" s="68">
        <v>0.0</v>
      </c>
      <c r="H8" s="68">
        <v>57.0</v>
      </c>
      <c r="I8" s="68">
        <v>21.0</v>
      </c>
      <c r="J8" s="68">
        <v>3.0</v>
      </c>
      <c r="K8" s="68">
        <v>4.0</v>
      </c>
      <c r="L8" s="68">
        <v>3.0</v>
      </c>
      <c r="M8" s="68">
        <f t="shared" si="1"/>
        <v>1</v>
      </c>
      <c r="N8" s="68">
        <v>71.0</v>
      </c>
      <c r="O8" s="68"/>
      <c r="P8" s="68"/>
      <c r="Q8" s="22"/>
      <c r="R8" s="22"/>
      <c r="S8" s="22"/>
      <c r="AE8" s="144"/>
      <c r="AF8" s="144"/>
      <c r="AG8" s="144"/>
      <c r="AH8" s="144"/>
      <c r="AI8" s="144"/>
      <c r="AJ8" s="144"/>
      <c r="AK8" s="144"/>
      <c r="AL8" s="144"/>
    </row>
    <row r="9">
      <c r="A9" s="8" t="s">
        <v>925</v>
      </c>
      <c r="B9" s="44" t="s">
        <v>2219</v>
      </c>
      <c r="C9" s="9" t="s">
        <v>926</v>
      </c>
      <c r="D9" s="113">
        <v>2013.0</v>
      </c>
      <c r="E9" s="68">
        <v>16.0</v>
      </c>
      <c r="F9" s="68">
        <v>24.0</v>
      </c>
      <c r="G9" s="68">
        <v>21.8</v>
      </c>
      <c r="H9" s="68">
        <v>0.0</v>
      </c>
      <c r="I9" s="68">
        <v>9.0</v>
      </c>
      <c r="J9" s="68">
        <v>0.0</v>
      </c>
      <c r="K9" s="68">
        <v>5.0</v>
      </c>
      <c r="L9" s="68">
        <v>5.0</v>
      </c>
      <c r="M9" s="68">
        <f t="shared" si="1"/>
        <v>19.2</v>
      </c>
      <c r="N9" s="68"/>
      <c r="O9" s="68"/>
      <c r="P9" s="68"/>
      <c r="Q9" s="22"/>
      <c r="R9" s="22"/>
      <c r="S9" s="150"/>
      <c r="T9" s="150"/>
      <c r="U9" s="145"/>
      <c r="W9" s="146"/>
      <c r="AE9" s="144"/>
      <c r="AF9" s="144"/>
      <c r="AG9" s="144"/>
      <c r="AH9" s="144"/>
      <c r="AI9" s="144"/>
      <c r="AJ9" s="144"/>
      <c r="AK9" s="144"/>
      <c r="AL9" s="144"/>
    </row>
    <row r="10">
      <c r="A10" s="8"/>
      <c r="B10" s="22"/>
      <c r="C10" s="9"/>
      <c r="D10" s="113"/>
      <c r="E10" s="68"/>
      <c r="F10" s="68"/>
      <c r="G10" s="68"/>
      <c r="H10" s="68"/>
      <c r="I10" s="68"/>
      <c r="J10" s="68"/>
      <c r="K10" s="68"/>
      <c r="L10" s="68"/>
      <c r="M10" s="68"/>
      <c r="N10" s="68"/>
      <c r="O10" s="68"/>
      <c r="P10" s="68"/>
      <c r="Q10" s="67"/>
      <c r="R10" s="22"/>
      <c r="S10" s="22"/>
      <c r="T10" s="145"/>
      <c r="U10" s="145"/>
      <c r="W10" s="146"/>
      <c r="AE10" s="144"/>
      <c r="AF10" s="144"/>
      <c r="AG10" s="144"/>
      <c r="AH10" s="144"/>
      <c r="AI10" s="144"/>
      <c r="AJ10" s="144"/>
      <c r="AK10" s="144"/>
      <c r="AL10" s="144"/>
    </row>
    <row r="11">
      <c r="A11" s="57"/>
      <c r="B11" s="22"/>
      <c r="C11" s="9"/>
      <c r="D11" s="113"/>
      <c r="E11" s="68"/>
      <c r="F11" s="68"/>
      <c r="G11" s="68"/>
      <c r="H11" s="68"/>
      <c r="I11" s="68"/>
      <c r="J11" s="68"/>
      <c r="K11" s="68"/>
      <c r="L11" s="68"/>
      <c r="M11" s="68"/>
      <c r="N11" s="68"/>
      <c r="O11" s="68"/>
      <c r="P11" s="68"/>
      <c r="Q11" s="22"/>
      <c r="R11" s="22"/>
      <c r="S11" s="22"/>
      <c r="T11" s="145"/>
      <c r="U11" s="145"/>
      <c r="W11" s="146"/>
      <c r="AE11" s="144"/>
      <c r="AF11" s="144"/>
      <c r="AG11" s="144"/>
      <c r="AH11" s="144"/>
      <c r="AI11" s="144"/>
      <c r="AJ11" s="144"/>
      <c r="AK11" s="144"/>
      <c r="AL11" s="144"/>
    </row>
    <row r="12">
      <c r="A12" s="57"/>
      <c r="B12" s="22"/>
      <c r="C12" s="9"/>
      <c r="D12" s="113"/>
      <c r="E12" s="68"/>
      <c r="F12" s="68"/>
      <c r="G12" s="68"/>
      <c r="H12" s="68"/>
      <c r="I12" s="68"/>
      <c r="J12" s="68"/>
      <c r="K12" s="68"/>
      <c r="L12" s="68"/>
      <c r="M12" s="68"/>
      <c r="N12" s="68"/>
      <c r="O12" s="68"/>
      <c r="P12" s="68"/>
      <c r="Q12" s="22"/>
      <c r="R12" s="22"/>
      <c r="S12" s="22"/>
      <c r="T12" s="145"/>
      <c r="U12" s="145"/>
      <c r="W12" s="146"/>
      <c r="AE12" s="144"/>
      <c r="AF12" s="144"/>
      <c r="AG12" s="144"/>
      <c r="AH12" s="144"/>
      <c r="AI12" s="144"/>
      <c r="AJ12" s="144"/>
      <c r="AK12" s="144"/>
      <c r="AL12" s="144"/>
    </row>
    <row r="13">
      <c r="A13" s="65"/>
      <c r="B13" s="3"/>
      <c r="C13" s="136"/>
      <c r="D13" s="3"/>
      <c r="E13" s="68"/>
      <c r="F13" s="68"/>
      <c r="G13" s="68"/>
      <c r="H13" s="68"/>
      <c r="I13" s="68"/>
      <c r="J13" s="68"/>
      <c r="K13" s="68"/>
      <c r="L13" s="68"/>
      <c r="M13" s="68"/>
      <c r="N13" s="68"/>
      <c r="O13" s="68"/>
      <c r="P13" s="68"/>
      <c r="Q13" s="5"/>
      <c r="R13" s="5"/>
      <c r="S13" s="5"/>
      <c r="AB13" s="6"/>
      <c r="AE13" s="141"/>
      <c r="AF13" s="141"/>
      <c r="AG13" s="141"/>
      <c r="AH13" s="141"/>
      <c r="AI13" s="141"/>
      <c r="AJ13" s="141"/>
      <c r="AK13" s="6"/>
      <c r="AL13" s="6"/>
    </row>
    <row r="14">
      <c r="A14" s="66"/>
      <c r="B14" s="67"/>
      <c r="C14" s="67"/>
      <c r="D14" s="68"/>
      <c r="E14" s="68"/>
      <c r="F14" s="68"/>
      <c r="G14" s="68"/>
      <c r="H14" s="68"/>
      <c r="I14" s="14"/>
      <c r="J14" s="68"/>
      <c r="K14" s="68"/>
      <c r="L14" s="68"/>
      <c r="M14" s="68"/>
      <c r="N14" s="68"/>
      <c r="O14" s="68"/>
      <c r="P14" s="68"/>
      <c r="Q14" s="70"/>
      <c r="R14" s="70"/>
      <c r="S14" s="70"/>
      <c r="T14" s="36"/>
      <c r="U14" s="152"/>
      <c r="AE14" s="144"/>
      <c r="AF14" s="144"/>
      <c r="AG14" s="144"/>
      <c r="AH14" s="144"/>
      <c r="AI14" s="144"/>
      <c r="AJ14" s="144"/>
    </row>
    <row r="15">
      <c r="A15" s="66"/>
      <c r="B15" s="67"/>
      <c r="C15" s="67"/>
      <c r="D15" s="68"/>
      <c r="E15" s="68"/>
      <c r="F15" s="68"/>
      <c r="G15" s="68"/>
      <c r="H15" s="68"/>
      <c r="I15" s="68"/>
      <c r="J15" s="68"/>
      <c r="K15" s="68"/>
      <c r="L15" s="68"/>
      <c r="M15" s="68"/>
      <c r="N15" s="68"/>
      <c r="O15" s="68"/>
      <c r="P15" s="68"/>
      <c r="Q15" s="70"/>
      <c r="R15" s="70"/>
      <c r="S15" s="70"/>
      <c r="T15" s="152"/>
      <c r="U15" s="152"/>
      <c r="AE15" s="144"/>
      <c r="AF15" s="144"/>
      <c r="AG15" s="144"/>
      <c r="AH15" s="144"/>
      <c r="AI15" s="144"/>
      <c r="AJ15" s="144"/>
      <c r="AK15" s="144"/>
      <c r="AL15" s="144"/>
    </row>
    <row r="16">
      <c r="A16" s="66"/>
      <c r="B16" s="153"/>
      <c r="C16" s="67"/>
      <c r="D16" s="11"/>
      <c r="E16" s="74"/>
      <c r="F16" s="154"/>
      <c r="G16" s="74"/>
      <c r="H16" s="154"/>
      <c r="I16" s="74"/>
      <c r="J16" s="74"/>
      <c r="K16" s="74"/>
      <c r="L16" s="74"/>
      <c r="M16" s="68"/>
      <c r="N16" s="74"/>
      <c r="O16" s="74"/>
      <c r="P16" s="74"/>
      <c r="Q16" s="22"/>
      <c r="R16" s="36"/>
      <c r="S16" s="36"/>
      <c r="AE16" s="144"/>
      <c r="AF16" s="144"/>
      <c r="AG16" s="144"/>
      <c r="AH16" s="74"/>
      <c r="AI16" s="144"/>
      <c r="AJ16" s="144"/>
      <c r="AK16" s="144"/>
      <c r="AL16" s="144"/>
    </row>
    <row r="17">
      <c r="A17" s="66"/>
      <c r="B17" s="67"/>
      <c r="C17" s="67"/>
      <c r="D17" s="68"/>
      <c r="E17" s="77"/>
      <c r="F17" s="68"/>
      <c r="G17" s="68"/>
      <c r="H17" s="68"/>
      <c r="I17" s="68"/>
      <c r="J17" s="68"/>
      <c r="K17" s="68"/>
      <c r="L17" s="68"/>
      <c r="M17" s="68"/>
      <c r="N17" s="68"/>
      <c r="O17" s="68"/>
      <c r="P17" s="68"/>
      <c r="Q17" s="70"/>
      <c r="R17" s="36"/>
      <c r="S17" s="21"/>
      <c r="T17" s="21"/>
      <c r="U17" s="152"/>
      <c r="AE17" s="144"/>
      <c r="AF17" s="144"/>
      <c r="AG17" s="144"/>
      <c r="AH17" s="144"/>
      <c r="AI17" s="144"/>
      <c r="AJ17" s="144"/>
    </row>
    <row r="18" ht="18.75" customHeight="1">
      <c r="A18" s="66"/>
      <c r="B18" s="67"/>
      <c r="C18" s="67"/>
      <c r="D18" s="68"/>
      <c r="E18" s="68"/>
      <c r="F18" s="68"/>
      <c r="G18" s="68"/>
      <c r="H18" s="68"/>
      <c r="I18" s="68"/>
      <c r="J18" s="68"/>
      <c r="K18" s="68"/>
      <c r="L18" s="68"/>
      <c r="M18" s="68"/>
      <c r="N18" s="68"/>
      <c r="O18" s="128"/>
      <c r="P18" s="68"/>
      <c r="Q18" s="22"/>
      <c r="R18" s="22"/>
      <c r="S18" s="22"/>
      <c r="T18" s="152"/>
      <c r="U18" s="152"/>
      <c r="AE18" s="144"/>
      <c r="AF18" s="144"/>
      <c r="AG18" s="144"/>
      <c r="AH18" s="144"/>
      <c r="AI18" s="144"/>
      <c r="AJ18" s="144"/>
      <c r="AK18" s="144"/>
      <c r="AL18" s="144"/>
    </row>
    <row r="19">
      <c r="A19" s="66"/>
      <c r="B19" s="67"/>
      <c r="C19" s="67"/>
      <c r="D19" s="68"/>
      <c r="E19" s="68"/>
      <c r="F19" s="68"/>
      <c r="G19" s="68"/>
      <c r="H19" s="68"/>
      <c r="I19" s="68"/>
      <c r="J19" s="68"/>
      <c r="K19" s="68"/>
      <c r="L19" s="68"/>
      <c r="M19" s="68"/>
      <c r="N19" s="68"/>
      <c r="O19" s="68"/>
      <c r="P19" s="68"/>
      <c r="Q19" s="70"/>
      <c r="R19" s="36"/>
      <c r="S19" s="36"/>
      <c r="T19" s="21"/>
      <c r="U19" s="152"/>
      <c r="AE19" s="144"/>
      <c r="AF19" s="144"/>
      <c r="AG19" s="144"/>
      <c r="AH19" s="144"/>
      <c r="AI19" s="144"/>
      <c r="AJ19" s="144"/>
    </row>
    <row r="20">
      <c r="A20" s="66"/>
      <c r="B20" s="21"/>
      <c r="C20" s="67"/>
      <c r="D20" s="68"/>
      <c r="E20" s="77"/>
      <c r="F20" s="14"/>
      <c r="G20" s="68"/>
      <c r="H20" s="14"/>
      <c r="I20" s="68"/>
      <c r="J20" s="68"/>
      <c r="K20" s="68"/>
      <c r="L20" s="68"/>
      <c r="M20" s="68"/>
      <c r="N20" s="68"/>
      <c r="O20" s="68"/>
      <c r="P20" s="68"/>
      <c r="Q20" s="70"/>
      <c r="R20" s="21"/>
      <c r="S20" s="36"/>
      <c r="U20" s="36"/>
      <c r="AE20" s="144"/>
      <c r="AF20" s="144"/>
      <c r="AG20" s="144"/>
      <c r="AH20" s="144"/>
      <c r="AI20" s="144"/>
      <c r="AJ20" s="144"/>
    </row>
    <row r="21">
      <c r="A21" s="66"/>
      <c r="B21" s="67"/>
      <c r="C21" s="67"/>
      <c r="D21" s="11"/>
      <c r="E21" s="74"/>
      <c r="F21" s="74"/>
      <c r="G21" s="74"/>
      <c r="H21" s="74"/>
      <c r="I21" s="74"/>
      <c r="J21" s="74"/>
      <c r="K21" s="74"/>
      <c r="L21" s="74"/>
      <c r="M21" s="74"/>
      <c r="N21" s="74"/>
      <c r="O21" s="74"/>
      <c r="P21" s="74"/>
      <c r="Q21" s="22"/>
      <c r="R21" s="36"/>
      <c r="S21" s="36"/>
      <c r="AE21" s="144"/>
      <c r="AF21" s="144"/>
      <c r="AG21" s="144"/>
      <c r="AH21" s="74"/>
      <c r="AI21" s="144"/>
      <c r="AJ21" s="144"/>
      <c r="AK21" s="144"/>
      <c r="AL21" s="144"/>
    </row>
    <row r="22">
      <c r="A22" s="95"/>
    </row>
    <row r="23">
      <c r="A23" s="95"/>
    </row>
    <row r="24">
      <c r="A24" s="95"/>
    </row>
    <row r="25">
      <c r="A25" s="95"/>
    </row>
    <row r="26">
      <c r="Q26" s="7" t="s">
        <v>939</v>
      </c>
      <c r="R26" s="7"/>
      <c r="S26" s="7"/>
    </row>
    <row r="27">
      <c r="E27" s="7"/>
      <c r="V27" s="7"/>
      <c r="W27" s="7"/>
      <c r="X27" s="7"/>
      <c r="Y27" s="7"/>
      <c r="Z27" s="7"/>
      <c r="AA27" s="7"/>
      <c r="AB27" s="7"/>
      <c r="AC27" s="7"/>
    </row>
    <row r="28">
      <c r="E28" s="7"/>
      <c r="W28" s="7"/>
      <c r="X28" s="7"/>
      <c r="Y28" s="7"/>
      <c r="Z28" s="7"/>
      <c r="AA28" s="7"/>
      <c r="AB28" s="7"/>
      <c r="AC28" s="7"/>
    </row>
    <row r="29">
      <c r="E29" s="7"/>
      <c r="W29" s="7"/>
      <c r="X29" s="7"/>
      <c r="Y29" s="7"/>
      <c r="Z29" s="7"/>
      <c r="AA29" s="7"/>
      <c r="AB29" s="7"/>
      <c r="AC29" s="7"/>
    </row>
    <row r="30">
      <c r="X30" s="7"/>
      <c r="Y30" s="7"/>
      <c r="Z30" s="7"/>
      <c r="AA30" s="7"/>
      <c r="AB30" s="7"/>
      <c r="AC30" s="7"/>
    </row>
    <row r="31">
      <c r="X31" s="7"/>
      <c r="Y31" s="7"/>
      <c r="Z31" s="7"/>
      <c r="AA31" s="7"/>
      <c r="AB31" s="7"/>
      <c r="AC31" s="7"/>
      <c r="AD31" s="7"/>
    </row>
    <row r="32">
      <c r="AD32" s="7"/>
      <c r="AE32" s="7"/>
      <c r="AF32" s="155"/>
      <c r="AG32" s="7"/>
      <c r="AH32" s="7"/>
    </row>
    <row r="33">
      <c r="AD33" s="7"/>
      <c r="AE33" s="7"/>
      <c r="AF33" s="155"/>
      <c r="AG33" s="7"/>
      <c r="AH33" s="7"/>
    </row>
    <row r="34">
      <c r="D34" s="156"/>
      <c r="E34" s="156"/>
      <c r="F34" s="157"/>
      <c r="H34" s="157"/>
      <c r="AD34" s="7"/>
      <c r="AE34" s="7"/>
      <c r="AF34" s="155"/>
      <c r="AG34" s="7"/>
      <c r="AH34" s="7"/>
    </row>
    <row r="35">
      <c r="D35" s="157"/>
      <c r="E35" s="156"/>
      <c r="F35" s="157"/>
      <c r="H35" s="157"/>
      <c r="AD35" s="7"/>
      <c r="AE35" s="7"/>
      <c r="AF35" s="155"/>
      <c r="AG35" s="7"/>
    </row>
    <row r="36">
      <c r="D36" s="157"/>
      <c r="E36" s="156"/>
      <c r="F36" s="157"/>
      <c r="H36" s="157"/>
      <c r="AE36" s="7"/>
      <c r="AF36" s="7"/>
      <c r="AG36" s="7"/>
    </row>
    <row r="37">
      <c r="D37" s="157"/>
      <c r="E37" s="156"/>
      <c r="F37" s="157"/>
      <c r="H37" s="157"/>
      <c r="AE37" s="7"/>
      <c r="AF37" s="7"/>
      <c r="AG37" s="7"/>
    </row>
    <row r="38">
      <c r="AE38" s="7"/>
      <c r="AF38" s="7"/>
      <c r="AG38" s="155"/>
    </row>
    <row r="39">
      <c r="E39" s="158"/>
      <c r="AE39" s="7"/>
      <c r="AF39" s="7"/>
      <c r="AG39" s="155"/>
    </row>
    <row r="40">
      <c r="AG40" s="155"/>
    </row>
    <row r="45">
      <c r="AF45" s="7"/>
      <c r="AG45" s="7"/>
    </row>
    <row r="49">
      <c r="Y49" s="7"/>
      <c r="Z49" s="7"/>
      <c r="AF49" s="7"/>
    </row>
    <row r="50">
      <c r="Y50" s="7"/>
      <c r="Z50" s="7"/>
      <c r="AB50" s="7"/>
      <c r="AC50" s="7"/>
      <c r="AF50" s="7"/>
    </row>
    <row r="51">
      <c r="Y51" s="7"/>
      <c r="Z51" s="7"/>
      <c r="AB51" s="7"/>
      <c r="AC51" s="7"/>
      <c r="AF51" s="7"/>
    </row>
    <row r="52">
      <c r="Y52" s="7"/>
      <c r="Z52" s="7"/>
      <c r="AB52" s="7"/>
      <c r="AC52" s="7"/>
      <c r="AF52" s="7"/>
    </row>
    <row r="53">
      <c r="Y53" s="7"/>
      <c r="Z53" s="7"/>
      <c r="AB53" s="7"/>
      <c r="AC53" s="7"/>
      <c r="AF53" s="7"/>
    </row>
    <row r="54">
      <c r="Y54" s="7"/>
      <c r="Z54" s="7"/>
      <c r="AB54" s="7"/>
      <c r="AC54" s="7"/>
      <c r="AF54" s="7"/>
    </row>
    <row r="201">
      <c r="A201" s="108" t="s">
        <v>385</v>
      </c>
      <c r="B201" s="3" t="s">
        <v>2</v>
      </c>
      <c r="C201" s="3" t="s">
        <v>1</v>
      </c>
      <c r="D201" s="3" t="s">
        <v>834</v>
      </c>
      <c r="E201" s="3" t="s">
        <v>5</v>
      </c>
      <c r="F201" s="3" t="s">
        <v>835</v>
      </c>
      <c r="G201" s="3" t="s">
        <v>836</v>
      </c>
      <c r="H201" s="3"/>
      <c r="I201" s="3" t="s">
        <v>305</v>
      </c>
      <c r="J201" s="3"/>
      <c r="K201" s="3"/>
      <c r="L201" s="3"/>
      <c r="M201" s="5" t="s">
        <v>837</v>
      </c>
      <c r="N201" s="5" t="s">
        <v>840</v>
      </c>
      <c r="O201" s="5" t="s">
        <v>841</v>
      </c>
      <c r="P201" s="5" t="s">
        <v>842</v>
      </c>
      <c r="Q201" s="5" t="s">
        <v>21</v>
      </c>
      <c r="R201" s="5" t="s">
        <v>23</v>
      </c>
      <c r="S201" s="159"/>
    </row>
    <row r="202">
      <c r="A202" s="57" t="s">
        <v>30</v>
      </c>
      <c r="B202" s="21"/>
      <c r="C202" s="21" t="s">
        <v>31</v>
      </c>
      <c r="D202" s="116" t="str">
        <f t="shared" ref="D202:D213" si="2">F202/G202</f>
        <v>#REF!</v>
      </c>
      <c r="E202" s="111"/>
      <c r="F202" s="112" t="str">
        <f t="shared" ref="F202:F213" si="3">M202+#REF!</f>
        <v>#REF!</v>
      </c>
      <c r="G202" s="113">
        <v>16.282866</v>
      </c>
      <c r="H202" s="112"/>
      <c r="I202" s="113">
        <v>24.147293281</v>
      </c>
      <c r="J202" s="113"/>
      <c r="K202" s="113"/>
      <c r="L202" s="113"/>
      <c r="M202" s="114">
        <v>142.013071534</v>
      </c>
      <c r="N202" s="114" t="str">
        <f t="shared" ref="N202:N213" si="4">#REF!*100/(M202+#REF!+O202)</f>
        <v>#REF!</v>
      </c>
      <c r="O202" s="114">
        <v>514.276999707</v>
      </c>
      <c r="P202" s="114" t="str">
        <f t="shared" ref="P202:P213" si="5">O202*100/(M202+#REF!+O202)</f>
        <v>#REF!</v>
      </c>
      <c r="Q202" s="22"/>
      <c r="R202" s="21" t="s">
        <v>940</v>
      </c>
      <c r="S202" s="21"/>
    </row>
    <row r="203">
      <c r="A203" s="57" t="s">
        <v>58</v>
      </c>
      <c r="B203" s="21"/>
      <c r="C203" s="21" t="s">
        <v>31</v>
      </c>
      <c r="D203" s="116" t="str">
        <f t="shared" si="2"/>
        <v>#REF!</v>
      </c>
      <c r="E203" s="111"/>
      <c r="F203" s="112" t="str">
        <f t="shared" si="3"/>
        <v>#REF!</v>
      </c>
      <c r="G203" s="117">
        <v>84.4125339985</v>
      </c>
      <c r="H203" s="112"/>
      <c r="I203" s="117">
        <v>299.336068822</v>
      </c>
      <c r="J203" s="117"/>
      <c r="K203" s="117"/>
      <c r="L203" s="117"/>
      <c r="M203" s="114">
        <v>0.010961698</v>
      </c>
      <c r="N203" s="114" t="str">
        <f t="shared" si="4"/>
        <v>#REF!</v>
      </c>
      <c r="O203" s="114">
        <v>2798.306060702</v>
      </c>
      <c r="P203" s="114" t="str">
        <f t="shared" si="5"/>
        <v>#REF!</v>
      </c>
      <c r="Q203" s="22"/>
      <c r="R203" s="22" t="s">
        <v>941</v>
      </c>
      <c r="S203" s="22"/>
    </row>
    <row r="204">
      <c r="A204" s="57" t="s">
        <v>69</v>
      </c>
      <c r="B204" s="21"/>
      <c r="C204" s="21" t="s">
        <v>31</v>
      </c>
      <c r="D204" s="110" t="str">
        <f t="shared" si="2"/>
        <v>#REF!</v>
      </c>
      <c r="E204" s="111"/>
      <c r="F204" s="112" t="str">
        <f t="shared" si="3"/>
        <v>#REF!</v>
      </c>
      <c r="G204" s="111">
        <v>0.383293</v>
      </c>
      <c r="H204" s="112"/>
      <c r="I204" s="111">
        <v>0.510844769</v>
      </c>
      <c r="J204" s="111"/>
      <c r="K204" s="111"/>
      <c r="L204" s="111"/>
      <c r="M204" s="119">
        <v>19.085128748</v>
      </c>
      <c r="N204" s="114" t="str">
        <f t="shared" si="4"/>
        <v>#REF!</v>
      </c>
      <c r="O204" s="120">
        <v>0.03454121</v>
      </c>
      <c r="P204" s="114" t="str">
        <f t="shared" si="5"/>
        <v>#REF!</v>
      </c>
      <c r="Q204" s="22"/>
      <c r="R204" s="22" t="s">
        <v>942</v>
      </c>
      <c r="S204" s="22"/>
    </row>
    <row r="205">
      <c r="A205" s="57" t="s">
        <v>92</v>
      </c>
      <c r="B205" s="9"/>
      <c r="C205" s="9" t="s">
        <v>93</v>
      </c>
      <c r="D205" s="116" t="str">
        <f t="shared" si="2"/>
        <v>#REF!</v>
      </c>
      <c r="E205" s="113"/>
      <c r="F205" s="112" t="str">
        <f t="shared" si="3"/>
        <v>#REF!</v>
      </c>
      <c r="G205" s="113">
        <v>5.602739919</v>
      </c>
      <c r="H205" s="112"/>
      <c r="I205" s="113">
        <v>6.418983413</v>
      </c>
      <c r="J205" s="113"/>
      <c r="K205" s="113"/>
      <c r="L205" s="113"/>
      <c r="M205" s="122">
        <v>43.499271581</v>
      </c>
      <c r="N205" s="114" t="str">
        <f t="shared" si="4"/>
        <v>#REF!</v>
      </c>
      <c r="O205" s="113">
        <v>421.414497735</v>
      </c>
      <c r="P205" s="114" t="str">
        <f t="shared" si="5"/>
        <v>#REF!</v>
      </c>
      <c r="Q205" s="22"/>
      <c r="R205" s="22" t="s">
        <v>943</v>
      </c>
      <c r="S205" s="22"/>
    </row>
    <row r="206">
      <c r="A206" s="57" t="s">
        <v>117</v>
      </c>
      <c r="B206" s="9"/>
      <c r="C206" s="9" t="s">
        <v>93</v>
      </c>
      <c r="D206" s="116" t="str">
        <f t="shared" si="2"/>
        <v>#REF!</v>
      </c>
      <c r="E206" s="113"/>
      <c r="F206" s="112" t="str">
        <f t="shared" si="3"/>
        <v>#REF!</v>
      </c>
      <c r="G206" s="113">
        <v>9.84923</v>
      </c>
      <c r="H206" s="112"/>
      <c r="I206" s="113">
        <v>9.94285944</v>
      </c>
      <c r="J206" s="113"/>
      <c r="K206" s="113"/>
      <c r="L206" s="113"/>
      <c r="M206" s="113">
        <v>0.163862258</v>
      </c>
      <c r="N206" s="114" t="str">
        <f t="shared" si="4"/>
        <v>#REF!</v>
      </c>
      <c r="O206" s="113">
        <v>78.232207553</v>
      </c>
      <c r="P206" s="114" t="str">
        <f t="shared" si="5"/>
        <v>#REF!</v>
      </c>
      <c r="Q206" s="22"/>
      <c r="R206" s="22" t="s">
        <v>944</v>
      </c>
      <c r="S206" s="22"/>
    </row>
    <row r="207">
      <c r="A207" s="57" t="s">
        <v>139</v>
      </c>
      <c r="B207" s="9"/>
      <c r="C207" s="9" t="s">
        <v>93</v>
      </c>
      <c r="D207" s="116" t="str">
        <f t="shared" si="2"/>
        <v>#REF!</v>
      </c>
      <c r="E207" s="125"/>
      <c r="F207" s="112" t="str">
        <f t="shared" si="3"/>
        <v>#REF!</v>
      </c>
      <c r="G207" s="113">
        <v>57.62846</v>
      </c>
      <c r="H207" s="112"/>
      <c r="I207" s="127">
        <v>62.371648399</v>
      </c>
      <c r="J207" s="113"/>
      <c r="K207" s="113"/>
      <c r="L207" s="113"/>
      <c r="M207" s="113">
        <v>1501.97143463</v>
      </c>
      <c r="N207" s="114" t="str">
        <f t="shared" si="4"/>
        <v>#REF!</v>
      </c>
      <c r="O207" s="113">
        <v>172.314106331</v>
      </c>
      <c r="P207" s="114" t="str">
        <f t="shared" si="5"/>
        <v>#REF!</v>
      </c>
      <c r="Q207" s="22"/>
      <c r="R207" s="22" t="s">
        <v>945</v>
      </c>
      <c r="S207" s="22"/>
    </row>
    <row r="208">
      <c r="A208" s="57" t="s">
        <v>159</v>
      </c>
      <c r="B208" s="44"/>
      <c r="C208" s="9" t="s">
        <v>160</v>
      </c>
      <c r="D208" s="116" t="str">
        <f t="shared" si="2"/>
        <v>#REF!</v>
      </c>
      <c r="E208" s="113"/>
      <c r="F208" s="112" t="str">
        <f t="shared" si="3"/>
        <v>#REF!</v>
      </c>
      <c r="G208" s="113">
        <v>1.485789</v>
      </c>
      <c r="H208" s="112"/>
      <c r="I208" s="113">
        <v>2.142226746</v>
      </c>
      <c r="J208" s="113"/>
      <c r="K208" s="113"/>
      <c r="L208" s="113"/>
      <c r="M208" s="113">
        <v>18.775254548</v>
      </c>
      <c r="N208" s="114" t="str">
        <f t="shared" si="4"/>
        <v>#REF!</v>
      </c>
      <c r="O208" s="113">
        <v>120.715528548</v>
      </c>
      <c r="P208" s="114" t="str">
        <f t="shared" si="5"/>
        <v>#REF!</v>
      </c>
      <c r="Q208" s="22"/>
      <c r="R208" s="22" t="s">
        <v>946</v>
      </c>
      <c r="S208" s="22"/>
    </row>
    <row r="209">
      <c r="A209" s="57" t="s">
        <v>185</v>
      </c>
      <c r="B209" s="129"/>
      <c r="C209" s="9" t="s">
        <v>160</v>
      </c>
      <c r="D209" s="124" t="str">
        <f t="shared" si="2"/>
        <v>#REF!</v>
      </c>
      <c r="E209" s="113"/>
      <c r="F209" s="112" t="str">
        <f t="shared" si="3"/>
        <v>#REF!</v>
      </c>
      <c r="G209" s="113">
        <v>5.315241</v>
      </c>
      <c r="H209" s="112"/>
      <c r="I209" s="113">
        <v>6.355860486</v>
      </c>
      <c r="J209" s="113"/>
      <c r="K209" s="113"/>
      <c r="L209" s="113"/>
      <c r="M209" s="125">
        <v>8.0E-9</v>
      </c>
      <c r="N209" s="114" t="str">
        <f t="shared" si="4"/>
        <v>#REF!</v>
      </c>
      <c r="O209" s="113">
        <v>118.177734592</v>
      </c>
      <c r="P209" s="114" t="str">
        <f t="shared" si="5"/>
        <v>#REF!</v>
      </c>
      <c r="Q209" s="22"/>
      <c r="R209" s="22" t="s">
        <v>947</v>
      </c>
      <c r="S209" s="22"/>
    </row>
    <row r="210">
      <c r="A210" s="57" t="s">
        <v>209</v>
      </c>
      <c r="B210" s="129"/>
      <c r="C210" s="9" t="s">
        <v>160</v>
      </c>
      <c r="D210" s="110" t="str">
        <f t="shared" si="2"/>
        <v>#REF!</v>
      </c>
      <c r="E210" s="113"/>
      <c r="F210" s="112" t="str">
        <f t="shared" si="3"/>
        <v>#REF!</v>
      </c>
      <c r="G210" s="113">
        <v>0.251854</v>
      </c>
      <c r="H210" s="112"/>
      <c r="I210" s="113">
        <v>0.753715085</v>
      </c>
      <c r="J210" s="113"/>
      <c r="K210" s="113"/>
      <c r="L210" s="113"/>
      <c r="M210" s="68">
        <v>16.239797176</v>
      </c>
      <c r="N210" s="114" t="str">
        <f t="shared" si="4"/>
        <v>#REF!</v>
      </c>
      <c r="O210" s="68">
        <v>0.772914421</v>
      </c>
      <c r="P210" s="114" t="str">
        <f t="shared" si="5"/>
        <v>#REF!</v>
      </c>
      <c r="Q210" s="22"/>
      <c r="R210" s="22" t="s">
        <v>948</v>
      </c>
      <c r="S210" s="22"/>
    </row>
    <row r="211">
      <c r="A211" s="57" t="s">
        <v>232</v>
      </c>
      <c r="B211" s="22"/>
      <c r="C211" s="9" t="s">
        <v>233</v>
      </c>
      <c r="D211" s="116" t="str">
        <f t="shared" si="2"/>
        <v>#REF!</v>
      </c>
      <c r="E211" s="131"/>
      <c r="F211" s="112" t="str">
        <f t="shared" si="3"/>
        <v>#REF!</v>
      </c>
      <c r="G211" s="68">
        <v>1.876903</v>
      </c>
      <c r="H211" s="112"/>
      <c r="I211" s="68">
        <v>2.023362284</v>
      </c>
      <c r="J211" s="68"/>
      <c r="K211" s="68"/>
      <c r="L211" s="68"/>
      <c r="M211" s="68">
        <v>134.502467187</v>
      </c>
      <c r="N211" s="114" t="str">
        <f t="shared" si="4"/>
        <v>#REF!</v>
      </c>
      <c r="O211" s="68">
        <v>1.585628781</v>
      </c>
      <c r="P211" s="114" t="str">
        <f t="shared" si="5"/>
        <v>#REF!</v>
      </c>
      <c r="Q211" s="132"/>
      <c r="R211" s="22" t="s">
        <v>949</v>
      </c>
      <c r="S211" s="22"/>
    </row>
    <row r="212">
      <c r="A212" s="57" t="s">
        <v>258</v>
      </c>
      <c r="B212" s="22"/>
      <c r="C212" s="9" t="s">
        <v>233</v>
      </c>
      <c r="D212" s="116" t="str">
        <f t="shared" si="2"/>
        <v>#REF!</v>
      </c>
      <c r="E212" s="113"/>
      <c r="F212" s="112" t="str">
        <f t="shared" si="3"/>
        <v>#REF!</v>
      </c>
      <c r="G212" s="113">
        <v>1.080098</v>
      </c>
      <c r="H212" s="112"/>
      <c r="I212" s="113">
        <v>1.163434952</v>
      </c>
      <c r="J212" s="113"/>
      <c r="K212" s="113"/>
      <c r="L212" s="113"/>
      <c r="M212" s="130">
        <v>10.716997083</v>
      </c>
      <c r="N212" s="114" t="str">
        <f t="shared" si="4"/>
        <v>#REF!</v>
      </c>
      <c r="O212" s="68">
        <v>39.803545551</v>
      </c>
      <c r="P212" s="114" t="str">
        <f t="shared" si="5"/>
        <v>#REF!</v>
      </c>
      <c r="Q212" s="22"/>
      <c r="R212" s="22" t="s">
        <v>950</v>
      </c>
      <c r="S212" s="22"/>
    </row>
    <row r="213">
      <c r="A213" s="57" t="s">
        <v>280</v>
      </c>
      <c r="B213" s="22"/>
      <c r="C213" s="9" t="s">
        <v>233</v>
      </c>
      <c r="D213" s="116" t="str">
        <f t="shared" si="2"/>
        <v>#REF!</v>
      </c>
      <c r="E213" s="113"/>
      <c r="F213" s="112" t="str">
        <f t="shared" si="3"/>
        <v>#REF!</v>
      </c>
      <c r="G213" s="113">
        <v>2.103749</v>
      </c>
      <c r="H213" s="112"/>
      <c r="I213" s="113">
        <v>12.144893592</v>
      </c>
      <c r="J213" s="113"/>
      <c r="K213" s="113"/>
      <c r="L213" s="113"/>
      <c r="M213" s="113">
        <v>16.599442734</v>
      </c>
      <c r="N213" s="114" t="str">
        <f t="shared" si="4"/>
        <v>#REF!</v>
      </c>
      <c r="O213" s="113">
        <v>20.279928345</v>
      </c>
      <c r="P213" s="114" t="str">
        <f t="shared" si="5"/>
        <v>#REF!</v>
      </c>
      <c r="Q213" s="22"/>
      <c r="R213" s="22" t="s">
        <v>951</v>
      </c>
      <c r="S213" s="22"/>
    </row>
    <row r="214">
      <c r="A214" s="134"/>
      <c r="B214" s="62"/>
      <c r="C214" s="62"/>
      <c r="D214" s="134"/>
      <c r="E214" s="134"/>
      <c r="F214" s="134"/>
      <c r="G214" s="134"/>
      <c r="H214" s="134"/>
      <c r="I214" s="134"/>
      <c r="J214" s="134"/>
      <c r="K214" s="134"/>
      <c r="L214" s="134"/>
      <c r="M214" s="134"/>
      <c r="N214" s="134"/>
      <c r="O214" s="134"/>
      <c r="P214" s="134"/>
      <c r="Q214" s="134"/>
      <c r="R214" s="134"/>
      <c r="S214" s="134"/>
    </row>
    <row r="215">
      <c r="A215" s="65" t="s">
        <v>303</v>
      </c>
      <c r="B215" s="3" t="s">
        <v>304</v>
      </c>
      <c r="C215" s="136" t="s">
        <v>2220</v>
      </c>
      <c r="D215" s="3" t="s">
        <v>4</v>
      </c>
      <c r="E215" s="3" t="s">
        <v>5</v>
      </c>
      <c r="F215" s="3" t="s">
        <v>6</v>
      </c>
      <c r="G215" s="3" t="s">
        <v>836</v>
      </c>
      <c r="H215" s="3"/>
      <c r="I215" s="3" t="s">
        <v>305</v>
      </c>
      <c r="J215" s="3"/>
      <c r="K215" s="3"/>
      <c r="L215" s="3"/>
      <c r="M215" s="5"/>
      <c r="N215" s="5" t="s">
        <v>18</v>
      </c>
      <c r="O215" s="5"/>
      <c r="P215" s="5" t="s">
        <v>20</v>
      </c>
      <c r="Q215" s="5" t="s">
        <v>21</v>
      </c>
      <c r="R215" s="5" t="s">
        <v>23</v>
      </c>
      <c r="S215" s="159"/>
    </row>
    <row r="216">
      <c r="A216" s="66" t="s">
        <v>307</v>
      </c>
      <c r="B216" s="67"/>
      <c r="C216" s="67" t="s">
        <v>308</v>
      </c>
      <c r="D216" s="124" t="str">
        <f t="shared" ref="D216:D223" si="6">F216/G216</f>
        <v>#REF!</v>
      </c>
      <c r="E216" s="68"/>
      <c r="F216" s="112" t="str">
        <f t="shared" ref="F216:F223" si="7">M216+#REF!</f>
        <v>#REF!</v>
      </c>
      <c r="G216" s="68">
        <v>121.549358</v>
      </c>
      <c r="H216" s="112"/>
      <c r="I216" s="14">
        <v>138.315746029</v>
      </c>
      <c r="J216" s="68"/>
      <c r="K216" s="68"/>
      <c r="L216" s="68"/>
      <c r="M216" s="68">
        <v>4650.241670238</v>
      </c>
      <c r="N216" s="114" t="str">
        <f t="shared" ref="N216:N223" si="8">#REF!*100/(M216+#REF!+O216)</f>
        <v>#REF!</v>
      </c>
      <c r="O216" s="68">
        <v>38009.759060646</v>
      </c>
      <c r="P216" s="114" t="str">
        <f t="shared" ref="P216:P223" si="9">O216*100/(M216+#REF!+O216)</f>
        <v>#REF!</v>
      </c>
      <c r="Q216" s="70"/>
      <c r="R216" s="70" t="s">
        <v>953</v>
      </c>
      <c r="S216" s="70"/>
    </row>
    <row r="217">
      <c r="A217" s="66" t="s">
        <v>335</v>
      </c>
      <c r="B217" s="67"/>
      <c r="C217" s="67" t="s">
        <v>93</v>
      </c>
      <c r="D217" s="116" t="str">
        <f t="shared" si="6"/>
        <v>#REF!</v>
      </c>
      <c r="E217" s="68"/>
      <c r="F217" s="112" t="str">
        <f t="shared" si="7"/>
        <v>#REF!</v>
      </c>
      <c r="G217" s="68">
        <v>11.603868</v>
      </c>
      <c r="H217" s="112"/>
      <c r="I217" s="68">
        <v>11.714850905</v>
      </c>
      <c r="J217" s="68"/>
      <c r="K217" s="68"/>
      <c r="L217" s="68"/>
      <c r="M217" s="68">
        <v>91.012446173</v>
      </c>
      <c r="N217" s="114" t="str">
        <f t="shared" si="8"/>
        <v>#REF!</v>
      </c>
      <c r="O217" s="68">
        <v>27857.376300404</v>
      </c>
      <c r="P217" s="114" t="str">
        <f t="shared" si="9"/>
        <v>#REF!</v>
      </c>
      <c r="Q217" s="70"/>
      <c r="R217" s="70" t="s">
        <v>954</v>
      </c>
      <c r="S217" s="70"/>
    </row>
    <row r="218">
      <c r="A218" s="66" t="s">
        <v>358</v>
      </c>
      <c r="B218" s="153"/>
      <c r="C218" s="67" t="s">
        <v>31</v>
      </c>
      <c r="D218" s="110" t="str">
        <f t="shared" si="6"/>
        <v>#REF!</v>
      </c>
      <c r="E218" s="11"/>
      <c r="F218" s="112" t="str">
        <f t="shared" si="7"/>
        <v>#REF!</v>
      </c>
      <c r="G218" s="14">
        <v>27.413112</v>
      </c>
      <c r="H218" s="112"/>
      <c r="I218" s="14">
        <v>27.683789512</v>
      </c>
      <c r="J218" s="14"/>
      <c r="K218" s="14"/>
      <c r="L218" s="14"/>
      <c r="M218" s="11">
        <v>307.570894827</v>
      </c>
      <c r="N218" s="114" t="str">
        <f t="shared" si="8"/>
        <v>#REF!</v>
      </c>
      <c r="O218" s="11">
        <v>683.079402029</v>
      </c>
      <c r="P218" s="114" t="str">
        <f t="shared" si="9"/>
        <v>#REF!</v>
      </c>
      <c r="Q218" s="22"/>
      <c r="R218" s="36" t="s">
        <v>955</v>
      </c>
      <c r="S218" s="36"/>
    </row>
    <row r="219">
      <c r="A219" s="66" t="s">
        <v>382</v>
      </c>
      <c r="B219" s="67"/>
      <c r="C219" s="67" t="s">
        <v>308</v>
      </c>
      <c r="D219" s="124" t="str">
        <f t="shared" si="6"/>
        <v>#REF!</v>
      </c>
      <c r="E219" s="77"/>
      <c r="F219" s="112" t="str">
        <f t="shared" si="7"/>
        <v>#REF!</v>
      </c>
      <c r="G219" s="68">
        <v>12.576591</v>
      </c>
      <c r="H219" s="112"/>
      <c r="I219" s="68">
        <v>12.69024556</v>
      </c>
      <c r="J219" s="68"/>
      <c r="K219" s="68"/>
      <c r="L219" s="68"/>
      <c r="M219" s="140">
        <v>740.80726055</v>
      </c>
      <c r="N219" s="114" t="str">
        <f t="shared" si="8"/>
        <v>#REF!</v>
      </c>
      <c r="O219" s="68">
        <v>2240.605109468</v>
      </c>
      <c r="P219" s="114" t="str">
        <f t="shared" si="9"/>
        <v>#REF!</v>
      </c>
      <c r="Q219" s="70"/>
      <c r="R219" s="36" t="s">
        <v>956</v>
      </c>
      <c r="S219" s="36"/>
    </row>
    <row r="220">
      <c r="A220" s="66" t="s">
        <v>457</v>
      </c>
      <c r="B220" s="67"/>
      <c r="C220" s="67" t="s">
        <v>233</v>
      </c>
      <c r="D220" s="116" t="str">
        <f t="shared" si="6"/>
        <v>#REF!</v>
      </c>
      <c r="E220" s="68"/>
      <c r="F220" s="112" t="str">
        <f t="shared" si="7"/>
        <v>#REF!</v>
      </c>
      <c r="G220" s="68">
        <v>249.436702</v>
      </c>
      <c r="H220" s="112"/>
      <c r="I220" s="68">
        <v>249.494361936</v>
      </c>
      <c r="J220" s="68"/>
      <c r="K220" s="68"/>
      <c r="L220" s="68"/>
      <c r="M220" s="68">
        <v>4.003865913</v>
      </c>
      <c r="N220" s="114" t="str">
        <f t="shared" si="8"/>
        <v>#REF!</v>
      </c>
      <c r="O220" s="68">
        <v>564.175865116</v>
      </c>
      <c r="P220" s="114" t="str">
        <f t="shared" si="9"/>
        <v>#REF!</v>
      </c>
      <c r="Q220" s="143"/>
      <c r="R220" s="36" t="s">
        <v>957</v>
      </c>
      <c r="S220" s="36"/>
    </row>
    <row r="221">
      <c r="A221" s="66" t="s">
        <v>503</v>
      </c>
      <c r="B221" s="67"/>
      <c r="C221" s="67" t="s">
        <v>308</v>
      </c>
      <c r="D221" s="124" t="str">
        <f t="shared" si="6"/>
        <v>#REF!</v>
      </c>
      <c r="E221" s="68"/>
      <c r="F221" s="112" t="str">
        <f t="shared" si="7"/>
        <v>#REF!</v>
      </c>
      <c r="G221" s="68">
        <v>32.060272</v>
      </c>
      <c r="H221" s="112"/>
      <c r="I221" s="68">
        <v>32.870936796</v>
      </c>
      <c r="J221" s="68"/>
      <c r="K221" s="68"/>
      <c r="L221" s="68"/>
      <c r="M221" s="68">
        <v>4182.521781443</v>
      </c>
      <c r="N221" s="114" t="str">
        <f t="shared" si="8"/>
        <v>#REF!</v>
      </c>
      <c r="O221" s="68">
        <v>10886.37298706</v>
      </c>
      <c r="P221" s="114" t="str">
        <f t="shared" si="9"/>
        <v>#REF!</v>
      </c>
      <c r="Q221" s="70"/>
      <c r="R221" s="36" t="s">
        <v>958</v>
      </c>
      <c r="S221" s="36"/>
    </row>
    <row r="222">
      <c r="A222" s="66" t="s">
        <v>562</v>
      </c>
      <c r="B222" s="67"/>
      <c r="C222" s="67" t="s">
        <v>308</v>
      </c>
      <c r="D222" s="116" t="str">
        <f t="shared" si="6"/>
        <v>#REF!</v>
      </c>
      <c r="E222" s="77"/>
      <c r="F222" s="112" t="str">
        <f t="shared" si="7"/>
        <v>#REF!</v>
      </c>
      <c r="G222" s="68">
        <v>8.214034</v>
      </c>
      <c r="H222" s="112"/>
      <c r="I222" s="68">
        <v>8.297161239</v>
      </c>
      <c r="J222" s="68"/>
      <c r="K222" s="68"/>
      <c r="L222" s="68"/>
      <c r="M222" s="68">
        <v>700.365424737</v>
      </c>
      <c r="N222" s="114" t="str">
        <f t="shared" si="8"/>
        <v>#REF!</v>
      </c>
      <c r="O222" s="68">
        <v>773.641446805</v>
      </c>
      <c r="P222" s="114" t="str">
        <f t="shared" si="9"/>
        <v>#REF!</v>
      </c>
      <c r="Q222" s="70"/>
      <c r="R222" s="21" t="s">
        <v>959</v>
      </c>
      <c r="S222" s="21"/>
    </row>
    <row r="223">
      <c r="A223" s="66" t="s">
        <v>614</v>
      </c>
      <c r="B223" s="67"/>
      <c r="C223" s="67" t="s">
        <v>31</v>
      </c>
      <c r="D223" s="116" t="str">
        <f t="shared" si="6"/>
        <v>#REF!</v>
      </c>
      <c r="E223" s="11"/>
      <c r="F223" s="112" t="str">
        <f t="shared" si="7"/>
        <v>#REF!</v>
      </c>
      <c r="G223" s="11">
        <v>4.803187</v>
      </c>
      <c r="H223" s="112"/>
      <c r="I223" s="11">
        <v>5.709997759</v>
      </c>
      <c r="J223" s="11"/>
      <c r="K223" s="11"/>
      <c r="L223" s="11"/>
      <c r="M223" s="11">
        <v>1.300291094</v>
      </c>
      <c r="N223" s="114" t="str">
        <f t="shared" si="8"/>
        <v>#REF!</v>
      </c>
      <c r="O223" s="11">
        <v>1950.364766192</v>
      </c>
      <c r="P223" s="114" t="str">
        <f t="shared" si="9"/>
        <v>#REF!</v>
      </c>
      <c r="Q223" s="22"/>
      <c r="R223" s="36" t="s">
        <v>960</v>
      </c>
      <c r="S223" s="36"/>
    </row>
    <row r="224">
      <c r="A224" s="134"/>
      <c r="B224" s="134"/>
      <c r="C224" s="134"/>
      <c r="D224" s="134"/>
      <c r="E224" s="63"/>
      <c r="F224" s="134"/>
      <c r="G224" s="134"/>
      <c r="H224" s="134"/>
      <c r="I224" s="134"/>
      <c r="J224" s="134"/>
      <c r="K224" s="134"/>
      <c r="L224" s="134"/>
      <c r="M224" s="134"/>
      <c r="N224" s="134"/>
      <c r="O224" s="134"/>
      <c r="P224" s="134"/>
      <c r="Q224" s="134"/>
      <c r="R224" s="134"/>
      <c r="S224" s="134"/>
    </row>
    <row r="225">
      <c r="A225" s="67" t="s">
        <v>681</v>
      </c>
      <c r="B225" s="67" t="s">
        <v>961</v>
      </c>
      <c r="C225" s="67" t="s">
        <v>683</v>
      </c>
      <c r="D225" s="148" t="str">
        <f t="shared" ref="D225:D226" si="10">F225/G225</f>
        <v>#REF!</v>
      </c>
      <c r="E225" s="112"/>
      <c r="F225" s="112" t="str">
        <f t="shared" ref="F225:F226" si="11">M225+#REF!</f>
        <v>#REF!</v>
      </c>
      <c r="G225" s="112">
        <v>306.961003</v>
      </c>
      <c r="H225" s="112"/>
      <c r="I225" s="112">
        <v>313.300094982</v>
      </c>
      <c r="J225" s="112"/>
      <c r="K225" s="112"/>
      <c r="L225" s="112"/>
      <c r="M225" s="112">
        <v>91030.965563272</v>
      </c>
      <c r="N225" s="114" t="str">
        <f t="shared" ref="N225:N226" si="12">#REF!*100/(M225+#REF!+O225)</f>
        <v>#REF!</v>
      </c>
      <c r="O225" s="112">
        <v>31241.614364588</v>
      </c>
      <c r="P225" s="114" t="str">
        <f t="shared" ref="P225:P226" si="13">O225*100/(M225+#REF!+O225)</f>
        <v>#REF!</v>
      </c>
      <c r="Q225" s="112"/>
      <c r="R225" s="67" t="s">
        <v>962</v>
      </c>
      <c r="S225" s="67"/>
    </row>
    <row r="226">
      <c r="A226" s="67" t="s">
        <v>684</v>
      </c>
      <c r="B226" s="67" t="s">
        <v>963</v>
      </c>
      <c r="C226" s="67" t="s">
        <v>683</v>
      </c>
      <c r="D226" s="148" t="str">
        <f t="shared" si="10"/>
        <v>#REF!</v>
      </c>
      <c r="E226" s="112"/>
      <c r="F226" s="112" t="str">
        <f t="shared" si="11"/>
        <v>#REF!</v>
      </c>
      <c r="G226" s="112">
        <v>38.584643</v>
      </c>
      <c r="H226" s="112"/>
      <c r="I226" s="112">
        <v>327.518708423</v>
      </c>
      <c r="J226" s="112"/>
      <c r="K226" s="112"/>
      <c r="L226" s="112"/>
      <c r="M226" s="112">
        <v>336.344301108</v>
      </c>
      <c r="N226" s="114" t="str">
        <f t="shared" si="12"/>
        <v>#REF!</v>
      </c>
      <c r="O226" s="112">
        <v>90.116919697</v>
      </c>
      <c r="P226" s="114" t="str">
        <f t="shared" si="13"/>
        <v>#REF!</v>
      </c>
      <c r="Q226" s="112"/>
      <c r="R226" s="67" t="s">
        <v>964</v>
      </c>
      <c r="S226" s="67"/>
    </row>
    <row r="227">
      <c r="B227" s="7" t="s">
        <v>965</v>
      </c>
      <c r="D227" s="112"/>
      <c r="E227" s="112"/>
      <c r="F227" s="112"/>
      <c r="G227" s="112"/>
      <c r="H227" s="112"/>
      <c r="I227" s="112"/>
      <c r="J227" s="112"/>
      <c r="K227" s="112"/>
      <c r="L227" s="112"/>
      <c r="M227" s="112"/>
      <c r="N227" s="112"/>
      <c r="O227" s="112"/>
      <c r="P227" s="112"/>
      <c r="Q227" s="112"/>
    </row>
    <row r="228">
      <c r="B228" s="7" t="s">
        <v>967</v>
      </c>
      <c r="C228" s="7" t="s">
        <v>966</v>
      </c>
      <c r="D228" s="112"/>
      <c r="E228" s="112"/>
      <c r="F228" s="112"/>
      <c r="G228" s="112"/>
      <c r="H228" s="112"/>
      <c r="I228" s="112"/>
      <c r="J228" s="112"/>
      <c r="K228" s="112"/>
      <c r="L228" s="112"/>
      <c r="M228" s="112"/>
      <c r="N228" s="112"/>
      <c r="O228" s="112"/>
      <c r="P228" s="112"/>
      <c r="Q228" s="112"/>
    </row>
    <row r="229">
      <c r="B229" s="7" t="s">
        <v>969</v>
      </c>
      <c r="C229" s="7" t="s">
        <v>968</v>
      </c>
      <c r="D229" s="112"/>
      <c r="E229" s="112"/>
      <c r="F229" s="112"/>
      <c r="G229" s="112"/>
      <c r="H229" s="112"/>
      <c r="I229" s="112"/>
      <c r="J229" s="112"/>
      <c r="K229" s="112"/>
      <c r="L229" s="112"/>
      <c r="M229" s="112"/>
      <c r="N229" s="112"/>
      <c r="O229" s="112"/>
      <c r="P229" s="112"/>
      <c r="Q229" s="112"/>
    </row>
    <row r="230">
      <c r="D230" s="112"/>
      <c r="E230" s="112"/>
      <c r="F230" s="112"/>
      <c r="G230" s="112"/>
      <c r="H230" s="112"/>
      <c r="I230" s="112"/>
      <c r="J230" s="112"/>
      <c r="K230" s="112"/>
      <c r="L230" s="112"/>
      <c r="M230" s="112"/>
      <c r="N230" s="112"/>
      <c r="O230" s="112"/>
      <c r="P230" s="112"/>
      <c r="Q230" s="112"/>
    </row>
    <row r="231">
      <c r="B231" s="7" t="s">
        <v>971</v>
      </c>
      <c r="C231" s="7" t="s">
        <v>970</v>
      </c>
      <c r="D231" s="112"/>
      <c r="E231" s="112"/>
      <c r="F231" s="112"/>
      <c r="G231" s="112"/>
      <c r="H231" s="112"/>
      <c r="I231" s="112"/>
      <c r="J231" s="112"/>
      <c r="K231" s="112"/>
      <c r="L231" s="112"/>
      <c r="M231" s="112"/>
      <c r="N231" s="112"/>
      <c r="O231" s="112"/>
      <c r="P231" s="112"/>
      <c r="Q231" s="112"/>
    </row>
    <row r="232">
      <c r="B232" s="7" t="s">
        <v>972</v>
      </c>
      <c r="D232" s="112"/>
      <c r="E232" s="112"/>
      <c r="F232" s="112"/>
      <c r="G232" s="112"/>
      <c r="H232" s="112"/>
      <c r="I232" s="112"/>
      <c r="J232" s="112"/>
      <c r="K232" s="112"/>
      <c r="L232" s="112"/>
      <c r="M232" s="112"/>
      <c r="N232" s="112"/>
      <c r="O232" s="112"/>
      <c r="P232" s="112"/>
      <c r="Q232" s="112"/>
    </row>
    <row r="233">
      <c r="B233" s="7" t="s">
        <v>973</v>
      </c>
      <c r="D233" s="112"/>
      <c r="E233" s="112"/>
      <c r="F233" s="112"/>
      <c r="G233" s="112"/>
      <c r="H233" s="112"/>
      <c r="I233" s="112"/>
      <c r="J233" s="112"/>
      <c r="K233" s="112"/>
      <c r="L233" s="112"/>
      <c r="M233" s="112"/>
      <c r="N233" s="112"/>
      <c r="O233" s="112"/>
      <c r="P233" s="112"/>
      <c r="Q233" s="112"/>
    </row>
    <row r="234">
      <c r="B234" s="7" t="s">
        <v>974</v>
      </c>
      <c r="D234" s="112"/>
      <c r="E234" s="112"/>
      <c r="F234" s="112"/>
      <c r="G234" s="112"/>
      <c r="H234" s="112"/>
      <c r="I234" s="112"/>
      <c r="J234" s="112"/>
      <c r="K234" s="112"/>
      <c r="L234" s="112"/>
      <c r="M234" s="112"/>
      <c r="N234" s="112"/>
      <c r="O234" s="112"/>
      <c r="P234" s="112"/>
      <c r="Q234" s="112"/>
    </row>
    <row r="235">
      <c r="D235" s="112"/>
      <c r="E235" s="112"/>
      <c r="F235" s="112"/>
      <c r="G235" s="112"/>
      <c r="H235" s="112"/>
      <c r="I235" s="112"/>
      <c r="J235" s="112"/>
      <c r="K235" s="112"/>
      <c r="L235" s="112"/>
      <c r="M235" s="112"/>
      <c r="N235" s="112"/>
      <c r="O235" s="112"/>
      <c r="P235" s="112"/>
      <c r="Q235" s="112"/>
    </row>
    <row r="236">
      <c r="B236" s="7" t="s">
        <v>975</v>
      </c>
      <c r="D236" s="112"/>
      <c r="E236" s="112"/>
      <c r="F236" s="112"/>
      <c r="G236" s="112"/>
      <c r="H236" s="112"/>
      <c r="I236" s="112"/>
      <c r="J236" s="112"/>
      <c r="K236" s="112"/>
      <c r="L236" s="112"/>
      <c r="M236" s="112"/>
      <c r="N236" s="112"/>
      <c r="O236" s="112"/>
      <c r="P236" s="112"/>
      <c r="Q236" s="112"/>
    </row>
    <row r="237">
      <c r="B237" s="7" t="s">
        <v>976</v>
      </c>
      <c r="D237" s="112"/>
      <c r="E237" s="112"/>
      <c r="F237" s="112"/>
      <c r="G237" s="112"/>
      <c r="H237" s="112"/>
      <c r="I237" s="112"/>
      <c r="J237" s="112"/>
      <c r="K237" s="112"/>
      <c r="L237" s="112"/>
      <c r="M237" s="112"/>
      <c r="N237" s="112"/>
      <c r="O237" s="112"/>
      <c r="P237" s="112"/>
      <c r="Q237" s="112"/>
    </row>
    <row r="238">
      <c r="B238" s="7"/>
      <c r="D238" s="112"/>
      <c r="E238" s="112"/>
      <c r="F238" s="112"/>
      <c r="G238" s="112"/>
      <c r="H238" s="112"/>
      <c r="I238" s="112"/>
      <c r="J238" s="112"/>
      <c r="K238" s="112"/>
      <c r="L238" s="112"/>
      <c r="M238" s="112"/>
      <c r="N238" s="112"/>
      <c r="O238" s="112"/>
      <c r="P238" s="112"/>
      <c r="Q238" s="112"/>
    </row>
    <row r="239">
      <c r="B239" s="7"/>
    </row>
    <row r="240">
      <c r="B240" s="7"/>
    </row>
  </sheetData>
  <hyperlinks>
    <hyperlink r:id="rId1" ref="A202"/>
    <hyperlink r:id="rId2" ref="A203"/>
    <hyperlink r:id="rId3" ref="A204"/>
    <hyperlink r:id="rId4" ref="A205"/>
    <hyperlink r:id="rId5" ref="A206"/>
    <hyperlink r:id="rId6" ref="A207"/>
    <hyperlink r:id="rId7" ref="A208"/>
    <hyperlink r:id="rId8" ref="A209"/>
    <hyperlink r:id="rId9" ref="A210"/>
    <hyperlink r:id="rId10" ref="A211"/>
    <hyperlink r:id="rId11" ref="A212"/>
    <hyperlink r:id="rId12" ref="A213"/>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4.29"/>
    <col customWidth="1" min="3" max="3" width="80.57"/>
    <col customWidth="1" min="4" max="4" width="27.29"/>
    <col customWidth="1" min="5" max="5" width="33.86"/>
    <col customWidth="1" min="6" max="6" width="37.71"/>
    <col customWidth="1" min="7" max="8" width="29.29"/>
    <col customWidth="1" min="9" max="9" width="60.29"/>
    <col customWidth="1" min="10" max="13" width="29.29"/>
    <col customWidth="1" min="14" max="14" width="47.0"/>
    <col customWidth="1" min="15" max="17" width="28.86"/>
    <col customWidth="1" min="18" max="19" width="29.14"/>
    <col customWidth="1" min="20" max="21" width="29.57"/>
    <col customWidth="1" min="22" max="22" width="24.29"/>
    <col customWidth="1" min="23" max="23" width="82.71"/>
    <col customWidth="1" min="24" max="24" width="104.0"/>
    <col customWidth="1" min="26" max="26" width="17.43"/>
    <col customWidth="1" min="28" max="28" width="21.29"/>
    <col customWidth="1" min="29" max="29" width="21.86"/>
    <col customWidth="1" min="34" max="34" width="18.43"/>
  </cols>
  <sheetData>
    <row r="1" ht="33.0" customHeight="1">
      <c r="A1" s="1" t="s">
        <v>385</v>
      </c>
      <c r="B1" s="3" t="s">
        <v>1</v>
      </c>
      <c r="C1" s="3" t="s">
        <v>2</v>
      </c>
      <c r="D1" s="3" t="s">
        <v>3</v>
      </c>
      <c r="E1" s="3" t="s">
        <v>4</v>
      </c>
      <c r="F1" s="3" t="s">
        <v>5</v>
      </c>
      <c r="G1" s="3" t="s">
        <v>6</v>
      </c>
      <c r="H1" s="3" t="s">
        <v>7</v>
      </c>
      <c r="I1" s="3" t="s">
        <v>8</v>
      </c>
      <c r="J1" s="3" t="s">
        <v>9</v>
      </c>
      <c r="K1" s="3" t="s">
        <v>10</v>
      </c>
      <c r="L1" s="3" t="s">
        <v>11</v>
      </c>
      <c r="M1" s="3" t="s">
        <v>12</v>
      </c>
      <c r="N1" s="3" t="s">
        <v>13</v>
      </c>
      <c r="O1" s="4" t="s">
        <v>14</v>
      </c>
      <c r="P1" s="5" t="s">
        <v>15</v>
      </c>
      <c r="Q1" s="5" t="s">
        <v>16</v>
      </c>
      <c r="R1" s="5" t="s">
        <v>17</v>
      </c>
      <c r="S1" s="5" t="s">
        <v>18</v>
      </c>
      <c r="T1" s="5" t="s">
        <v>19</v>
      </c>
      <c r="U1" s="5" t="s">
        <v>20</v>
      </c>
      <c r="V1" s="5" t="s">
        <v>21</v>
      </c>
      <c r="W1" s="5" t="s">
        <v>22</v>
      </c>
      <c r="X1" s="5" t="s">
        <v>23</v>
      </c>
      <c r="Y1" s="5" t="s">
        <v>0</v>
      </c>
      <c r="Z1" s="5" t="s">
        <v>0</v>
      </c>
      <c r="AA1" s="5" t="s">
        <v>0</v>
      </c>
      <c r="AB1" s="6" t="s">
        <v>24</v>
      </c>
      <c r="AC1" s="6" t="s">
        <v>25</v>
      </c>
      <c r="AD1" s="7" t="s">
        <v>386</v>
      </c>
      <c r="AE1" s="7" t="s">
        <v>0</v>
      </c>
      <c r="AF1" s="7" t="s">
        <v>0</v>
      </c>
      <c r="AG1" s="6" t="s">
        <v>26</v>
      </c>
      <c r="AH1" s="6" t="s">
        <v>27</v>
      </c>
      <c r="AI1" s="6" t="s">
        <v>0</v>
      </c>
      <c r="AJ1" s="7" t="s">
        <v>0</v>
      </c>
      <c r="AK1" s="7" t="s">
        <v>0</v>
      </c>
      <c r="AL1" s="7" t="s">
        <v>0</v>
      </c>
      <c r="AM1" s="7" t="s">
        <v>0</v>
      </c>
      <c r="AN1" s="7" t="s">
        <v>0</v>
      </c>
      <c r="AO1" s="7" t="s">
        <v>0</v>
      </c>
      <c r="AP1" s="7" t="s">
        <v>0</v>
      </c>
      <c r="AQ1" s="7" t="s">
        <v>0</v>
      </c>
      <c r="AR1" s="7" t="s">
        <v>0</v>
      </c>
      <c r="AS1" s="7" t="s">
        <v>0</v>
      </c>
      <c r="AT1" s="7" t="s">
        <v>0</v>
      </c>
      <c r="AU1" s="7" t="s">
        <v>0</v>
      </c>
      <c r="AV1" s="7" t="s">
        <v>0</v>
      </c>
      <c r="AW1" s="7" t="s">
        <v>0</v>
      </c>
      <c r="AX1" s="7" t="s">
        <v>0</v>
      </c>
    </row>
    <row r="2" ht="15.0" customHeight="1">
      <c r="A2" s="8" t="s">
        <v>30</v>
      </c>
      <c r="B2" s="9" t="s">
        <v>31</v>
      </c>
      <c r="C2" s="10" t="s">
        <v>32</v>
      </c>
      <c r="D2" s="10" t="s">
        <v>33</v>
      </c>
      <c r="E2" s="11" t="s">
        <v>387</v>
      </c>
      <c r="F2" s="12" t="s">
        <v>388</v>
      </c>
      <c r="G2" s="13" t="s">
        <v>389</v>
      </c>
      <c r="H2" s="75" t="s">
        <v>390</v>
      </c>
      <c r="I2" s="12" t="s">
        <v>391</v>
      </c>
      <c r="J2" s="12" t="s">
        <v>392</v>
      </c>
      <c r="K2" s="16" t="s">
        <v>393</v>
      </c>
      <c r="L2" s="16" t="s">
        <v>41</v>
      </c>
      <c r="M2" s="76" t="s">
        <v>42</v>
      </c>
      <c r="N2" s="17" t="s">
        <v>43</v>
      </c>
      <c r="O2" s="18" t="s">
        <v>0</v>
      </c>
      <c r="P2" s="11" t="s">
        <v>394</v>
      </c>
      <c r="Q2" s="19" t="s">
        <v>395</v>
      </c>
      <c r="R2" s="41" t="s">
        <v>41</v>
      </c>
      <c r="S2" s="19" t="s">
        <v>41</v>
      </c>
      <c r="T2" s="11" t="s">
        <v>396</v>
      </c>
      <c r="U2" s="19" t="s">
        <v>397</v>
      </c>
      <c r="V2" s="20" t="s">
        <v>48</v>
      </c>
      <c r="W2" s="21" t="s">
        <v>0</v>
      </c>
      <c r="X2" s="21" t="s">
        <v>398</v>
      </c>
      <c r="Y2" s="20" t="s">
        <v>50</v>
      </c>
      <c r="Z2" s="20" t="s">
        <v>0</v>
      </c>
      <c r="AA2" s="7" t="s">
        <v>0</v>
      </c>
      <c r="AB2" s="24" t="s">
        <v>399</v>
      </c>
      <c r="AC2" s="24" t="s">
        <v>400</v>
      </c>
      <c r="AD2" s="7" t="s">
        <v>0</v>
      </c>
      <c r="AE2" s="25" t="s">
        <v>401</v>
      </c>
      <c r="AF2" s="7" t="s">
        <v>0</v>
      </c>
      <c r="AG2" s="25" t="s">
        <v>54</v>
      </c>
      <c r="AH2" s="25" t="s">
        <v>57</v>
      </c>
      <c r="AI2" s="7" t="s">
        <v>0</v>
      </c>
      <c r="AJ2" s="7" t="s">
        <v>0</v>
      </c>
      <c r="AK2" s="7" t="s">
        <v>0</v>
      </c>
      <c r="AL2" s="7" t="s">
        <v>0</v>
      </c>
      <c r="AM2" s="7" t="s">
        <v>0</v>
      </c>
      <c r="AN2" s="7" t="s">
        <v>0</v>
      </c>
      <c r="AO2" s="7" t="s">
        <v>0</v>
      </c>
      <c r="AP2" s="7" t="s">
        <v>0</v>
      </c>
      <c r="AQ2" s="7" t="s">
        <v>0</v>
      </c>
      <c r="AR2" s="7" t="s">
        <v>0</v>
      </c>
      <c r="AS2" s="7" t="s">
        <v>0</v>
      </c>
      <c r="AT2" s="7" t="s">
        <v>0</v>
      </c>
      <c r="AU2" s="7" t="s">
        <v>0</v>
      </c>
      <c r="AV2" s="7" t="s">
        <v>0</v>
      </c>
      <c r="AW2" s="7" t="s">
        <v>0</v>
      </c>
      <c r="AX2" s="7" t="s">
        <v>0</v>
      </c>
    </row>
    <row r="3">
      <c r="A3" s="8" t="s">
        <v>58</v>
      </c>
      <c r="B3" s="9" t="s">
        <v>31</v>
      </c>
      <c r="C3" s="10" t="s">
        <v>59</v>
      </c>
      <c r="D3" s="10" t="s">
        <v>60</v>
      </c>
      <c r="E3" s="11" t="s">
        <v>404</v>
      </c>
      <c r="F3" s="12" t="s">
        <v>405</v>
      </c>
      <c r="G3" s="39" t="s">
        <v>407</v>
      </c>
      <c r="H3" s="75" t="s">
        <v>408</v>
      </c>
      <c r="I3" s="12" t="s">
        <v>409</v>
      </c>
      <c r="J3" s="12" t="s">
        <v>410</v>
      </c>
      <c r="K3" s="30" t="s">
        <v>0</v>
      </c>
      <c r="L3" s="30" t="s">
        <v>0</v>
      </c>
      <c r="M3" s="26" t="s">
        <v>0</v>
      </c>
      <c r="N3" s="17" t="s">
        <v>66</v>
      </c>
      <c r="O3" s="31" t="s">
        <v>0</v>
      </c>
      <c r="P3" s="42" t="s">
        <v>411</v>
      </c>
      <c r="Q3" s="19" t="s">
        <v>41</v>
      </c>
      <c r="R3" s="42" t="s">
        <v>412</v>
      </c>
      <c r="S3" s="19" t="s">
        <v>413</v>
      </c>
      <c r="T3" s="11" t="s">
        <v>414</v>
      </c>
      <c r="U3" s="19" t="s">
        <v>415</v>
      </c>
      <c r="V3" s="20" t="s">
        <v>48</v>
      </c>
      <c r="W3" s="22" t="s">
        <v>0</v>
      </c>
      <c r="X3" s="22" t="s">
        <v>416</v>
      </c>
      <c r="Y3" s="20" t="s">
        <v>0</v>
      </c>
      <c r="Z3" s="20" t="s">
        <v>0</v>
      </c>
      <c r="AA3" s="7" t="s">
        <v>0</v>
      </c>
      <c r="AB3" s="36" t="s">
        <v>0</v>
      </c>
      <c r="AC3" s="36" t="s">
        <v>0</v>
      </c>
      <c r="AD3" s="7" t="s">
        <v>0</v>
      </c>
      <c r="AE3" s="25" t="s">
        <v>68</v>
      </c>
      <c r="AF3" s="7" t="s">
        <v>0</v>
      </c>
      <c r="AG3" s="25" t="s">
        <v>418</v>
      </c>
      <c r="AH3" s="37" t="s">
        <v>41</v>
      </c>
      <c r="AI3" s="7" t="s">
        <v>0</v>
      </c>
      <c r="AJ3" s="7" t="s">
        <v>0</v>
      </c>
      <c r="AK3" s="7" t="s">
        <v>0</v>
      </c>
      <c r="AL3" s="7" t="s">
        <v>0</v>
      </c>
      <c r="AM3" s="7" t="s">
        <v>0</v>
      </c>
      <c r="AN3" s="7" t="s">
        <v>0</v>
      </c>
      <c r="AO3" s="7" t="s">
        <v>0</v>
      </c>
      <c r="AP3" s="7" t="s">
        <v>0</v>
      </c>
      <c r="AQ3" s="7" t="s">
        <v>0</v>
      </c>
      <c r="AR3" s="7" t="s">
        <v>0</v>
      </c>
      <c r="AS3" s="7" t="s">
        <v>0</v>
      </c>
      <c r="AT3" s="7" t="s">
        <v>0</v>
      </c>
      <c r="AU3" s="7" t="s">
        <v>0</v>
      </c>
      <c r="AV3" s="7" t="s">
        <v>0</v>
      </c>
      <c r="AW3" s="7" t="s">
        <v>0</v>
      </c>
      <c r="AX3" s="7" t="s">
        <v>0</v>
      </c>
    </row>
    <row r="4">
      <c r="A4" s="8" t="s">
        <v>69</v>
      </c>
      <c r="B4" s="9" t="s">
        <v>31</v>
      </c>
      <c r="C4" s="10" t="s">
        <v>70</v>
      </c>
      <c r="D4" s="10" t="s">
        <v>33</v>
      </c>
      <c r="E4" s="11" t="s">
        <v>419</v>
      </c>
      <c r="F4" s="12" t="s">
        <v>420</v>
      </c>
      <c r="G4" s="11" t="s">
        <v>422</v>
      </c>
      <c r="H4" s="75" t="s">
        <v>423</v>
      </c>
      <c r="I4" s="16" t="s">
        <v>425</v>
      </c>
      <c r="J4" s="12" t="s">
        <v>427</v>
      </c>
      <c r="K4" s="16" t="s">
        <v>428</v>
      </c>
      <c r="L4" s="16" t="s">
        <v>41</v>
      </c>
      <c r="M4" s="76" t="s">
        <v>42</v>
      </c>
      <c r="N4" s="17" t="s">
        <v>66</v>
      </c>
      <c r="O4" s="18" t="s">
        <v>0</v>
      </c>
      <c r="P4" s="11" t="s">
        <v>429</v>
      </c>
      <c r="Q4" s="19" t="s">
        <v>430</v>
      </c>
      <c r="R4" s="14" t="s">
        <v>432</v>
      </c>
      <c r="S4" s="19" t="s">
        <v>433</v>
      </c>
      <c r="T4" s="11" t="s">
        <v>434</v>
      </c>
      <c r="U4" s="19" t="s">
        <v>436</v>
      </c>
      <c r="V4" s="20" t="s">
        <v>48</v>
      </c>
      <c r="W4" s="22" t="s">
        <v>0</v>
      </c>
      <c r="X4" s="22" t="s">
        <v>438</v>
      </c>
      <c r="Y4" s="20" t="s">
        <v>0</v>
      </c>
      <c r="Z4" s="20" t="s">
        <v>0</v>
      </c>
      <c r="AA4" s="7" t="s">
        <v>0</v>
      </c>
      <c r="AB4" s="24" t="s">
        <v>441</v>
      </c>
      <c r="AC4" s="24" t="s">
        <v>443</v>
      </c>
      <c r="AD4" s="7" t="s">
        <v>0</v>
      </c>
      <c r="AE4" s="25" t="s">
        <v>444</v>
      </c>
      <c r="AF4" s="7" t="s">
        <v>0</v>
      </c>
      <c r="AG4" s="25" t="s">
        <v>88</v>
      </c>
      <c r="AH4" s="25" t="s">
        <v>91</v>
      </c>
      <c r="AI4" s="7" t="s">
        <v>0</v>
      </c>
      <c r="AJ4" s="7" t="s">
        <v>0</v>
      </c>
      <c r="AK4" s="7" t="s">
        <v>0</v>
      </c>
      <c r="AL4" s="7" t="s">
        <v>0</v>
      </c>
      <c r="AM4" s="7" t="s">
        <v>0</v>
      </c>
      <c r="AN4" s="7" t="s">
        <v>0</v>
      </c>
      <c r="AO4" s="7" t="s">
        <v>0</v>
      </c>
      <c r="AP4" s="7" t="s">
        <v>0</v>
      </c>
      <c r="AQ4" s="7" t="s">
        <v>0</v>
      </c>
      <c r="AR4" s="7" t="s">
        <v>0</v>
      </c>
      <c r="AS4" s="7" t="s">
        <v>0</v>
      </c>
      <c r="AT4" s="7" t="s">
        <v>0</v>
      </c>
      <c r="AU4" s="7" t="s">
        <v>0</v>
      </c>
      <c r="AV4" s="7" t="s">
        <v>0</v>
      </c>
      <c r="AW4" s="7" t="s">
        <v>0</v>
      </c>
      <c r="AX4" s="7" t="s">
        <v>0</v>
      </c>
    </row>
    <row r="5">
      <c r="A5" s="8" t="s">
        <v>92</v>
      </c>
      <c r="B5" s="9" t="s">
        <v>93</v>
      </c>
      <c r="C5" s="9" t="s">
        <v>94</v>
      </c>
      <c r="D5" s="9" t="s">
        <v>95</v>
      </c>
      <c r="E5" s="42" t="s">
        <v>453</v>
      </c>
      <c r="F5" s="41" t="s">
        <v>454</v>
      </c>
      <c r="G5" s="42" t="s">
        <v>455</v>
      </c>
      <c r="H5" s="80" t="s">
        <v>456</v>
      </c>
      <c r="I5" s="41" t="s">
        <v>458</v>
      </c>
      <c r="J5" s="41" t="s">
        <v>459</v>
      </c>
      <c r="K5" s="30" t="s">
        <v>0</v>
      </c>
      <c r="L5" s="30" t="s">
        <v>0</v>
      </c>
      <c r="M5" s="81" t="s">
        <v>461</v>
      </c>
      <c r="N5" s="17" t="s">
        <v>43</v>
      </c>
      <c r="O5" s="31" t="s">
        <v>0</v>
      </c>
      <c r="P5" s="41" t="s">
        <v>103</v>
      </c>
      <c r="Q5" s="41" t="s">
        <v>468</v>
      </c>
      <c r="R5" s="41" t="s">
        <v>41</v>
      </c>
      <c r="S5" s="41" t="s">
        <v>469</v>
      </c>
      <c r="T5" s="41" t="s">
        <v>106</v>
      </c>
      <c r="U5" s="41" t="s">
        <v>471</v>
      </c>
      <c r="V5" s="22" t="s">
        <v>108</v>
      </c>
      <c r="W5" s="20" t="s">
        <v>0</v>
      </c>
      <c r="X5" s="20" t="s">
        <v>472</v>
      </c>
      <c r="Y5" s="20" t="s">
        <v>0</v>
      </c>
      <c r="Z5" s="20" t="s">
        <v>0</v>
      </c>
      <c r="AA5" s="7" t="s">
        <v>0</v>
      </c>
      <c r="AB5" s="24" t="s">
        <v>473</v>
      </c>
      <c r="AC5" s="24" t="s">
        <v>474</v>
      </c>
      <c r="AD5" s="7" t="s">
        <v>0</v>
      </c>
      <c r="AE5" s="25" t="s">
        <v>475</v>
      </c>
      <c r="AF5" s="7" t="s">
        <v>0</v>
      </c>
      <c r="AG5" s="25" t="s">
        <v>276</v>
      </c>
      <c r="AH5" s="25" t="s">
        <v>116</v>
      </c>
      <c r="AI5" s="7" t="s">
        <v>0</v>
      </c>
      <c r="AJ5" s="7" t="s">
        <v>0</v>
      </c>
      <c r="AK5" s="7" t="s">
        <v>0</v>
      </c>
      <c r="AL5" s="7" t="s">
        <v>0</v>
      </c>
      <c r="AM5" s="7" t="s">
        <v>0</v>
      </c>
      <c r="AN5" s="7" t="s">
        <v>0</v>
      </c>
      <c r="AO5" s="7" t="s">
        <v>0</v>
      </c>
      <c r="AP5" s="7" t="s">
        <v>0</v>
      </c>
      <c r="AQ5" s="7" t="s">
        <v>0</v>
      </c>
      <c r="AR5" s="7" t="s">
        <v>0</v>
      </c>
      <c r="AS5" s="7" t="s">
        <v>0</v>
      </c>
      <c r="AT5" s="7" t="s">
        <v>0</v>
      </c>
      <c r="AU5" s="7" t="s">
        <v>0</v>
      </c>
      <c r="AV5" s="7" t="s">
        <v>0</v>
      </c>
      <c r="AW5" s="7" t="s">
        <v>0</v>
      </c>
      <c r="AX5" s="7" t="s">
        <v>0</v>
      </c>
    </row>
    <row r="6">
      <c r="A6" s="8" t="s">
        <v>117</v>
      </c>
      <c r="B6" s="9" t="s">
        <v>93</v>
      </c>
      <c r="C6" s="9" t="s">
        <v>118</v>
      </c>
      <c r="D6" s="9" t="s">
        <v>33</v>
      </c>
      <c r="E6" s="42" t="s">
        <v>477</v>
      </c>
      <c r="F6" s="58" t="s">
        <v>479</v>
      </c>
      <c r="G6" s="42" t="s">
        <v>481</v>
      </c>
      <c r="H6" s="80" t="s">
        <v>122</v>
      </c>
      <c r="I6" s="45" t="s">
        <v>482</v>
      </c>
      <c r="J6" s="41" t="s">
        <v>483</v>
      </c>
      <c r="K6" s="30" t="s">
        <v>0</v>
      </c>
      <c r="L6" s="30" t="s">
        <v>0</v>
      </c>
      <c r="M6" s="81" t="s">
        <v>484</v>
      </c>
      <c r="N6" s="17" t="s">
        <v>126</v>
      </c>
      <c r="O6" s="31" t="s">
        <v>0</v>
      </c>
      <c r="P6" s="41" t="s">
        <v>485</v>
      </c>
      <c r="Q6" s="41" t="s">
        <v>486</v>
      </c>
      <c r="R6" s="41" t="s">
        <v>487</v>
      </c>
      <c r="S6" s="41" t="s">
        <v>488</v>
      </c>
      <c r="T6" s="41" t="s">
        <v>490</v>
      </c>
      <c r="U6" s="41" t="s">
        <v>492</v>
      </c>
      <c r="V6" s="22" t="s">
        <v>108</v>
      </c>
      <c r="W6" s="22" t="s">
        <v>0</v>
      </c>
      <c r="X6" s="22" t="s">
        <v>472</v>
      </c>
      <c r="Y6" s="20" t="s">
        <v>0</v>
      </c>
      <c r="Z6" s="20" t="s">
        <v>0</v>
      </c>
      <c r="AA6" s="7" t="s">
        <v>0</v>
      </c>
      <c r="AB6" s="24" t="s">
        <v>494</v>
      </c>
      <c r="AC6" s="24" t="s">
        <v>496</v>
      </c>
      <c r="AD6" s="7" t="s">
        <v>0</v>
      </c>
      <c r="AE6" s="25" t="s">
        <v>498</v>
      </c>
      <c r="AF6" s="7" t="s">
        <v>0</v>
      </c>
      <c r="AG6" s="25" t="s">
        <v>276</v>
      </c>
      <c r="AH6" s="43" t="s">
        <v>138</v>
      </c>
      <c r="AI6" s="7" t="s">
        <v>0</v>
      </c>
      <c r="AJ6" s="7" t="s">
        <v>0</v>
      </c>
      <c r="AK6" s="7" t="s">
        <v>0</v>
      </c>
      <c r="AL6" s="7" t="s">
        <v>0</v>
      </c>
      <c r="AM6" s="7" t="s">
        <v>0</v>
      </c>
      <c r="AN6" s="7" t="s">
        <v>0</v>
      </c>
      <c r="AO6" s="7" t="s">
        <v>0</v>
      </c>
      <c r="AP6" s="7" t="s">
        <v>0</v>
      </c>
      <c r="AQ6" s="7" t="s">
        <v>0</v>
      </c>
      <c r="AR6" s="7" t="s">
        <v>0</v>
      </c>
      <c r="AS6" s="7" t="s">
        <v>0</v>
      </c>
      <c r="AT6" s="7" t="s">
        <v>0</v>
      </c>
      <c r="AU6" s="7" t="s">
        <v>0</v>
      </c>
      <c r="AV6" s="7" t="s">
        <v>0</v>
      </c>
      <c r="AW6" s="7" t="s">
        <v>0</v>
      </c>
      <c r="AX6" s="7" t="s">
        <v>0</v>
      </c>
    </row>
    <row r="7">
      <c r="A7" s="8" t="s">
        <v>139</v>
      </c>
      <c r="B7" s="9" t="s">
        <v>93</v>
      </c>
      <c r="C7" s="9" t="s">
        <v>140</v>
      </c>
      <c r="D7" s="9" t="s">
        <v>33</v>
      </c>
      <c r="E7" s="42" t="s">
        <v>504</v>
      </c>
      <c r="F7" s="41" t="s">
        <v>505</v>
      </c>
      <c r="G7" s="42" t="s">
        <v>143</v>
      </c>
      <c r="H7" s="80" t="s">
        <v>144</v>
      </c>
      <c r="I7" s="45" t="s">
        <v>507</v>
      </c>
      <c r="J7" s="41" t="s">
        <v>509</v>
      </c>
      <c r="K7" s="30" t="s">
        <v>0</v>
      </c>
      <c r="L7" s="30" t="s">
        <v>0</v>
      </c>
      <c r="M7" s="85" t="s">
        <v>510</v>
      </c>
      <c r="N7" s="17" t="s">
        <v>43</v>
      </c>
      <c r="O7" s="31" t="s">
        <v>0</v>
      </c>
      <c r="P7" s="41" t="s">
        <v>148</v>
      </c>
      <c r="Q7" s="41" t="s">
        <v>149</v>
      </c>
      <c r="R7" s="41" t="s">
        <v>41</v>
      </c>
      <c r="S7" s="41" t="s">
        <v>150</v>
      </c>
      <c r="T7" s="41" t="s">
        <v>151</v>
      </c>
      <c r="U7" s="41" t="s">
        <v>152</v>
      </c>
      <c r="V7" s="22" t="s">
        <v>108</v>
      </c>
      <c r="W7" s="22" t="s">
        <v>0</v>
      </c>
      <c r="X7" s="22" t="s">
        <v>472</v>
      </c>
      <c r="Y7" s="20" t="s">
        <v>0</v>
      </c>
      <c r="Z7" s="20" t="s">
        <v>0</v>
      </c>
      <c r="AA7" s="7" t="s">
        <v>0</v>
      </c>
      <c r="AB7" s="24" t="s">
        <v>514</v>
      </c>
      <c r="AC7" s="24" t="s">
        <v>515</v>
      </c>
      <c r="AD7" s="7" t="s">
        <v>0</v>
      </c>
      <c r="AE7" s="25" t="s">
        <v>516</v>
      </c>
      <c r="AF7" s="7" t="s">
        <v>0</v>
      </c>
      <c r="AG7" s="25" t="s">
        <v>276</v>
      </c>
      <c r="AH7" s="43" t="s">
        <v>158</v>
      </c>
      <c r="AI7" s="7" t="s">
        <v>0</v>
      </c>
      <c r="AJ7" s="7" t="s">
        <v>0</v>
      </c>
      <c r="AK7" s="7" t="s">
        <v>0</v>
      </c>
      <c r="AL7" s="7" t="s">
        <v>0</v>
      </c>
      <c r="AM7" s="7" t="s">
        <v>0</v>
      </c>
      <c r="AN7" s="7" t="s">
        <v>0</v>
      </c>
      <c r="AO7" s="7" t="s">
        <v>0</v>
      </c>
      <c r="AP7" s="7" t="s">
        <v>0</v>
      </c>
      <c r="AQ7" s="7" t="s">
        <v>0</v>
      </c>
      <c r="AR7" s="7" t="s">
        <v>0</v>
      </c>
      <c r="AS7" s="7" t="s">
        <v>0</v>
      </c>
      <c r="AT7" s="7" t="s">
        <v>0</v>
      </c>
      <c r="AU7" s="7" t="s">
        <v>0</v>
      </c>
      <c r="AV7" s="7" t="s">
        <v>0</v>
      </c>
      <c r="AW7" s="7" t="s">
        <v>0</v>
      </c>
      <c r="AX7" s="7" t="s">
        <v>0</v>
      </c>
    </row>
    <row r="8">
      <c r="A8" s="8" t="s">
        <v>159</v>
      </c>
      <c r="B8" s="9" t="s">
        <v>160</v>
      </c>
      <c r="C8" s="87" t="s">
        <v>161</v>
      </c>
      <c r="D8" s="9" t="s">
        <v>95</v>
      </c>
      <c r="E8" s="42" t="s">
        <v>528</v>
      </c>
      <c r="F8" s="41" t="s">
        <v>529</v>
      </c>
      <c r="G8" s="42" t="s">
        <v>530</v>
      </c>
      <c r="H8" s="81" t="s">
        <v>531</v>
      </c>
      <c r="I8" s="45" t="s">
        <v>532</v>
      </c>
      <c r="J8" s="41" t="s">
        <v>534</v>
      </c>
      <c r="K8" s="46" t="s">
        <v>536</v>
      </c>
      <c r="L8" s="46" t="s">
        <v>537</v>
      </c>
      <c r="M8" s="45" t="s">
        <v>538</v>
      </c>
      <c r="N8" s="17" t="s">
        <v>43</v>
      </c>
      <c r="O8" s="31" t="s">
        <v>0</v>
      </c>
      <c r="P8" s="41" t="s">
        <v>540</v>
      </c>
      <c r="Q8" s="41" t="s">
        <v>542</v>
      </c>
      <c r="R8" s="41" t="s">
        <v>196</v>
      </c>
      <c r="S8" s="41" t="s">
        <v>198</v>
      </c>
      <c r="T8" s="41" t="s">
        <v>545</v>
      </c>
      <c r="U8" s="41" t="s">
        <v>546</v>
      </c>
      <c r="V8" s="20" t="s">
        <v>108</v>
      </c>
      <c r="W8" s="20" t="s">
        <v>0</v>
      </c>
      <c r="X8" s="20" t="s">
        <v>548</v>
      </c>
      <c r="Y8" s="47" t="s">
        <v>178</v>
      </c>
      <c r="Z8" s="20" t="s">
        <v>0</v>
      </c>
      <c r="AA8" s="7" t="s">
        <v>0</v>
      </c>
      <c r="AB8" s="24" t="s">
        <v>549</v>
      </c>
      <c r="AC8" s="24" t="s">
        <v>550</v>
      </c>
      <c r="AD8" s="7" t="s">
        <v>0</v>
      </c>
      <c r="AE8" s="25" t="s">
        <v>551</v>
      </c>
      <c r="AF8" s="7" t="s">
        <v>0</v>
      </c>
      <c r="AG8" s="25" t="s">
        <v>276</v>
      </c>
      <c r="AH8" s="25" t="s">
        <v>184</v>
      </c>
      <c r="AI8" s="7" t="s">
        <v>0</v>
      </c>
      <c r="AJ8" s="7" t="s">
        <v>0</v>
      </c>
      <c r="AK8" s="7" t="s">
        <v>0</v>
      </c>
      <c r="AL8" s="7" t="s">
        <v>0</v>
      </c>
      <c r="AM8" s="7" t="s">
        <v>0</v>
      </c>
      <c r="AN8" s="7" t="s">
        <v>0</v>
      </c>
      <c r="AO8" s="7" t="s">
        <v>0</v>
      </c>
      <c r="AP8" s="7" t="s">
        <v>0</v>
      </c>
      <c r="AQ8" s="7" t="s">
        <v>0</v>
      </c>
      <c r="AR8" s="7" t="s">
        <v>0</v>
      </c>
      <c r="AS8" s="7" t="s">
        <v>0</v>
      </c>
      <c r="AT8" s="7" t="s">
        <v>0</v>
      </c>
      <c r="AU8" s="7" t="s">
        <v>0</v>
      </c>
      <c r="AV8" s="7" t="s">
        <v>0</v>
      </c>
      <c r="AW8" s="7" t="s">
        <v>0</v>
      </c>
      <c r="AX8" s="7" t="s">
        <v>0</v>
      </c>
    </row>
    <row r="9">
      <c r="A9" s="8" t="s">
        <v>185</v>
      </c>
      <c r="B9" s="9" t="s">
        <v>160</v>
      </c>
      <c r="C9" s="48" t="s">
        <v>186</v>
      </c>
      <c r="D9" s="9" t="s">
        <v>95</v>
      </c>
      <c r="E9" s="42" t="s">
        <v>552</v>
      </c>
      <c r="F9" s="41" t="s">
        <v>553</v>
      </c>
      <c r="G9" s="42" t="s">
        <v>554</v>
      </c>
      <c r="H9" s="80" t="s">
        <v>555</v>
      </c>
      <c r="I9" s="45" t="s">
        <v>556</v>
      </c>
      <c r="J9" s="41" t="s">
        <v>557</v>
      </c>
      <c r="K9" s="12" t="s">
        <v>558</v>
      </c>
      <c r="L9" s="12" t="s">
        <v>559</v>
      </c>
      <c r="M9" s="45" t="s">
        <v>560</v>
      </c>
      <c r="N9" s="17" t="s">
        <v>43</v>
      </c>
      <c r="O9" s="31" t="s">
        <v>0</v>
      </c>
      <c r="P9" s="41" t="s">
        <v>196</v>
      </c>
      <c r="Q9" s="41" t="s">
        <v>561</v>
      </c>
      <c r="R9" s="41" t="s">
        <v>196</v>
      </c>
      <c r="S9" s="41" t="s">
        <v>198</v>
      </c>
      <c r="T9" s="45" t="s">
        <v>563</v>
      </c>
      <c r="U9" s="41" t="s">
        <v>564</v>
      </c>
      <c r="V9" s="20" t="s">
        <v>108</v>
      </c>
      <c r="W9" s="20" t="s">
        <v>0</v>
      </c>
      <c r="X9" s="49" t="s">
        <v>566</v>
      </c>
      <c r="Y9" s="47" t="s">
        <v>202</v>
      </c>
      <c r="Z9" s="20" t="s">
        <v>0</v>
      </c>
      <c r="AA9" s="7" t="s">
        <v>0</v>
      </c>
      <c r="AB9" s="24" t="s">
        <v>569</v>
      </c>
      <c r="AC9" s="24" t="s">
        <v>571</v>
      </c>
      <c r="AD9" s="7" t="s">
        <v>0</v>
      </c>
      <c r="AE9" s="25" t="s">
        <v>573</v>
      </c>
      <c r="AF9" s="7" t="s">
        <v>0</v>
      </c>
      <c r="AG9" s="25" t="s">
        <v>276</v>
      </c>
      <c r="AH9" s="50" t="s">
        <v>208</v>
      </c>
      <c r="AI9" s="7" t="s">
        <v>0</v>
      </c>
      <c r="AJ9" s="7" t="s">
        <v>0</v>
      </c>
      <c r="AK9" s="7" t="s">
        <v>0</v>
      </c>
      <c r="AL9" s="7" t="s">
        <v>0</v>
      </c>
      <c r="AM9" s="7" t="s">
        <v>0</v>
      </c>
      <c r="AN9" s="7" t="s">
        <v>0</v>
      </c>
      <c r="AO9" s="7" t="s">
        <v>0</v>
      </c>
      <c r="AP9" s="7" t="s">
        <v>0</v>
      </c>
      <c r="AQ9" s="7" t="s">
        <v>0</v>
      </c>
      <c r="AR9" s="7" t="s">
        <v>0</v>
      </c>
      <c r="AS9" s="7" t="s">
        <v>0</v>
      </c>
      <c r="AT9" s="7" t="s">
        <v>0</v>
      </c>
      <c r="AU9" s="7" t="s">
        <v>0</v>
      </c>
      <c r="AV9" s="7" t="s">
        <v>0</v>
      </c>
      <c r="AW9" s="7" t="s">
        <v>0</v>
      </c>
      <c r="AX9" s="7" t="s">
        <v>0</v>
      </c>
    </row>
    <row r="10">
      <c r="A10" s="8" t="s">
        <v>209</v>
      </c>
      <c r="B10" s="9" t="s">
        <v>160</v>
      </c>
      <c r="C10" s="21" t="s">
        <v>210</v>
      </c>
      <c r="D10" s="22" t="s">
        <v>211</v>
      </c>
      <c r="E10" s="42" t="s">
        <v>576</v>
      </c>
      <c r="F10" s="41" t="s">
        <v>578</v>
      </c>
      <c r="G10" s="42" t="s">
        <v>580</v>
      </c>
      <c r="H10" s="81" t="s">
        <v>581</v>
      </c>
      <c r="I10" s="45" t="s">
        <v>582</v>
      </c>
      <c r="J10" s="41" t="s">
        <v>583</v>
      </c>
      <c r="K10" s="46" t="s">
        <v>584</v>
      </c>
      <c r="L10" s="46" t="s">
        <v>585</v>
      </c>
      <c r="M10" s="45" t="s">
        <v>586</v>
      </c>
      <c r="N10" s="17" t="s">
        <v>43</v>
      </c>
      <c r="O10" s="31" t="s">
        <v>0</v>
      </c>
      <c r="P10" s="41" t="s">
        <v>587</v>
      </c>
      <c r="Q10" s="41" t="s">
        <v>588</v>
      </c>
      <c r="R10" s="41" t="s">
        <v>196</v>
      </c>
      <c r="S10" s="41" t="s">
        <v>198</v>
      </c>
      <c r="T10" s="41" t="s">
        <v>589</v>
      </c>
      <c r="U10" s="41" t="s">
        <v>590</v>
      </c>
      <c r="V10" s="20" t="s">
        <v>108</v>
      </c>
      <c r="W10" s="20" t="s">
        <v>0</v>
      </c>
      <c r="X10" s="49" t="s">
        <v>594</v>
      </c>
      <c r="Y10" s="20" t="s">
        <v>0</v>
      </c>
      <c r="Z10" s="20" t="s">
        <v>0</v>
      </c>
      <c r="AA10" s="7" t="s">
        <v>0</v>
      </c>
      <c r="AB10" s="24" t="s">
        <v>597</v>
      </c>
      <c r="AC10" s="24" t="s">
        <v>599</v>
      </c>
      <c r="AD10" s="7" t="s">
        <v>0</v>
      </c>
      <c r="AE10" s="25" t="s">
        <v>600</v>
      </c>
      <c r="AF10" s="7" t="s">
        <v>0</v>
      </c>
      <c r="AG10" s="25" t="s">
        <v>228</v>
      </c>
      <c r="AH10" s="25" t="s">
        <v>231</v>
      </c>
      <c r="AI10" s="7" t="s">
        <v>0</v>
      </c>
      <c r="AJ10" s="7" t="s">
        <v>0</v>
      </c>
      <c r="AK10" s="7" t="s">
        <v>0</v>
      </c>
      <c r="AL10" s="7" t="s">
        <v>0</v>
      </c>
      <c r="AM10" s="7" t="s">
        <v>0</v>
      </c>
      <c r="AN10" s="7" t="s">
        <v>0</v>
      </c>
      <c r="AO10" s="7" t="s">
        <v>0</v>
      </c>
      <c r="AP10" s="7" t="s">
        <v>0</v>
      </c>
      <c r="AQ10" s="7" t="s">
        <v>0</v>
      </c>
      <c r="AR10" s="7" t="s">
        <v>0</v>
      </c>
      <c r="AS10" s="7" t="s">
        <v>0</v>
      </c>
      <c r="AT10" s="7" t="s">
        <v>0</v>
      </c>
      <c r="AU10" s="7" t="s">
        <v>0</v>
      </c>
      <c r="AV10" s="7" t="s">
        <v>0</v>
      </c>
      <c r="AW10" s="7" t="s">
        <v>0</v>
      </c>
      <c r="AX10" s="7" t="s">
        <v>0</v>
      </c>
    </row>
    <row r="11">
      <c r="A11" s="8" t="s">
        <v>232</v>
      </c>
      <c r="B11" s="9" t="s">
        <v>233</v>
      </c>
      <c r="C11" s="9" t="s">
        <v>234</v>
      </c>
      <c r="D11" s="9" t="s">
        <v>211</v>
      </c>
      <c r="E11" s="42" t="s">
        <v>608</v>
      </c>
      <c r="F11" s="41" t="s">
        <v>610</v>
      </c>
      <c r="G11" s="14" t="s">
        <v>611</v>
      </c>
      <c r="H11" s="80" t="s">
        <v>612</v>
      </c>
      <c r="I11" s="91" t="s">
        <v>613</v>
      </c>
      <c r="J11" s="52" t="s">
        <v>615</v>
      </c>
      <c r="K11" s="53" t="s">
        <v>617</v>
      </c>
      <c r="L11" s="53" t="s">
        <v>618</v>
      </c>
      <c r="M11" s="85" t="s">
        <v>619</v>
      </c>
      <c r="N11" s="17" t="s">
        <v>43</v>
      </c>
      <c r="O11" s="55" t="s">
        <v>0</v>
      </c>
      <c r="P11" s="52" t="s">
        <v>623</v>
      </c>
      <c r="Q11" s="52" t="s">
        <v>628</v>
      </c>
      <c r="R11" s="52" t="s">
        <v>629</v>
      </c>
      <c r="S11" s="52" t="s">
        <v>322</v>
      </c>
      <c r="T11" s="52" t="s">
        <v>630</v>
      </c>
      <c r="U11" s="52" t="s">
        <v>631</v>
      </c>
      <c r="V11" s="20" t="s">
        <v>249</v>
      </c>
      <c r="W11" s="20" t="s">
        <v>0</v>
      </c>
      <c r="X11" s="93" t="s">
        <v>632</v>
      </c>
      <c r="Y11" s="20" t="s">
        <v>0</v>
      </c>
      <c r="Z11" s="20" t="s">
        <v>0</v>
      </c>
      <c r="AA11" s="7" t="s">
        <v>0</v>
      </c>
      <c r="AB11" s="24" t="s">
        <v>636</v>
      </c>
      <c r="AC11" s="24" t="s">
        <v>638</v>
      </c>
      <c r="AD11" s="7" t="s">
        <v>0</v>
      </c>
      <c r="AE11" s="25" t="s">
        <v>640</v>
      </c>
      <c r="AF11" s="7" t="s">
        <v>0</v>
      </c>
      <c r="AG11" s="25" t="s">
        <v>254</v>
      </c>
      <c r="AH11" s="25" t="s">
        <v>257</v>
      </c>
      <c r="AI11" s="7" t="s">
        <v>0</v>
      </c>
      <c r="AJ11" s="7" t="s">
        <v>0</v>
      </c>
      <c r="AK11" s="7" t="s">
        <v>0</v>
      </c>
      <c r="AL11" s="7" t="s">
        <v>0</v>
      </c>
      <c r="AM11" s="7" t="s">
        <v>0</v>
      </c>
      <c r="AN11" s="7" t="s">
        <v>0</v>
      </c>
      <c r="AO11" s="7" t="s">
        <v>0</v>
      </c>
      <c r="AP11" s="7" t="s">
        <v>0</v>
      </c>
      <c r="AQ11" s="7" t="s">
        <v>0</v>
      </c>
      <c r="AR11" s="7" t="s">
        <v>0</v>
      </c>
      <c r="AS11" s="7" t="s">
        <v>0</v>
      </c>
      <c r="AT11" s="7" t="s">
        <v>0</v>
      </c>
      <c r="AU11" s="7" t="s">
        <v>0</v>
      </c>
      <c r="AV11" s="7" t="s">
        <v>0</v>
      </c>
      <c r="AW11" s="7" t="s">
        <v>0</v>
      </c>
      <c r="AX11" s="7" t="s">
        <v>0</v>
      </c>
    </row>
    <row r="12">
      <c r="A12" s="57" t="s">
        <v>258</v>
      </c>
      <c r="B12" s="9" t="s">
        <v>233</v>
      </c>
      <c r="C12" s="9" t="s">
        <v>259</v>
      </c>
      <c r="D12" s="9" t="s">
        <v>211</v>
      </c>
      <c r="E12" s="42" t="s">
        <v>648</v>
      </c>
      <c r="F12" s="41" t="s">
        <v>649</v>
      </c>
      <c r="G12" s="42" t="s">
        <v>650</v>
      </c>
      <c r="H12" s="80" t="s">
        <v>263</v>
      </c>
      <c r="I12" s="45" t="s">
        <v>651</v>
      </c>
      <c r="J12" s="41" t="s">
        <v>652</v>
      </c>
      <c r="K12" s="59" t="s">
        <v>653</v>
      </c>
      <c r="L12" s="59" t="s">
        <v>654</v>
      </c>
      <c r="M12" s="81" t="s">
        <v>655</v>
      </c>
      <c r="N12" s="21" t="s">
        <v>43</v>
      </c>
      <c r="O12" s="31" t="s">
        <v>0</v>
      </c>
      <c r="P12" s="41" t="s">
        <v>656</v>
      </c>
      <c r="Q12" s="41" t="s">
        <v>657</v>
      </c>
      <c r="R12" s="41" t="s">
        <v>196</v>
      </c>
      <c r="S12" s="41" t="s">
        <v>198</v>
      </c>
      <c r="T12" s="41" t="s">
        <v>658</v>
      </c>
      <c r="U12" s="41" t="s">
        <v>659</v>
      </c>
      <c r="V12" s="20" t="s">
        <v>249</v>
      </c>
      <c r="W12" s="20" t="s">
        <v>0</v>
      </c>
      <c r="X12" s="20" t="s">
        <v>660</v>
      </c>
      <c r="Y12" s="20" t="s">
        <v>0</v>
      </c>
      <c r="Z12" s="20" t="s">
        <v>0</v>
      </c>
      <c r="AA12" s="7" t="s">
        <v>0</v>
      </c>
      <c r="AB12" s="24" t="s">
        <v>661</v>
      </c>
      <c r="AC12" s="24" t="s">
        <v>662</v>
      </c>
      <c r="AD12" s="7" t="s">
        <v>0</v>
      </c>
      <c r="AE12" s="25" t="s">
        <v>663</v>
      </c>
      <c r="AF12" s="7" t="s">
        <v>0</v>
      </c>
      <c r="AG12" s="25" t="s">
        <v>276</v>
      </c>
      <c r="AH12" s="25" t="s">
        <v>279</v>
      </c>
      <c r="AI12" s="7" t="s">
        <v>0</v>
      </c>
      <c r="AJ12" s="7" t="s">
        <v>0</v>
      </c>
      <c r="AK12" s="7" t="s">
        <v>0</v>
      </c>
      <c r="AL12" s="7" t="s">
        <v>0</v>
      </c>
      <c r="AM12" s="7" t="s">
        <v>0</v>
      </c>
      <c r="AN12" s="7" t="s">
        <v>0</v>
      </c>
      <c r="AO12" s="7" t="s">
        <v>0</v>
      </c>
      <c r="AP12" s="7" t="s">
        <v>0</v>
      </c>
      <c r="AQ12" s="7" t="s">
        <v>0</v>
      </c>
      <c r="AR12" s="7" t="s">
        <v>0</v>
      </c>
      <c r="AS12" s="7" t="s">
        <v>0</v>
      </c>
      <c r="AT12" s="7" t="s">
        <v>0</v>
      </c>
      <c r="AU12" s="7" t="s">
        <v>0</v>
      </c>
      <c r="AV12" s="7" t="s">
        <v>0</v>
      </c>
      <c r="AW12" s="7" t="s">
        <v>0</v>
      </c>
      <c r="AX12" s="7" t="s">
        <v>0</v>
      </c>
    </row>
    <row r="13">
      <c r="A13" s="57" t="s">
        <v>280</v>
      </c>
      <c r="B13" s="9" t="s">
        <v>233</v>
      </c>
      <c r="C13" s="94" t="s">
        <v>281</v>
      </c>
      <c r="D13" s="94" t="s">
        <v>33</v>
      </c>
      <c r="E13" s="42" t="s">
        <v>664</v>
      </c>
      <c r="F13" s="41" t="s">
        <v>665</v>
      </c>
      <c r="G13" s="42" t="s">
        <v>666</v>
      </c>
      <c r="H13" s="80" t="s">
        <v>285</v>
      </c>
      <c r="I13" s="41" t="s">
        <v>667</v>
      </c>
      <c r="J13" s="41" t="s">
        <v>668</v>
      </c>
      <c r="K13" s="59" t="s">
        <v>669</v>
      </c>
      <c r="L13" s="59" t="s">
        <v>670</v>
      </c>
      <c r="M13" s="81" t="s">
        <v>671</v>
      </c>
      <c r="N13" s="21" t="s">
        <v>43</v>
      </c>
      <c r="O13" s="31" t="s">
        <v>0</v>
      </c>
      <c r="P13" s="41" t="s">
        <v>672</v>
      </c>
      <c r="Q13" s="41" t="s">
        <v>673</v>
      </c>
      <c r="R13" s="41" t="s">
        <v>674</v>
      </c>
      <c r="S13" s="41" t="s">
        <v>675</v>
      </c>
      <c r="T13" s="41" t="s">
        <v>676</v>
      </c>
      <c r="U13" s="41" t="s">
        <v>677</v>
      </c>
      <c r="V13" s="20" t="s">
        <v>249</v>
      </c>
      <c r="W13" s="20" t="s">
        <v>0</v>
      </c>
      <c r="X13" s="20" t="s">
        <v>678</v>
      </c>
      <c r="Y13" s="20" t="s">
        <v>0</v>
      </c>
      <c r="Z13" s="20" t="s">
        <v>0</v>
      </c>
      <c r="AA13" s="7" t="s">
        <v>0</v>
      </c>
      <c r="AB13" s="24" t="s">
        <v>679</v>
      </c>
      <c r="AC13" s="24" t="s">
        <v>680</v>
      </c>
      <c r="AD13" s="7" t="s">
        <v>0</v>
      </c>
      <c r="AE13" s="25" t="s">
        <v>682</v>
      </c>
      <c r="AF13" s="7" t="s">
        <v>0</v>
      </c>
      <c r="AG13" s="25" t="s">
        <v>276</v>
      </c>
      <c r="AH13" s="25" t="s">
        <v>302</v>
      </c>
      <c r="AI13" s="7" t="s">
        <v>0</v>
      </c>
      <c r="AJ13" s="7" t="s">
        <v>0</v>
      </c>
      <c r="AK13" s="7" t="s">
        <v>0</v>
      </c>
      <c r="AL13" s="7" t="s">
        <v>0</v>
      </c>
      <c r="AM13" s="7" t="s">
        <v>0</v>
      </c>
      <c r="AN13" s="7" t="s">
        <v>0</v>
      </c>
      <c r="AO13" s="7" t="s">
        <v>0</v>
      </c>
      <c r="AP13" s="7" t="s">
        <v>0</v>
      </c>
      <c r="AQ13" s="7" t="s">
        <v>0</v>
      </c>
      <c r="AR13" s="7" t="s">
        <v>0</v>
      </c>
      <c r="AS13" s="7" t="s">
        <v>0</v>
      </c>
      <c r="AT13" s="7" t="s">
        <v>0</v>
      </c>
      <c r="AU13" s="7" t="s">
        <v>0</v>
      </c>
      <c r="AV13" s="7" t="s">
        <v>0</v>
      </c>
      <c r="AW13" s="7" t="s">
        <v>0</v>
      </c>
      <c r="AX13" s="7" t="s">
        <v>0</v>
      </c>
    </row>
    <row r="14">
      <c r="A14" s="61" t="s">
        <v>0</v>
      </c>
      <c r="B14" s="61" t="s">
        <v>0</v>
      </c>
      <c r="C14" s="62" t="s">
        <v>0</v>
      </c>
      <c r="D14" s="62" t="s">
        <v>0</v>
      </c>
      <c r="E14" s="63" t="s">
        <v>0</v>
      </c>
      <c r="F14" s="63" t="s">
        <v>0</v>
      </c>
      <c r="G14" s="63" t="s">
        <v>0</v>
      </c>
      <c r="H14" s="96" t="s">
        <v>0</v>
      </c>
      <c r="I14" s="63" t="s">
        <v>0</v>
      </c>
      <c r="J14" s="63" t="s">
        <v>0</v>
      </c>
      <c r="K14" s="63" t="s">
        <v>0</v>
      </c>
      <c r="L14" s="63" t="s">
        <v>0</v>
      </c>
      <c r="M14" s="96" t="s">
        <v>0</v>
      </c>
      <c r="N14" s="63" t="s">
        <v>0</v>
      </c>
      <c r="O14" s="63" t="s">
        <v>0</v>
      </c>
      <c r="P14" s="63" t="s">
        <v>0</v>
      </c>
      <c r="Q14" s="63" t="s">
        <v>0</v>
      </c>
      <c r="R14" s="63" t="s">
        <v>0</v>
      </c>
      <c r="S14" s="63" t="s">
        <v>0</v>
      </c>
      <c r="T14" s="63" t="s">
        <v>0</v>
      </c>
      <c r="U14" s="63" t="s">
        <v>0</v>
      </c>
      <c r="V14" s="63" t="s">
        <v>0</v>
      </c>
      <c r="W14" s="63" t="s">
        <v>0</v>
      </c>
      <c r="X14" s="63" t="s">
        <v>0</v>
      </c>
      <c r="Y14" s="63" t="s">
        <v>0</v>
      </c>
      <c r="Z14" s="63" t="s">
        <v>0</v>
      </c>
      <c r="AA14" s="63" t="s">
        <v>0</v>
      </c>
      <c r="AB14" s="64" t="s">
        <v>0</v>
      </c>
      <c r="AC14" s="64" t="s">
        <v>0</v>
      </c>
      <c r="AD14" s="63" t="s">
        <v>0</v>
      </c>
      <c r="AE14" s="63" t="s">
        <v>0</v>
      </c>
      <c r="AF14" s="63" t="s">
        <v>0</v>
      </c>
      <c r="AG14" s="63" t="s">
        <v>0</v>
      </c>
      <c r="AH14" s="63" t="s">
        <v>0</v>
      </c>
      <c r="AI14" s="63" t="s">
        <v>0</v>
      </c>
      <c r="AJ14" s="63" t="s">
        <v>0</v>
      </c>
      <c r="AK14" s="63" t="s">
        <v>0</v>
      </c>
      <c r="AL14" s="63" t="s">
        <v>0</v>
      </c>
      <c r="AM14" s="63" t="s">
        <v>0</v>
      </c>
      <c r="AN14" s="63" t="s">
        <v>0</v>
      </c>
      <c r="AO14" s="63" t="s">
        <v>0</v>
      </c>
      <c r="AP14" s="63" t="s">
        <v>0</v>
      </c>
      <c r="AQ14" s="63" t="s">
        <v>0</v>
      </c>
      <c r="AR14" s="63" t="s">
        <v>0</v>
      </c>
      <c r="AS14" s="63" t="s">
        <v>0</v>
      </c>
      <c r="AT14" s="63" t="s">
        <v>0</v>
      </c>
      <c r="AU14" s="63" t="s">
        <v>0</v>
      </c>
      <c r="AV14" s="63" t="s">
        <v>0</v>
      </c>
      <c r="AW14" s="63" t="s">
        <v>0</v>
      </c>
      <c r="AX14" s="63" t="s">
        <v>0</v>
      </c>
    </row>
    <row r="15">
      <c r="A15" s="65" t="s">
        <v>303</v>
      </c>
      <c r="B15" s="3" t="s">
        <v>1</v>
      </c>
      <c r="C15" s="3" t="s">
        <v>304</v>
      </c>
      <c r="D15" s="3" t="s">
        <v>3</v>
      </c>
      <c r="E15" s="3" t="s">
        <v>4</v>
      </c>
      <c r="F15" s="3" t="s">
        <v>5</v>
      </c>
      <c r="G15" s="3" t="s">
        <v>6</v>
      </c>
      <c r="H15" s="98" t="s">
        <v>7</v>
      </c>
      <c r="I15" s="3" t="s">
        <v>305</v>
      </c>
      <c r="J15" s="3" t="s">
        <v>306</v>
      </c>
      <c r="K15" s="3" t="s">
        <v>0</v>
      </c>
      <c r="L15" s="3" t="s">
        <v>0</v>
      </c>
      <c r="M15" s="98" t="s">
        <v>12</v>
      </c>
      <c r="N15" s="3" t="s">
        <v>13</v>
      </c>
      <c r="O15" s="4" t="s">
        <v>0</v>
      </c>
      <c r="P15" s="5" t="s">
        <v>15</v>
      </c>
      <c r="Q15" s="5" t="s">
        <v>16</v>
      </c>
      <c r="R15" s="5" t="s">
        <v>17</v>
      </c>
      <c r="S15" s="5" t="s">
        <v>18</v>
      </c>
      <c r="T15" s="5" t="s">
        <v>0</v>
      </c>
      <c r="U15" s="5" t="s">
        <v>20</v>
      </c>
      <c r="V15" s="5" t="s">
        <v>21</v>
      </c>
      <c r="W15" s="5" t="s">
        <v>0</v>
      </c>
      <c r="X15" s="5" t="s">
        <v>23</v>
      </c>
      <c r="Y15" s="5" t="s">
        <v>0</v>
      </c>
      <c r="Z15" s="5" t="s">
        <v>0</v>
      </c>
      <c r="AA15" s="5" t="s">
        <v>0</v>
      </c>
      <c r="AB15" s="6" t="s">
        <v>24</v>
      </c>
      <c r="AC15" s="6" t="s">
        <v>25</v>
      </c>
      <c r="AD15" s="7" t="s">
        <v>0</v>
      </c>
      <c r="AE15" s="7" t="s">
        <v>0</v>
      </c>
      <c r="AF15" s="7" t="s">
        <v>0</v>
      </c>
      <c r="AG15" s="6" t="s">
        <v>26</v>
      </c>
      <c r="AH15" s="6" t="s">
        <v>27</v>
      </c>
      <c r="AI15" s="6" t="s">
        <v>0</v>
      </c>
      <c r="AJ15" s="7" t="s">
        <v>0</v>
      </c>
      <c r="AK15" s="7" t="s">
        <v>0</v>
      </c>
      <c r="AL15" s="7" t="s">
        <v>0</v>
      </c>
      <c r="AM15" s="7" t="s">
        <v>0</v>
      </c>
      <c r="AN15" s="7" t="s">
        <v>0</v>
      </c>
      <c r="AO15" s="7" t="s">
        <v>0</v>
      </c>
      <c r="AP15" s="7" t="s">
        <v>0</v>
      </c>
      <c r="AQ15" s="7" t="s">
        <v>0</v>
      </c>
      <c r="AR15" s="7" t="s">
        <v>0</v>
      </c>
      <c r="AS15" s="7" t="s">
        <v>0</v>
      </c>
      <c r="AT15" s="7" t="s">
        <v>0</v>
      </c>
      <c r="AU15" s="7" t="s">
        <v>0</v>
      </c>
      <c r="AV15" s="7" t="s">
        <v>0</v>
      </c>
      <c r="AW15" s="7" t="s">
        <v>0</v>
      </c>
      <c r="AX15" s="7" t="s">
        <v>0</v>
      </c>
    </row>
    <row r="16">
      <c r="A16" s="66" t="s">
        <v>307</v>
      </c>
      <c r="B16" s="67" t="s">
        <v>308</v>
      </c>
      <c r="C16" s="67" t="s">
        <v>309</v>
      </c>
      <c r="D16" s="67" t="s">
        <v>310</v>
      </c>
      <c r="E16" s="14" t="s">
        <v>689</v>
      </c>
      <c r="F16" s="52" t="s">
        <v>690</v>
      </c>
      <c r="G16" s="14" t="s">
        <v>691</v>
      </c>
      <c r="H16" s="99" t="s">
        <v>692</v>
      </c>
      <c r="I16" s="15" t="s">
        <v>693</v>
      </c>
      <c r="J16" s="52" t="s">
        <v>694</v>
      </c>
      <c r="K16" s="15" t="s">
        <v>695</v>
      </c>
      <c r="L16" s="15" t="s">
        <v>696</v>
      </c>
      <c r="M16" s="52" t="s">
        <v>697</v>
      </c>
      <c r="N16" s="67" t="s">
        <v>43</v>
      </c>
      <c r="O16" s="69" t="s">
        <v>0</v>
      </c>
      <c r="P16" s="15" t="s">
        <v>698</v>
      </c>
      <c r="Q16" s="15" t="s">
        <v>699</v>
      </c>
      <c r="R16" s="15" t="s">
        <v>321</v>
      </c>
      <c r="S16" s="15" t="s">
        <v>322</v>
      </c>
      <c r="T16" s="15" t="s">
        <v>700</v>
      </c>
      <c r="U16" s="15" t="s">
        <v>701</v>
      </c>
      <c r="V16" s="70" t="s">
        <v>325</v>
      </c>
      <c r="W16" s="70" t="s">
        <v>326</v>
      </c>
      <c r="X16" s="70" t="s">
        <v>702</v>
      </c>
      <c r="Y16" s="36" t="s">
        <v>0</v>
      </c>
      <c r="Z16" s="36" t="s">
        <v>0</v>
      </c>
      <c r="AA16" s="70" t="s">
        <v>0</v>
      </c>
      <c r="AB16" s="24" t="s">
        <v>703</v>
      </c>
      <c r="AC16" s="24" t="s">
        <v>704</v>
      </c>
      <c r="AD16" s="7" t="s">
        <v>0</v>
      </c>
      <c r="AE16" s="25" t="s">
        <v>705</v>
      </c>
      <c r="AF16" s="7" t="s">
        <v>0</v>
      </c>
      <c r="AG16" s="25" t="s">
        <v>88</v>
      </c>
      <c r="AH16" s="25" t="s">
        <v>334</v>
      </c>
      <c r="AI16" s="7" t="s">
        <v>0</v>
      </c>
      <c r="AJ16" s="7" t="s">
        <v>0</v>
      </c>
      <c r="AK16" s="7" t="s">
        <v>0</v>
      </c>
      <c r="AL16" s="7" t="s">
        <v>0</v>
      </c>
      <c r="AM16" s="7" t="s">
        <v>0</v>
      </c>
      <c r="AN16" s="7" t="s">
        <v>0</v>
      </c>
      <c r="AO16" s="7" t="s">
        <v>0</v>
      </c>
      <c r="AP16" s="7" t="s">
        <v>0</v>
      </c>
      <c r="AQ16" s="7" t="s">
        <v>0</v>
      </c>
      <c r="AR16" s="7" t="s">
        <v>0</v>
      </c>
      <c r="AS16" s="7" t="s">
        <v>0</v>
      </c>
      <c r="AT16" s="7" t="s">
        <v>0</v>
      </c>
      <c r="AU16" s="7" t="s">
        <v>0</v>
      </c>
      <c r="AV16" s="7" t="s">
        <v>0</v>
      </c>
      <c r="AW16" s="7" t="s">
        <v>0</v>
      </c>
      <c r="AX16" s="7" t="s">
        <v>0</v>
      </c>
    </row>
    <row r="17">
      <c r="A17" s="66" t="s">
        <v>335</v>
      </c>
      <c r="B17" s="67" t="s">
        <v>93</v>
      </c>
      <c r="C17" s="67" t="s">
        <v>336</v>
      </c>
      <c r="D17" s="67" t="s">
        <v>337</v>
      </c>
      <c r="E17" s="100" t="s">
        <v>706</v>
      </c>
      <c r="F17" s="52" t="s">
        <v>708</v>
      </c>
      <c r="G17" s="14" t="s">
        <v>709</v>
      </c>
      <c r="H17" s="100" t="s">
        <v>341</v>
      </c>
      <c r="I17" s="52" t="s">
        <v>711</v>
      </c>
      <c r="J17" s="52" t="s">
        <v>712</v>
      </c>
      <c r="K17" s="71" t="s">
        <v>0</v>
      </c>
      <c r="L17" s="71" t="s">
        <v>0</v>
      </c>
      <c r="M17" s="85" t="s">
        <v>713</v>
      </c>
      <c r="N17" s="73" t="s">
        <v>66</v>
      </c>
      <c r="O17" s="55" t="s">
        <v>0</v>
      </c>
      <c r="P17" s="52" t="s">
        <v>714</v>
      </c>
      <c r="Q17" s="52" t="s">
        <v>715</v>
      </c>
      <c r="R17" s="52" t="s">
        <v>716</v>
      </c>
      <c r="S17" s="52" t="s">
        <v>717</v>
      </c>
      <c r="T17" s="52" t="s">
        <v>718</v>
      </c>
      <c r="U17" s="52" t="s">
        <v>719</v>
      </c>
      <c r="V17" s="22" t="s">
        <v>108</v>
      </c>
      <c r="W17" s="7" t="s">
        <v>0</v>
      </c>
      <c r="X17" s="36" t="s">
        <v>720</v>
      </c>
      <c r="Y17" s="36" t="s">
        <v>721</v>
      </c>
      <c r="Z17" s="36" t="s">
        <v>0</v>
      </c>
      <c r="AA17" s="36" t="s">
        <v>0</v>
      </c>
      <c r="AB17" s="24" t="s">
        <v>722</v>
      </c>
      <c r="AC17" s="24" t="s">
        <v>723</v>
      </c>
      <c r="AD17" s="7" t="s">
        <v>0</v>
      </c>
      <c r="AE17" s="25" t="s">
        <v>724</v>
      </c>
      <c r="AF17" s="7" t="s">
        <v>0</v>
      </c>
      <c r="AG17" s="25" t="s">
        <v>276</v>
      </c>
      <c r="AH17" s="25" t="s">
        <v>357</v>
      </c>
      <c r="AI17" s="7" t="s">
        <v>0</v>
      </c>
      <c r="AJ17" s="7" t="s">
        <v>0</v>
      </c>
      <c r="AK17" s="7" t="s">
        <v>0</v>
      </c>
      <c r="AL17" s="7" t="s">
        <v>0</v>
      </c>
      <c r="AM17" s="7" t="s">
        <v>0</v>
      </c>
      <c r="AN17" s="7" t="s">
        <v>0</v>
      </c>
      <c r="AO17" s="7" t="s">
        <v>0</v>
      </c>
      <c r="AP17" s="7" t="s">
        <v>0</v>
      </c>
      <c r="AQ17" s="7" t="s">
        <v>0</v>
      </c>
      <c r="AR17" s="7" t="s">
        <v>0</v>
      </c>
      <c r="AS17" s="7" t="s">
        <v>0</v>
      </c>
      <c r="AT17" s="7" t="s">
        <v>0</v>
      </c>
      <c r="AU17" s="7" t="s">
        <v>0</v>
      </c>
      <c r="AV17" s="7" t="s">
        <v>0</v>
      </c>
      <c r="AW17" s="7" t="s">
        <v>0</v>
      </c>
      <c r="AX17" s="7" t="s">
        <v>0</v>
      </c>
    </row>
    <row r="18">
      <c r="A18" s="66" t="s">
        <v>358</v>
      </c>
      <c r="B18" s="67" t="s">
        <v>31</v>
      </c>
      <c r="C18" s="67" t="s">
        <v>725</v>
      </c>
      <c r="D18" s="67" t="s">
        <v>211</v>
      </c>
      <c r="E18" s="11" t="s">
        <v>726</v>
      </c>
      <c r="F18" s="12" t="s">
        <v>727</v>
      </c>
      <c r="G18" s="11" t="s">
        <v>728</v>
      </c>
      <c r="H18" s="100" t="s">
        <v>729</v>
      </c>
      <c r="I18" s="12" t="s">
        <v>730</v>
      </c>
      <c r="J18" s="12" t="s">
        <v>731</v>
      </c>
      <c r="K18" s="16" t="s">
        <v>732</v>
      </c>
      <c r="L18" s="16" t="s">
        <v>733</v>
      </c>
      <c r="M18" s="76" t="s">
        <v>734</v>
      </c>
      <c r="N18" s="73" t="s">
        <v>43</v>
      </c>
      <c r="O18" s="18" t="s">
        <v>0</v>
      </c>
      <c r="P18" s="11" t="s">
        <v>735</v>
      </c>
      <c r="Q18" s="19" t="s">
        <v>736</v>
      </c>
      <c r="R18" s="11" t="s">
        <v>737</v>
      </c>
      <c r="S18" s="19" t="s">
        <v>738</v>
      </c>
      <c r="T18" s="11" t="s">
        <v>739</v>
      </c>
      <c r="U18" s="19" t="s">
        <v>740</v>
      </c>
      <c r="V18" s="20" t="s">
        <v>48</v>
      </c>
      <c r="W18" s="36" t="s">
        <v>0</v>
      </c>
      <c r="X18" s="36" t="s">
        <v>375</v>
      </c>
      <c r="Y18" s="36" t="s">
        <v>0</v>
      </c>
      <c r="Z18" s="36" t="s">
        <v>0</v>
      </c>
      <c r="AA18" s="36" t="s">
        <v>0</v>
      </c>
      <c r="AB18" s="24" t="s">
        <v>741</v>
      </c>
      <c r="AC18" s="24" t="s">
        <v>742</v>
      </c>
      <c r="AD18" s="7" t="s">
        <v>0</v>
      </c>
      <c r="AE18" s="25" t="s">
        <v>743</v>
      </c>
      <c r="AF18" s="7" t="s">
        <v>0</v>
      </c>
      <c r="AG18" s="25" t="s">
        <v>379</v>
      </c>
      <c r="AH18" s="74">
        <v>116.731629</v>
      </c>
      <c r="AI18" s="7" t="s">
        <v>0</v>
      </c>
      <c r="AJ18" s="7" t="s">
        <v>0</v>
      </c>
      <c r="AK18" s="7" t="s">
        <v>0</v>
      </c>
      <c r="AL18" s="7" t="s">
        <v>0</v>
      </c>
      <c r="AM18" s="7" t="s">
        <v>0</v>
      </c>
      <c r="AN18" s="7" t="s">
        <v>0</v>
      </c>
      <c r="AO18" s="7" t="s">
        <v>0</v>
      </c>
      <c r="AP18" s="7" t="s">
        <v>0</v>
      </c>
      <c r="AQ18" s="7" t="s">
        <v>0</v>
      </c>
      <c r="AR18" s="7" t="s">
        <v>0</v>
      </c>
      <c r="AS18" s="7" t="s">
        <v>0</v>
      </c>
      <c r="AT18" s="7" t="s">
        <v>0</v>
      </c>
      <c r="AU18" s="7" t="s">
        <v>0</v>
      </c>
      <c r="AV18" s="7" t="s">
        <v>0</v>
      </c>
      <c r="AW18" s="7" t="s">
        <v>0</v>
      </c>
      <c r="AX18" s="7" t="s">
        <v>0</v>
      </c>
    </row>
    <row r="19">
      <c r="A19" s="66" t="s">
        <v>382</v>
      </c>
      <c r="B19" s="67" t="s">
        <v>308</v>
      </c>
      <c r="C19" s="67" t="s">
        <v>383</v>
      </c>
      <c r="D19" s="67" t="s">
        <v>33</v>
      </c>
      <c r="E19" s="77" t="s">
        <v>744</v>
      </c>
      <c r="F19" s="52" t="s">
        <v>745</v>
      </c>
      <c r="G19" s="77" t="s">
        <v>746</v>
      </c>
      <c r="H19" s="102" t="s">
        <v>747</v>
      </c>
      <c r="I19" s="79" t="s">
        <v>748</v>
      </c>
      <c r="J19" s="79" t="s">
        <v>749</v>
      </c>
      <c r="K19" s="15" t="s">
        <v>750</v>
      </c>
      <c r="L19" s="15" t="s">
        <v>751</v>
      </c>
      <c r="M19" s="79" t="s">
        <v>752</v>
      </c>
      <c r="N19" s="21" t="s">
        <v>43</v>
      </c>
      <c r="O19" s="69" t="s">
        <v>0</v>
      </c>
      <c r="P19" s="15" t="s">
        <v>753</v>
      </c>
      <c r="Q19" s="52" t="s">
        <v>754</v>
      </c>
      <c r="R19" s="15" t="s">
        <v>755</v>
      </c>
      <c r="S19" s="52" t="s">
        <v>756</v>
      </c>
      <c r="T19" s="15" t="s">
        <v>757</v>
      </c>
      <c r="U19" s="52" t="s">
        <v>758</v>
      </c>
      <c r="V19" s="70" t="s">
        <v>325</v>
      </c>
      <c r="W19" s="70" t="s">
        <v>326</v>
      </c>
      <c r="X19" s="36" t="s">
        <v>759</v>
      </c>
      <c r="Y19" s="21" t="s">
        <v>446</v>
      </c>
      <c r="Z19" s="36" t="s">
        <v>0</v>
      </c>
      <c r="AA19" s="36" t="s">
        <v>0</v>
      </c>
      <c r="AB19" s="24" t="s">
        <v>760</v>
      </c>
      <c r="AC19" s="24" t="s">
        <v>761</v>
      </c>
      <c r="AD19" s="7" t="s">
        <v>0</v>
      </c>
      <c r="AE19" s="25" t="s">
        <v>762</v>
      </c>
      <c r="AF19" s="7" t="s">
        <v>0</v>
      </c>
      <c r="AG19" s="25" t="s">
        <v>276</v>
      </c>
      <c r="AH19" s="25" t="s">
        <v>452</v>
      </c>
      <c r="AI19" s="7" t="s">
        <v>0</v>
      </c>
      <c r="AJ19" s="7" t="s">
        <v>0</v>
      </c>
      <c r="AK19" s="7" t="s">
        <v>0</v>
      </c>
      <c r="AL19" s="7" t="s">
        <v>0</v>
      </c>
      <c r="AM19" s="7" t="s">
        <v>0</v>
      </c>
      <c r="AN19" s="7" t="s">
        <v>0</v>
      </c>
      <c r="AO19" s="7" t="s">
        <v>0</v>
      </c>
      <c r="AP19" s="7" t="s">
        <v>0</v>
      </c>
      <c r="AQ19" s="7" t="s">
        <v>0</v>
      </c>
      <c r="AR19" s="7" t="s">
        <v>0</v>
      </c>
      <c r="AS19" s="7" t="s">
        <v>0</v>
      </c>
      <c r="AT19" s="7" t="s">
        <v>0</v>
      </c>
      <c r="AU19" s="7" t="s">
        <v>0</v>
      </c>
      <c r="AV19" s="7" t="s">
        <v>0</v>
      </c>
      <c r="AW19" s="7" t="s">
        <v>0</v>
      </c>
      <c r="AX19" s="7" t="s">
        <v>0</v>
      </c>
    </row>
    <row r="20">
      <c r="A20" s="66" t="s">
        <v>457</v>
      </c>
      <c r="B20" s="67" t="s">
        <v>233</v>
      </c>
      <c r="C20" s="67" t="s">
        <v>460</v>
      </c>
      <c r="D20" s="67" t="s">
        <v>33</v>
      </c>
      <c r="E20" s="77" t="s">
        <v>763</v>
      </c>
      <c r="F20" s="102" t="s">
        <v>764</v>
      </c>
      <c r="G20" s="77" t="s">
        <v>765</v>
      </c>
      <c r="H20" s="103" t="s">
        <v>465</v>
      </c>
      <c r="I20" s="52" t="s">
        <v>766</v>
      </c>
      <c r="J20" s="79" t="s">
        <v>767</v>
      </c>
      <c r="K20" s="71" t="s">
        <v>0</v>
      </c>
      <c r="L20" s="71" t="s">
        <v>0</v>
      </c>
      <c r="M20" s="102" t="s">
        <v>768</v>
      </c>
      <c r="N20" s="72" t="s">
        <v>0</v>
      </c>
      <c r="O20" s="82" t="s">
        <v>0</v>
      </c>
      <c r="P20" s="79" t="s">
        <v>769</v>
      </c>
      <c r="Q20" s="79" t="s">
        <v>770</v>
      </c>
      <c r="R20" s="52" t="s">
        <v>771</v>
      </c>
      <c r="S20" s="52" t="s">
        <v>772</v>
      </c>
      <c r="T20" s="52" t="s">
        <v>773</v>
      </c>
      <c r="U20" s="52" t="s">
        <v>774</v>
      </c>
      <c r="V20" s="20" t="s">
        <v>249</v>
      </c>
      <c r="W20" s="36" t="s">
        <v>0</v>
      </c>
      <c r="X20" s="20" t="s">
        <v>493</v>
      </c>
      <c r="Y20" s="36" t="s">
        <v>0</v>
      </c>
      <c r="Z20" s="36" t="s">
        <v>0</v>
      </c>
      <c r="AA20" s="36" t="s">
        <v>0</v>
      </c>
      <c r="AB20" s="24" t="s">
        <v>775</v>
      </c>
      <c r="AC20" s="24" t="s">
        <v>776</v>
      </c>
      <c r="AD20" s="7" t="s">
        <v>0</v>
      </c>
      <c r="AE20" s="25" t="s">
        <v>777</v>
      </c>
      <c r="AF20" s="7" t="s">
        <v>0</v>
      </c>
      <c r="AG20" s="25" t="s">
        <v>54</v>
      </c>
      <c r="AH20" s="25" t="s">
        <v>502</v>
      </c>
      <c r="AI20" s="7" t="s">
        <v>0</v>
      </c>
      <c r="AJ20" s="7" t="s">
        <v>0</v>
      </c>
      <c r="AK20" s="7" t="s">
        <v>0</v>
      </c>
      <c r="AL20" s="7" t="s">
        <v>0</v>
      </c>
      <c r="AM20" s="7" t="s">
        <v>0</v>
      </c>
      <c r="AN20" s="7" t="s">
        <v>0</v>
      </c>
      <c r="AO20" s="7" t="s">
        <v>0</v>
      </c>
      <c r="AP20" s="7" t="s">
        <v>0</v>
      </c>
      <c r="AQ20" s="7" t="s">
        <v>0</v>
      </c>
      <c r="AR20" s="7" t="s">
        <v>0</v>
      </c>
      <c r="AS20" s="7" t="s">
        <v>0</v>
      </c>
      <c r="AT20" s="7" t="s">
        <v>0</v>
      </c>
      <c r="AU20" s="7" t="s">
        <v>0</v>
      </c>
      <c r="AV20" s="7" t="s">
        <v>0</v>
      </c>
      <c r="AW20" s="7" t="s">
        <v>0</v>
      </c>
      <c r="AX20" s="7" t="s">
        <v>0</v>
      </c>
    </row>
    <row r="21">
      <c r="A21" s="66" t="s">
        <v>503</v>
      </c>
      <c r="B21" s="67" t="s">
        <v>308</v>
      </c>
      <c r="C21" s="67" t="s">
        <v>506</v>
      </c>
      <c r="D21" s="67" t="s">
        <v>211</v>
      </c>
      <c r="E21" s="77" t="s">
        <v>778</v>
      </c>
      <c r="F21" s="79" t="s">
        <v>779</v>
      </c>
      <c r="G21" s="14" t="s">
        <v>780</v>
      </c>
      <c r="H21" s="85" t="s">
        <v>781</v>
      </c>
      <c r="I21" s="52" t="s">
        <v>782</v>
      </c>
      <c r="J21" s="52" t="s">
        <v>783</v>
      </c>
      <c r="K21" s="15" t="s">
        <v>784</v>
      </c>
      <c r="L21" s="15" t="s">
        <v>785</v>
      </c>
      <c r="M21" s="52" t="s">
        <v>786</v>
      </c>
      <c r="N21" s="73" t="s">
        <v>66</v>
      </c>
      <c r="O21" s="69" t="s">
        <v>0</v>
      </c>
      <c r="P21" s="15" t="s">
        <v>787</v>
      </c>
      <c r="Q21" s="79" t="s">
        <v>522</v>
      </c>
      <c r="R21" s="15" t="s">
        <v>523</v>
      </c>
      <c r="S21" s="52" t="s">
        <v>524</v>
      </c>
      <c r="T21" s="15" t="s">
        <v>525</v>
      </c>
      <c r="U21" s="52" t="s">
        <v>526</v>
      </c>
      <c r="V21" s="70" t="s">
        <v>325</v>
      </c>
      <c r="W21" s="36" t="s">
        <v>326</v>
      </c>
      <c r="X21" s="36" t="s">
        <v>527</v>
      </c>
      <c r="Y21" s="21" t="s">
        <v>0</v>
      </c>
      <c r="Z21" s="36" t="s">
        <v>0</v>
      </c>
      <c r="AA21" s="36" t="s">
        <v>0</v>
      </c>
      <c r="AB21" s="24" t="s">
        <v>788</v>
      </c>
      <c r="AC21" s="24" t="s">
        <v>789</v>
      </c>
      <c r="AD21" s="7" t="s">
        <v>0</v>
      </c>
      <c r="AE21" s="25" t="s">
        <v>790</v>
      </c>
      <c r="AF21" s="7" t="s">
        <v>0</v>
      </c>
      <c r="AG21" s="25" t="s">
        <v>276</v>
      </c>
      <c r="AH21" s="25" t="s">
        <v>544</v>
      </c>
      <c r="AI21" s="7" t="s">
        <v>0</v>
      </c>
      <c r="AJ21" s="7" t="s">
        <v>0</v>
      </c>
      <c r="AK21" s="7" t="s">
        <v>0</v>
      </c>
      <c r="AL21" s="7" t="s">
        <v>0</v>
      </c>
      <c r="AM21" s="7" t="s">
        <v>0</v>
      </c>
      <c r="AN21" s="7" t="s">
        <v>0</v>
      </c>
      <c r="AO21" s="7" t="s">
        <v>0</v>
      </c>
      <c r="AP21" s="7" t="s">
        <v>0</v>
      </c>
      <c r="AQ21" s="7" t="s">
        <v>0</v>
      </c>
      <c r="AR21" s="7" t="s">
        <v>0</v>
      </c>
      <c r="AS21" s="7" t="s">
        <v>0</v>
      </c>
      <c r="AT21" s="7" t="s">
        <v>0</v>
      </c>
      <c r="AU21" s="7" t="s">
        <v>0</v>
      </c>
      <c r="AV21" s="7" t="s">
        <v>0</v>
      </c>
      <c r="AW21" s="7" t="s">
        <v>0</v>
      </c>
      <c r="AX21" s="7" t="s">
        <v>0</v>
      </c>
    </row>
    <row r="22">
      <c r="A22" s="66" t="s">
        <v>562</v>
      </c>
      <c r="B22" s="67" t="s">
        <v>308</v>
      </c>
      <c r="C22" s="21" t="s">
        <v>565</v>
      </c>
      <c r="D22" s="67" t="s">
        <v>211</v>
      </c>
      <c r="E22" s="77" t="s">
        <v>791</v>
      </c>
      <c r="F22" s="79" t="s">
        <v>792</v>
      </c>
      <c r="G22" s="77" t="s">
        <v>793</v>
      </c>
      <c r="H22" s="102" t="s">
        <v>794</v>
      </c>
      <c r="I22" s="79" t="s">
        <v>795</v>
      </c>
      <c r="J22" s="79" t="s">
        <v>796</v>
      </c>
      <c r="K22" s="15" t="s">
        <v>797</v>
      </c>
      <c r="L22" s="15" t="s">
        <v>798</v>
      </c>
      <c r="M22" s="79" t="s">
        <v>799</v>
      </c>
      <c r="N22" s="90" t="s">
        <v>66</v>
      </c>
      <c r="O22" s="69" t="s">
        <v>0</v>
      </c>
      <c r="P22" s="15" t="s">
        <v>800</v>
      </c>
      <c r="Q22" s="79" t="s">
        <v>801</v>
      </c>
      <c r="R22" s="15" t="s">
        <v>802</v>
      </c>
      <c r="S22" s="52" t="s">
        <v>803</v>
      </c>
      <c r="T22" s="15" t="s">
        <v>804</v>
      </c>
      <c r="U22" s="52" t="s">
        <v>805</v>
      </c>
      <c r="V22" s="70" t="s">
        <v>325</v>
      </c>
      <c r="W22" s="21" t="s">
        <v>326</v>
      </c>
      <c r="X22" s="21" t="s">
        <v>806</v>
      </c>
      <c r="Y22" s="36" t="s">
        <v>602</v>
      </c>
      <c r="Z22" s="36" t="s">
        <v>0</v>
      </c>
      <c r="AA22" s="36" t="s">
        <v>0</v>
      </c>
      <c r="AB22" s="24" t="s">
        <v>807</v>
      </c>
      <c r="AC22" s="24" t="s">
        <v>808</v>
      </c>
      <c r="AD22" s="7" t="s">
        <v>0</v>
      </c>
      <c r="AE22" s="25" t="s">
        <v>809</v>
      </c>
      <c r="AF22" s="7" t="s">
        <v>0</v>
      </c>
      <c r="AG22" s="25" t="s">
        <v>88</v>
      </c>
      <c r="AH22" s="25" t="s">
        <v>609</v>
      </c>
      <c r="AI22" s="7" t="s">
        <v>0</v>
      </c>
      <c r="AJ22" s="7" t="s">
        <v>0</v>
      </c>
      <c r="AK22" s="7" t="s">
        <v>0</v>
      </c>
      <c r="AL22" s="7" t="s">
        <v>0</v>
      </c>
      <c r="AM22" s="7" t="s">
        <v>0</v>
      </c>
      <c r="AN22" s="7" t="s">
        <v>0</v>
      </c>
      <c r="AO22" s="7" t="s">
        <v>0</v>
      </c>
      <c r="AP22" s="7" t="s">
        <v>0</v>
      </c>
      <c r="AQ22" s="7" t="s">
        <v>0</v>
      </c>
      <c r="AR22" s="7" t="s">
        <v>0</v>
      </c>
      <c r="AS22" s="7" t="s">
        <v>0</v>
      </c>
      <c r="AT22" s="7" t="s">
        <v>0</v>
      </c>
      <c r="AU22" s="7" t="s">
        <v>0</v>
      </c>
      <c r="AV22" s="7" t="s">
        <v>0</v>
      </c>
      <c r="AW22" s="7" t="s">
        <v>0</v>
      </c>
      <c r="AX22" s="7" t="s">
        <v>0</v>
      </c>
    </row>
    <row r="23">
      <c r="A23" s="66" t="s">
        <v>614</v>
      </c>
      <c r="B23" s="67" t="s">
        <v>31</v>
      </c>
      <c r="C23" s="67" t="s">
        <v>616</v>
      </c>
      <c r="D23" s="67" t="s">
        <v>211</v>
      </c>
      <c r="E23" s="11" t="s">
        <v>810</v>
      </c>
      <c r="F23" s="12" t="s">
        <v>811</v>
      </c>
      <c r="G23" s="14" t="s">
        <v>812</v>
      </c>
      <c r="H23" s="100" t="s">
        <v>813</v>
      </c>
      <c r="I23" s="12" t="s">
        <v>814</v>
      </c>
      <c r="J23" s="12" t="s">
        <v>815</v>
      </c>
      <c r="K23" s="16" t="s">
        <v>816</v>
      </c>
      <c r="L23" s="16" t="s">
        <v>817</v>
      </c>
      <c r="M23" s="76" t="s">
        <v>818</v>
      </c>
      <c r="N23" s="73" t="s">
        <v>43</v>
      </c>
      <c r="O23" s="18" t="s">
        <v>0</v>
      </c>
      <c r="P23" s="11" t="s">
        <v>633</v>
      </c>
      <c r="Q23" s="19" t="s">
        <v>819</v>
      </c>
      <c r="R23" s="11" t="s">
        <v>820</v>
      </c>
      <c r="S23" s="19" t="s">
        <v>821</v>
      </c>
      <c r="T23" s="11" t="s">
        <v>822</v>
      </c>
      <c r="U23" s="19" t="s">
        <v>823</v>
      </c>
      <c r="V23" s="20" t="s">
        <v>48</v>
      </c>
      <c r="W23" s="36" t="s">
        <v>0</v>
      </c>
      <c r="X23" s="36" t="s">
        <v>824</v>
      </c>
      <c r="Y23" s="36" t="s">
        <v>0</v>
      </c>
      <c r="Z23" s="36" t="s">
        <v>0</v>
      </c>
      <c r="AA23" s="36" t="s">
        <v>0</v>
      </c>
      <c r="AB23" s="24" t="s">
        <v>825</v>
      </c>
      <c r="AC23" s="24" t="s">
        <v>826</v>
      </c>
      <c r="AD23" s="7" t="s">
        <v>0</v>
      </c>
      <c r="AE23" s="25" t="s">
        <v>827</v>
      </c>
      <c r="AF23" s="7" t="s">
        <v>0</v>
      </c>
      <c r="AG23" s="25" t="s">
        <v>88</v>
      </c>
      <c r="AH23" s="74">
        <v>170.730364</v>
      </c>
      <c r="AI23" s="7" t="s">
        <v>0</v>
      </c>
      <c r="AJ23" s="7" t="s">
        <v>0</v>
      </c>
      <c r="AK23" s="7" t="s">
        <v>0</v>
      </c>
      <c r="AL23" s="7" t="s">
        <v>0</v>
      </c>
      <c r="AM23" s="7" t="s">
        <v>0</v>
      </c>
      <c r="AN23" s="7" t="s">
        <v>0</v>
      </c>
      <c r="AO23" s="7" t="s">
        <v>0</v>
      </c>
      <c r="AP23" s="7" t="s">
        <v>0</v>
      </c>
      <c r="AQ23" s="7" t="s">
        <v>0</v>
      </c>
      <c r="AR23" s="7" t="s">
        <v>0</v>
      </c>
      <c r="AS23" s="7" t="s">
        <v>0</v>
      </c>
      <c r="AT23" s="7" t="s">
        <v>0</v>
      </c>
      <c r="AU23" s="7" t="s">
        <v>0</v>
      </c>
      <c r="AV23" s="7" t="s">
        <v>0</v>
      </c>
      <c r="AW23" s="7" t="s">
        <v>0</v>
      </c>
      <c r="AX23" s="7" t="s">
        <v>0</v>
      </c>
    </row>
    <row r="24">
      <c r="A24" s="63" t="s">
        <v>0</v>
      </c>
      <c r="B24" s="63" t="s">
        <v>0</v>
      </c>
      <c r="C24" s="63" t="s">
        <v>0</v>
      </c>
      <c r="D24" s="63" t="s">
        <v>0</v>
      </c>
      <c r="E24" s="63" t="s">
        <v>0</v>
      </c>
      <c r="F24" s="63" t="s">
        <v>0</v>
      </c>
      <c r="G24" s="63" t="s">
        <v>0</v>
      </c>
      <c r="H24" s="63" t="s">
        <v>0</v>
      </c>
      <c r="I24" s="63" t="s">
        <v>0</v>
      </c>
      <c r="J24" s="63" t="s">
        <v>0</v>
      </c>
      <c r="K24" s="63" t="s">
        <v>0</v>
      </c>
      <c r="L24" s="63" t="s">
        <v>0</v>
      </c>
      <c r="M24" s="63" t="s">
        <v>0</v>
      </c>
      <c r="N24" s="63" t="s">
        <v>0</v>
      </c>
      <c r="O24" s="63" t="s">
        <v>0</v>
      </c>
      <c r="P24" s="63" t="s">
        <v>0</v>
      </c>
      <c r="Q24" s="63" t="s">
        <v>0</v>
      </c>
      <c r="R24" s="63" t="s">
        <v>0</v>
      </c>
      <c r="S24" s="63" t="s">
        <v>0</v>
      </c>
      <c r="T24" s="63" t="s">
        <v>0</v>
      </c>
      <c r="U24" s="63" t="s">
        <v>0</v>
      </c>
      <c r="V24" s="63" t="s">
        <v>0</v>
      </c>
      <c r="W24" s="63" t="s">
        <v>0</v>
      </c>
      <c r="X24" s="63" t="s">
        <v>0</v>
      </c>
      <c r="Y24" s="63" t="s">
        <v>0</v>
      </c>
      <c r="Z24" s="63" t="s">
        <v>0</v>
      </c>
      <c r="AA24" s="63" t="s">
        <v>0</v>
      </c>
      <c r="AB24" s="64" t="s">
        <v>0</v>
      </c>
      <c r="AC24" s="64" t="s">
        <v>0</v>
      </c>
      <c r="AD24" s="63" t="s">
        <v>0</v>
      </c>
      <c r="AE24" s="63" t="s">
        <v>0</v>
      </c>
      <c r="AF24" s="63" t="s">
        <v>0</v>
      </c>
      <c r="AG24" s="63" t="s">
        <v>0</v>
      </c>
      <c r="AH24" s="63" t="s">
        <v>0</v>
      </c>
      <c r="AI24" s="63" t="s">
        <v>0</v>
      </c>
      <c r="AJ24" s="63" t="s">
        <v>0</v>
      </c>
      <c r="AK24" s="63" t="s">
        <v>0</v>
      </c>
      <c r="AL24" s="63" t="s">
        <v>0</v>
      </c>
      <c r="AM24" s="63" t="s">
        <v>0</v>
      </c>
      <c r="AN24" s="63" t="s">
        <v>0</v>
      </c>
      <c r="AO24" s="63" t="s">
        <v>0</v>
      </c>
      <c r="AP24" s="63" t="s">
        <v>0</v>
      </c>
      <c r="AQ24" s="63" t="s">
        <v>0</v>
      </c>
      <c r="AR24" s="63" t="s">
        <v>0</v>
      </c>
      <c r="AS24" s="63" t="s">
        <v>0</v>
      </c>
      <c r="AT24" s="63" t="s">
        <v>0</v>
      </c>
      <c r="AU24" s="63" t="s">
        <v>0</v>
      </c>
      <c r="AV24" s="63" t="s">
        <v>0</v>
      </c>
      <c r="AW24" s="63" t="s">
        <v>0</v>
      </c>
      <c r="AX24" s="63" t="s">
        <v>0</v>
      </c>
    </row>
    <row r="25">
      <c r="A25" s="95" t="s">
        <v>681</v>
      </c>
      <c r="B25" s="7" t="s">
        <v>683</v>
      </c>
      <c r="F25" s="7"/>
      <c r="K25" s="96"/>
      <c r="L25" s="96"/>
      <c r="M25" s="96"/>
    </row>
    <row r="26">
      <c r="A26" s="95" t="s">
        <v>684</v>
      </c>
      <c r="B26" s="7" t="s">
        <v>683</v>
      </c>
      <c r="F26" s="7"/>
      <c r="K26" s="96"/>
      <c r="L26" s="96"/>
      <c r="M26" s="96"/>
    </row>
    <row r="27">
      <c r="A27" s="95" t="s">
        <v>685</v>
      </c>
      <c r="B27" s="7" t="s">
        <v>683</v>
      </c>
      <c r="F27" s="7"/>
      <c r="K27" s="96"/>
      <c r="L27" s="96"/>
      <c r="M27" s="96"/>
    </row>
    <row r="28">
      <c r="A28" s="95" t="s">
        <v>686</v>
      </c>
      <c r="B28" s="7" t="s">
        <v>683</v>
      </c>
      <c r="F28" s="7"/>
      <c r="K28" s="96"/>
      <c r="L28" s="96"/>
      <c r="M28" s="96"/>
    </row>
    <row r="29">
      <c r="F29" s="7" t="s">
        <v>828</v>
      </c>
      <c r="K29" s="96"/>
      <c r="L29" s="96"/>
      <c r="M29" s="96" t="s">
        <v>829</v>
      </c>
    </row>
    <row r="30">
      <c r="F30" s="7"/>
    </row>
    <row r="31">
      <c r="F31" s="96" t="s">
        <v>830</v>
      </c>
      <c r="H31" s="88" t="s">
        <v>831</v>
      </c>
      <c r="J31" s="104" t="s">
        <v>832</v>
      </c>
      <c r="AA31" s="7" t="s">
        <v>681</v>
      </c>
      <c r="AB31" s="7">
        <v>146.537469</v>
      </c>
      <c r="AC31" s="7">
        <v>202.463919</v>
      </c>
      <c r="AE31">
        <f t="shared" ref="AE31:AE32" si="1">AB31/AC31</f>
        <v>0.7237707821</v>
      </c>
    </row>
    <row r="32">
      <c r="F32" s="105" t="s">
        <v>830</v>
      </c>
      <c r="J32" s="106" t="s">
        <v>832</v>
      </c>
      <c r="AA32" s="7" t="s">
        <v>684</v>
      </c>
      <c r="AB32" s="7">
        <v>40.564237</v>
      </c>
      <c r="AC32" s="7">
        <v>45.004945</v>
      </c>
      <c r="AE32">
        <f t="shared" si="1"/>
        <v>0.9013284429</v>
      </c>
    </row>
    <row r="33">
      <c r="F33" s="107" t="s">
        <v>833</v>
      </c>
    </row>
    <row r="34">
      <c r="F34" s="7" t="s">
        <v>707</v>
      </c>
    </row>
    <row r="35">
      <c r="F35" s="101" t="s">
        <v>710</v>
      </c>
    </row>
    <row r="204">
      <c r="A204" s="108" t="s">
        <v>385</v>
      </c>
      <c r="B204" s="3" t="s">
        <v>1</v>
      </c>
      <c r="C204" s="3" t="s">
        <v>2</v>
      </c>
      <c r="D204" s="3" t="s">
        <v>3</v>
      </c>
      <c r="E204" s="3" t="s">
        <v>834</v>
      </c>
      <c r="F204" s="3" t="s">
        <v>5</v>
      </c>
      <c r="G204" s="3" t="s">
        <v>835</v>
      </c>
      <c r="H204" s="3"/>
      <c r="I204" s="3" t="s">
        <v>305</v>
      </c>
      <c r="J204" s="3" t="s">
        <v>836</v>
      </c>
      <c r="K204" s="3"/>
      <c r="L204" s="3"/>
      <c r="M204" s="3"/>
      <c r="N204" s="3" t="s">
        <v>306</v>
      </c>
      <c r="O204" s="5"/>
      <c r="P204" s="5" t="s">
        <v>837</v>
      </c>
      <c r="Q204" s="5" t="s">
        <v>838</v>
      </c>
      <c r="R204" s="5" t="s">
        <v>839</v>
      </c>
      <c r="S204" s="5" t="s">
        <v>840</v>
      </c>
      <c r="T204" s="5" t="s">
        <v>841</v>
      </c>
      <c r="U204" s="5" t="s">
        <v>842</v>
      </c>
      <c r="V204" s="5" t="s">
        <v>21</v>
      </c>
      <c r="W204" s="5" t="s">
        <v>23</v>
      </c>
      <c r="Z204" s="7" t="s">
        <v>843</v>
      </c>
      <c r="AA204" s="7" t="s">
        <v>844</v>
      </c>
    </row>
    <row r="205">
      <c r="A205" s="57" t="s">
        <v>30</v>
      </c>
      <c r="B205" s="21" t="s">
        <v>31</v>
      </c>
      <c r="C205" s="109" t="s">
        <v>845</v>
      </c>
      <c r="D205" s="10" t="s">
        <v>33</v>
      </c>
      <c r="E205" s="110">
        <f t="shared" ref="E205:E216" si="2">G205/J205</f>
        <v>10.4484206</v>
      </c>
      <c r="F205" s="111"/>
      <c r="G205" s="112">
        <f t="shared" ref="G205:G216" si="3">P205+R205</f>
        <v>100.5839882</v>
      </c>
      <c r="H205" s="112"/>
      <c r="I205" s="113">
        <v>16.396423642</v>
      </c>
      <c r="J205" s="113">
        <v>9.626717</v>
      </c>
      <c r="K205" s="113"/>
      <c r="L205" s="113"/>
      <c r="M205" s="113"/>
      <c r="N205" s="113">
        <f t="shared" ref="N205:N216" si="4">J205*100/I205</f>
        <v>58.71229733</v>
      </c>
      <c r="O205" s="114"/>
      <c r="P205" s="114">
        <v>100.583984878</v>
      </c>
      <c r="Q205" s="114">
        <f t="shared" ref="Q205:Q216" si="5">P205*100/(P205+R205+T205)</f>
        <v>20.32191312</v>
      </c>
      <c r="R205" s="114">
        <v>3.354E-6</v>
      </c>
      <c r="S205" s="114">
        <f t="shared" ref="S205:S216" si="6">R205*100/(P205+R205+T205)</f>
        <v>0.0000006776396529</v>
      </c>
      <c r="T205" s="114">
        <v>394.369337728</v>
      </c>
      <c r="U205" s="114">
        <f t="shared" ref="U205:U216" si="7">T205*100/(P205+R205+T205)</f>
        <v>79.6780862</v>
      </c>
      <c r="V205" s="22"/>
      <c r="W205" s="21" t="s">
        <v>846</v>
      </c>
      <c r="Z205" s="7">
        <v>0.0</v>
      </c>
      <c r="AA205">
        <f t="shared" ref="AA205:AA216" si="8">Z205/J205</f>
        <v>0</v>
      </c>
      <c r="AC205" s="115">
        <v>16.282866</v>
      </c>
    </row>
    <row r="206">
      <c r="A206" s="57" t="s">
        <v>58</v>
      </c>
      <c r="B206" s="21" t="s">
        <v>31</v>
      </c>
      <c r="C206" s="21" t="s">
        <v>847</v>
      </c>
      <c r="D206" s="10" t="s">
        <v>60</v>
      </c>
      <c r="E206" s="116">
        <f t="shared" si="2"/>
        <v>60.43568438</v>
      </c>
      <c r="F206" s="111"/>
      <c r="G206" s="112">
        <f t="shared" si="3"/>
        <v>6938.829058</v>
      </c>
      <c r="H206" s="112"/>
      <c r="I206" s="117">
        <v>1855.482203639</v>
      </c>
      <c r="J206" s="113">
        <v>114.813443899</v>
      </c>
      <c r="K206" s="113"/>
      <c r="L206" s="113"/>
      <c r="M206" s="113"/>
      <c r="N206" s="113">
        <f t="shared" si="4"/>
        <v>6.187795478</v>
      </c>
      <c r="O206" s="114"/>
      <c r="P206" s="114">
        <v>0.009430308</v>
      </c>
      <c r="Q206" s="114">
        <f t="shared" si="5"/>
        <v>0.00009519695101</v>
      </c>
      <c r="R206" s="114">
        <v>6938.819627501</v>
      </c>
      <c r="S206" s="114">
        <f t="shared" si="6"/>
        <v>70.04590647</v>
      </c>
      <c r="T206" s="114">
        <v>2967.273921137</v>
      </c>
      <c r="U206" s="114">
        <f t="shared" si="7"/>
        <v>29.95399833</v>
      </c>
      <c r="V206" s="22"/>
      <c r="W206" s="22" t="s">
        <v>848</v>
      </c>
      <c r="Z206" s="7">
        <v>0.0</v>
      </c>
      <c r="AA206">
        <f t="shared" si="8"/>
        <v>0</v>
      </c>
      <c r="AC206" s="118">
        <v>84.4125339985</v>
      </c>
    </row>
    <row r="207">
      <c r="A207" s="57" t="s">
        <v>69</v>
      </c>
      <c r="B207" s="21" t="s">
        <v>31</v>
      </c>
      <c r="C207" s="21"/>
      <c r="D207" s="10" t="s">
        <v>33</v>
      </c>
      <c r="E207" s="110">
        <f t="shared" si="2"/>
        <v>37.25382026</v>
      </c>
      <c r="F207" s="111"/>
      <c r="G207" s="112">
        <f t="shared" si="3"/>
        <v>22.13197306</v>
      </c>
      <c r="H207" s="112"/>
      <c r="I207" s="111">
        <v>0.854956905</v>
      </c>
      <c r="J207" s="113">
        <v>0.594086</v>
      </c>
      <c r="K207" s="113"/>
      <c r="L207" s="113"/>
      <c r="M207" s="113"/>
      <c r="N207" s="113">
        <f t="shared" si="4"/>
        <v>69.48724509</v>
      </c>
      <c r="O207" s="119"/>
      <c r="P207" s="119">
        <v>20.263405055</v>
      </c>
      <c r="Q207" s="114">
        <f t="shared" si="5"/>
        <v>89.76156124</v>
      </c>
      <c r="R207" s="114">
        <v>1.868568006</v>
      </c>
      <c r="S207" s="114">
        <f t="shared" si="6"/>
        <v>8.277265397</v>
      </c>
      <c r="T207" s="120">
        <v>0.442729045</v>
      </c>
      <c r="U207" s="114">
        <f t="shared" si="7"/>
        <v>1.961173365</v>
      </c>
      <c r="V207" s="22"/>
      <c r="W207" s="22" t="s">
        <v>849</v>
      </c>
      <c r="Z207" s="7">
        <v>0.594086</v>
      </c>
      <c r="AA207">
        <f t="shared" si="8"/>
        <v>1</v>
      </c>
      <c r="AC207" s="121">
        <v>0.383293</v>
      </c>
    </row>
    <row r="208">
      <c r="A208" s="57" t="s">
        <v>92</v>
      </c>
      <c r="B208" s="9" t="s">
        <v>93</v>
      </c>
      <c r="C208" s="9"/>
      <c r="D208" s="9" t="s">
        <v>850</v>
      </c>
      <c r="E208" s="116">
        <f t="shared" si="2"/>
        <v>5.042348333</v>
      </c>
      <c r="F208" s="113"/>
      <c r="G208" s="112">
        <f t="shared" si="3"/>
        <v>67.83698168</v>
      </c>
      <c r="H208" s="112"/>
      <c r="I208" s="113">
        <v>14.692030534</v>
      </c>
      <c r="J208" s="113">
        <v>13.453450098</v>
      </c>
      <c r="K208" s="113"/>
      <c r="L208" s="113"/>
      <c r="M208" s="113"/>
      <c r="N208" s="113">
        <f t="shared" si="4"/>
        <v>91.56971235</v>
      </c>
      <c r="O208" s="122"/>
      <c r="P208" s="122">
        <v>67.414770532</v>
      </c>
      <c r="Q208" s="114">
        <f t="shared" si="5"/>
        <v>5.997728954</v>
      </c>
      <c r="R208" s="113">
        <v>0.422211144</v>
      </c>
      <c r="S208" s="114">
        <f t="shared" si="6"/>
        <v>0.0375631035</v>
      </c>
      <c r="T208" s="113">
        <v>1056.167971713</v>
      </c>
      <c r="U208" s="114">
        <f t="shared" si="7"/>
        <v>93.96470794</v>
      </c>
      <c r="V208" s="22"/>
      <c r="W208" s="22" t="s">
        <v>851</v>
      </c>
      <c r="Z208" s="7">
        <v>13.453450098</v>
      </c>
      <c r="AA208">
        <f t="shared" si="8"/>
        <v>1</v>
      </c>
      <c r="AC208" s="123">
        <v>5.602739919</v>
      </c>
    </row>
    <row r="209">
      <c r="A209" s="57" t="s">
        <v>117</v>
      </c>
      <c r="B209" s="9" t="s">
        <v>93</v>
      </c>
      <c r="C209" s="9"/>
      <c r="D209" s="9" t="s">
        <v>33</v>
      </c>
      <c r="E209" s="124">
        <f t="shared" si="2"/>
        <v>0.0172161029</v>
      </c>
      <c r="F209" s="113"/>
      <c r="G209" s="112">
        <f t="shared" si="3"/>
        <v>0.620033659</v>
      </c>
      <c r="H209" s="112"/>
      <c r="I209" s="113">
        <v>36.452693713</v>
      </c>
      <c r="J209" s="113">
        <v>36.014751</v>
      </c>
      <c r="K209" s="113"/>
      <c r="L209" s="113"/>
      <c r="M209" s="113"/>
      <c r="N209" s="113">
        <f t="shared" si="4"/>
        <v>98.79859986</v>
      </c>
      <c r="O209" s="113"/>
      <c r="P209" s="113">
        <v>0.613012265</v>
      </c>
      <c r="Q209" s="114">
        <f t="shared" si="5"/>
        <v>0.7808828358</v>
      </c>
      <c r="R209" s="125">
        <v>0.007021394</v>
      </c>
      <c r="S209" s="114">
        <f t="shared" si="6"/>
        <v>0.008944170241</v>
      </c>
      <c r="T209" s="113">
        <v>77.882430076</v>
      </c>
      <c r="U209" s="114">
        <f t="shared" si="7"/>
        <v>99.21017299</v>
      </c>
      <c r="V209" s="22"/>
      <c r="W209" s="126">
        <v>0.49745126157358754</v>
      </c>
      <c r="Z209" s="7">
        <v>36.012846</v>
      </c>
      <c r="AA209">
        <f t="shared" si="8"/>
        <v>0.999947105</v>
      </c>
      <c r="AC209" s="123">
        <v>9.84923</v>
      </c>
    </row>
    <row r="210">
      <c r="A210" s="57" t="s">
        <v>139</v>
      </c>
      <c r="B210" s="9" t="s">
        <v>93</v>
      </c>
      <c r="C210" s="9" t="s">
        <v>852</v>
      </c>
      <c r="D210" s="9" t="s">
        <v>33</v>
      </c>
      <c r="E210" s="124">
        <f t="shared" si="2"/>
        <v>2.238698309</v>
      </c>
      <c r="F210" s="125"/>
      <c r="G210" s="112">
        <f t="shared" si="3"/>
        <v>158.5047901</v>
      </c>
      <c r="H210" s="112"/>
      <c r="I210" s="127">
        <v>76.450617209</v>
      </c>
      <c r="J210" s="113">
        <v>70.802211</v>
      </c>
      <c r="K210" s="113"/>
      <c r="L210" s="113"/>
      <c r="M210" s="113"/>
      <c r="N210" s="113">
        <f t="shared" si="4"/>
        <v>92.61169312</v>
      </c>
      <c r="O210" s="113"/>
      <c r="P210" s="113">
        <v>158.497430619</v>
      </c>
      <c r="Q210" s="114">
        <f t="shared" si="5"/>
        <v>7.410996851</v>
      </c>
      <c r="R210" s="125">
        <v>0.007359439</v>
      </c>
      <c r="S210" s="114">
        <f t="shared" si="6"/>
        <v>0.0003441114411</v>
      </c>
      <c r="T210" s="113">
        <v>1980.174173094</v>
      </c>
      <c r="U210" s="114">
        <f t="shared" si="7"/>
        <v>92.58865904</v>
      </c>
      <c r="V210" s="22"/>
      <c r="W210" s="22" t="s">
        <v>853</v>
      </c>
      <c r="Z210" s="7">
        <v>38.63476</v>
      </c>
      <c r="AA210">
        <f t="shared" si="8"/>
        <v>0.5456716599</v>
      </c>
      <c r="AC210" s="128">
        <v>57.62846</v>
      </c>
    </row>
    <row r="211">
      <c r="A211" s="57" t="s">
        <v>159</v>
      </c>
      <c r="B211" s="9" t="s">
        <v>160</v>
      </c>
      <c r="C211" s="109" t="s">
        <v>854</v>
      </c>
      <c r="D211" s="22" t="s">
        <v>855</v>
      </c>
      <c r="E211" s="116">
        <f t="shared" si="2"/>
        <v>6.411579853</v>
      </c>
      <c r="F211" s="113"/>
      <c r="G211" s="112">
        <f t="shared" si="3"/>
        <v>17.09152794</v>
      </c>
      <c r="H211" s="112"/>
      <c r="I211" s="127">
        <v>23.452134886</v>
      </c>
      <c r="J211" s="113">
        <v>2.665728</v>
      </c>
      <c r="K211" s="113"/>
      <c r="L211" s="113"/>
      <c r="M211" s="113"/>
      <c r="N211" s="113">
        <f t="shared" si="4"/>
        <v>11.3666752</v>
      </c>
      <c r="O211" s="113"/>
      <c r="P211" s="113">
        <v>17.091437566</v>
      </c>
      <c r="Q211" s="114">
        <f t="shared" si="5"/>
        <v>2.507197026</v>
      </c>
      <c r="R211" s="125">
        <v>9.0373E-5</v>
      </c>
      <c r="S211" s="114">
        <f t="shared" si="6"/>
        <v>0.00001325710116</v>
      </c>
      <c r="T211" s="113">
        <v>664.603504075</v>
      </c>
      <c r="U211" s="114">
        <f t="shared" si="7"/>
        <v>97.49278972</v>
      </c>
      <c r="V211" s="22"/>
      <c r="W211" s="22" t="s">
        <v>856</v>
      </c>
      <c r="Z211" s="7">
        <v>0.803039</v>
      </c>
      <c r="AA211">
        <f t="shared" si="8"/>
        <v>0.3012456635</v>
      </c>
      <c r="AC211" s="128">
        <v>1.485789</v>
      </c>
    </row>
    <row r="212">
      <c r="A212" s="57" t="s">
        <v>185</v>
      </c>
      <c r="B212" s="9" t="s">
        <v>160</v>
      </c>
      <c r="C212" s="129"/>
      <c r="D212" s="9" t="s">
        <v>857</v>
      </c>
      <c r="E212" s="124">
        <f t="shared" si="2"/>
        <v>0.00000001280589952</v>
      </c>
      <c r="F212" s="113"/>
      <c r="G212" s="112">
        <f t="shared" si="3"/>
        <v>0.000000114</v>
      </c>
      <c r="H212" s="112"/>
      <c r="I212" s="113">
        <v>12.167181007</v>
      </c>
      <c r="J212" s="113">
        <v>8.902147</v>
      </c>
      <c r="K212" s="113"/>
      <c r="L212" s="113"/>
      <c r="M212" s="113"/>
      <c r="N212" s="113">
        <f t="shared" si="4"/>
        <v>73.16523848</v>
      </c>
      <c r="O212" s="125"/>
      <c r="P212" s="125">
        <v>4.9E-8</v>
      </c>
      <c r="Q212" s="114">
        <f t="shared" si="5"/>
        <v>0.00000004143360825</v>
      </c>
      <c r="R212" s="125">
        <v>6.5E-8</v>
      </c>
      <c r="S212" s="114">
        <f t="shared" si="6"/>
        <v>0.00000005496294972</v>
      </c>
      <c r="T212" s="113">
        <v>118.261483905</v>
      </c>
      <c r="U212" s="114">
        <f t="shared" si="7"/>
        <v>99.9999999</v>
      </c>
      <c r="V212" s="22"/>
      <c r="W212" s="22" t="s">
        <v>858</v>
      </c>
      <c r="Z212" s="7">
        <v>8.592534</v>
      </c>
      <c r="AA212">
        <f t="shared" si="8"/>
        <v>0.9652204126</v>
      </c>
      <c r="AC212" s="123">
        <v>5.315241</v>
      </c>
    </row>
    <row r="213">
      <c r="A213" s="57" t="s">
        <v>209</v>
      </c>
      <c r="B213" s="9" t="s">
        <v>160</v>
      </c>
      <c r="C213" s="129" t="s">
        <v>859</v>
      </c>
      <c r="D213" s="22" t="s">
        <v>860</v>
      </c>
      <c r="E213" s="116">
        <f t="shared" si="2"/>
        <v>37.48113203</v>
      </c>
      <c r="F213" s="113"/>
      <c r="G213" s="112">
        <f t="shared" si="3"/>
        <v>21.14205711</v>
      </c>
      <c r="H213" s="112"/>
      <c r="I213" s="113">
        <v>2.430953164</v>
      </c>
      <c r="J213" s="113">
        <v>0.564072</v>
      </c>
      <c r="K213" s="113"/>
      <c r="L213" s="113"/>
      <c r="M213" s="113"/>
      <c r="N213" s="113">
        <f t="shared" si="4"/>
        <v>23.20373787</v>
      </c>
      <c r="O213" s="68"/>
      <c r="P213" s="68">
        <v>21.142040823</v>
      </c>
      <c r="Q213" s="114">
        <f t="shared" si="5"/>
        <v>80.01718517</v>
      </c>
      <c r="R213" s="130">
        <v>1.6282E-5</v>
      </c>
      <c r="S213" s="114">
        <f t="shared" si="6"/>
        <v>0.00006162318103</v>
      </c>
      <c r="T213" s="68">
        <v>5.279818118</v>
      </c>
      <c r="U213" s="114">
        <f t="shared" si="7"/>
        <v>19.98275321</v>
      </c>
      <c r="V213" s="22"/>
      <c r="W213" s="36" t="s">
        <v>861</v>
      </c>
      <c r="X213" s="7"/>
      <c r="Z213" s="7">
        <v>0.299981</v>
      </c>
      <c r="AA213">
        <f t="shared" si="8"/>
        <v>0.5318133146</v>
      </c>
      <c r="AC213" s="128">
        <v>0.251854</v>
      </c>
    </row>
    <row r="214">
      <c r="A214" s="57" t="s">
        <v>232</v>
      </c>
      <c r="B214" s="9" t="s">
        <v>233</v>
      </c>
      <c r="C214" s="22"/>
      <c r="D214" s="67" t="s">
        <v>862</v>
      </c>
      <c r="E214" s="124">
        <f t="shared" si="2"/>
        <v>53.99489354</v>
      </c>
      <c r="F214" s="131"/>
      <c r="G214" s="112">
        <f t="shared" si="3"/>
        <v>139.8531997</v>
      </c>
      <c r="H214" s="112"/>
      <c r="I214" s="68">
        <v>3.118367228</v>
      </c>
      <c r="J214" s="68">
        <v>2.590119</v>
      </c>
      <c r="K214" s="68"/>
      <c r="L214" s="68"/>
      <c r="M214" s="68"/>
      <c r="N214" s="113">
        <f t="shared" si="4"/>
        <v>83.06010199</v>
      </c>
      <c r="O214" s="68"/>
      <c r="P214" s="68">
        <v>139.853178363</v>
      </c>
      <c r="Q214" s="114">
        <f t="shared" si="5"/>
        <v>54.44110143</v>
      </c>
      <c r="R214" s="130">
        <v>2.1304E-5</v>
      </c>
      <c r="S214" s="114">
        <f t="shared" si="6"/>
        <v>0.000008293077343</v>
      </c>
      <c r="T214" s="68">
        <v>117.035758664</v>
      </c>
      <c r="U214" s="114">
        <f t="shared" si="7"/>
        <v>45.55889028</v>
      </c>
      <c r="V214" s="132"/>
      <c r="W214" s="22" t="s">
        <v>863</v>
      </c>
      <c r="Z214" s="7">
        <v>1.785868</v>
      </c>
      <c r="AA214">
        <f t="shared" si="8"/>
        <v>0.6894926449</v>
      </c>
      <c r="AC214" s="133">
        <v>1.876903</v>
      </c>
    </row>
    <row r="215">
      <c r="A215" s="57" t="s">
        <v>258</v>
      </c>
      <c r="B215" s="9" t="s">
        <v>233</v>
      </c>
      <c r="C215" s="22"/>
      <c r="D215" s="67" t="s">
        <v>860</v>
      </c>
      <c r="E215" s="110">
        <f t="shared" si="2"/>
        <v>4.354369759</v>
      </c>
      <c r="F215" s="113"/>
      <c r="G215" s="112">
        <f t="shared" si="3"/>
        <v>10.55844531</v>
      </c>
      <c r="H215" s="112"/>
      <c r="I215" s="113">
        <v>2.784337845</v>
      </c>
      <c r="J215" s="113">
        <v>2.424793</v>
      </c>
      <c r="K215" s="113"/>
      <c r="L215" s="113"/>
      <c r="M215" s="113"/>
      <c r="N215" s="113">
        <f t="shared" si="4"/>
        <v>87.08688151</v>
      </c>
      <c r="O215" s="68"/>
      <c r="P215" s="68">
        <v>10.555515339</v>
      </c>
      <c r="Q215" s="114">
        <f t="shared" si="5"/>
        <v>18.57434635</v>
      </c>
      <c r="R215" s="130">
        <v>0.002929973</v>
      </c>
      <c r="S215" s="114">
        <f t="shared" si="6"/>
        <v>0.00515581964</v>
      </c>
      <c r="T215" s="68">
        <v>46.270016591</v>
      </c>
      <c r="U215" s="114">
        <f t="shared" si="7"/>
        <v>81.42049783</v>
      </c>
      <c r="V215" s="22"/>
      <c r="W215" s="22" t="s">
        <v>864</v>
      </c>
      <c r="Z215" s="7">
        <v>1.350603</v>
      </c>
      <c r="AA215">
        <f t="shared" si="8"/>
        <v>0.5569972365</v>
      </c>
      <c r="AC215" s="123">
        <v>1.080098</v>
      </c>
    </row>
    <row r="216">
      <c r="A216" s="57" t="s">
        <v>280</v>
      </c>
      <c r="B216" s="9" t="s">
        <v>233</v>
      </c>
      <c r="C216" s="22" t="s">
        <v>865</v>
      </c>
      <c r="D216" s="22" t="s">
        <v>33</v>
      </c>
      <c r="E216" s="116">
        <f t="shared" si="2"/>
        <v>9.73751851</v>
      </c>
      <c r="F216" s="113"/>
      <c r="G216" s="112">
        <f t="shared" si="3"/>
        <v>27.6958007</v>
      </c>
      <c r="H216" s="112"/>
      <c r="I216" s="113">
        <v>34.438799529</v>
      </c>
      <c r="J216" s="113">
        <v>2.844236</v>
      </c>
      <c r="K216" s="113"/>
      <c r="L216" s="113"/>
      <c r="M216" s="113"/>
      <c r="N216" s="113">
        <f t="shared" si="4"/>
        <v>8.258812847</v>
      </c>
      <c r="O216" s="113"/>
      <c r="P216" s="113">
        <v>27.278859678</v>
      </c>
      <c r="Q216" s="114">
        <f t="shared" si="5"/>
        <v>61.80707087</v>
      </c>
      <c r="R216" s="125">
        <v>0.41694102</v>
      </c>
      <c r="S216" s="114">
        <f t="shared" si="6"/>
        <v>0.9446840328</v>
      </c>
      <c r="T216" s="113">
        <v>16.439699164</v>
      </c>
      <c r="U216" s="114">
        <f t="shared" si="7"/>
        <v>37.2482451</v>
      </c>
      <c r="V216" s="22"/>
      <c r="W216" s="22" t="s">
        <v>866</v>
      </c>
      <c r="Z216" s="7">
        <v>1.82927</v>
      </c>
      <c r="AA216">
        <f t="shared" si="8"/>
        <v>0.6431498652</v>
      </c>
      <c r="AC216" s="128">
        <v>2.103749</v>
      </c>
    </row>
    <row r="217">
      <c r="A217" s="134"/>
      <c r="B217" s="62"/>
      <c r="C217" s="62"/>
      <c r="D217" s="62"/>
      <c r="E217" s="134"/>
      <c r="F217" s="134"/>
      <c r="G217" s="134"/>
      <c r="H217" s="134"/>
      <c r="I217" s="134"/>
      <c r="J217" s="134"/>
      <c r="K217" s="134"/>
      <c r="L217" s="134"/>
      <c r="M217" s="134"/>
      <c r="N217" s="134"/>
      <c r="O217" s="134"/>
      <c r="P217" s="134"/>
      <c r="Q217" s="134"/>
      <c r="R217" s="134"/>
      <c r="S217" s="134"/>
      <c r="T217" s="134"/>
      <c r="U217" s="134"/>
      <c r="V217" s="134"/>
      <c r="W217" s="134"/>
      <c r="AC217" s="135"/>
    </row>
    <row r="218">
      <c r="A218" s="65" t="s">
        <v>303</v>
      </c>
      <c r="B218" s="136" t="s">
        <v>867</v>
      </c>
      <c r="C218" s="3" t="s">
        <v>304</v>
      </c>
      <c r="D218" s="3" t="s">
        <v>3</v>
      </c>
      <c r="E218" s="3" t="s">
        <v>4</v>
      </c>
      <c r="F218" s="3" t="s">
        <v>5</v>
      </c>
      <c r="G218" s="3" t="s">
        <v>6</v>
      </c>
      <c r="H218" s="3"/>
      <c r="I218" s="3" t="s">
        <v>305</v>
      </c>
      <c r="J218" s="3" t="s">
        <v>836</v>
      </c>
      <c r="K218" s="3"/>
      <c r="L218" s="3"/>
      <c r="M218" s="3"/>
      <c r="N218" s="3" t="s">
        <v>306</v>
      </c>
      <c r="O218" s="5"/>
      <c r="P218" s="5"/>
      <c r="Q218" s="5" t="s">
        <v>16</v>
      </c>
      <c r="R218" s="5"/>
      <c r="S218" s="5" t="s">
        <v>18</v>
      </c>
      <c r="T218" s="5"/>
      <c r="U218" s="5" t="s">
        <v>20</v>
      </c>
      <c r="V218" s="5" t="s">
        <v>21</v>
      </c>
      <c r="W218" s="5" t="s">
        <v>23</v>
      </c>
      <c r="AC218" s="137" t="s">
        <v>836</v>
      </c>
    </row>
    <row r="219">
      <c r="A219" s="66" t="s">
        <v>307</v>
      </c>
      <c r="B219" s="67" t="s">
        <v>308</v>
      </c>
      <c r="C219" s="129" t="s">
        <v>868</v>
      </c>
      <c r="D219" s="67" t="s">
        <v>860</v>
      </c>
      <c r="E219" s="124">
        <f t="shared" ref="E219:E226" si="9">G219/J219</f>
        <v>22.44130294</v>
      </c>
      <c r="F219" s="68"/>
      <c r="G219" s="112">
        <f t="shared" ref="G219:G226" si="10">P219+R219</f>
        <v>480.6547607</v>
      </c>
      <c r="H219" s="112"/>
      <c r="I219" s="14">
        <v>25.64169106</v>
      </c>
      <c r="J219" s="68">
        <v>21.418309</v>
      </c>
      <c r="K219" s="68"/>
      <c r="L219" s="68"/>
      <c r="M219" s="68"/>
      <c r="N219" s="113">
        <f t="shared" ref="N219:N226" si="11">J219*100/I219</f>
        <v>83.5292374</v>
      </c>
      <c r="O219" s="68"/>
      <c r="P219" s="68">
        <v>480.654748029</v>
      </c>
      <c r="Q219" s="114">
        <f t="shared" ref="Q219:Q226" si="12">P219*100/(P219+R219+T219)</f>
        <v>11.16767543</v>
      </c>
      <c r="R219" s="130">
        <v>1.2691E-5</v>
      </c>
      <c r="S219" s="114">
        <f t="shared" ref="S219:S226" si="13">R219*100/(P219+R219+T219)</f>
        <v>0.00000029486647</v>
      </c>
      <c r="T219" s="68">
        <v>3823.327310037</v>
      </c>
      <c r="U219" s="114">
        <f t="shared" ref="U219:U226" si="14">T219*100/(P219+R219+T219)</f>
        <v>88.83232428</v>
      </c>
      <c r="V219" s="70"/>
      <c r="W219" s="36" t="s">
        <v>869</v>
      </c>
      <c r="X219" s="7"/>
      <c r="Z219" s="7">
        <v>9.146052</v>
      </c>
      <c r="AA219">
        <f t="shared" ref="AA219:AA226" si="15">Z219/J219</f>
        <v>0.4270202657</v>
      </c>
      <c r="AC219" s="133">
        <v>121.549358</v>
      </c>
    </row>
    <row r="220">
      <c r="A220" s="66" t="s">
        <v>335</v>
      </c>
      <c r="B220" s="67" t="s">
        <v>93</v>
      </c>
      <c r="C220" s="129"/>
      <c r="D220" s="67" t="s">
        <v>850</v>
      </c>
      <c r="E220" s="116">
        <f t="shared" si="9"/>
        <v>76.33416272</v>
      </c>
      <c r="F220" s="68"/>
      <c r="G220" s="112">
        <f t="shared" si="10"/>
        <v>1673.853688</v>
      </c>
      <c r="H220" s="112"/>
      <c r="I220" s="68">
        <v>22.651057882</v>
      </c>
      <c r="J220" s="68">
        <v>21.927976</v>
      </c>
      <c r="K220" s="68"/>
      <c r="L220" s="68"/>
      <c r="M220" s="68"/>
      <c r="N220" s="113">
        <f t="shared" si="11"/>
        <v>96.80773461</v>
      </c>
      <c r="O220" s="68"/>
      <c r="P220" s="68">
        <v>93.93618832</v>
      </c>
      <c r="Q220" s="114">
        <f t="shared" si="12"/>
        <v>0.429946638</v>
      </c>
      <c r="R220" s="68">
        <v>1579.917499856</v>
      </c>
      <c r="S220" s="114">
        <f t="shared" si="13"/>
        <v>7.231294238</v>
      </c>
      <c r="T220" s="68">
        <v>20174.482832226</v>
      </c>
      <c r="U220" s="114">
        <f t="shared" si="14"/>
        <v>92.33875912</v>
      </c>
      <c r="V220" s="70"/>
      <c r="W220" s="36" t="s">
        <v>870</v>
      </c>
      <c r="Z220" s="7">
        <v>13.081261</v>
      </c>
      <c r="AA220">
        <f t="shared" si="15"/>
        <v>0.5965557879</v>
      </c>
      <c r="AC220" s="138">
        <v>11.603868</v>
      </c>
    </row>
    <row r="221">
      <c r="A221" s="66" t="s">
        <v>358</v>
      </c>
      <c r="B221" s="67" t="s">
        <v>31</v>
      </c>
      <c r="C221" s="129"/>
      <c r="D221" s="67" t="s">
        <v>860</v>
      </c>
      <c r="E221" s="110">
        <f t="shared" si="9"/>
        <v>6.02767739</v>
      </c>
      <c r="F221" s="11"/>
      <c r="G221" s="112">
        <f t="shared" si="10"/>
        <v>304.7974215</v>
      </c>
      <c r="H221" s="112"/>
      <c r="I221" s="14">
        <v>52.020524407</v>
      </c>
      <c r="J221" s="14">
        <v>50.566313</v>
      </c>
      <c r="K221" s="14"/>
      <c r="L221" s="14"/>
      <c r="M221" s="14"/>
      <c r="N221" s="113">
        <f t="shared" si="11"/>
        <v>97.20454297</v>
      </c>
      <c r="O221" s="11"/>
      <c r="P221" s="11">
        <v>304.731885026</v>
      </c>
      <c r="Q221" s="114">
        <f t="shared" si="12"/>
        <v>24.77792447</v>
      </c>
      <c r="R221" s="68">
        <v>0.06553652</v>
      </c>
      <c r="S221" s="114">
        <f t="shared" si="13"/>
        <v>0.005328812055</v>
      </c>
      <c r="T221" s="11">
        <v>925.054923017</v>
      </c>
      <c r="U221" s="114">
        <f t="shared" si="14"/>
        <v>75.21674672</v>
      </c>
      <c r="V221" s="22"/>
      <c r="W221" s="36" t="s">
        <v>871</v>
      </c>
      <c r="Z221" s="7">
        <v>37.753047</v>
      </c>
      <c r="AA221">
        <f t="shared" si="15"/>
        <v>0.746604701</v>
      </c>
      <c r="AC221" s="139">
        <v>27.413112</v>
      </c>
    </row>
    <row r="222">
      <c r="A222" s="66" t="s">
        <v>382</v>
      </c>
      <c r="B222" s="67" t="s">
        <v>308</v>
      </c>
      <c r="C222" s="129"/>
      <c r="D222" s="67" t="s">
        <v>873</v>
      </c>
      <c r="E222" s="124">
        <f t="shared" si="9"/>
        <v>30.41680832</v>
      </c>
      <c r="F222" s="77"/>
      <c r="G222" s="112">
        <f t="shared" si="10"/>
        <v>734.8465767</v>
      </c>
      <c r="H222" s="112"/>
      <c r="I222" s="68">
        <v>24.804700708</v>
      </c>
      <c r="J222" s="68">
        <v>24.159227</v>
      </c>
      <c r="K222" s="68"/>
      <c r="L222" s="68"/>
      <c r="M222" s="68"/>
      <c r="N222" s="113">
        <f t="shared" si="11"/>
        <v>97.39777667</v>
      </c>
      <c r="O222" s="140"/>
      <c r="P222" s="140">
        <v>733.501225304</v>
      </c>
      <c r="Q222" s="114">
        <f t="shared" si="12"/>
        <v>29.50514585</v>
      </c>
      <c r="R222" s="130">
        <v>1.345351417</v>
      </c>
      <c r="S222" s="114">
        <f t="shared" si="13"/>
        <v>0.05411686908</v>
      </c>
      <c r="T222" s="68">
        <v>1751.164605889</v>
      </c>
      <c r="U222" s="114">
        <f t="shared" si="14"/>
        <v>70.44073728</v>
      </c>
      <c r="V222" s="70"/>
      <c r="W222" s="36" t="s">
        <v>895</v>
      </c>
      <c r="Z222" s="7">
        <v>20.73447</v>
      </c>
      <c r="AA222">
        <f t="shared" si="15"/>
        <v>0.8582422774</v>
      </c>
      <c r="AC222" s="138">
        <v>12.576591</v>
      </c>
    </row>
    <row r="223">
      <c r="A223" s="66" t="s">
        <v>457</v>
      </c>
      <c r="B223" s="67" t="s">
        <v>233</v>
      </c>
      <c r="C223" s="129" t="s">
        <v>898</v>
      </c>
      <c r="D223" s="67" t="s">
        <v>33</v>
      </c>
      <c r="E223" s="116">
        <f t="shared" si="9"/>
        <v>0.003508490458</v>
      </c>
      <c r="F223" s="68"/>
      <c r="G223" s="112">
        <f t="shared" si="10"/>
        <v>5.51289392</v>
      </c>
      <c r="H223" s="112"/>
      <c r="I223" s="68">
        <v>1571.500967564</v>
      </c>
      <c r="J223" s="68">
        <v>1571.300816</v>
      </c>
      <c r="K223" s="68"/>
      <c r="L223" s="68"/>
      <c r="M223" s="68"/>
      <c r="N223" s="113">
        <f t="shared" si="11"/>
        <v>99.98726367</v>
      </c>
      <c r="O223" s="68"/>
      <c r="P223" s="68">
        <v>4.310343055</v>
      </c>
      <c r="Q223" s="114">
        <f t="shared" si="12"/>
        <v>0.7312484186</v>
      </c>
      <c r="R223" s="68">
        <v>1.202550865</v>
      </c>
      <c r="S223" s="114">
        <f t="shared" si="13"/>
        <v>0.204012397</v>
      </c>
      <c r="T223" s="68">
        <v>583.937003703</v>
      </c>
      <c r="U223" s="114">
        <f t="shared" si="14"/>
        <v>99.06473918</v>
      </c>
      <c r="V223" s="143"/>
      <c r="W223" s="36" t="s">
        <v>901</v>
      </c>
      <c r="AA223">
        <f t="shared" si="15"/>
        <v>0</v>
      </c>
      <c r="AC223" s="133">
        <v>249.436702</v>
      </c>
    </row>
    <row r="224">
      <c r="A224" s="66" t="s">
        <v>503</v>
      </c>
      <c r="B224" s="67" t="s">
        <v>308</v>
      </c>
      <c r="C224" s="129"/>
      <c r="D224" s="67" t="s">
        <v>860</v>
      </c>
      <c r="E224" s="110">
        <f t="shared" si="9"/>
        <v>201.5196952</v>
      </c>
      <c r="F224" s="68"/>
      <c r="G224" s="112">
        <f t="shared" si="10"/>
        <v>4855.762352</v>
      </c>
      <c r="H224" s="112"/>
      <c r="I224" s="68">
        <v>27.203390778</v>
      </c>
      <c r="J224" s="68">
        <v>24.095721</v>
      </c>
      <c r="K224" s="68"/>
      <c r="L224" s="68"/>
      <c r="M224" s="68"/>
      <c r="N224" s="113">
        <f t="shared" si="11"/>
        <v>88.57616757</v>
      </c>
      <c r="O224" s="68"/>
      <c r="P224" s="68">
        <v>4853.699732525</v>
      </c>
      <c r="Q224" s="114">
        <f t="shared" si="12"/>
        <v>16.95969737</v>
      </c>
      <c r="R224" s="130">
        <v>2.062619516</v>
      </c>
      <c r="S224" s="114">
        <f t="shared" si="13"/>
        <v>0.007207162517</v>
      </c>
      <c r="T224" s="68">
        <v>23763.260894126</v>
      </c>
      <c r="U224" s="114">
        <f t="shared" si="14"/>
        <v>83.03309547</v>
      </c>
      <c r="V224" s="70"/>
      <c r="W224" s="21" t="s">
        <v>906</v>
      </c>
      <c r="Z224" s="7">
        <v>22.332327</v>
      </c>
      <c r="AA224">
        <f t="shared" si="15"/>
        <v>0.9268171307</v>
      </c>
      <c r="AC224" s="133">
        <v>32.060272</v>
      </c>
    </row>
    <row r="225">
      <c r="A225" s="66" t="s">
        <v>562</v>
      </c>
      <c r="B225" s="67" t="s">
        <v>308</v>
      </c>
      <c r="C225" s="129"/>
      <c r="D225" s="67" t="s">
        <v>211</v>
      </c>
      <c r="E225" s="116">
        <f t="shared" si="9"/>
        <v>45.13910704</v>
      </c>
      <c r="F225" s="77"/>
      <c r="G225" s="112">
        <f t="shared" si="10"/>
        <v>872.372782</v>
      </c>
      <c r="H225" s="112"/>
      <c r="I225" s="68">
        <v>19.588357187</v>
      </c>
      <c r="J225" s="68">
        <v>19.326319</v>
      </c>
      <c r="K225" s="68"/>
      <c r="L225" s="68"/>
      <c r="M225" s="68"/>
      <c r="N225" s="113">
        <f t="shared" si="11"/>
        <v>98.66227584</v>
      </c>
      <c r="O225" s="68"/>
      <c r="P225" s="68">
        <v>871.745653493</v>
      </c>
      <c r="Q225" s="114">
        <f t="shared" si="12"/>
        <v>28.07722798</v>
      </c>
      <c r="R225" s="130">
        <v>0.627128477</v>
      </c>
      <c r="S225" s="114">
        <f t="shared" si="13"/>
        <v>0.02019858562</v>
      </c>
      <c r="T225" s="68">
        <v>2232.441033876</v>
      </c>
      <c r="U225" s="114">
        <f t="shared" si="14"/>
        <v>71.90257343</v>
      </c>
      <c r="V225" s="70"/>
      <c r="W225" s="21" t="s">
        <v>911</v>
      </c>
      <c r="Z225" s="7">
        <v>18.939141</v>
      </c>
      <c r="AA225">
        <f t="shared" si="15"/>
        <v>0.9799662833</v>
      </c>
      <c r="AC225" s="138">
        <v>8.214034</v>
      </c>
    </row>
    <row r="226">
      <c r="A226" s="66" t="s">
        <v>614</v>
      </c>
      <c r="B226" s="67" t="s">
        <v>31</v>
      </c>
      <c r="C226" s="129"/>
      <c r="D226" s="67" t="s">
        <v>860</v>
      </c>
      <c r="E226" s="116">
        <f t="shared" si="9"/>
        <v>18.81704506</v>
      </c>
      <c r="F226" s="11"/>
      <c r="G226" s="112">
        <f t="shared" si="10"/>
        <v>258.747805</v>
      </c>
      <c r="H226" s="112"/>
      <c r="I226" s="11">
        <v>15.445556952</v>
      </c>
      <c r="J226" s="11">
        <v>13.750714</v>
      </c>
      <c r="K226" s="11"/>
      <c r="L226" s="11"/>
      <c r="M226" s="11"/>
      <c r="N226" s="113">
        <f t="shared" si="11"/>
        <v>89.02698713</v>
      </c>
      <c r="O226" s="11"/>
      <c r="P226" s="11">
        <v>2.300224069</v>
      </c>
      <c r="Q226" s="114">
        <f t="shared" si="12"/>
        <v>0.1126366241</v>
      </c>
      <c r="R226" s="11">
        <v>256.447580931</v>
      </c>
      <c r="S226" s="114">
        <f t="shared" si="13"/>
        <v>12.55764173</v>
      </c>
      <c r="T226" s="11">
        <v>1783.415734836</v>
      </c>
      <c r="U226" s="114">
        <f t="shared" si="14"/>
        <v>87.32972164</v>
      </c>
      <c r="V226" s="22"/>
      <c r="W226" s="21" t="s">
        <v>916</v>
      </c>
      <c r="Z226" s="7">
        <v>8.223005</v>
      </c>
      <c r="AA226">
        <f t="shared" si="15"/>
        <v>0.5980056745</v>
      </c>
      <c r="AC226" s="121">
        <v>4.803187</v>
      </c>
    </row>
    <row r="227">
      <c r="A227" s="134"/>
      <c r="B227" s="134"/>
      <c r="C227" s="134"/>
      <c r="D227" s="134"/>
      <c r="E227" s="134"/>
      <c r="F227" s="63"/>
      <c r="G227" s="134"/>
      <c r="H227" s="134"/>
      <c r="I227" s="134"/>
      <c r="J227" s="134"/>
      <c r="K227" s="134"/>
      <c r="L227" s="134"/>
      <c r="M227" s="134"/>
      <c r="N227" s="134"/>
      <c r="O227" s="134"/>
      <c r="P227" s="134"/>
      <c r="Q227" s="134"/>
      <c r="R227" s="134"/>
      <c r="S227" s="134"/>
      <c r="T227" s="134"/>
      <c r="U227" s="134"/>
      <c r="V227" s="134"/>
      <c r="W227" s="134"/>
      <c r="AC227" s="135"/>
    </row>
    <row r="228">
      <c r="A228" s="67" t="s">
        <v>681</v>
      </c>
      <c r="B228" s="67" t="s">
        <v>683</v>
      </c>
      <c r="C228" s="67"/>
      <c r="D228" s="67" t="s">
        <v>33</v>
      </c>
      <c r="E228" s="148">
        <f t="shared" ref="E228:E229" si="16">G228/J228</f>
        <v>548.4773093</v>
      </c>
      <c r="F228" s="112"/>
      <c r="G228" s="112">
        <f t="shared" ref="G228:G229" si="17">P228+R228</f>
        <v>92299.93796</v>
      </c>
      <c r="H228" s="112"/>
      <c r="I228" s="112">
        <v>177.057418956</v>
      </c>
      <c r="J228" s="112">
        <v>168.283968</v>
      </c>
      <c r="K228" s="112"/>
      <c r="L228" s="112"/>
      <c r="M228" s="112"/>
      <c r="N228" s="113">
        <f t="shared" ref="N228:N229" si="18">J228*100/I228</f>
        <v>95.0448555</v>
      </c>
      <c r="O228" s="112"/>
      <c r="P228" s="112">
        <v>92299.922665027</v>
      </c>
      <c r="Q228" s="114">
        <f t="shared" ref="Q228:Q229" si="19">P228*100/(P228+R228+T228)</f>
        <v>82.93048561</v>
      </c>
      <c r="R228" s="112">
        <v>0.015297229</v>
      </c>
      <c r="S228" s="114">
        <f t="shared" ref="S228:S229" si="20">R228*100/(P228+R228+T228)</f>
        <v>0.00001374439537</v>
      </c>
      <c r="T228" s="112">
        <v>18998.002694584</v>
      </c>
      <c r="U228" s="114">
        <f t="shared" ref="U228:U229" si="21">T228*100/(P228+R228+T228)</f>
        <v>17.06950064</v>
      </c>
      <c r="V228" s="112"/>
      <c r="W228" s="67" t="s">
        <v>929</v>
      </c>
      <c r="Z228" s="7">
        <v>150.620582</v>
      </c>
      <c r="AA228">
        <f t="shared" ref="AA228:AA229" si="22">Z228/J228</f>
        <v>0.895038213</v>
      </c>
      <c r="AC228" s="151">
        <v>306.961003</v>
      </c>
    </row>
    <row r="229">
      <c r="A229" s="67" t="s">
        <v>684</v>
      </c>
      <c r="B229" s="67" t="s">
        <v>683</v>
      </c>
      <c r="C229" s="67"/>
      <c r="D229" s="67" t="s">
        <v>95</v>
      </c>
      <c r="E229" s="148">
        <f t="shared" si="16"/>
        <v>7.624739044</v>
      </c>
      <c r="F229" s="112"/>
      <c r="G229" s="112">
        <f t="shared" si="17"/>
        <v>309.2917217</v>
      </c>
      <c r="H229" s="112"/>
      <c r="I229" s="112">
        <v>138.129459874</v>
      </c>
      <c r="J229" s="112">
        <v>40.564237</v>
      </c>
      <c r="K229" s="112"/>
      <c r="L229" s="112"/>
      <c r="M229" s="112"/>
      <c r="N229" s="113">
        <f t="shared" si="18"/>
        <v>29.36682518</v>
      </c>
      <c r="O229" s="112"/>
      <c r="P229" s="112">
        <v>309.291711833</v>
      </c>
      <c r="Q229" s="114">
        <f t="shared" si="19"/>
        <v>1.733564329</v>
      </c>
      <c r="R229" s="112">
        <v>9.818E-6</v>
      </c>
      <c r="S229" s="114">
        <f t="shared" si="20"/>
        <v>0.00000005502939112</v>
      </c>
      <c r="T229" s="112">
        <v>17532.083223418</v>
      </c>
      <c r="U229" s="114">
        <f t="shared" si="21"/>
        <v>98.26643562</v>
      </c>
      <c r="V229" s="112"/>
      <c r="W229" s="67" t="s">
        <v>938</v>
      </c>
      <c r="Z229" s="7">
        <v>40.564237</v>
      </c>
      <c r="AA229">
        <f t="shared" si="22"/>
        <v>1</v>
      </c>
    </row>
  </sheetData>
  <mergeCells count="2">
    <mergeCell ref="J31:M31"/>
    <mergeCell ref="J32:M32"/>
  </mergeCells>
  <conditionalFormatting sqref="J205:M229">
    <cfRule type="cellIs" dxfId="0" priority="1" operator="greaterThan">
      <formula>INDIRECT("Xeon!I201:I225")</formula>
    </cfRule>
  </conditionalFormatting>
  <conditionalFormatting sqref="J205:M229">
    <cfRule type="cellIs" dxfId="1" priority="2" operator="lessThan">
      <formula>INDIRECT("Xeon!I201:I225")</formula>
    </cfRule>
  </conditionalFormatting>
  <hyperlinks>
    <hyperlink r:id="rId1" ref="F35"/>
    <hyperlink r:id="rId2" ref="A205"/>
    <hyperlink r:id="rId3" ref="A206"/>
    <hyperlink r:id="rId4" ref="A207"/>
    <hyperlink r:id="rId5" ref="A208"/>
    <hyperlink r:id="rId6" ref="A209"/>
    <hyperlink r:id="rId7" ref="A210"/>
    <hyperlink r:id="rId8" ref="A211"/>
    <hyperlink r:id="rId9" ref="A212"/>
    <hyperlink r:id="rId10" ref="A213"/>
    <hyperlink r:id="rId11" ref="A214"/>
    <hyperlink r:id="rId12" ref="A215"/>
    <hyperlink r:id="rId13" ref="A216"/>
  </hyperlinks>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4.29"/>
    <col customWidth="1" min="3" max="3" width="79.57"/>
    <col customWidth="1" min="4" max="4" width="29.71"/>
    <col customWidth="1" min="5" max="5" width="39.0"/>
    <col customWidth="1" min="6" max="6" width="37.71"/>
    <col customWidth="1" min="7" max="8" width="29.29"/>
    <col customWidth="1" min="9" max="9" width="55.57"/>
    <col customWidth="1" min="10" max="13" width="29.29"/>
    <col customWidth="1" min="14" max="14" width="47.14"/>
    <col customWidth="1" min="15" max="17" width="28.86"/>
    <col customWidth="1" min="18" max="19" width="29.14"/>
    <col customWidth="1" min="20" max="21" width="29.57"/>
    <col customWidth="1" min="22" max="22" width="47.14"/>
    <col customWidth="1" min="23" max="24" width="104.0"/>
    <col customWidth="1" min="28" max="28" width="20.0"/>
    <col customWidth="1" min="29" max="29" width="21.14"/>
    <col customWidth="1" min="34" max="34" width="21.57"/>
    <col customWidth="1" min="40" max="50" width="24.71"/>
  </cols>
  <sheetData>
    <row r="1" ht="33.0" customHeight="1">
      <c r="A1" s="1" t="s">
        <v>0</v>
      </c>
      <c r="B1" s="2" t="s">
        <v>1</v>
      </c>
      <c r="C1" s="3" t="s">
        <v>2</v>
      </c>
      <c r="D1" s="3" t="s">
        <v>3</v>
      </c>
      <c r="E1" s="3" t="s">
        <v>4</v>
      </c>
      <c r="F1" s="3" t="s">
        <v>5</v>
      </c>
      <c r="G1" s="3" t="s">
        <v>6</v>
      </c>
      <c r="H1" s="3" t="s">
        <v>7</v>
      </c>
      <c r="I1" s="3" t="s">
        <v>8</v>
      </c>
      <c r="J1" s="3" t="s">
        <v>9</v>
      </c>
      <c r="K1" s="3" t="s">
        <v>10</v>
      </c>
      <c r="L1" s="3" t="s">
        <v>11</v>
      </c>
      <c r="M1" s="3" t="s">
        <v>12</v>
      </c>
      <c r="N1" s="3" t="s">
        <v>13</v>
      </c>
      <c r="O1" s="4" t="s">
        <v>14</v>
      </c>
      <c r="P1" s="5" t="s">
        <v>15</v>
      </c>
      <c r="Q1" s="5" t="s">
        <v>16</v>
      </c>
      <c r="R1" s="5" t="s">
        <v>17</v>
      </c>
      <c r="S1" s="5" t="s">
        <v>18</v>
      </c>
      <c r="T1" s="5" t="s">
        <v>19</v>
      </c>
      <c r="U1" s="5" t="s">
        <v>20</v>
      </c>
      <c r="V1" s="5" t="s">
        <v>21</v>
      </c>
      <c r="W1" s="5" t="s">
        <v>22</v>
      </c>
      <c r="X1" s="5" t="s">
        <v>23</v>
      </c>
      <c r="Y1" s="5" t="s">
        <v>0</v>
      </c>
      <c r="Z1" s="5" t="s">
        <v>0</v>
      </c>
      <c r="AA1" s="5" t="s">
        <v>0</v>
      </c>
      <c r="AB1" s="6" t="s">
        <v>24</v>
      </c>
      <c r="AC1" s="6" t="s">
        <v>25</v>
      </c>
      <c r="AD1" s="7" t="s">
        <v>0</v>
      </c>
      <c r="AE1" s="7" t="s">
        <v>0</v>
      </c>
      <c r="AF1" s="7" t="s">
        <v>0</v>
      </c>
      <c r="AG1" s="6" t="s">
        <v>26</v>
      </c>
      <c r="AH1" s="6" t="s">
        <v>27</v>
      </c>
      <c r="AI1" s="6" t="s">
        <v>28</v>
      </c>
      <c r="AJ1" s="7" t="s">
        <v>0</v>
      </c>
      <c r="AK1" s="6" t="s">
        <v>29</v>
      </c>
      <c r="AL1" s="7" t="s">
        <v>0</v>
      </c>
      <c r="AM1" s="7" t="s">
        <v>0</v>
      </c>
      <c r="AN1" s="7" t="s">
        <v>0</v>
      </c>
      <c r="AO1" s="7" t="s">
        <v>0</v>
      </c>
      <c r="AP1" s="7" t="s">
        <v>0</v>
      </c>
      <c r="AQ1" s="7" t="s">
        <v>0</v>
      </c>
      <c r="AR1" s="7" t="s">
        <v>0</v>
      </c>
      <c r="AS1" s="7" t="s">
        <v>0</v>
      </c>
      <c r="AT1" s="7" t="s">
        <v>0</v>
      </c>
      <c r="AU1" s="7" t="s">
        <v>0</v>
      </c>
      <c r="AV1" s="7" t="s">
        <v>0</v>
      </c>
      <c r="AW1" s="7" t="s">
        <v>0</v>
      </c>
      <c r="AX1" s="7" t="s">
        <v>0</v>
      </c>
    </row>
    <row r="2" ht="15.0" customHeight="1">
      <c r="A2" s="8" t="s">
        <v>30</v>
      </c>
      <c r="B2" s="9" t="s">
        <v>31</v>
      </c>
      <c r="C2" s="10" t="s">
        <v>32</v>
      </c>
      <c r="D2" s="10" t="s">
        <v>33</v>
      </c>
      <c r="E2" s="11" t="s">
        <v>34</v>
      </c>
      <c r="F2" s="12" t="s">
        <v>35</v>
      </c>
      <c r="G2" s="13" t="s">
        <v>36</v>
      </c>
      <c r="H2" s="14" t="s">
        <v>37</v>
      </c>
      <c r="I2" s="15" t="s">
        <v>38</v>
      </c>
      <c r="J2" s="12" t="s">
        <v>39</v>
      </c>
      <c r="K2" s="16" t="s">
        <v>40</v>
      </c>
      <c r="L2" s="16" t="s">
        <v>41</v>
      </c>
      <c r="M2" s="12" t="s">
        <v>42</v>
      </c>
      <c r="N2" s="17" t="s">
        <v>43</v>
      </c>
      <c r="O2" s="18" t="s">
        <v>0</v>
      </c>
      <c r="P2" s="11" t="s">
        <v>44</v>
      </c>
      <c r="Q2" s="19" t="s">
        <v>45</v>
      </c>
      <c r="R2" s="12" t="s">
        <v>41</v>
      </c>
      <c r="S2" s="19" t="s">
        <v>41</v>
      </c>
      <c r="T2" s="11" t="s">
        <v>46</v>
      </c>
      <c r="U2" s="19" t="s">
        <v>47</v>
      </c>
      <c r="V2" s="20" t="s">
        <v>48</v>
      </c>
      <c r="W2" s="21" t="s">
        <v>0</v>
      </c>
      <c r="X2" s="22" t="s">
        <v>49</v>
      </c>
      <c r="Y2" s="20" t="s">
        <v>50</v>
      </c>
      <c r="Z2" s="23" t="s">
        <v>0</v>
      </c>
      <c r="AA2" s="7" t="s">
        <v>0</v>
      </c>
      <c r="AB2" s="24" t="s">
        <v>51</v>
      </c>
      <c r="AC2" s="24" t="s">
        <v>52</v>
      </c>
      <c r="AD2" s="7" t="s">
        <v>0</v>
      </c>
      <c r="AE2" s="25" t="s">
        <v>53</v>
      </c>
      <c r="AF2" s="7" t="s">
        <v>0</v>
      </c>
      <c r="AG2" s="25" t="s">
        <v>54</v>
      </c>
      <c r="AH2" s="25" t="s">
        <v>55</v>
      </c>
      <c r="AI2" s="25" t="s">
        <v>56</v>
      </c>
      <c r="AJ2" s="7" t="s">
        <v>0</v>
      </c>
      <c r="AK2" s="25" t="s">
        <v>57</v>
      </c>
      <c r="AL2" s="7" t="s">
        <v>0</v>
      </c>
      <c r="AM2" s="7" t="s">
        <v>0</v>
      </c>
      <c r="AN2" s="7" t="s">
        <v>0</v>
      </c>
      <c r="AO2" s="7" t="s">
        <v>0</v>
      </c>
      <c r="AP2" s="7" t="s">
        <v>0</v>
      </c>
      <c r="AQ2" s="7" t="s">
        <v>0</v>
      </c>
      <c r="AR2" s="7" t="s">
        <v>0</v>
      </c>
      <c r="AS2" s="7" t="s">
        <v>0</v>
      </c>
      <c r="AT2" s="7" t="s">
        <v>0</v>
      </c>
      <c r="AU2" s="7" t="s">
        <v>0</v>
      </c>
      <c r="AV2" s="7" t="s">
        <v>0</v>
      </c>
      <c r="AW2" s="7" t="s">
        <v>0</v>
      </c>
      <c r="AX2" s="7" t="s">
        <v>0</v>
      </c>
    </row>
    <row r="3">
      <c r="A3" s="8" t="s">
        <v>58</v>
      </c>
      <c r="B3" s="9" t="s">
        <v>31</v>
      </c>
      <c r="C3" s="10" t="s">
        <v>59</v>
      </c>
      <c r="D3" s="10" t="s">
        <v>60</v>
      </c>
      <c r="E3" s="26" t="s">
        <v>0</v>
      </c>
      <c r="F3" s="27" t="s">
        <v>61</v>
      </c>
      <c r="G3" s="28" t="s">
        <v>62</v>
      </c>
      <c r="H3" s="14" t="s">
        <v>63</v>
      </c>
      <c r="I3" s="29" t="s">
        <v>64</v>
      </c>
      <c r="J3" s="27" t="s">
        <v>65</v>
      </c>
      <c r="K3" s="30" t="s">
        <v>0</v>
      </c>
      <c r="L3" s="30" t="s">
        <v>0</v>
      </c>
      <c r="M3" s="26" t="s">
        <v>0</v>
      </c>
      <c r="N3" s="17" t="s">
        <v>66</v>
      </c>
      <c r="O3" s="31" t="s">
        <v>0</v>
      </c>
      <c r="P3" s="32" t="s">
        <v>0</v>
      </c>
      <c r="Q3" s="33" t="s">
        <v>0</v>
      </c>
      <c r="R3" s="34" t="s">
        <v>0</v>
      </c>
      <c r="S3" s="33" t="s">
        <v>0</v>
      </c>
      <c r="T3" s="34" t="s">
        <v>0</v>
      </c>
      <c r="U3" s="35" t="s">
        <v>0</v>
      </c>
      <c r="V3" s="20" t="s">
        <v>48</v>
      </c>
      <c r="W3" s="22" t="s">
        <v>0</v>
      </c>
      <c r="X3" s="22" t="s">
        <v>67</v>
      </c>
      <c r="Y3" s="23" t="s">
        <v>0</v>
      </c>
      <c r="Z3" s="23" t="s">
        <v>0</v>
      </c>
      <c r="AA3" s="7" t="s">
        <v>0</v>
      </c>
      <c r="AB3" s="36" t="s">
        <v>0</v>
      </c>
      <c r="AC3" s="36" t="s">
        <v>0</v>
      </c>
      <c r="AD3" s="7" t="s">
        <v>0</v>
      </c>
      <c r="AE3" s="25" t="s">
        <v>68</v>
      </c>
      <c r="AF3" s="7" t="s">
        <v>0</v>
      </c>
      <c r="AG3" s="25" t="s">
        <v>54</v>
      </c>
      <c r="AH3" s="25" t="s">
        <v>41</v>
      </c>
      <c r="AI3" s="7" t="s">
        <v>0</v>
      </c>
      <c r="AJ3" s="7" t="s">
        <v>0</v>
      </c>
      <c r="AK3" s="37" t="s">
        <v>41</v>
      </c>
      <c r="AL3" s="7" t="s">
        <v>0</v>
      </c>
      <c r="AM3" s="7" t="s">
        <v>0</v>
      </c>
      <c r="AN3" s="7" t="s">
        <v>0</v>
      </c>
      <c r="AO3" s="7" t="s">
        <v>0</v>
      </c>
      <c r="AP3" s="7" t="s">
        <v>0</v>
      </c>
      <c r="AQ3" s="7" t="s">
        <v>0</v>
      </c>
      <c r="AR3" s="7" t="s">
        <v>0</v>
      </c>
      <c r="AS3" s="7" t="s">
        <v>0</v>
      </c>
      <c r="AT3" s="7" t="s">
        <v>0</v>
      </c>
      <c r="AU3" s="7" t="s">
        <v>0</v>
      </c>
      <c r="AV3" s="7" t="s">
        <v>0</v>
      </c>
      <c r="AW3" s="7" t="s">
        <v>0</v>
      </c>
      <c r="AX3" s="7" t="s">
        <v>0</v>
      </c>
    </row>
    <row r="4">
      <c r="A4" s="8" t="s">
        <v>69</v>
      </c>
      <c r="B4" s="9" t="s">
        <v>31</v>
      </c>
      <c r="C4" s="10" t="s">
        <v>70</v>
      </c>
      <c r="D4" s="10" t="s">
        <v>33</v>
      </c>
      <c r="E4" s="38" t="s">
        <v>71</v>
      </c>
      <c r="F4" s="12" t="s">
        <v>72</v>
      </c>
      <c r="G4" s="39" t="s">
        <v>73</v>
      </c>
      <c r="H4" s="14" t="s">
        <v>74</v>
      </c>
      <c r="I4" s="15" t="s">
        <v>75</v>
      </c>
      <c r="J4" s="12" t="s">
        <v>76</v>
      </c>
      <c r="K4" s="16" t="s">
        <v>77</v>
      </c>
      <c r="L4" s="16" t="s">
        <v>41</v>
      </c>
      <c r="M4" s="12" t="s">
        <v>42</v>
      </c>
      <c r="N4" s="17" t="s">
        <v>66</v>
      </c>
      <c r="O4" s="18" t="s">
        <v>0</v>
      </c>
      <c r="P4" s="11" t="s">
        <v>78</v>
      </c>
      <c r="Q4" s="19" t="s">
        <v>79</v>
      </c>
      <c r="R4" s="11" t="s">
        <v>80</v>
      </c>
      <c r="S4" s="19" t="s">
        <v>81</v>
      </c>
      <c r="T4" s="11" t="s">
        <v>82</v>
      </c>
      <c r="U4" s="19" t="s">
        <v>83</v>
      </c>
      <c r="V4" s="20" t="s">
        <v>48</v>
      </c>
      <c r="W4" s="22" t="s">
        <v>0</v>
      </c>
      <c r="X4" s="22" t="s">
        <v>84</v>
      </c>
      <c r="Y4" s="23" t="s">
        <v>0</v>
      </c>
      <c r="Z4" s="23" t="s">
        <v>0</v>
      </c>
      <c r="AA4" s="7" t="s">
        <v>0</v>
      </c>
      <c r="AB4" s="24" t="s">
        <v>85</v>
      </c>
      <c r="AC4" s="24" t="s">
        <v>86</v>
      </c>
      <c r="AD4" s="7" t="s">
        <v>0</v>
      </c>
      <c r="AE4" s="25" t="s">
        <v>87</v>
      </c>
      <c r="AF4" s="7" t="s">
        <v>0</v>
      </c>
      <c r="AG4" s="25" t="s">
        <v>88</v>
      </c>
      <c r="AH4" s="25" t="s">
        <v>89</v>
      </c>
      <c r="AI4" s="25" t="s">
        <v>90</v>
      </c>
      <c r="AJ4" s="7" t="s">
        <v>0</v>
      </c>
      <c r="AK4" s="25" t="s">
        <v>91</v>
      </c>
      <c r="AL4" s="7" t="s">
        <v>0</v>
      </c>
      <c r="AM4" s="7" t="s">
        <v>0</v>
      </c>
      <c r="AN4" s="7" t="s">
        <v>0</v>
      </c>
      <c r="AO4" s="7" t="s">
        <v>0</v>
      </c>
      <c r="AP4" s="7" t="s">
        <v>0</v>
      </c>
      <c r="AQ4" s="7" t="s">
        <v>0</v>
      </c>
      <c r="AR4" s="7" t="s">
        <v>0</v>
      </c>
      <c r="AS4" s="7" t="s">
        <v>0</v>
      </c>
      <c r="AT4" s="7" t="s">
        <v>0</v>
      </c>
      <c r="AU4" s="7" t="s">
        <v>0</v>
      </c>
      <c r="AV4" s="7" t="s">
        <v>0</v>
      </c>
      <c r="AW4" s="7" t="s">
        <v>0</v>
      </c>
      <c r="AX4" s="7" t="s">
        <v>0</v>
      </c>
    </row>
    <row r="5">
      <c r="A5" s="8" t="s">
        <v>92</v>
      </c>
      <c r="B5" s="9" t="s">
        <v>93</v>
      </c>
      <c r="C5" s="9" t="s">
        <v>94</v>
      </c>
      <c r="D5" s="9" t="s">
        <v>95</v>
      </c>
      <c r="E5" s="40" t="s">
        <v>96</v>
      </c>
      <c r="F5" s="41" t="s">
        <v>97</v>
      </c>
      <c r="G5" s="42" t="s">
        <v>98</v>
      </c>
      <c r="H5" s="42" t="s">
        <v>99</v>
      </c>
      <c r="I5" s="29" t="s">
        <v>100</v>
      </c>
      <c r="J5" s="41" t="s">
        <v>101</v>
      </c>
      <c r="K5" s="30" t="s">
        <v>0</v>
      </c>
      <c r="L5" s="30" t="s">
        <v>0</v>
      </c>
      <c r="M5" s="41" t="s">
        <v>102</v>
      </c>
      <c r="N5" s="17" t="s">
        <v>43</v>
      </c>
      <c r="O5" s="31" t="s">
        <v>0</v>
      </c>
      <c r="P5" s="41" t="s">
        <v>103</v>
      </c>
      <c r="Q5" s="41" t="s">
        <v>104</v>
      </c>
      <c r="R5" s="41" t="s">
        <v>41</v>
      </c>
      <c r="S5" s="41" t="s">
        <v>105</v>
      </c>
      <c r="T5" s="41" t="s">
        <v>106</v>
      </c>
      <c r="U5" s="41" t="s">
        <v>107</v>
      </c>
      <c r="V5" s="22" t="s">
        <v>108</v>
      </c>
      <c r="W5" s="20" t="s">
        <v>0</v>
      </c>
      <c r="X5" s="20" t="s">
        <v>109</v>
      </c>
      <c r="Y5" s="23" t="s">
        <v>0</v>
      </c>
      <c r="Z5" s="23" t="s">
        <v>0</v>
      </c>
      <c r="AA5" s="7" t="s">
        <v>0</v>
      </c>
      <c r="AB5" s="24" t="s">
        <v>110</v>
      </c>
      <c r="AC5" s="24" t="s">
        <v>111</v>
      </c>
      <c r="AD5" s="7" t="s">
        <v>0</v>
      </c>
      <c r="AE5" s="25" t="s">
        <v>112</v>
      </c>
      <c r="AF5" s="7" t="s">
        <v>0</v>
      </c>
      <c r="AG5" s="25" t="s">
        <v>113</v>
      </c>
      <c r="AH5" s="25" t="s">
        <v>114</v>
      </c>
      <c r="AI5" s="25" t="s">
        <v>115</v>
      </c>
      <c r="AJ5" s="7" t="s">
        <v>0</v>
      </c>
      <c r="AK5" s="25" t="s">
        <v>116</v>
      </c>
      <c r="AL5" s="7" t="s">
        <v>0</v>
      </c>
      <c r="AM5" s="7" t="s">
        <v>0</v>
      </c>
      <c r="AN5" s="7" t="s">
        <v>0</v>
      </c>
      <c r="AO5" s="7" t="s">
        <v>0</v>
      </c>
      <c r="AP5" s="7" t="s">
        <v>0</v>
      </c>
      <c r="AQ5" s="7" t="s">
        <v>0</v>
      </c>
      <c r="AR5" s="7" t="s">
        <v>0</v>
      </c>
      <c r="AS5" s="7" t="s">
        <v>0</v>
      </c>
      <c r="AT5" s="7" t="s">
        <v>0</v>
      </c>
      <c r="AU5" s="7" t="s">
        <v>0</v>
      </c>
      <c r="AV5" s="7" t="s">
        <v>0</v>
      </c>
      <c r="AW5" s="7" t="s">
        <v>0</v>
      </c>
      <c r="AX5" s="7" t="s">
        <v>0</v>
      </c>
    </row>
    <row r="6">
      <c r="A6" s="8" t="s">
        <v>117</v>
      </c>
      <c r="B6" s="9" t="s">
        <v>93</v>
      </c>
      <c r="C6" s="9" t="s">
        <v>118</v>
      </c>
      <c r="D6" s="9" t="s">
        <v>33</v>
      </c>
      <c r="E6" s="42" t="s">
        <v>119</v>
      </c>
      <c r="F6" s="41" t="s">
        <v>120</v>
      </c>
      <c r="G6" s="42" t="s">
        <v>121</v>
      </c>
      <c r="H6" s="42" t="s">
        <v>122</v>
      </c>
      <c r="I6" s="15" t="s">
        <v>123</v>
      </c>
      <c r="J6" s="41" t="s">
        <v>124</v>
      </c>
      <c r="K6" s="30" t="s">
        <v>0</v>
      </c>
      <c r="L6" s="30" t="s">
        <v>0</v>
      </c>
      <c r="M6" s="41" t="s">
        <v>125</v>
      </c>
      <c r="N6" s="17" t="s">
        <v>126</v>
      </c>
      <c r="O6" s="31" t="s">
        <v>0</v>
      </c>
      <c r="P6" s="41" t="s">
        <v>127</v>
      </c>
      <c r="Q6" s="41" t="s">
        <v>128</v>
      </c>
      <c r="R6" s="41" t="s">
        <v>129</v>
      </c>
      <c r="S6" s="41" t="s">
        <v>130</v>
      </c>
      <c r="T6" s="41" t="s">
        <v>131</v>
      </c>
      <c r="U6" s="41" t="s">
        <v>132</v>
      </c>
      <c r="V6" s="22" t="s">
        <v>108</v>
      </c>
      <c r="W6" s="20" t="s">
        <v>0</v>
      </c>
      <c r="X6" s="20" t="s">
        <v>109</v>
      </c>
      <c r="Y6" s="23" t="s">
        <v>0</v>
      </c>
      <c r="Z6" s="23" t="s">
        <v>0</v>
      </c>
      <c r="AA6" s="7" t="s">
        <v>0</v>
      </c>
      <c r="AB6" s="24" t="s">
        <v>133</v>
      </c>
      <c r="AC6" s="24" t="s">
        <v>134</v>
      </c>
      <c r="AD6" s="7" t="s">
        <v>0</v>
      </c>
      <c r="AE6" s="25" t="s">
        <v>135</v>
      </c>
      <c r="AF6" s="7" t="s">
        <v>0</v>
      </c>
      <c r="AG6" s="25" t="s">
        <v>113</v>
      </c>
      <c r="AH6" s="43" t="s">
        <v>136</v>
      </c>
      <c r="AI6" s="25" t="s">
        <v>137</v>
      </c>
      <c r="AJ6" s="7" t="s">
        <v>0</v>
      </c>
      <c r="AK6" s="43" t="s">
        <v>138</v>
      </c>
      <c r="AL6" s="7" t="s">
        <v>0</v>
      </c>
      <c r="AM6" s="7" t="s">
        <v>0</v>
      </c>
      <c r="AN6" s="7" t="s">
        <v>0</v>
      </c>
      <c r="AO6" s="7" t="s">
        <v>0</v>
      </c>
      <c r="AP6" s="7" t="s">
        <v>0</v>
      </c>
      <c r="AQ6" s="7" t="s">
        <v>0</v>
      </c>
      <c r="AR6" s="7" t="s">
        <v>0</v>
      </c>
      <c r="AS6" s="7" t="s">
        <v>0</v>
      </c>
      <c r="AT6" s="7" t="s">
        <v>0</v>
      </c>
      <c r="AU6" s="7" t="s">
        <v>0</v>
      </c>
      <c r="AV6" s="7" t="s">
        <v>0</v>
      </c>
      <c r="AW6" s="7" t="s">
        <v>0</v>
      </c>
      <c r="AX6" s="7" t="s">
        <v>0</v>
      </c>
    </row>
    <row r="7">
      <c r="A7" s="8" t="s">
        <v>139</v>
      </c>
      <c r="B7" s="9" t="s">
        <v>93</v>
      </c>
      <c r="C7" s="9" t="s">
        <v>140</v>
      </c>
      <c r="D7" s="9" t="s">
        <v>33</v>
      </c>
      <c r="E7" s="42" t="s">
        <v>141</v>
      </c>
      <c r="F7" s="41" t="s">
        <v>142</v>
      </c>
      <c r="G7" s="42" t="s">
        <v>143</v>
      </c>
      <c r="H7" s="42" t="s">
        <v>144</v>
      </c>
      <c r="I7" s="15" t="s">
        <v>145</v>
      </c>
      <c r="J7" s="41" t="s">
        <v>146</v>
      </c>
      <c r="K7" s="30" t="s">
        <v>0</v>
      </c>
      <c r="L7" s="30" t="s">
        <v>0</v>
      </c>
      <c r="M7" s="41" t="s">
        <v>147</v>
      </c>
      <c r="N7" s="17" t="s">
        <v>43</v>
      </c>
      <c r="O7" s="31" t="s">
        <v>0</v>
      </c>
      <c r="P7" s="41" t="s">
        <v>148</v>
      </c>
      <c r="Q7" s="41" t="s">
        <v>149</v>
      </c>
      <c r="R7" s="41" t="s">
        <v>41</v>
      </c>
      <c r="S7" s="41" t="s">
        <v>150</v>
      </c>
      <c r="T7" s="41" t="s">
        <v>151</v>
      </c>
      <c r="U7" s="41" t="s">
        <v>152</v>
      </c>
      <c r="V7" s="22" t="s">
        <v>108</v>
      </c>
      <c r="W7" s="20" t="s">
        <v>0</v>
      </c>
      <c r="X7" s="20" t="s">
        <v>109</v>
      </c>
      <c r="Y7" s="23" t="s">
        <v>0</v>
      </c>
      <c r="Z7" s="23" t="s">
        <v>0</v>
      </c>
      <c r="AA7" s="7" t="s">
        <v>0</v>
      </c>
      <c r="AB7" s="24" t="s">
        <v>153</v>
      </c>
      <c r="AC7" s="24" t="s">
        <v>154</v>
      </c>
      <c r="AD7" s="7" t="s">
        <v>0</v>
      </c>
      <c r="AE7" s="25" t="s">
        <v>155</v>
      </c>
      <c r="AF7" s="7" t="s">
        <v>0</v>
      </c>
      <c r="AG7" s="25" t="s">
        <v>113</v>
      </c>
      <c r="AH7" s="43" t="s">
        <v>156</v>
      </c>
      <c r="AI7" s="25" t="s">
        <v>157</v>
      </c>
      <c r="AJ7" s="7" t="s">
        <v>0</v>
      </c>
      <c r="AK7" s="43" t="s">
        <v>158</v>
      </c>
      <c r="AL7" s="7" t="s">
        <v>0</v>
      </c>
      <c r="AM7" s="7" t="s">
        <v>0</v>
      </c>
      <c r="AN7" s="7" t="s">
        <v>0</v>
      </c>
      <c r="AO7" s="7" t="s">
        <v>0</v>
      </c>
      <c r="AP7" s="7" t="s">
        <v>0</v>
      </c>
      <c r="AQ7" s="7" t="s">
        <v>0</v>
      </c>
      <c r="AR7" s="7" t="s">
        <v>0</v>
      </c>
      <c r="AS7" s="7" t="s">
        <v>0</v>
      </c>
      <c r="AT7" s="7" t="s">
        <v>0</v>
      </c>
      <c r="AU7" s="7" t="s">
        <v>0</v>
      </c>
      <c r="AV7" s="7" t="s">
        <v>0</v>
      </c>
      <c r="AW7" s="7" t="s">
        <v>0</v>
      </c>
      <c r="AX7" s="7" t="s">
        <v>0</v>
      </c>
    </row>
    <row r="8">
      <c r="A8" s="8" t="s">
        <v>159</v>
      </c>
      <c r="B8" s="9" t="s">
        <v>160</v>
      </c>
      <c r="C8" s="44" t="s">
        <v>161</v>
      </c>
      <c r="D8" s="9" t="s">
        <v>95</v>
      </c>
      <c r="E8" s="42" t="s">
        <v>162</v>
      </c>
      <c r="F8" s="41" t="s">
        <v>163</v>
      </c>
      <c r="G8" s="42" t="s">
        <v>164</v>
      </c>
      <c r="H8" s="41" t="s">
        <v>165</v>
      </c>
      <c r="I8" s="15" t="s">
        <v>166</v>
      </c>
      <c r="J8" s="45" t="s">
        <v>167</v>
      </c>
      <c r="K8" s="46" t="s">
        <v>168</v>
      </c>
      <c r="L8" s="46" t="s">
        <v>169</v>
      </c>
      <c r="M8" s="41" t="s">
        <v>170</v>
      </c>
      <c r="N8" s="17" t="s">
        <v>43</v>
      </c>
      <c r="O8" s="31" t="s">
        <v>0</v>
      </c>
      <c r="P8" s="41" t="s">
        <v>171</v>
      </c>
      <c r="Q8" s="41" t="s">
        <v>172</v>
      </c>
      <c r="R8" s="41" t="s">
        <v>173</v>
      </c>
      <c r="S8" s="41" t="s">
        <v>174</v>
      </c>
      <c r="T8" s="41" t="s">
        <v>175</v>
      </c>
      <c r="U8" s="41" t="s">
        <v>176</v>
      </c>
      <c r="V8" s="20" t="s">
        <v>108</v>
      </c>
      <c r="W8" s="20" t="s">
        <v>0</v>
      </c>
      <c r="X8" s="20" t="s">
        <v>177</v>
      </c>
      <c r="Y8" s="47" t="s">
        <v>178</v>
      </c>
      <c r="Z8" s="23" t="s">
        <v>0</v>
      </c>
      <c r="AA8" s="7" t="s">
        <v>0</v>
      </c>
      <c r="AB8" s="24" t="s">
        <v>179</v>
      </c>
      <c r="AC8" s="24" t="s">
        <v>180</v>
      </c>
      <c r="AD8" s="7" t="s">
        <v>0</v>
      </c>
      <c r="AE8" s="25" t="s">
        <v>181</v>
      </c>
      <c r="AF8" s="7" t="s">
        <v>0</v>
      </c>
      <c r="AG8" s="25" t="s">
        <v>113</v>
      </c>
      <c r="AH8" s="25" t="s">
        <v>182</v>
      </c>
      <c r="AI8" s="25" t="s">
        <v>183</v>
      </c>
      <c r="AJ8" s="7" t="s">
        <v>0</v>
      </c>
      <c r="AK8" s="25" t="s">
        <v>184</v>
      </c>
      <c r="AL8" s="7" t="s">
        <v>0</v>
      </c>
      <c r="AM8" s="7" t="s">
        <v>0</v>
      </c>
      <c r="AN8" s="7" t="s">
        <v>0</v>
      </c>
      <c r="AO8" s="7" t="s">
        <v>0</v>
      </c>
      <c r="AP8" s="7" t="s">
        <v>0</v>
      </c>
      <c r="AQ8" s="7" t="s">
        <v>0</v>
      </c>
      <c r="AR8" s="7" t="s">
        <v>0</v>
      </c>
      <c r="AS8" s="7" t="s">
        <v>0</v>
      </c>
      <c r="AT8" s="7" t="s">
        <v>0</v>
      </c>
      <c r="AU8" s="7" t="s">
        <v>0</v>
      </c>
      <c r="AV8" s="7" t="s">
        <v>0</v>
      </c>
      <c r="AW8" s="7" t="s">
        <v>0</v>
      </c>
      <c r="AX8" s="7" t="s">
        <v>0</v>
      </c>
    </row>
    <row r="9">
      <c r="A9" s="8" t="s">
        <v>185</v>
      </c>
      <c r="B9" s="9" t="s">
        <v>160</v>
      </c>
      <c r="C9" s="48" t="s">
        <v>186</v>
      </c>
      <c r="D9" s="9" t="s">
        <v>95</v>
      </c>
      <c r="E9" s="42" t="s">
        <v>187</v>
      </c>
      <c r="F9" s="41" t="s">
        <v>188</v>
      </c>
      <c r="G9" s="42" t="s">
        <v>189</v>
      </c>
      <c r="H9" s="42" t="s">
        <v>190</v>
      </c>
      <c r="I9" s="15" t="s">
        <v>191</v>
      </c>
      <c r="J9" s="41" t="s">
        <v>192</v>
      </c>
      <c r="K9" s="12" t="s">
        <v>193</v>
      </c>
      <c r="L9" s="12" t="s">
        <v>194</v>
      </c>
      <c r="M9" s="41" t="s">
        <v>195</v>
      </c>
      <c r="N9" s="17" t="s">
        <v>43</v>
      </c>
      <c r="O9" s="31" t="s">
        <v>0</v>
      </c>
      <c r="P9" s="45" t="s">
        <v>196</v>
      </c>
      <c r="Q9" s="45" t="s">
        <v>197</v>
      </c>
      <c r="R9" s="41" t="s">
        <v>196</v>
      </c>
      <c r="S9" s="41" t="s">
        <v>198</v>
      </c>
      <c r="T9" s="45" t="s">
        <v>199</v>
      </c>
      <c r="U9" s="41" t="s">
        <v>200</v>
      </c>
      <c r="V9" s="20" t="s">
        <v>108</v>
      </c>
      <c r="W9" s="20" t="s">
        <v>0</v>
      </c>
      <c r="X9" s="49" t="s">
        <v>201</v>
      </c>
      <c r="Y9" s="23" t="s">
        <v>202</v>
      </c>
      <c r="Z9" s="23" t="s">
        <v>0</v>
      </c>
      <c r="AA9" s="7" t="s">
        <v>0</v>
      </c>
      <c r="AB9" s="24" t="s">
        <v>203</v>
      </c>
      <c r="AC9" s="24" t="s">
        <v>204</v>
      </c>
      <c r="AD9" s="7" t="s">
        <v>0</v>
      </c>
      <c r="AE9" s="25" t="s">
        <v>205</v>
      </c>
      <c r="AF9" s="7" t="s">
        <v>0</v>
      </c>
      <c r="AG9" s="25" t="s">
        <v>113</v>
      </c>
      <c r="AH9" s="50" t="s">
        <v>206</v>
      </c>
      <c r="AI9" s="25" t="s">
        <v>207</v>
      </c>
      <c r="AJ9" s="7" t="s">
        <v>0</v>
      </c>
      <c r="AK9" s="50" t="s">
        <v>208</v>
      </c>
      <c r="AL9" s="7" t="s">
        <v>0</v>
      </c>
      <c r="AM9" s="7" t="s">
        <v>0</v>
      </c>
      <c r="AN9" s="7" t="s">
        <v>0</v>
      </c>
      <c r="AO9" s="7" t="s">
        <v>0</v>
      </c>
      <c r="AP9" s="7" t="s">
        <v>0</v>
      </c>
      <c r="AQ9" s="7" t="s">
        <v>0</v>
      </c>
      <c r="AR9" s="7" t="s">
        <v>0</v>
      </c>
      <c r="AS9" s="7" t="s">
        <v>0</v>
      </c>
      <c r="AT9" s="7" t="s">
        <v>0</v>
      </c>
      <c r="AU9" s="7" t="s">
        <v>0</v>
      </c>
      <c r="AV9" s="7" t="s">
        <v>0</v>
      </c>
      <c r="AW9" s="7" t="s">
        <v>0</v>
      </c>
      <c r="AX9" s="7" t="s">
        <v>0</v>
      </c>
    </row>
    <row r="10">
      <c r="A10" s="8" t="s">
        <v>209</v>
      </c>
      <c r="B10" s="9" t="s">
        <v>160</v>
      </c>
      <c r="C10" s="9" t="s">
        <v>210</v>
      </c>
      <c r="D10" s="22" t="s">
        <v>211</v>
      </c>
      <c r="E10" s="42" t="s">
        <v>212</v>
      </c>
      <c r="F10" s="41" t="s">
        <v>213</v>
      </c>
      <c r="G10" s="42" t="s">
        <v>214</v>
      </c>
      <c r="H10" s="41" t="s">
        <v>165</v>
      </c>
      <c r="I10" s="15" t="s">
        <v>215</v>
      </c>
      <c r="J10" s="41" t="s">
        <v>216</v>
      </c>
      <c r="K10" s="46" t="s">
        <v>217</v>
      </c>
      <c r="L10" s="46" t="s">
        <v>218</v>
      </c>
      <c r="M10" s="41" t="s">
        <v>219</v>
      </c>
      <c r="N10" s="17" t="s">
        <v>43</v>
      </c>
      <c r="O10" s="31" t="s">
        <v>0</v>
      </c>
      <c r="P10" s="41" t="s">
        <v>220</v>
      </c>
      <c r="Q10" s="41" t="s">
        <v>221</v>
      </c>
      <c r="R10" s="41" t="s">
        <v>196</v>
      </c>
      <c r="S10" s="41" t="s">
        <v>198</v>
      </c>
      <c r="T10" s="41" t="s">
        <v>222</v>
      </c>
      <c r="U10" s="41" t="s">
        <v>223</v>
      </c>
      <c r="V10" s="20" t="s">
        <v>108</v>
      </c>
      <c r="W10" s="20" t="s">
        <v>0</v>
      </c>
      <c r="X10" s="20" t="s">
        <v>224</v>
      </c>
      <c r="Y10" s="23" t="s">
        <v>0</v>
      </c>
      <c r="Z10" s="23" t="s">
        <v>0</v>
      </c>
      <c r="AA10" s="7" t="s">
        <v>0</v>
      </c>
      <c r="AB10" s="24" t="s">
        <v>225</v>
      </c>
      <c r="AC10" s="24" t="s">
        <v>226</v>
      </c>
      <c r="AD10" s="7" t="s">
        <v>0</v>
      </c>
      <c r="AE10" s="25" t="s">
        <v>227</v>
      </c>
      <c r="AF10" s="7" t="s">
        <v>0</v>
      </c>
      <c r="AG10" s="25" t="s">
        <v>228</v>
      </c>
      <c r="AH10" s="25" t="s">
        <v>229</v>
      </c>
      <c r="AI10" s="25" t="s">
        <v>230</v>
      </c>
      <c r="AJ10" s="7" t="s">
        <v>0</v>
      </c>
      <c r="AK10" s="25" t="s">
        <v>231</v>
      </c>
      <c r="AL10" s="7" t="s">
        <v>0</v>
      </c>
      <c r="AM10" s="7" t="s">
        <v>0</v>
      </c>
      <c r="AN10" s="7" t="s">
        <v>0</v>
      </c>
      <c r="AO10" s="7" t="s">
        <v>0</v>
      </c>
      <c r="AP10" s="7" t="s">
        <v>0</v>
      </c>
      <c r="AQ10" s="7" t="s">
        <v>0</v>
      </c>
      <c r="AR10" s="7" t="s">
        <v>0</v>
      </c>
      <c r="AS10" s="7" t="s">
        <v>0</v>
      </c>
      <c r="AT10" s="7" t="s">
        <v>0</v>
      </c>
      <c r="AU10" s="7" t="s">
        <v>0</v>
      </c>
      <c r="AV10" s="7" t="s">
        <v>0</v>
      </c>
      <c r="AW10" s="7" t="s">
        <v>0</v>
      </c>
      <c r="AX10" s="7" t="s">
        <v>0</v>
      </c>
    </row>
    <row r="11">
      <c r="A11" s="8" t="s">
        <v>232</v>
      </c>
      <c r="B11" s="9" t="s">
        <v>233</v>
      </c>
      <c r="C11" s="9" t="s">
        <v>234</v>
      </c>
      <c r="D11" s="9" t="s">
        <v>211</v>
      </c>
      <c r="E11" s="40" t="s">
        <v>235</v>
      </c>
      <c r="F11" s="41" t="s">
        <v>236</v>
      </c>
      <c r="G11" s="14" t="s">
        <v>237</v>
      </c>
      <c r="H11" s="14" t="s">
        <v>238</v>
      </c>
      <c r="I11" s="51" t="s">
        <v>239</v>
      </c>
      <c r="J11" s="52" t="s">
        <v>240</v>
      </c>
      <c r="K11" s="53" t="s">
        <v>241</v>
      </c>
      <c r="L11" s="53" t="s">
        <v>41</v>
      </c>
      <c r="M11" s="52" t="s">
        <v>242</v>
      </c>
      <c r="N11" s="54" t="s">
        <v>43</v>
      </c>
      <c r="O11" s="55" t="s">
        <v>0</v>
      </c>
      <c r="P11" s="52" t="s">
        <v>243</v>
      </c>
      <c r="Q11" s="52" t="s">
        <v>244</v>
      </c>
      <c r="R11" s="52" t="s">
        <v>245</v>
      </c>
      <c r="S11" s="52" t="s">
        <v>246</v>
      </c>
      <c r="T11" s="52" t="s">
        <v>247</v>
      </c>
      <c r="U11" s="52" t="s">
        <v>248</v>
      </c>
      <c r="V11" s="20" t="s">
        <v>249</v>
      </c>
      <c r="W11" s="20" t="s">
        <v>0</v>
      </c>
      <c r="X11" s="20" t="s">
        <v>250</v>
      </c>
      <c r="Y11" s="23" t="s">
        <v>0</v>
      </c>
      <c r="Z11" s="23" t="s">
        <v>0</v>
      </c>
      <c r="AA11" s="7" t="s">
        <v>0</v>
      </c>
      <c r="AB11" s="24" t="s">
        <v>251</v>
      </c>
      <c r="AC11" s="24" t="s">
        <v>252</v>
      </c>
      <c r="AD11" s="7" t="s">
        <v>0</v>
      </c>
      <c r="AE11" s="25" t="s">
        <v>253</v>
      </c>
      <c r="AF11" s="7" t="s">
        <v>0</v>
      </c>
      <c r="AG11" s="25" t="s">
        <v>254</v>
      </c>
      <c r="AH11" s="25" t="s">
        <v>255</v>
      </c>
      <c r="AI11" s="25" t="s">
        <v>256</v>
      </c>
      <c r="AJ11" s="7" t="s">
        <v>0</v>
      </c>
      <c r="AK11" s="56" t="s">
        <v>257</v>
      </c>
      <c r="AL11" s="7" t="s">
        <v>0</v>
      </c>
      <c r="AM11" s="7" t="s">
        <v>0</v>
      </c>
      <c r="AN11" s="7" t="s">
        <v>0</v>
      </c>
      <c r="AO11" s="7" t="s">
        <v>0</v>
      </c>
      <c r="AP11" s="7" t="s">
        <v>0</v>
      </c>
      <c r="AQ11" s="7" t="s">
        <v>0</v>
      </c>
      <c r="AR11" s="7" t="s">
        <v>0</v>
      </c>
      <c r="AS11" s="7" t="s">
        <v>0</v>
      </c>
      <c r="AT11" s="7" t="s">
        <v>0</v>
      </c>
      <c r="AU11" s="7" t="s">
        <v>0</v>
      </c>
      <c r="AV11" s="7" t="s">
        <v>0</v>
      </c>
      <c r="AW11" s="7" t="s">
        <v>0</v>
      </c>
      <c r="AX11" s="7" t="s">
        <v>0</v>
      </c>
    </row>
    <row r="12">
      <c r="A12" s="57" t="s">
        <v>258</v>
      </c>
      <c r="B12" s="9" t="s">
        <v>233</v>
      </c>
      <c r="C12" s="9" t="s">
        <v>259</v>
      </c>
      <c r="D12" s="9" t="s">
        <v>211</v>
      </c>
      <c r="E12" s="42" t="s">
        <v>260</v>
      </c>
      <c r="F12" s="58" t="s">
        <v>261</v>
      </c>
      <c r="G12" s="42" t="s">
        <v>262</v>
      </c>
      <c r="H12" s="42" t="s">
        <v>263</v>
      </c>
      <c r="I12" s="51" t="s">
        <v>264</v>
      </c>
      <c r="J12" s="41" t="s">
        <v>265</v>
      </c>
      <c r="K12" s="59" t="s">
        <v>266</v>
      </c>
      <c r="L12" s="59" t="s">
        <v>41</v>
      </c>
      <c r="M12" s="41" t="s">
        <v>267</v>
      </c>
      <c r="N12" s="21" t="s">
        <v>43</v>
      </c>
      <c r="O12" s="31" t="s">
        <v>0</v>
      </c>
      <c r="P12" s="60" t="s">
        <v>268</v>
      </c>
      <c r="Q12" s="41" t="s">
        <v>269</v>
      </c>
      <c r="R12" s="41" t="s">
        <v>196</v>
      </c>
      <c r="S12" s="41" t="s">
        <v>198</v>
      </c>
      <c r="T12" s="41" t="s">
        <v>270</v>
      </c>
      <c r="U12" s="41" t="s">
        <v>271</v>
      </c>
      <c r="V12" s="20" t="s">
        <v>249</v>
      </c>
      <c r="W12" s="20" t="s">
        <v>0</v>
      </c>
      <c r="X12" s="20" t="s">
        <v>272</v>
      </c>
      <c r="Y12" s="23" t="s">
        <v>0</v>
      </c>
      <c r="Z12" s="23" t="s">
        <v>0</v>
      </c>
      <c r="AA12" s="7" t="s">
        <v>0</v>
      </c>
      <c r="AB12" s="24" t="s">
        <v>273</v>
      </c>
      <c r="AC12" s="24" t="s">
        <v>274</v>
      </c>
      <c r="AD12" s="7" t="s">
        <v>0</v>
      </c>
      <c r="AE12" s="25" t="s">
        <v>275</v>
      </c>
      <c r="AF12" s="7" t="s">
        <v>0</v>
      </c>
      <c r="AG12" s="25" t="s">
        <v>276</v>
      </c>
      <c r="AH12" s="25" t="s">
        <v>277</v>
      </c>
      <c r="AI12" s="25" t="s">
        <v>278</v>
      </c>
      <c r="AJ12" s="7" t="s">
        <v>0</v>
      </c>
      <c r="AK12" s="25" t="s">
        <v>279</v>
      </c>
      <c r="AL12" s="7" t="s">
        <v>0</v>
      </c>
      <c r="AM12" s="7" t="s">
        <v>0</v>
      </c>
      <c r="AN12" s="7" t="s">
        <v>0</v>
      </c>
      <c r="AO12" s="7" t="s">
        <v>0</v>
      </c>
      <c r="AP12" s="7" t="s">
        <v>0</v>
      </c>
      <c r="AQ12" s="7" t="s">
        <v>0</v>
      </c>
      <c r="AR12" s="7" t="s">
        <v>0</v>
      </c>
      <c r="AS12" s="7" t="s">
        <v>0</v>
      </c>
      <c r="AT12" s="7" t="s">
        <v>0</v>
      </c>
      <c r="AU12" s="7" t="s">
        <v>0</v>
      </c>
      <c r="AV12" s="7" t="s">
        <v>0</v>
      </c>
      <c r="AW12" s="7" t="s">
        <v>0</v>
      </c>
      <c r="AX12" s="7" t="s">
        <v>0</v>
      </c>
    </row>
    <row r="13">
      <c r="A13" s="57" t="s">
        <v>280</v>
      </c>
      <c r="B13" s="9" t="s">
        <v>233</v>
      </c>
      <c r="C13" s="9" t="s">
        <v>281</v>
      </c>
      <c r="D13" s="9" t="s">
        <v>33</v>
      </c>
      <c r="E13" s="42" t="s">
        <v>282</v>
      </c>
      <c r="F13" s="58" t="s">
        <v>283</v>
      </c>
      <c r="G13" s="42" t="s">
        <v>284</v>
      </c>
      <c r="H13" s="42" t="s">
        <v>285</v>
      </c>
      <c r="I13" s="15" t="s">
        <v>286</v>
      </c>
      <c r="J13" s="41" t="s">
        <v>287</v>
      </c>
      <c r="K13" s="59" t="s">
        <v>288</v>
      </c>
      <c r="L13" s="59" t="s">
        <v>41</v>
      </c>
      <c r="M13" s="41" t="s">
        <v>289</v>
      </c>
      <c r="N13" s="21" t="s">
        <v>43</v>
      </c>
      <c r="O13" s="31" t="s">
        <v>0</v>
      </c>
      <c r="P13" s="41" t="s">
        <v>290</v>
      </c>
      <c r="Q13" s="41" t="s">
        <v>291</v>
      </c>
      <c r="R13" s="41" t="s">
        <v>292</v>
      </c>
      <c r="S13" s="41" t="s">
        <v>293</v>
      </c>
      <c r="T13" s="41" t="s">
        <v>294</v>
      </c>
      <c r="U13" s="41" t="s">
        <v>295</v>
      </c>
      <c r="V13" s="20" t="s">
        <v>249</v>
      </c>
      <c r="W13" s="20" t="s">
        <v>0</v>
      </c>
      <c r="X13" s="20" t="s">
        <v>296</v>
      </c>
      <c r="Y13" s="23" t="s">
        <v>0</v>
      </c>
      <c r="Z13" s="23" t="s">
        <v>0</v>
      </c>
      <c r="AA13" s="7" t="s">
        <v>0</v>
      </c>
      <c r="AB13" s="24" t="s">
        <v>297</v>
      </c>
      <c r="AC13" s="24" t="s">
        <v>298</v>
      </c>
      <c r="AD13" s="7" t="s">
        <v>0</v>
      </c>
      <c r="AE13" s="25" t="s">
        <v>299</v>
      </c>
      <c r="AF13" s="7" t="s">
        <v>0</v>
      </c>
      <c r="AG13" s="25" t="s">
        <v>113</v>
      </c>
      <c r="AH13" s="25" t="s">
        <v>300</v>
      </c>
      <c r="AI13" s="25" t="s">
        <v>301</v>
      </c>
      <c r="AJ13" s="7" t="s">
        <v>0</v>
      </c>
      <c r="AK13" s="25" t="s">
        <v>302</v>
      </c>
      <c r="AL13" s="7" t="s">
        <v>0</v>
      </c>
      <c r="AM13" s="7" t="s">
        <v>0</v>
      </c>
      <c r="AN13" s="7" t="s">
        <v>0</v>
      </c>
      <c r="AO13" s="7" t="s">
        <v>0</v>
      </c>
      <c r="AP13" s="7" t="s">
        <v>0</v>
      </c>
      <c r="AQ13" s="7" t="s">
        <v>0</v>
      </c>
      <c r="AR13" s="7" t="s">
        <v>0</v>
      </c>
      <c r="AS13" s="7" t="s">
        <v>0</v>
      </c>
      <c r="AT13" s="7" t="s">
        <v>0</v>
      </c>
      <c r="AU13" s="7" t="s">
        <v>0</v>
      </c>
      <c r="AV13" s="7" t="s">
        <v>0</v>
      </c>
      <c r="AW13" s="7" t="s">
        <v>0</v>
      </c>
      <c r="AX13" s="7" t="s">
        <v>0</v>
      </c>
    </row>
    <row r="14">
      <c r="A14" s="61" t="s">
        <v>0</v>
      </c>
      <c r="B14" s="61" t="s">
        <v>0</v>
      </c>
      <c r="C14" s="62" t="s">
        <v>0</v>
      </c>
      <c r="D14" s="62" t="s">
        <v>0</v>
      </c>
      <c r="E14" s="63" t="s">
        <v>0</v>
      </c>
      <c r="F14" s="63" t="s">
        <v>0</v>
      </c>
      <c r="G14" s="63" t="s">
        <v>0</v>
      </c>
      <c r="H14" s="63" t="s">
        <v>0</v>
      </c>
      <c r="I14" s="63" t="s">
        <v>0</v>
      </c>
      <c r="J14" s="63" t="s">
        <v>0</v>
      </c>
      <c r="K14" s="63" t="s">
        <v>0</v>
      </c>
      <c r="L14" s="63" t="s">
        <v>0</v>
      </c>
      <c r="M14" s="63" t="s">
        <v>0</v>
      </c>
      <c r="N14" s="63" t="s">
        <v>0</v>
      </c>
      <c r="O14" s="63" t="s">
        <v>0</v>
      </c>
      <c r="P14" s="63" t="s">
        <v>0</v>
      </c>
      <c r="Q14" s="63" t="s">
        <v>0</v>
      </c>
      <c r="R14" s="63" t="s">
        <v>0</v>
      </c>
      <c r="S14" s="63" t="s">
        <v>0</v>
      </c>
      <c r="T14" s="63" t="s">
        <v>0</v>
      </c>
      <c r="U14" s="63" t="s">
        <v>0</v>
      </c>
      <c r="V14" s="63" t="s">
        <v>0</v>
      </c>
      <c r="W14" s="63" t="s">
        <v>0</v>
      </c>
      <c r="X14" s="63" t="s">
        <v>0</v>
      </c>
      <c r="Y14" s="63" t="s">
        <v>0</v>
      </c>
      <c r="Z14" s="63" t="s">
        <v>0</v>
      </c>
      <c r="AA14" s="63" t="s">
        <v>0</v>
      </c>
      <c r="AB14" s="64" t="s">
        <v>0</v>
      </c>
      <c r="AC14" s="64" t="s">
        <v>0</v>
      </c>
      <c r="AD14" s="63" t="s">
        <v>0</v>
      </c>
      <c r="AE14" s="63" t="s">
        <v>0</v>
      </c>
      <c r="AF14" s="63" t="s">
        <v>0</v>
      </c>
      <c r="AG14" s="63" t="s">
        <v>0</v>
      </c>
      <c r="AH14" s="63" t="s">
        <v>0</v>
      </c>
      <c r="AI14" s="63" t="s">
        <v>0</v>
      </c>
      <c r="AJ14" s="63" t="s">
        <v>0</v>
      </c>
      <c r="AK14" s="63" t="s">
        <v>0</v>
      </c>
      <c r="AL14" s="63" t="s">
        <v>0</v>
      </c>
      <c r="AM14" s="63" t="s">
        <v>0</v>
      </c>
      <c r="AN14" s="63" t="s">
        <v>0</v>
      </c>
      <c r="AO14" s="63" t="s">
        <v>0</v>
      </c>
      <c r="AP14" s="63" t="s">
        <v>0</v>
      </c>
      <c r="AQ14" s="63" t="s">
        <v>0</v>
      </c>
      <c r="AR14" s="63" t="s">
        <v>0</v>
      </c>
      <c r="AS14" s="63" t="s">
        <v>0</v>
      </c>
      <c r="AT14" s="63" t="s">
        <v>0</v>
      </c>
      <c r="AU14" s="63" t="s">
        <v>0</v>
      </c>
      <c r="AV14" s="63" t="s">
        <v>0</v>
      </c>
      <c r="AW14" s="63" t="s">
        <v>0</v>
      </c>
      <c r="AX14" s="63" t="s">
        <v>0</v>
      </c>
    </row>
    <row r="15">
      <c r="A15" s="65" t="s">
        <v>303</v>
      </c>
      <c r="B15" s="3" t="s">
        <v>1</v>
      </c>
      <c r="C15" s="3" t="s">
        <v>304</v>
      </c>
      <c r="D15" s="3" t="s">
        <v>3</v>
      </c>
      <c r="E15" s="3" t="s">
        <v>4</v>
      </c>
      <c r="F15" s="3" t="s">
        <v>5</v>
      </c>
      <c r="G15" s="3" t="s">
        <v>6</v>
      </c>
      <c r="H15" s="3" t="s">
        <v>7</v>
      </c>
      <c r="I15" s="3" t="s">
        <v>305</v>
      </c>
      <c r="J15" s="3" t="s">
        <v>306</v>
      </c>
      <c r="K15" s="3" t="s">
        <v>0</v>
      </c>
      <c r="L15" s="3" t="s">
        <v>0</v>
      </c>
      <c r="M15" s="3" t="s">
        <v>12</v>
      </c>
      <c r="N15" s="3" t="s">
        <v>13</v>
      </c>
      <c r="O15" s="4" t="s">
        <v>0</v>
      </c>
      <c r="P15" s="5" t="s">
        <v>15</v>
      </c>
      <c r="Q15" s="5" t="s">
        <v>16</v>
      </c>
      <c r="R15" s="5" t="s">
        <v>0</v>
      </c>
      <c r="S15" s="5" t="s">
        <v>18</v>
      </c>
      <c r="T15" s="5" t="s">
        <v>0</v>
      </c>
      <c r="U15" s="5" t="s">
        <v>20</v>
      </c>
      <c r="V15" s="5" t="s">
        <v>21</v>
      </c>
      <c r="W15" s="5" t="s">
        <v>0</v>
      </c>
      <c r="X15" s="5" t="s">
        <v>23</v>
      </c>
      <c r="Y15" s="5" t="s">
        <v>0</v>
      </c>
      <c r="Z15" s="5" t="s">
        <v>0</v>
      </c>
      <c r="AA15" s="5" t="s">
        <v>0</v>
      </c>
      <c r="AB15" s="6" t="s">
        <v>24</v>
      </c>
      <c r="AC15" s="6" t="s">
        <v>25</v>
      </c>
      <c r="AD15" s="7" t="s">
        <v>0</v>
      </c>
      <c r="AE15" s="7" t="s">
        <v>0</v>
      </c>
      <c r="AF15" s="7" t="s">
        <v>0</v>
      </c>
      <c r="AG15" s="6" t="s">
        <v>26</v>
      </c>
      <c r="AH15" s="6" t="s">
        <v>27</v>
      </c>
      <c r="AI15" s="6" t="s">
        <v>28</v>
      </c>
      <c r="AJ15" s="7" t="s">
        <v>0</v>
      </c>
      <c r="AK15" s="6" t="s">
        <v>27</v>
      </c>
      <c r="AL15" s="7" t="s">
        <v>0</v>
      </c>
      <c r="AM15" s="7" t="s">
        <v>0</v>
      </c>
      <c r="AN15" s="7" t="s">
        <v>0</v>
      </c>
      <c r="AO15" s="7" t="s">
        <v>0</v>
      </c>
      <c r="AP15" s="7" t="s">
        <v>0</v>
      </c>
      <c r="AQ15" s="7" t="s">
        <v>0</v>
      </c>
      <c r="AR15" s="7" t="s">
        <v>0</v>
      </c>
      <c r="AS15" s="7" t="s">
        <v>0</v>
      </c>
      <c r="AT15" s="7" t="s">
        <v>0</v>
      </c>
      <c r="AU15" s="7" t="s">
        <v>0</v>
      </c>
      <c r="AV15" s="7" t="s">
        <v>0</v>
      </c>
      <c r="AW15" s="7" t="s">
        <v>0</v>
      </c>
      <c r="AX15" s="7" t="s">
        <v>0</v>
      </c>
    </row>
    <row r="16">
      <c r="A16" s="66" t="s">
        <v>307</v>
      </c>
      <c r="B16" s="67" t="s">
        <v>308</v>
      </c>
      <c r="C16" s="67" t="s">
        <v>309</v>
      </c>
      <c r="D16" s="67" t="s">
        <v>310</v>
      </c>
      <c r="E16" s="68" t="s">
        <v>311</v>
      </c>
      <c r="F16" s="15" t="s">
        <v>312</v>
      </c>
      <c r="G16" s="68" t="s">
        <v>313</v>
      </c>
      <c r="H16" s="15" t="s">
        <v>165</v>
      </c>
      <c r="I16" s="15" t="s">
        <v>314</v>
      </c>
      <c r="J16" s="15" t="s">
        <v>315</v>
      </c>
      <c r="K16" s="15" t="s">
        <v>316</v>
      </c>
      <c r="L16" s="15" t="s">
        <v>317</v>
      </c>
      <c r="M16" s="15" t="s">
        <v>318</v>
      </c>
      <c r="N16" s="67" t="s">
        <v>43</v>
      </c>
      <c r="O16" s="69" t="s">
        <v>0</v>
      </c>
      <c r="P16" s="15" t="s">
        <v>319</v>
      </c>
      <c r="Q16" s="15" t="s">
        <v>320</v>
      </c>
      <c r="R16" s="29" t="s">
        <v>321</v>
      </c>
      <c r="S16" s="15" t="s">
        <v>322</v>
      </c>
      <c r="T16" s="15" t="s">
        <v>323</v>
      </c>
      <c r="U16" s="15" t="s">
        <v>324</v>
      </c>
      <c r="V16" s="70" t="s">
        <v>325</v>
      </c>
      <c r="W16" s="70" t="s">
        <v>326</v>
      </c>
      <c r="X16" s="70" t="s">
        <v>327</v>
      </c>
      <c r="Y16" s="36" t="s">
        <v>0</v>
      </c>
      <c r="Z16" s="36" t="s">
        <v>0</v>
      </c>
      <c r="AA16" s="36" t="s">
        <v>0</v>
      </c>
      <c r="AB16" s="24" t="s">
        <v>328</v>
      </c>
      <c r="AC16" s="24" t="s">
        <v>329</v>
      </c>
      <c r="AD16" s="7" t="s">
        <v>0</v>
      </c>
      <c r="AE16" s="25" t="s">
        <v>330</v>
      </c>
      <c r="AF16" s="7" t="s">
        <v>0</v>
      </c>
      <c r="AG16" s="25" t="s">
        <v>331</v>
      </c>
      <c r="AH16" s="25" t="s">
        <v>332</v>
      </c>
      <c r="AI16" s="25" t="s">
        <v>333</v>
      </c>
      <c r="AJ16" s="7" t="s">
        <v>0</v>
      </c>
      <c r="AK16" s="25" t="s">
        <v>334</v>
      </c>
      <c r="AL16" s="7" t="s">
        <v>0</v>
      </c>
      <c r="AM16" s="7" t="s">
        <v>0</v>
      </c>
      <c r="AN16" s="7" t="s">
        <v>0</v>
      </c>
      <c r="AO16" s="7" t="s">
        <v>0</v>
      </c>
      <c r="AP16" s="7" t="s">
        <v>0</v>
      </c>
      <c r="AQ16" s="7" t="s">
        <v>0</v>
      </c>
      <c r="AR16" s="7" t="s">
        <v>0</v>
      </c>
      <c r="AS16" s="7" t="s">
        <v>0</v>
      </c>
      <c r="AT16" s="7" t="s">
        <v>0</v>
      </c>
      <c r="AU16" s="7" t="s">
        <v>0</v>
      </c>
      <c r="AV16" s="7" t="s">
        <v>0</v>
      </c>
      <c r="AW16" s="7" t="s">
        <v>0</v>
      </c>
      <c r="AX16" s="7" t="s">
        <v>0</v>
      </c>
    </row>
    <row r="17">
      <c r="A17" s="66" t="s">
        <v>335</v>
      </c>
      <c r="B17" s="67" t="s">
        <v>93</v>
      </c>
      <c r="C17" s="67" t="s">
        <v>336</v>
      </c>
      <c r="D17" s="67" t="s">
        <v>337</v>
      </c>
      <c r="E17" s="14" t="s">
        <v>338</v>
      </c>
      <c r="F17" s="52" t="s">
        <v>339</v>
      </c>
      <c r="G17" s="14" t="s">
        <v>340</v>
      </c>
      <c r="H17" s="14" t="s">
        <v>341</v>
      </c>
      <c r="I17" s="52" t="s">
        <v>342</v>
      </c>
      <c r="J17" s="52" t="s">
        <v>343</v>
      </c>
      <c r="K17" s="71" t="s">
        <v>0</v>
      </c>
      <c r="L17" s="71" t="s">
        <v>0</v>
      </c>
      <c r="M17" s="52" t="s">
        <v>344</v>
      </c>
      <c r="N17" s="72" t="s">
        <v>0</v>
      </c>
      <c r="O17" s="55" t="s">
        <v>0</v>
      </c>
      <c r="P17" s="52" t="s">
        <v>345</v>
      </c>
      <c r="Q17" s="52" t="s">
        <v>346</v>
      </c>
      <c r="R17" s="52" t="s">
        <v>347</v>
      </c>
      <c r="S17" s="52" t="s">
        <v>348</v>
      </c>
      <c r="T17" s="52" t="s">
        <v>349</v>
      </c>
      <c r="U17" s="52" t="s">
        <v>350</v>
      </c>
      <c r="V17" s="22" t="s">
        <v>108</v>
      </c>
      <c r="W17" s="7" t="s">
        <v>0</v>
      </c>
      <c r="X17" s="36" t="s">
        <v>351</v>
      </c>
      <c r="Y17" s="36" t="s">
        <v>0</v>
      </c>
      <c r="Z17" s="36" t="s">
        <v>0</v>
      </c>
      <c r="AA17" s="36" t="s">
        <v>0</v>
      </c>
      <c r="AB17" s="24" t="s">
        <v>352</v>
      </c>
      <c r="AC17" s="24" t="s">
        <v>353</v>
      </c>
      <c r="AD17" s="7" t="s">
        <v>0</v>
      </c>
      <c r="AE17" s="25" t="s">
        <v>354</v>
      </c>
      <c r="AF17" s="7" t="s">
        <v>0</v>
      </c>
      <c r="AG17" s="25" t="s">
        <v>113</v>
      </c>
      <c r="AH17" s="25" t="s">
        <v>355</v>
      </c>
      <c r="AI17" s="25" t="s">
        <v>356</v>
      </c>
      <c r="AJ17" s="7" t="s">
        <v>0</v>
      </c>
      <c r="AK17" s="25" t="s">
        <v>357</v>
      </c>
      <c r="AL17" s="7" t="s">
        <v>0</v>
      </c>
      <c r="AM17" s="7" t="s">
        <v>0</v>
      </c>
      <c r="AN17" s="7" t="s">
        <v>0</v>
      </c>
      <c r="AO17" s="7" t="s">
        <v>0</v>
      </c>
      <c r="AP17" s="7" t="s">
        <v>0</v>
      </c>
      <c r="AQ17" s="7" t="s">
        <v>0</v>
      </c>
      <c r="AR17" s="7" t="s">
        <v>0</v>
      </c>
      <c r="AS17" s="7" t="s">
        <v>0</v>
      </c>
      <c r="AT17" s="7" t="s">
        <v>0</v>
      </c>
      <c r="AU17" s="7" t="s">
        <v>0</v>
      </c>
      <c r="AV17" s="7" t="s">
        <v>0</v>
      </c>
      <c r="AW17" s="7" t="s">
        <v>0</v>
      </c>
      <c r="AX17" s="7" t="s">
        <v>0</v>
      </c>
    </row>
    <row r="18">
      <c r="A18" s="66" t="s">
        <v>358</v>
      </c>
      <c r="B18" s="67" t="s">
        <v>31</v>
      </c>
      <c r="C18" s="67" t="s">
        <v>359</v>
      </c>
      <c r="D18" s="67" t="s">
        <v>211</v>
      </c>
      <c r="E18" s="11" t="s">
        <v>360</v>
      </c>
      <c r="F18" s="12" t="s">
        <v>361</v>
      </c>
      <c r="G18" s="38" t="s">
        <v>362</v>
      </c>
      <c r="H18" s="14" t="s">
        <v>363</v>
      </c>
      <c r="I18" s="16" t="s">
        <v>364</v>
      </c>
      <c r="J18" s="16" t="s">
        <v>365</v>
      </c>
      <c r="K18" s="16" t="s">
        <v>366</v>
      </c>
      <c r="L18" s="16" t="s">
        <v>367</v>
      </c>
      <c r="M18" s="12" t="s">
        <v>368</v>
      </c>
      <c r="N18" s="73" t="s">
        <v>43</v>
      </c>
      <c r="O18" s="18" t="s">
        <v>0</v>
      </c>
      <c r="P18" s="11" t="s">
        <v>369</v>
      </c>
      <c r="Q18" s="19" t="s">
        <v>370</v>
      </c>
      <c r="R18" s="38" t="s">
        <v>371</v>
      </c>
      <c r="S18" s="19" t="s">
        <v>372</v>
      </c>
      <c r="T18" s="11" t="s">
        <v>373</v>
      </c>
      <c r="U18" s="19" t="s">
        <v>374</v>
      </c>
      <c r="V18" s="20" t="s">
        <v>48</v>
      </c>
      <c r="W18" s="36" t="s">
        <v>0</v>
      </c>
      <c r="X18" s="36" t="s">
        <v>375</v>
      </c>
      <c r="Y18" s="36" t="s">
        <v>0</v>
      </c>
      <c r="Z18" s="36" t="s">
        <v>0</v>
      </c>
      <c r="AA18" s="36" t="s">
        <v>0</v>
      </c>
      <c r="AB18" s="24" t="s">
        <v>376</v>
      </c>
      <c r="AC18" s="24" t="s">
        <v>377</v>
      </c>
      <c r="AD18" s="7" t="s">
        <v>0</v>
      </c>
      <c r="AE18" s="25" t="s">
        <v>378</v>
      </c>
      <c r="AF18" s="7" t="s">
        <v>0</v>
      </c>
      <c r="AG18" s="25" t="s">
        <v>379</v>
      </c>
      <c r="AH18" s="25" t="s">
        <v>380</v>
      </c>
      <c r="AI18" s="25" t="s">
        <v>381</v>
      </c>
      <c r="AJ18" s="7" t="s">
        <v>0</v>
      </c>
      <c r="AK18" s="74">
        <v>116.731629</v>
      </c>
      <c r="AL18" s="7" t="s">
        <v>0</v>
      </c>
      <c r="AM18" s="7" t="s">
        <v>0</v>
      </c>
      <c r="AN18" s="7" t="s">
        <v>0</v>
      </c>
      <c r="AO18" s="7" t="s">
        <v>0</v>
      </c>
      <c r="AP18" s="7" t="s">
        <v>0</v>
      </c>
      <c r="AQ18" s="7" t="s">
        <v>0</v>
      </c>
      <c r="AR18" s="7" t="s">
        <v>0</v>
      </c>
      <c r="AS18" s="7" t="s">
        <v>0</v>
      </c>
      <c r="AT18" s="7" t="s">
        <v>0</v>
      </c>
      <c r="AU18" s="7" t="s">
        <v>0</v>
      </c>
      <c r="AV18" s="7" t="s">
        <v>0</v>
      </c>
      <c r="AW18" s="7" t="s">
        <v>0</v>
      </c>
      <c r="AX18" s="7" t="s">
        <v>0</v>
      </c>
    </row>
    <row r="19">
      <c r="A19" s="66" t="s">
        <v>382</v>
      </c>
      <c r="B19" s="67" t="s">
        <v>308</v>
      </c>
      <c r="C19" s="67" t="s">
        <v>383</v>
      </c>
      <c r="D19" s="67" t="s">
        <v>33</v>
      </c>
      <c r="E19" s="77" t="s">
        <v>384</v>
      </c>
      <c r="F19" s="52" t="s">
        <v>402</v>
      </c>
      <c r="G19" s="77" t="s">
        <v>403</v>
      </c>
      <c r="H19" s="52" t="s">
        <v>165</v>
      </c>
      <c r="I19" s="78" t="s">
        <v>406</v>
      </c>
      <c r="J19" s="79" t="s">
        <v>417</v>
      </c>
      <c r="K19" s="15" t="s">
        <v>421</v>
      </c>
      <c r="L19" s="15" t="s">
        <v>424</v>
      </c>
      <c r="M19" s="79" t="s">
        <v>426</v>
      </c>
      <c r="N19" s="21" t="s">
        <v>43</v>
      </c>
      <c r="O19" s="69" t="s">
        <v>0</v>
      </c>
      <c r="P19" s="15" t="s">
        <v>431</v>
      </c>
      <c r="Q19" s="52" t="s">
        <v>435</v>
      </c>
      <c r="R19" s="15" t="s">
        <v>437</v>
      </c>
      <c r="S19" s="52" t="s">
        <v>439</v>
      </c>
      <c r="T19" s="15" t="s">
        <v>440</v>
      </c>
      <c r="U19" s="52" t="s">
        <v>442</v>
      </c>
      <c r="V19" s="70" t="s">
        <v>325</v>
      </c>
      <c r="W19" s="70" t="s">
        <v>326</v>
      </c>
      <c r="X19" s="36" t="s">
        <v>445</v>
      </c>
      <c r="Y19" s="21" t="s">
        <v>446</v>
      </c>
      <c r="Z19" s="36" t="s">
        <v>0</v>
      </c>
      <c r="AA19" s="36" t="s">
        <v>0</v>
      </c>
      <c r="AB19" s="24" t="s">
        <v>447</v>
      </c>
      <c r="AC19" s="24" t="s">
        <v>448</v>
      </c>
      <c r="AD19" s="7" t="s">
        <v>0</v>
      </c>
      <c r="AE19" s="25" t="s">
        <v>449</v>
      </c>
      <c r="AF19" s="7" t="s">
        <v>0</v>
      </c>
      <c r="AG19" s="25" t="s">
        <v>113</v>
      </c>
      <c r="AH19" s="25" t="s">
        <v>450</v>
      </c>
      <c r="AI19" s="25" t="s">
        <v>451</v>
      </c>
      <c r="AJ19" s="7" t="s">
        <v>0</v>
      </c>
      <c r="AK19" s="25" t="s">
        <v>452</v>
      </c>
      <c r="AL19" s="7" t="s">
        <v>0</v>
      </c>
      <c r="AM19" s="7" t="s">
        <v>0</v>
      </c>
      <c r="AN19" s="7" t="s">
        <v>0</v>
      </c>
      <c r="AO19" s="7" t="s">
        <v>0</v>
      </c>
      <c r="AP19" s="7" t="s">
        <v>0</v>
      </c>
      <c r="AQ19" s="7" t="s">
        <v>0</v>
      </c>
      <c r="AR19" s="7" t="s">
        <v>0</v>
      </c>
      <c r="AS19" s="7" t="s">
        <v>0</v>
      </c>
      <c r="AT19" s="7" t="s">
        <v>0</v>
      </c>
      <c r="AU19" s="7" t="s">
        <v>0</v>
      </c>
      <c r="AV19" s="7" t="s">
        <v>0</v>
      </c>
      <c r="AW19" s="7" t="s">
        <v>0</v>
      </c>
      <c r="AX19" s="7" t="s">
        <v>0</v>
      </c>
    </row>
    <row r="20">
      <c r="A20" s="66" t="s">
        <v>457</v>
      </c>
      <c r="B20" s="67" t="s">
        <v>233</v>
      </c>
      <c r="C20" s="67" t="s">
        <v>460</v>
      </c>
      <c r="D20" s="67" t="s">
        <v>33</v>
      </c>
      <c r="E20" s="77" t="s">
        <v>462</v>
      </c>
      <c r="F20" s="79" t="s">
        <v>463</v>
      </c>
      <c r="G20" s="77" t="s">
        <v>464</v>
      </c>
      <c r="H20" s="14" t="s">
        <v>465</v>
      </c>
      <c r="I20" s="79" t="s">
        <v>466</v>
      </c>
      <c r="J20" s="78" t="s">
        <v>467</v>
      </c>
      <c r="K20" s="71" t="s">
        <v>0</v>
      </c>
      <c r="L20" s="71" t="s">
        <v>0</v>
      </c>
      <c r="M20" s="79" t="s">
        <v>470</v>
      </c>
      <c r="N20" s="72" t="s">
        <v>0</v>
      </c>
      <c r="O20" s="82" t="s">
        <v>0</v>
      </c>
      <c r="P20" s="79" t="s">
        <v>476</v>
      </c>
      <c r="Q20" s="79" t="s">
        <v>478</v>
      </c>
      <c r="R20" s="83" t="s">
        <v>480</v>
      </c>
      <c r="S20" s="52" t="s">
        <v>352</v>
      </c>
      <c r="T20" s="52" t="s">
        <v>489</v>
      </c>
      <c r="U20" s="52" t="s">
        <v>491</v>
      </c>
      <c r="V20" s="20" t="s">
        <v>249</v>
      </c>
      <c r="W20" s="36" t="s">
        <v>0</v>
      </c>
      <c r="X20" s="20" t="s">
        <v>493</v>
      </c>
      <c r="Y20" s="36" t="s">
        <v>0</v>
      </c>
      <c r="Z20" s="36" t="s">
        <v>0</v>
      </c>
      <c r="AA20" s="36" t="s">
        <v>0</v>
      </c>
      <c r="AB20" s="24" t="s">
        <v>495</v>
      </c>
      <c r="AC20" s="24" t="s">
        <v>497</v>
      </c>
      <c r="AD20" s="7" t="s">
        <v>0</v>
      </c>
      <c r="AE20" s="25" t="s">
        <v>499</v>
      </c>
      <c r="AF20" s="7" t="s">
        <v>0</v>
      </c>
      <c r="AG20" s="25" t="s">
        <v>54</v>
      </c>
      <c r="AH20" s="25" t="s">
        <v>500</v>
      </c>
      <c r="AI20" s="25" t="s">
        <v>501</v>
      </c>
      <c r="AJ20" s="7" t="s">
        <v>0</v>
      </c>
      <c r="AK20" s="25" t="s">
        <v>502</v>
      </c>
      <c r="AL20" s="7" t="s">
        <v>0</v>
      </c>
      <c r="AM20" s="7" t="s">
        <v>0</v>
      </c>
      <c r="AN20" s="7" t="s">
        <v>0</v>
      </c>
      <c r="AO20" s="7" t="s">
        <v>0</v>
      </c>
      <c r="AP20" s="7" t="s">
        <v>0</v>
      </c>
      <c r="AQ20" s="7" t="s">
        <v>0</v>
      </c>
      <c r="AR20" s="7" t="s">
        <v>0</v>
      </c>
      <c r="AS20" s="7" t="s">
        <v>0</v>
      </c>
      <c r="AT20" s="7" t="s">
        <v>0</v>
      </c>
      <c r="AU20" s="7" t="s">
        <v>0</v>
      </c>
      <c r="AV20" s="7" t="s">
        <v>0</v>
      </c>
      <c r="AW20" s="7" t="s">
        <v>0</v>
      </c>
      <c r="AX20" s="7" t="s">
        <v>0</v>
      </c>
    </row>
    <row r="21">
      <c r="A21" s="66" t="s">
        <v>503</v>
      </c>
      <c r="B21" s="67" t="s">
        <v>308</v>
      </c>
      <c r="C21" s="67" t="s">
        <v>506</v>
      </c>
      <c r="D21" s="67" t="s">
        <v>211</v>
      </c>
      <c r="E21" s="84" t="s">
        <v>508</v>
      </c>
      <c r="F21" s="79" t="s">
        <v>511</v>
      </c>
      <c r="G21" s="14" t="s">
        <v>512</v>
      </c>
      <c r="H21" s="52" t="s">
        <v>165</v>
      </c>
      <c r="I21" s="86" t="s">
        <v>513</v>
      </c>
      <c r="J21" s="52" t="s">
        <v>517</v>
      </c>
      <c r="K21" s="15" t="s">
        <v>518</v>
      </c>
      <c r="L21" s="15" t="s">
        <v>519</v>
      </c>
      <c r="M21" s="52" t="s">
        <v>520</v>
      </c>
      <c r="N21" s="73" t="s">
        <v>66</v>
      </c>
      <c r="O21" s="69" t="s">
        <v>0</v>
      </c>
      <c r="P21" s="15" t="s">
        <v>521</v>
      </c>
      <c r="Q21" s="79" t="s">
        <v>522</v>
      </c>
      <c r="R21" s="15" t="s">
        <v>523</v>
      </c>
      <c r="S21" s="52" t="s">
        <v>524</v>
      </c>
      <c r="T21" s="15" t="s">
        <v>525</v>
      </c>
      <c r="U21" s="52" t="s">
        <v>526</v>
      </c>
      <c r="V21" s="70" t="s">
        <v>325</v>
      </c>
      <c r="W21" s="36" t="s">
        <v>326</v>
      </c>
      <c r="X21" s="36" t="s">
        <v>527</v>
      </c>
      <c r="Y21" s="21" t="s">
        <v>0</v>
      </c>
      <c r="Z21" s="36" t="s">
        <v>0</v>
      </c>
      <c r="AA21" s="36" t="s">
        <v>0</v>
      </c>
      <c r="AB21" s="24" t="s">
        <v>533</v>
      </c>
      <c r="AC21" s="24" t="s">
        <v>535</v>
      </c>
      <c r="AD21" s="7" t="s">
        <v>0</v>
      </c>
      <c r="AE21" s="25" t="s">
        <v>539</v>
      </c>
      <c r="AF21" s="7" t="s">
        <v>0</v>
      </c>
      <c r="AG21" s="25" t="s">
        <v>276</v>
      </c>
      <c r="AH21" s="25" t="s">
        <v>541</v>
      </c>
      <c r="AI21" s="25" t="s">
        <v>543</v>
      </c>
      <c r="AJ21" s="7" t="s">
        <v>0</v>
      </c>
      <c r="AK21" s="25" t="s">
        <v>544</v>
      </c>
      <c r="AL21" s="7" t="s">
        <v>0</v>
      </c>
      <c r="AM21" s="7" t="s">
        <v>0</v>
      </c>
      <c r="AN21" s="88" t="s">
        <v>547</v>
      </c>
      <c r="AO21" s="7" t="s">
        <v>0</v>
      </c>
      <c r="AP21" s="7" t="s">
        <v>0</v>
      </c>
      <c r="AQ21" s="7" t="s">
        <v>0</v>
      </c>
      <c r="AR21" s="7" t="s">
        <v>0</v>
      </c>
      <c r="AS21" s="7" t="s">
        <v>0</v>
      </c>
      <c r="AT21" s="7" t="s">
        <v>0</v>
      </c>
      <c r="AU21" s="7" t="s">
        <v>0</v>
      </c>
      <c r="AV21" s="7" t="s">
        <v>0</v>
      </c>
      <c r="AW21" s="7" t="s">
        <v>0</v>
      </c>
      <c r="AX21" s="7" t="s">
        <v>0</v>
      </c>
    </row>
    <row r="22">
      <c r="A22" s="66" t="s">
        <v>562</v>
      </c>
      <c r="B22" s="67" t="s">
        <v>308</v>
      </c>
      <c r="C22" s="21" t="s">
        <v>565</v>
      </c>
      <c r="D22" s="67" t="s">
        <v>211</v>
      </c>
      <c r="E22" s="84" t="s">
        <v>567</v>
      </c>
      <c r="F22" s="79" t="s">
        <v>568</v>
      </c>
      <c r="G22" s="84" t="s">
        <v>570</v>
      </c>
      <c r="H22" s="86" t="s">
        <v>165</v>
      </c>
      <c r="I22" s="89" t="s">
        <v>572</v>
      </c>
      <c r="J22" s="79" t="s">
        <v>574</v>
      </c>
      <c r="K22" s="15" t="s">
        <v>575</v>
      </c>
      <c r="L22" s="15" t="s">
        <v>577</v>
      </c>
      <c r="M22" s="16" t="s">
        <v>579</v>
      </c>
      <c r="N22" s="90" t="s">
        <v>66</v>
      </c>
      <c r="O22" s="69" t="s">
        <v>0</v>
      </c>
      <c r="P22" s="15" t="s">
        <v>591</v>
      </c>
      <c r="Q22" s="79" t="s">
        <v>592</v>
      </c>
      <c r="R22" s="15" t="s">
        <v>593</v>
      </c>
      <c r="S22" s="52" t="s">
        <v>595</v>
      </c>
      <c r="T22" s="15" t="s">
        <v>596</v>
      </c>
      <c r="U22" s="52" t="s">
        <v>598</v>
      </c>
      <c r="V22" s="70" t="s">
        <v>325</v>
      </c>
      <c r="W22" s="21" t="s">
        <v>326</v>
      </c>
      <c r="X22" s="21" t="s">
        <v>601</v>
      </c>
      <c r="Y22" s="36" t="s">
        <v>602</v>
      </c>
      <c r="Z22" s="36" t="s">
        <v>0</v>
      </c>
      <c r="AA22" s="36" t="s">
        <v>0</v>
      </c>
      <c r="AB22" s="24" t="s">
        <v>603</v>
      </c>
      <c r="AC22" s="24" t="s">
        <v>604</v>
      </c>
      <c r="AD22" s="7" t="s">
        <v>0</v>
      </c>
      <c r="AE22" s="25" t="s">
        <v>605</v>
      </c>
      <c r="AF22" s="7" t="s">
        <v>0</v>
      </c>
      <c r="AG22" s="25" t="s">
        <v>113</v>
      </c>
      <c r="AH22" s="25" t="s">
        <v>606</v>
      </c>
      <c r="AI22" s="25" t="s">
        <v>607</v>
      </c>
      <c r="AJ22" s="7" t="s">
        <v>0</v>
      </c>
      <c r="AK22" s="25" t="s">
        <v>609</v>
      </c>
      <c r="AL22" s="7" t="s">
        <v>0</v>
      </c>
      <c r="AM22" s="7" t="s">
        <v>0</v>
      </c>
      <c r="AN22" s="7" t="s">
        <v>0</v>
      </c>
      <c r="AO22" s="7" t="s">
        <v>0</v>
      </c>
      <c r="AP22" s="7" t="s">
        <v>0</v>
      </c>
      <c r="AQ22" s="7" t="s">
        <v>0</v>
      </c>
      <c r="AR22" s="7" t="s">
        <v>0</v>
      </c>
      <c r="AS22" s="7" t="s">
        <v>0</v>
      </c>
      <c r="AT22" s="7" t="s">
        <v>0</v>
      </c>
      <c r="AU22" s="7" t="s">
        <v>0</v>
      </c>
      <c r="AV22" s="7" t="s">
        <v>0</v>
      </c>
      <c r="AW22" s="7" t="s">
        <v>0</v>
      </c>
      <c r="AX22" s="7" t="s">
        <v>0</v>
      </c>
    </row>
    <row r="23">
      <c r="A23" s="66" t="s">
        <v>614</v>
      </c>
      <c r="B23" s="67" t="s">
        <v>31</v>
      </c>
      <c r="C23" s="67" t="s">
        <v>616</v>
      </c>
      <c r="D23" s="67" t="s">
        <v>211</v>
      </c>
      <c r="E23" s="11" t="s">
        <v>620</v>
      </c>
      <c r="F23" s="12" t="s">
        <v>621</v>
      </c>
      <c r="G23" s="14" t="s">
        <v>622</v>
      </c>
      <c r="H23" s="14" t="s">
        <v>624</v>
      </c>
      <c r="I23" s="12" t="s">
        <v>625</v>
      </c>
      <c r="J23" s="12" t="s">
        <v>626</v>
      </c>
      <c r="K23" s="92" t="s">
        <v>627</v>
      </c>
      <c r="L23" s="92" t="s">
        <v>41</v>
      </c>
      <c r="M23" s="12" t="s">
        <v>42</v>
      </c>
      <c r="N23" s="73" t="s">
        <v>43</v>
      </c>
      <c r="O23" s="18" t="s">
        <v>0</v>
      </c>
      <c r="P23" s="11" t="s">
        <v>633</v>
      </c>
      <c r="Q23" s="19" t="s">
        <v>634</v>
      </c>
      <c r="R23" s="12" t="s">
        <v>635</v>
      </c>
      <c r="S23" s="19" t="s">
        <v>637</v>
      </c>
      <c r="T23" s="12" t="s">
        <v>639</v>
      </c>
      <c r="U23" s="19" t="s">
        <v>641</v>
      </c>
      <c r="V23" s="20" t="s">
        <v>48</v>
      </c>
      <c r="W23" s="36" t="s">
        <v>0</v>
      </c>
      <c r="X23" s="36" t="s">
        <v>642</v>
      </c>
      <c r="Y23" s="36" t="s">
        <v>0</v>
      </c>
      <c r="Z23" s="36" t="s">
        <v>0</v>
      </c>
      <c r="AA23" s="36" t="s">
        <v>0</v>
      </c>
      <c r="AB23" s="24" t="s">
        <v>643</v>
      </c>
      <c r="AC23" s="24" t="s">
        <v>644</v>
      </c>
      <c r="AD23" s="7" t="s">
        <v>0</v>
      </c>
      <c r="AE23" s="25" t="s">
        <v>645</v>
      </c>
      <c r="AF23" s="7" t="s">
        <v>0</v>
      </c>
      <c r="AG23" s="25" t="s">
        <v>88</v>
      </c>
      <c r="AH23" s="25" t="s">
        <v>646</v>
      </c>
      <c r="AI23" s="25" t="s">
        <v>647</v>
      </c>
      <c r="AJ23" s="7" t="s">
        <v>0</v>
      </c>
      <c r="AK23" s="74">
        <v>170.730364</v>
      </c>
      <c r="AL23" s="7" t="s">
        <v>0</v>
      </c>
      <c r="AM23" s="7" t="s">
        <v>0</v>
      </c>
      <c r="AN23" s="7" t="s">
        <v>0</v>
      </c>
      <c r="AO23" s="7" t="s">
        <v>0</v>
      </c>
      <c r="AP23" s="7" t="s">
        <v>0</v>
      </c>
      <c r="AQ23" s="7" t="s">
        <v>0</v>
      </c>
      <c r="AR23" s="7" t="s">
        <v>0</v>
      </c>
      <c r="AS23" s="7" t="s">
        <v>0</v>
      </c>
      <c r="AT23" s="7" t="s">
        <v>0</v>
      </c>
      <c r="AU23" s="7" t="s">
        <v>0</v>
      </c>
      <c r="AV23" s="7" t="s">
        <v>0</v>
      </c>
      <c r="AW23" s="7" t="s">
        <v>0</v>
      </c>
      <c r="AX23" s="7" t="s">
        <v>0</v>
      </c>
    </row>
    <row r="24">
      <c r="A24" s="63" t="s">
        <v>0</v>
      </c>
      <c r="B24" s="63" t="s">
        <v>0</v>
      </c>
      <c r="C24" s="63" t="s">
        <v>0</v>
      </c>
      <c r="D24" s="63" t="s">
        <v>0</v>
      </c>
      <c r="E24" s="63" t="s">
        <v>0</v>
      </c>
      <c r="F24" s="63" t="s">
        <v>0</v>
      </c>
      <c r="G24" s="63" t="s">
        <v>0</v>
      </c>
      <c r="H24" s="63" t="s">
        <v>0</v>
      </c>
      <c r="I24" s="63" t="s">
        <v>0</v>
      </c>
      <c r="J24" s="63" t="s">
        <v>0</v>
      </c>
      <c r="K24" s="63" t="s">
        <v>0</v>
      </c>
      <c r="L24" s="63" t="s">
        <v>0</v>
      </c>
      <c r="M24" s="63" t="s">
        <v>0</v>
      </c>
      <c r="N24" s="63" t="s">
        <v>0</v>
      </c>
      <c r="O24" s="63" t="s">
        <v>0</v>
      </c>
      <c r="P24" s="63" t="s">
        <v>0</v>
      </c>
      <c r="Q24" s="63" t="s">
        <v>0</v>
      </c>
      <c r="R24" s="63" t="s">
        <v>0</v>
      </c>
      <c r="S24" s="63" t="s">
        <v>0</v>
      </c>
      <c r="T24" s="63" t="s">
        <v>0</v>
      </c>
      <c r="U24" s="63" t="s">
        <v>0</v>
      </c>
      <c r="V24" s="63" t="s">
        <v>0</v>
      </c>
      <c r="W24" s="63" t="s">
        <v>0</v>
      </c>
      <c r="X24" s="63" t="s">
        <v>0</v>
      </c>
      <c r="Y24" s="63" t="s">
        <v>0</v>
      </c>
      <c r="Z24" s="63" t="s">
        <v>0</v>
      </c>
      <c r="AA24" s="63" t="s">
        <v>0</v>
      </c>
      <c r="AB24" s="63" t="s">
        <v>0</v>
      </c>
      <c r="AC24" s="63" t="s">
        <v>0</v>
      </c>
      <c r="AD24" s="63" t="s">
        <v>0</v>
      </c>
      <c r="AE24" s="63" t="s">
        <v>0</v>
      </c>
      <c r="AF24" s="63" t="s">
        <v>0</v>
      </c>
      <c r="AG24" s="63" t="s">
        <v>0</v>
      </c>
      <c r="AH24" s="63" t="s">
        <v>0</v>
      </c>
      <c r="AI24" s="63" t="s">
        <v>0</v>
      </c>
      <c r="AJ24" s="63" t="s">
        <v>0</v>
      </c>
      <c r="AK24" s="63" t="s">
        <v>0</v>
      </c>
      <c r="AL24" s="63" t="s">
        <v>0</v>
      </c>
      <c r="AM24" s="63" t="s">
        <v>0</v>
      </c>
      <c r="AN24" s="63" t="s">
        <v>0</v>
      </c>
      <c r="AO24" s="63" t="s">
        <v>0</v>
      </c>
      <c r="AP24" s="63" t="s">
        <v>0</v>
      </c>
      <c r="AQ24" s="63" t="s">
        <v>0</v>
      </c>
      <c r="AR24" s="63" t="s">
        <v>0</v>
      </c>
      <c r="AS24" s="63" t="s">
        <v>0</v>
      </c>
      <c r="AT24" s="63" t="s">
        <v>0</v>
      </c>
      <c r="AU24" s="63" t="s">
        <v>0</v>
      </c>
      <c r="AV24" s="63" t="s">
        <v>0</v>
      </c>
      <c r="AW24" s="63" t="s">
        <v>0</v>
      </c>
      <c r="AX24" s="63" t="s">
        <v>0</v>
      </c>
    </row>
    <row r="25">
      <c r="A25" s="95" t="s">
        <v>681</v>
      </c>
      <c r="B25" s="7" t="s">
        <v>683</v>
      </c>
      <c r="E25" s="97"/>
      <c r="F25" s="7"/>
    </row>
    <row r="26">
      <c r="A26" s="95" t="s">
        <v>684</v>
      </c>
      <c r="B26" s="7" t="s">
        <v>683</v>
      </c>
      <c r="E26" s="97"/>
      <c r="F26" s="7"/>
    </row>
    <row r="27">
      <c r="A27" s="95" t="s">
        <v>685</v>
      </c>
      <c r="B27" s="7" t="s">
        <v>683</v>
      </c>
      <c r="E27" s="97"/>
      <c r="F27" s="7"/>
    </row>
    <row r="28">
      <c r="A28" s="95" t="s">
        <v>686</v>
      </c>
      <c r="B28" s="7" t="s">
        <v>683</v>
      </c>
      <c r="E28" s="97"/>
      <c r="F28" s="7"/>
    </row>
    <row r="29">
      <c r="E29" s="97" t="s">
        <v>687</v>
      </c>
      <c r="F29" s="7" t="s">
        <v>688</v>
      </c>
    </row>
    <row r="30">
      <c r="F30" s="7"/>
      <c r="AA30" s="7" t="s">
        <v>681</v>
      </c>
      <c r="AB30" s="7">
        <v>173.528104</v>
      </c>
      <c r="AC30" s="7">
        <v>243.424285</v>
      </c>
      <c r="AE30">
        <f t="shared" ref="AE30:AE31" si="1">AB30/AC30</f>
        <v>0.712862745</v>
      </c>
    </row>
    <row r="31">
      <c r="F31" s="7"/>
      <c r="AA31" s="7" t="s">
        <v>684</v>
      </c>
      <c r="AB31" s="7">
        <v>42.772161</v>
      </c>
      <c r="AC31" s="7">
        <v>42.955747</v>
      </c>
      <c r="AE31">
        <f t="shared" si="1"/>
        <v>0.9957261598</v>
      </c>
    </row>
    <row r="34">
      <c r="F34" s="7" t="s">
        <v>707</v>
      </c>
    </row>
    <row r="35">
      <c r="F35" s="101" t="s">
        <v>710</v>
      </c>
    </row>
  </sheetData>
  <hyperlinks>
    <hyperlink r:id="rId1" ref="F35"/>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29"/>
    <col customWidth="1" min="2" max="2" width="75.0"/>
    <col customWidth="1" min="3" max="3" width="80.86"/>
    <col customWidth="1" min="4" max="4" width="103.0"/>
    <col customWidth="1" min="5" max="5" width="29.14"/>
    <col customWidth="1" min="6" max="6" width="36.71"/>
    <col customWidth="1" min="7" max="7" width="28.86"/>
    <col customWidth="1" min="8" max="8" width="36.0"/>
    <col customWidth="1" min="9" max="9" width="28.86"/>
    <col customWidth="1" min="10" max="12" width="43.57"/>
    <col customWidth="1" min="13" max="20" width="28.86"/>
    <col customWidth="1" min="21" max="21" width="45.57"/>
    <col customWidth="1" min="22" max="23" width="35.57"/>
    <col customWidth="1" min="24" max="25" width="29.14"/>
    <col customWidth="1" min="26" max="27" width="29.57"/>
    <col customWidth="1" min="28" max="28" width="45.0"/>
    <col customWidth="1" min="29" max="29" width="143.43"/>
    <col customWidth="1" min="30" max="30" width="155.29"/>
    <col customWidth="1" min="31" max="31" width="32.86"/>
  </cols>
  <sheetData>
    <row r="1" ht="33.0" customHeight="1">
      <c r="A1" s="1" t="s">
        <v>872</v>
      </c>
      <c r="B1" s="3" t="s">
        <v>874</v>
      </c>
      <c r="C1" s="3" t="s">
        <v>875</v>
      </c>
      <c r="D1" s="3" t="s">
        <v>876</v>
      </c>
      <c r="E1" s="3" t="s">
        <v>877</v>
      </c>
      <c r="F1" s="3" t="s">
        <v>878</v>
      </c>
      <c r="G1" s="3" t="s">
        <v>879</v>
      </c>
      <c r="H1" s="3" t="s">
        <v>880</v>
      </c>
      <c r="I1" s="3" t="s">
        <v>881</v>
      </c>
      <c r="J1" s="3" t="s">
        <v>882</v>
      </c>
      <c r="K1" s="3" t="s">
        <v>883</v>
      </c>
      <c r="L1" s="3" t="s">
        <v>884</v>
      </c>
      <c r="M1" s="3" t="s">
        <v>885</v>
      </c>
      <c r="N1" s="3" t="s">
        <v>886</v>
      </c>
      <c r="O1" s="3" t="s">
        <v>887</v>
      </c>
      <c r="P1" s="3" t="s">
        <v>888</v>
      </c>
      <c r="Q1" s="3" t="s">
        <v>889</v>
      </c>
      <c r="R1" s="3" t="s">
        <v>890</v>
      </c>
      <c r="S1" s="3" t="s">
        <v>891</v>
      </c>
      <c r="T1" s="3" t="s">
        <v>892</v>
      </c>
      <c r="U1" s="3" t="s">
        <v>893</v>
      </c>
      <c r="V1" s="5" t="s">
        <v>894</v>
      </c>
      <c r="W1" s="5"/>
      <c r="X1" s="5"/>
      <c r="Y1" s="5"/>
      <c r="Z1" s="5"/>
      <c r="AA1" s="5"/>
      <c r="AB1" s="5"/>
      <c r="AC1" s="5"/>
      <c r="AD1" s="5"/>
      <c r="AE1" s="23"/>
      <c r="AM1" s="6"/>
      <c r="AP1" s="141"/>
      <c r="AQ1" s="141"/>
      <c r="AR1" s="141"/>
      <c r="AS1" s="141"/>
      <c r="AT1" s="141"/>
      <c r="AU1" s="141"/>
      <c r="AV1" s="6"/>
      <c r="AW1" s="6"/>
    </row>
    <row r="2" ht="21.75" customHeight="1">
      <c r="A2" s="8" t="s">
        <v>896</v>
      </c>
      <c r="B2" s="21" t="s">
        <v>897</v>
      </c>
      <c r="C2" s="21" t="s">
        <v>899</v>
      </c>
      <c r="D2" s="142" t="s">
        <v>900</v>
      </c>
      <c r="E2" s="68">
        <v>2013.0</v>
      </c>
      <c r="F2" s="68">
        <v>25.0</v>
      </c>
      <c r="G2" s="68">
        <v>16.0</v>
      </c>
      <c r="H2" s="68">
        <v>0.0</v>
      </c>
      <c r="I2" s="68">
        <v>0.0</v>
      </c>
      <c r="J2" s="68">
        <v>0.0</v>
      </c>
      <c r="K2" s="68">
        <v>0.0</v>
      </c>
      <c r="L2" s="68">
        <v>0.0</v>
      </c>
      <c r="M2" s="68">
        <v>33.0</v>
      </c>
      <c r="N2" s="68">
        <v>0.0</v>
      </c>
      <c r="O2" s="68">
        <v>0.0</v>
      </c>
      <c r="P2" s="68">
        <v>0.0</v>
      </c>
      <c r="Q2" s="68">
        <v>0.0</v>
      </c>
      <c r="R2" s="68">
        <v>0.0</v>
      </c>
      <c r="S2" s="68">
        <v>0.0</v>
      </c>
      <c r="T2" s="68">
        <v>16.0</v>
      </c>
      <c r="U2" s="68">
        <v>0.0</v>
      </c>
      <c r="V2" s="68">
        <v>10.0</v>
      </c>
      <c r="W2" s="68">
        <v>0.0</v>
      </c>
      <c r="X2" s="68">
        <v>0.0</v>
      </c>
      <c r="Y2" s="68"/>
      <c r="Z2" s="68"/>
      <c r="AA2" s="68"/>
      <c r="AB2" s="22"/>
      <c r="AC2" s="21"/>
      <c r="AD2" s="21"/>
      <c r="AP2" s="144"/>
      <c r="AQ2" s="144"/>
      <c r="AR2" s="144"/>
      <c r="AS2" s="74"/>
      <c r="AT2" s="144"/>
      <c r="AU2" s="144"/>
      <c r="AV2" s="144"/>
      <c r="AW2" s="144"/>
    </row>
    <row r="3">
      <c r="A3" s="8" t="s">
        <v>902</v>
      </c>
      <c r="B3" s="21" t="s">
        <v>903</v>
      </c>
      <c r="C3" s="21" t="s">
        <v>904</v>
      </c>
      <c r="D3" s="142" t="s">
        <v>905</v>
      </c>
      <c r="E3" s="113">
        <v>2016.0</v>
      </c>
      <c r="F3" s="68">
        <v>3.0</v>
      </c>
      <c r="G3" s="68">
        <v>7.0</v>
      </c>
      <c r="H3" s="68">
        <v>12.0</v>
      </c>
      <c r="I3" s="68">
        <v>12.0</v>
      </c>
      <c r="J3" s="68">
        <v>13.0</v>
      </c>
      <c r="K3" s="68">
        <v>5.0</v>
      </c>
      <c r="L3" s="68">
        <v>5.0</v>
      </c>
      <c r="M3" s="68">
        <v>0.0</v>
      </c>
      <c r="N3" s="68">
        <v>3.0</v>
      </c>
      <c r="O3" s="68">
        <v>3.0</v>
      </c>
      <c r="P3" s="68">
        <v>2.0</v>
      </c>
      <c r="Q3" s="68">
        <v>2.0</v>
      </c>
      <c r="R3" s="68">
        <v>2.0</v>
      </c>
      <c r="S3" s="68">
        <v>2.0</v>
      </c>
      <c r="T3" s="68">
        <v>2.0</v>
      </c>
      <c r="U3" s="68">
        <v>20.0</v>
      </c>
      <c r="V3" s="68">
        <v>2.0</v>
      </c>
      <c r="W3" s="68">
        <v>0.0</v>
      </c>
      <c r="X3" s="68">
        <v>0.0</v>
      </c>
      <c r="Y3" s="68"/>
      <c r="Z3" s="68"/>
      <c r="AA3" s="68"/>
      <c r="AB3" s="22"/>
      <c r="AC3" s="22"/>
      <c r="AD3" s="22"/>
      <c r="AE3" s="145"/>
      <c r="AF3" s="145"/>
      <c r="AH3" s="146"/>
      <c r="AP3" s="144"/>
      <c r="AQ3" s="144"/>
      <c r="AR3" s="144"/>
      <c r="AS3" s="144"/>
      <c r="AT3" s="144"/>
      <c r="AU3" s="144"/>
      <c r="AV3" s="144"/>
      <c r="AW3" s="144"/>
    </row>
    <row r="4">
      <c r="A4" s="8" t="s">
        <v>907</v>
      </c>
      <c r="B4" s="21" t="s">
        <v>908</v>
      </c>
      <c r="C4" s="21" t="s">
        <v>909</v>
      </c>
      <c r="D4" s="142" t="s">
        <v>910</v>
      </c>
      <c r="E4" s="11">
        <v>2017.0</v>
      </c>
      <c r="F4" s="68">
        <v>0.0</v>
      </c>
      <c r="G4" s="68">
        <v>0.0</v>
      </c>
      <c r="H4" s="68">
        <v>13.0</v>
      </c>
      <c r="I4" s="68">
        <v>62.0</v>
      </c>
      <c r="J4" s="68">
        <v>27.0</v>
      </c>
      <c r="K4" s="68">
        <v>0.0</v>
      </c>
      <c r="L4" s="68">
        <v>0.0</v>
      </c>
      <c r="M4" s="68">
        <v>0.0</v>
      </c>
      <c r="N4" s="68">
        <v>0.0</v>
      </c>
      <c r="O4" s="68">
        <v>5.0</v>
      </c>
      <c r="P4" s="68">
        <v>0.0</v>
      </c>
      <c r="Q4" s="68">
        <v>5.0</v>
      </c>
      <c r="R4" s="68">
        <v>0.0</v>
      </c>
      <c r="S4" s="68">
        <v>0.0</v>
      </c>
      <c r="T4" s="68">
        <v>3.0</v>
      </c>
      <c r="U4" s="68">
        <v>0.0</v>
      </c>
      <c r="V4" s="68">
        <v>0.0</v>
      </c>
      <c r="W4" s="68">
        <v>0.0</v>
      </c>
      <c r="X4" s="68">
        <v>0.0</v>
      </c>
      <c r="Y4" s="68"/>
      <c r="Z4" s="68"/>
      <c r="AA4" s="68"/>
      <c r="AB4" s="22"/>
      <c r="AC4" s="22"/>
      <c r="AD4" s="22"/>
      <c r="AP4" s="144"/>
      <c r="AQ4" s="144"/>
      <c r="AR4" s="144"/>
      <c r="AS4" s="144"/>
      <c r="AT4" s="144"/>
      <c r="AU4" s="144"/>
      <c r="AV4" s="144"/>
      <c r="AW4" s="144"/>
    </row>
    <row r="5">
      <c r="A5" s="8" t="s">
        <v>912</v>
      </c>
      <c r="B5" s="21" t="s">
        <v>913</v>
      </c>
      <c r="C5" s="9" t="s">
        <v>914</v>
      </c>
      <c r="D5" s="94" t="s">
        <v>915</v>
      </c>
      <c r="E5" s="113">
        <v>2016.0</v>
      </c>
      <c r="F5" s="68">
        <v>0.0</v>
      </c>
      <c r="G5" s="68">
        <v>22.9</v>
      </c>
      <c r="H5" s="68">
        <v>12.7</v>
      </c>
      <c r="I5" s="68">
        <v>0.0</v>
      </c>
      <c r="J5" s="68">
        <v>45.4</v>
      </c>
      <c r="K5" s="68">
        <v>0.0</v>
      </c>
      <c r="L5" s="68">
        <v>0.0</v>
      </c>
      <c r="M5" s="68">
        <v>6.5</v>
      </c>
      <c r="N5" s="68">
        <v>0.0</v>
      </c>
      <c r="O5" s="68">
        <v>0.0</v>
      </c>
      <c r="P5" s="68">
        <v>0.0</v>
      </c>
      <c r="Q5" s="68">
        <v>12.5</v>
      </c>
      <c r="R5" s="68">
        <v>0.0</v>
      </c>
      <c r="S5" s="68">
        <v>0.0</v>
      </c>
      <c r="T5" s="68">
        <v>0.0</v>
      </c>
      <c r="U5" s="68">
        <v>0.0</v>
      </c>
      <c r="V5" s="68">
        <v>0.0</v>
      </c>
      <c r="W5" s="68">
        <v>0.0</v>
      </c>
      <c r="X5" s="68">
        <v>0.0</v>
      </c>
      <c r="Y5" s="68"/>
      <c r="Z5" s="68"/>
      <c r="AA5" s="68"/>
      <c r="AB5" s="22"/>
      <c r="AC5" s="22"/>
      <c r="AD5" s="22"/>
      <c r="AE5" s="145"/>
      <c r="AF5" s="145"/>
      <c r="AH5" s="146"/>
      <c r="AP5" s="147"/>
      <c r="AQ5" s="147"/>
      <c r="AR5" s="147"/>
      <c r="AS5" s="147"/>
      <c r="AT5" s="147"/>
      <c r="AU5" s="147"/>
      <c r="AV5" s="144"/>
      <c r="AW5" s="144"/>
    </row>
    <row r="6">
      <c r="A6" s="8" t="s">
        <v>917</v>
      </c>
      <c r="B6" s="9" t="s">
        <v>918</v>
      </c>
      <c r="C6" s="9" t="s">
        <v>919</v>
      </c>
      <c r="D6" s="94" t="s">
        <v>920</v>
      </c>
      <c r="E6" s="113">
        <v>2017.0</v>
      </c>
      <c r="F6" s="68">
        <v>0.0</v>
      </c>
      <c r="G6" s="68">
        <v>0.0</v>
      </c>
      <c r="H6" s="68">
        <v>10.0</v>
      </c>
      <c r="I6" s="68">
        <v>0.0</v>
      </c>
      <c r="J6" s="68">
        <v>35.0</v>
      </c>
      <c r="K6" s="68">
        <v>0.0</v>
      </c>
      <c r="L6" s="68">
        <v>0.0</v>
      </c>
      <c r="M6" s="68">
        <v>31.0</v>
      </c>
      <c r="N6" s="68">
        <v>0.0</v>
      </c>
      <c r="O6" s="68">
        <v>0.0</v>
      </c>
      <c r="P6" s="68">
        <v>0.0</v>
      </c>
      <c r="Q6" s="68">
        <v>8.0</v>
      </c>
      <c r="R6" s="68">
        <v>0.0</v>
      </c>
      <c r="S6" s="68">
        <v>0.0</v>
      </c>
      <c r="T6" s="68">
        <v>9.0</v>
      </c>
      <c r="U6" s="68">
        <v>0.0</v>
      </c>
      <c r="V6" s="68">
        <v>7.0</v>
      </c>
      <c r="W6" s="68">
        <v>0.0</v>
      </c>
      <c r="X6" s="68">
        <v>0.0</v>
      </c>
      <c r="Y6" s="68"/>
      <c r="Z6" s="68"/>
      <c r="AA6" s="68"/>
      <c r="AB6" s="22"/>
      <c r="AC6" s="22"/>
      <c r="AD6" s="22"/>
      <c r="AE6" s="145"/>
      <c r="AF6" s="145"/>
      <c r="AH6" s="146"/>
      <c r="AP6" s="144"/>
      <c r="AQ6" s="144"/>
      <c r="AR6" s="144"/>
      <c r="AS6" s="144"/>
      <c r="AT6" s="144"/>
      <c r="AU6" s="144"/>
      <c r="AV6" s="144"/>
      <c r="AW6" s="144"/>
    </row>
    <row r="7">
      <c r="A7" s="8" t="s">
        <v>921</v>
      </c>
      <c r="B7" s="9" t="s">
        <v>922</v>
      </c>
      <c r="C7" s="9" t="s">
        <v>923</v>
      </c>
      <c r="D7" s="94" t="s">
        <v>924</v>
      </c>
      <c r="E7" s="113">
        <v>2017.0</v>
      </c>
      <c r="F7" s="68">
        <v>0.0</v>
      </c>
      <c r="G7" s="68">
        <v>37.0</v>
      </c>
      <c r="H7" s="68">
        <v>3.0</v>
      </c>
      <c r="I7" s="68">
        <v>0.0</v>
      </c>
      <c r="J7" s="68">
        <v>5.0</v>
      </c>
      <c r="K7" s="68">
        <v>0.0</v>
      </c>
      <c r="L7" s="68">
        <v>0.0</v>
      </c>
      <c r="M7" s="68">
        <v>7.0</v>
      </c>
      <c r="N7" s="68">
        <v>0.0</v>
      </c>
      <c r="O7" s="68">
        <v>6.0</v>
      </c>
      <c r="P7" s="68">
        <v>0.0</v>
      </c>
      <c r="Q7" s="68">
        <v>16.0</v>
      </c>
      <c r="R7" s="68">
        <v>0.0</v>
      </c>
      <c r="S7" s="68">
        <v>0.0</v>
      </c>
      <c r="T7" s="68">
        <v>23.0</v>
      </c>
      <c r="U7" s="68">
        <v>0.0</v>
      </c>
      <c r="V7" s="68">
        <v>3.0</v>
      </c>
      <c r="W7" s="68">
        <v>0.0</v>
      </c>
      <c r="X7" s="68">
        <v>0.0</v>
      </c>
      <c r="Y7" s="68"/>
      <c r="Z7" s="68"/>
      <c r="AA7" s="68"/>
      <c r="AB7" s="22"/>
      <c r="AC7" s="22"/>
      <c r="AD7" s="22"/>
      <c r="AE7" s="145"/>
      <c r="AF7" s="145"/>
      <c r="AH7" s="146"/>
      <c r="AP7" s="144"/>
      <c r="AQ7" s="144"/>
      <c r="AR7" s="144"/>
      <c r="AS7" s="144"/>
      <c r="AT7" s="144"/>
      <c r="AU7" s="144"/>
      <c r="AV7" s="144"/>
      <c r="AW7" s="144"/>
    </row>
    <row r="8">
      <c r="A8" s="8" t="s">
        <v>925</v>
      </c>
      <c r="B8" s="9" t="s">
        <v>926</v>
      </c>
      <c r="C8" s="44" t="s">
        <v>927</v>
      </c>
      <c r="D8" s="149" t="s">
        <v>928</v>
      </c>
      <c r="E8" s="113">
        <v>2013.0</v>
      </c>
      <c r="F8" s="68">
        <v>0.0</v>
      </c>
      <c r="G8" s="68">
        <v>23.9</v>
      </c>
      <c r="H8" s="68">
        <v>16.0</v>
      </c>
      <c r="I8" s="68">
        <v>0.0</v>
      </c>
      <c r="J8" s="68">
        <v>9.2</v>
      </c>
      <c r="K8" s="68">
        <v>0.0</v>
      </c>
      <c r="L8" s="68">
        <v>0.0</v>
      </c>
      <c r="M8" s="68">
        <v>21.8</v>
      </c>
      <c r="N8" s="68">
        <v>0.0</v>
      </c>
      <c r="O8" s="68">
        <v>0.0</v>
      </c>
      <c r="P8" s="68">
        <v>5.1</v>
      </c>
      <c r="Q8" s="68">
        <v>4.8</v>
      </c>
      <c r="R8" s="68">
        <v>0.0</v>
      </c>
      <c r="S8" s="68">
        <v>0.0</v>
      </c>
      <c r="T8" s="68">
        <v>11.6</v>
      </c>
      <c r="U8" s="68">
        <v>0.0</v>
      </c>
      <c r="V8" s="68">
        <v>5.1</v>
      </c>
      <c r="W8" s="68">
        <v>0.0</v>
      </c>
      <c r="X8" s="68">
        <v>0.0</v>
      </c>
      <c r="Y8" s="68"/>
      <c r="Z8" s="68"/>
      <c r="AA8" s="68"/>
      <c r="AB8" s="22"/>
      <c r="AC8" s="22"/>
      <c r="AD8" s="150"/>
      <c r="AE8" s="150"/>
      <c r="AF8" s="145"/>
      <c r="AH8" s="146"/>
      <c r="AP8" s="144"/>
      <c r="AQ8" s="144"/>
      <c r="AR8" s="144"/>
      <c r="AS8" s="144"/>
      <c r="AT8" s="144"/>
      <c r="AU8" s="144"/>
      <c r="AV8" s="144"/>
      <c r="AW8" s="144"/>
    </row>
    <row r="9">
      <c r="A9" s="8" t="s">
        <v>930</v>
      </c>
      <c r="B9" s="9" t="s">
        <v>931</v>
      </c>
      <c r="C9" s="129" t="s">
        <v>932</v>
      </c>
      <c r="D9" s="94" t="s">
        <v>933</v>
      </c>
      <c r="E9" s="113">
        <v>2017.0</v>
      </c>
      <c r="F9" s="68">
        <v>0.0</v>
      </c>
      <c r="G9" s="68">
        <v>6.3</v>
      </c>
      <c r="H9" s="68">
        <v>6.9</v>
      </c>
      <c r="I9" s="68">
        <v>0.0</v>
      </c>
      <c r="J9" s="68">
        <v>0.0</v>
      </c>
      <c r="K9" s="68">
        <v>0.0</v>
      </c>
      <c r="L9" s="68">
        <v>3.0</v>
      </c>
      <c r="M9" s="68">
        <v>28.2</v>
      </c>
      <c r="N9" s="68">
        <v>0.0</v>
      </c>
      <c r="O9" s="68">
        <v>0.0</v>
      </c>
      <c r="P9" s="68">
        <v>0.0</v>
      </c>
      <c r="Q9" s="68">
        <v>3.0</v>
      </c>
      <c r="R9" s="68">
        <v>0.0</v>
      </c>
      <c r="S9" s="68">
        <v>0.0</v>
      </c>
      <c r="T9" s="68">
        <v>42.4</v>
      </c>
      <c r="U9" s="68">
        <v>0.0</v>
      </c>
      <c r="V9" s="68">
        <v>9.7</v>
      </c>
      <c r="W9" s="68">
        <v>0.0</v>
      </c>
      <c r="X9" s="68">
        <v>0.0</v>
      </c>
      <c r="Y9" s="68"/>
      <c r="Z9" s="68"/>
      <c r="AA9" s="68"/>
      <c r="AB9" s="22"/>
      <c r="AC9" s="22"/>
      <c r="AD9" s="150"/>
      <c r="AE9" s="150"/>
      <c r="AF9" s="145"/>
      <c r="AH9" s="146"/>
      <c r="AP9" s="144"/>
      <c r="AQ9" s="144"/>
      <c r="AR9" s="144"/>
      <c r="AS9" s="144"/>
      <c r="AT9" s="144"/>
      <c r="AU9" s="144"/>
      <c r="AV9" s="144"/>
      <c r="AW9" s="144"/>
    </row>
    <row r="10">
      <c r="A10" s="8" t="s">
        <v>934</v>
      </c>
      <c r="B10" s="9" t="s">
        <v>935</v>
      </c>
      <c r="C10" s="21" t="s">
        <v>936</v>
      </c>
      <c r="D10" s="149" t="s">
        <v>937</v>
      </c>
      <c r="E10" s="113">
        <v>2016.0</v>
      </c>
      <c r="F10" s="68">
        <v>0.0</v>
      </c>
      <c r="G10" s="68">
        <v>9.0</v>
      </c>
      <c r="H10" s="68">
        <v>8.0</v>
      </c>
      <c r="I10" s="68">
        <v>0.0</v>
      </c>
      <c r="J10" s="68">
        <v>0.0</v>
      </c>
      <c r="K10" s="68">
        <v>0.0</v>
      </c>
      <c r="L10" s="68">
        <v>0.0</v>
      </c>
      <c r="M10" s="68">
        <v>30.0</v>
      </c>
      <c r="N10" s="68">
        <v>0.0</v>
      </c>
      <c r="O10" s="68">
        <v>10.0</v>
      </c>
      <c r="P10" s="68">
        <v>0.0</v>
      </c>
      <c r="Q10" s="68">
        <v>1.0</v>
      </c>
      <c r="R10" s="68">
        <v>0.0</v>
      </c>
      <c r="S10" s="68">
        <v>0.0</v>
      </c>
      <c r="T10" s="68">
        <v>22.0</v>
      </c>
      <c r="U10" s="68">
        <v>0.0</v>
      </c>
      <c r="V10" s="68">
        <v>0.0</v>
      </c>
      <c r="W10" s="68">
        <v>0.0</v>
      </c>
      <c r="X10" s="68">
        <v>0.0</v>
      </c>
      <c r="Y10" s="68"/>
      <c r="Z10" s="68"/>
      <c r="AA10" s="68"/>
      <c r="AB10" s="22"/>
      <c r="AC10" s="22"/>
      <c r="AD10" s="22"/>
      <c r="AE10" s="145"/>
      <c r="AF10" s="145"/>
      <c r="AH10" s="146"/>
      <c r="AP10" s="144"/>
      <c r="AQ10" s="144"/>
      <c r="AR10" s="144"/>
      <c r="AS10" s="144"/>
      <c r="AT10" s="144"/>
      <c r="AU10" s="144"/>
      <c r="AV10" s="144"/>
      <c r="AW10" s="144"/>
    </row>
    <row r="11">
      <c r="A11" s="8"/>
      <c r="B11" s="9"/>
      <c r="C11" s="22"/>
      <c r="D11" s="9"/>
      <c r="E11" s="113"/>
      <c r="F11" s="68">
        <v>0.0</v>
      </c>
      <c r="G11" s="68">
        <v>0.0</v>
      </c>
      <c r="H11" s="68">
        <v>0.0</v>
      </c>
      <c r="I11" s="68">
        <v>0.0</v>
      </c>
      <c r="J11" s="68">
        <v>0.0</v>
      </c>
      <c r="K11" s="68">
        <v>0.0</v>
      </c>
      <c r="L11" s="68">
        <v>0.0</v>
      </c>
      <c r="M11" s="68">
        <v>0.0</v>
      </c>
      <c r="N11" s="68">
        <v>0.0</v>
      </c>
      <c r="O11" s="68">
        <v>0.0</v>
      </c>
      <c r="P11" s="68">
        <v>0.0</v>
      </c>
      <c r="Q11" s="68">
        <v>0.0</v>
      </c>
      <c r="R11" s="68">
        <v>0.0</v>
      </c>
      <c r="S11" s="68">
        <v>0.0</v>
      </c>
      <c r="T11" s="68">
        <v>0.0</v>
      </c>
      <c r="U11" s="68">
        <v>0.0</v>
      </c>
      <c r="V11" s="68">
        <v>0.0</v>
      </c>
      <c r="W11" s="68">
        <v>0.0</v>
      </c>
      <c r="X11" s="68">
        <v>0.0</v>
      </c>
      <c r="Y11" s="68"/>
      <c r="Z11" s="68"/>
      <c r="AA11" s="68"/>
      <c r="AB11" s="67"/>
      <c r="AC11" s="22"/>
      <c r="AD11" s="22"/>
      <c r="AE11" s="145"/>
      <c r="AF11" s="145"/>
      <c r="AH11" s="146"/>
      <c r="AP11" s="144"/>
      <c r="AQ11" s="144"/>
      <c r="AR11" s="144"/>
      <c r="AS11" s="144"/>
      <c r="AT11" s="144"/>
      <c r="AU11" s="144"/>
      <c r="AV11" s="144"/>
      <c r="AW11" s="144"/>
    </row>
    <row r="12">
      <c r="A12" s="57"/>
      <c r="B12" s="9"/>
      <c r="C12" s="22"/>
      <c r="D12" s="22"/>
      <c r="E12" s="113"/>
      <c r="F12" s="68">
        <v>0.0</v>
      </c>
      <c r="G12" s="68">
        <v>0.0</v>
      </c>
      <c r="H12" s="68">
        <v>0.0</v>
      </c>
      <c r="I12" s="68">
        <v>0.0</v>
      </c>
      <c r="J12" s="68">
        <v>0.0</v>
      </c>
      <c r="K12" s="68">
        <v>0.0</v>
      </c>
      <c r="L12" s="68">
        <v>0.0</v>
      </c>
      <c r="M12" s="68">
        <v>0.0</v>
      </c>
      <c r="N12" s="68">
        <v>0.0</v>
      </c>
      <c r="O12" s="68">
        <v>0.0</v>
      </c>
      <c r="P12" s="68">
        <v>0.0</v>
      </c>
      <c r="Q12" s="68">
        <v>0.0</v>
      </c>
      <c r="R12" s="68">
        <v>0.0</v>
      </c>
      <c r="S12" s="68">
        <v>0.0</v>
      </c>
      <c r="T12" s="68">
        <v>0.0</v>
      </c>
      <c r="U12" s="68">
        <v>0.0</v>
      </c>
      <c r="V12" s="68">
        <v>0.0</v>
      </c>
      <c r="W12" s="68">
        <v>0.0</v>
      </c>
      <c r="X12" s="68">
        <v>0.0</v>
      </c>
      <c r="Y12" s="68"/>
      <c r="Z12" s="68"/>
      <c r="AA12" s="68"/>
      <c r="AB12" s="22"/>
      <c r="AC12" s="22"/>
      <c r="AD12" s="22"/>
      <c r="AE12" s="145"/>
      <c r="AF12" s="145"/>
      <c r="AH12" s="146"/>
      <c r="AP12" s="144"/>
      <c r="AQ12" s="144"/>
      <c r="AR12" s="144"/>
      <c r="AS12" s="144"/>
      <c r="AT12" s="144"/>
      <c r="AU12" s="144"/>
      <c r="AV12" s="144"/>
      <c r="AW12" s="144"/>
    </row>
    <row r="13">
      <c r="A13" s="57"/>
      <c r="B13" s="9"/>
      <c r="C13" s="22"/>
      <c r="D13" s="22"/>
      <c r="E13" s="113"/>
      <c r="F13" s="68">
        <v>0.0</v>
      </c>
      <c r="G13" s="68">
        <v>0.0</v>
      </c>
      <c r="H13" s="68">
        <v>0.0</v>
      </c>
      <c r="I13" s="68">
        <v>0.0</v>
      </c>
      <c r="J13" s="68">
        <v>0.0</v>
      </c>
      <c r="K13" s="68">
        <v>0.0</v>
      </c>
      <c r="L13" s="68">
        <v>0.0</v>
      </c>
      <c r="M13" s="68">
        <v>0.0</v>
      </c>
      <c r="N13" s="68">
        <v>0.0</v>
      </c>
      <c r="O13" s="68">
        <v>0.0</v>
      </c>
      <c r="P13" s="68">
        <v>0.0</v>
      </c>
      <c r="Q13" s="68">
        <v>0.0</v>
      </c>
      <c r="R13" s="68">
        <v>0.0</v>
      </c>
      <c r="S13" s="68">
        <v>0.0</v>
      </c>
      <c r="T13" s="68">
        <v>0.0</v>
      </c>
      <c r="U13" s="68">
        <v>0.0</v>
      </c>
      <c r="V13" s="68">
        <v>0.0</v>
      </c>
      <c r="W13" s="68">
        <v>0.0</v>
      </c>
      <c r="X13" s="68">
        <v>0.0</v>
      </c>
      <c r="Y13" s="68"/>
      <c r="Z13" s="68"/>
      <c r="AA13" s="68"/>
      <c r="AB13" s="22"/>
      <c r="AC13" s="22"/>
      <c r="AD13" s="22"/>
      <c r="AE13" s="145"/>
      <c r="AF13" s="145"/>
      <c r="AH13" s="146"/>
      <c r="AP13" s="144"/>
      <c r="AQ13" s="144"/>
      <c r="AR13" s="144"/>
      <c r="AS13" s="144"/>
      <c r="AT13" s="144"/>
      <c r="AU13" s="144"/>
      <c r="AV13" s="144"/>
      <c r="AW13" s="144"/>
    </row>
    <row r="14">
      <c r="A14" s="65"/>
      <c r="B14" s="136"/>
      <c r="C14" s="3"/>
      <c r="D14" s="3"/>
      <c r="E14" s="3"/>
      <c r="F14" s="68">
        <v>0.0</v>
      </c>
      <c r="G14" s="68">
        <v>0.0</v>
      </c>
      <c r="H14" s="68">
        <v>0.0</v>
      </c>
      <c r="I14" s="68">
        <v>0.0</v>
      </c>
      <c r="J14" s="68">
        <v>0.0</v>
      </c>
      <c r="K14" s="68">
        <v>0.0</v>
      </c>
      <c r="L14" s="68">
        <v>0.0</v>
      </c>
      <c r="M14" s="68">
        <v>0.0</v>
      </c>
      <c r="N14" s="68">
        <v>0.0</v>
      </c>
      <c r="O14" s="68">
        <v>0.0</v>
      </c>
      <c r="P14" s="68">
        <v>0.0</v>
      </c>
      <c r="Q14" s="68">
        <v>0.0</v>
      </c>
      <c r="R14" s="68">
        <v>0.0</v>
      </c>
      <c r="S14" s="68">
        <v>0.0</v>
      </c>
      <c r="T14" s="68">
        <v>0.0</v>
      </c>
      <c r="U14" s="68">
        <v>0.0</v>
      </c>
      <c r="V14" s="68">
        <v>0.0</v>
      </c>
      <c r="W14" s="68">
        <v>0.0</v>
      </c>
      <c r="X14" s="68">
        <v>0.0</v>
      </c>
      <c r="Y14" s="68"/>
      <c r="Z14" s="68"/>
      <c r="AA14" s="68"/>
      <c r="AB14" s="5"/>
      <c r="AC14" s="5"/>
      <c r="AD14" s="5"/>
      <c r="AM14" s="6"/>
      <c r="AP14" s="141"/>
      <c r="AQ14" s="141"/>
      <c r="AR14" s="141"/>
      <c r="AS14" s="141"/>
      <c r="AT14" s="141"/>
      <c r="AU14" s="141"/>
      <c r="AV14" s="6"/>
      <c r="AW14" s="6"/>
    </row>
    <row r="15">
      <c r="A15" s="66"/>
      <c r="B15" s="67"/>
      <c r="C15" s="67"/>
      <c r="D15" s="67"/>
      <c r="E15" s="68"/>
      <c r="F15" s="68"/>
      <c r="G15" s="68"/>
      <c r="H15" s="68"/>
      <c r="I15" s="68"/>
      <c r="J15" s="14"/>
      <c r="K15" s="14"/>
      <c r="L15" s="14"/>
      <c r="M15" s="68"/>
      <c r="N15" s="68"/>
      <c r="O15" s="68"/>
      <c r="P15" s="68"/>
      <c r="Q15" s="68"/>
      <c r="R15" s="68"/>
      <c r="S15" s="68"/>
      <c r="T15" s="68"/>
      <c r="U15" s="68"/>
      <c r="V15" s="68"/>
      <c r="W15" s="68"/>
      <c r="X15" s="68"/>
      <c r="Y15" s="68"/>
      <c r="Z15" s="68"/>
      <c r="AA15" s="68"/>
      <c r="AB15" s="70"/>
      <c r="AC15" s="70"/>
      <c r="AD15" s="70"/>
      <c r="AE15" s="36"/>
      <c r="AF15" s="152"/>
      <c r="AP15" s="144"/>
      <c r="AQ15" s="144"/>
      <c r="AR15" s="144"/>
      <c r="AS15" s="144"/>
      <c r="AT15" s="144"/>
      <c r="AU15" s="144"/>
    </row>
    <row r="16">
      <c r="A16" s="66"/>
      <c r="B16" s="67"/>
      <c r="C16" s="67"/>
      <c r="D16" s="67"/>
      <c r="E16" s="68"/>
      <c r="F16" s="68"/>
      <c r="G16" s="68"/>
      <c r="H16" s="68"/>
      <c r="I16" s="68"/>
      <c r="J16" s="68"/>
      <c r="K16" s="68"/>
      <c r="L16" s="68"/>
      <c r="M16" s="68"/>
      <c r="N16" s="68"/>
      <c r="O16" s="68"/>
      <c r="P16" s="68"/>
      <c r="Q16" s="68"/>
      <c r="R16" s="68"/>
      <c r="S16" s="68"/>
      <c r="T16" s="68"/>
      <c r="U16" s="68"/>
      <c r="V16" s="68"/>
      <c r="W16" s="68"/>
      <c r="X16" s="68"/>
      <c r="Y16" s="68"/>
      <c r="Z16" s="68"/>
      <c r="AA16" s="68"/>
      <c r="AB16" s="70"/>
      <c r="AC16" s="70"/>
      <c r="AD16" s="70"/>
      <c r="AE16" s="152"/>
      <c r="AF16" s="152"/>
      <c r="AP16" s="144"/>
      <c r="AQ16" s="144"/>
      <c r="AR16" s="144"/>
      <c r="AS16" s="144"/>
      <c r="AT16" s="144"/>
      <c r="AU16" s="144"/>
      <c r="AV16" s="144"/>
      <c r="AW16" s="144"/>
    </row>
    <row r="17">
      <c r="A17" s="66"/>
      <c r="B17" s="67"/>
      <c r="C17" s="153"/>
      <c r="D17" s="67"/>
      <c r="E17" s="11"/>
      <c r="F17" s="74"/>
      <c r="G17" s="154"/>
      <c r="H17" s="154"/>
      <c r="I17" s="154"/>
      <c r="J17" s="74"/>
      <c r="K17" s="74"/>
      <c r="L17" s="74"/>
      <c r="M17" s="74"/>
      <c r="N17" s="74"/>
      <c r="O17" s="74"/>
      <c r="P17" s="74"/>
      <c r="Q17" s="74"/>
      <c r="R17" s="74"/>
      <c r="S17" s="74"/>
      <c r="T17" s="74"/>
      <c r="U17" s="14"/>
      <c r="V17" s="74"/>
      <c r="W17" s="74"/>
      <c r="X17" s="74"/>
      <c r="Y17" s="74"/>
      <c r="Z17" s="74"/>
      <c r="AA17" s="74"/>
      <c r="AB17" s="22"/>
      <c r="AC17" s="36"/>
      <c r="AD17" s="36"/>
      <c r="AP17" s="144"/>
      <c r="AQ17" s="144"/>
      <c r="AR17" s="144"/>
      <c r="AS17" s="74"/>
      <c r="AT17" s="144"/>
      <c r="AU17" s="144"/>
      <c r="AV17" s="144"/>
      <c r="AW17" s="144"/>
    </row>
    <row r="18">
      <c r="A18" s="66"/>
      <c r="B18" s="67"/>
      <c r="C18" s="67"/>
      <c r="D18" s="67"/>
      <c r="E18" s="68"/>
      <c r="F18" s="77"/>
      <c r="G18" s="68"/>
      <c r="H18" s="68"/>
      <c r="I18" s="68"/>
      <c r="J18" s="68"/>
      <c r="K18" s="68"/>
      <c r="L18" s="68"/>
      <c r="M18" s="68"/>
      <c r="N18" s="68"/>
      <c r="O18" s="68"/>
      <c r="P18" s="68"/>
      <c r="Q18" s="68"/>
      <c r="R18" s="68"/>
      <c r="S18" s="68"/>
      <c r="T18" s="68"/>
      <c r="U18" s="147"/>
      <c r="V18" s="68"/>
      <c r="W18" s="140"/>
      <c r="X18" s="68"/>
      <c r="Y18" s="68"/>
      <c r="Z18" s="68"/>
      <c r="AA18" s="68"/>
      <c r="AB18" s="70"/>
      <c r="AC18" s="36"/>
      <c r="AD18" s="21"/>
      <c r="AE18" s="21"/>
      <c r="AF18" s="152"/>
      <c r="AP18" s="144"/>
      <c r="AQ18" s="144"/>
      <c r="AR18" s="144"/>
      <c r="AS18" s="144"/>
      <c r="AT18" s="144"/>
      <c r="AU18" s="144"/>
    </row>
    <row r="19" ht="18.75" customHeight="1">
      <c r="A19" s="66"/>
      <c r="B19" s="67"/>
      <c r="C19" s="67"/>
      <c r="D19" s="67"/>
      <c r="E19" s="68"/>
      <c r="F19" s="68"/>
      <c r="G19" s="68"/>
      <c r="H19" s="68"/>
      <c r="I19" s="68"/>
      <c r="J19" s="68"/>
      <c r="K19" s="68"/>
      <c r="L19" s="68"/>
      <c r="M19" s="68"/>
      <c r="N19" s="68"/>
      <c r="O19" s="68"/>
      <c r="P19" s="68"/>
      <c r="Q19" s="68"/>
      <c r="R19" s="68"/>
      <c r="S19" s="68"/>
      <c r="T19" s="68"/>
      <c r="U19" s="68"/>
      <c r="V19" s="68"/>
      <c r="W19" s="68"/>
      <c r="X19" s="128"/>
      <c r="Y19" s="68"/>
      <c r="Z19" s="128"/>
      <c r="AA19" s="68"/>
      <c r="AB19" s="22"/>
      <c r="AC19" s="22"/>
      <c r="AD19" s="22"/>
      <c r="AE19" s="152"/>
      <c r="AF19" s="152"/>
      <c r="AP19" s="144"/>
      <c r="AQ19" s="144"/>
      <c r="AR19" s="144"/>
      <c r="AS19" s="144"/>
      <c r="AT19" s="144"/>
      <c r="AU19" s="144"/>
      <c r="AV19" s="144"/>
      <c r="AW19" s="144"/>
    </row>
    <row r="20">
      <c r="A20" s="66"/>
      <c r="B20" s="67"/>
      <c r="C20" s="67"/>
      <c r="D20" s="67"/>
      <c r="E20" s="68"/>
      <c r="F20" s="68"/>
      <c r="G20" s="68"/>
      <c r="H20" s="68"/>
      <c r="I20" s="68"/>
      <c r="J20" s="68"/>
      <c r="K20" s="68"/>
      <c r="L20" s="68"/>
      <c r="M20" s="68"/>
      <c r="N20" s="68"/>
      <c r="O20" s="68"/>
      <c r="P20" s="68"/>
      <c r="Q20" s="68"/>
      <c r="R20" s="68"/>
      <c r="S20" s="68"/>
      <c r="T20" s="68"/>
      <c r="U20" s="68"/>
      <c r="V20" s="68"/>
      <c r="W20" s="68"/>
      <c r="X20" s="68"/>
      <c r="Y20" s="68"/>
      <c r="Z20" s="68"/>
      <c r="AA20" s="68"/>
      <c r="AB20" s="70"/>
      <c r="AC20" s="36"/>
      <c r="AD20" s="36"/>
      <c r="AE20" s="21"/>
      <c r="AF20" s="152"/>
      <c r="AP20" s="144"/>
      <c r="AQ20" s="144"/>
      <c r="AR20" s="144"/>
      <c r="AS20" s="144"/>
      <c r="AT20" s="144"/>
      <c r="AU20" s="144"/>
    </row>
    <row r="21">
      <c r="A21" s="66"/>
      <c r="B21" s="67"/>
      <c r="C21" s="21"/>
      <c r="D21" s="67"/>
      <c r="E21" s="68"/>
      <c r="F21" s="77"/>
      <c r="G21" s="14"/>
      <c r="H21" s="14"/>
      <c r="I21" s="14"/>
      <c r="J21" s="68"/>
      <c r="K21" s="68"/>
      <c r="L21" s="68"/>
      <c r="M21" s="68"/>
      <c r="N21" s="68"/>
      <c r="O21" s="68"/>
      <c r="P21" s="68"/>
      <c r="Q21" s="68"/>
      <c r="R21" s="68"/>
      <c r="S21" s="68"/>
      <c r="T21" s="68"/>
      <c r="U21" s="77"/>
      <c r="V21" s="68"/>
      <c r="W21" s="68"/>
      <c r="X21" s="68"/>
      <c r="Y21" s="68"/>
      <c r="Z21" s="68"/>
      <c r="AA21" s="68"/>
      <c r="AB21" s="70"/>
      <c r="AC21" s="21"/>
      <c r="AD21" s="36"/>
      <c r="AF21" s="36"/>
      <c r="AP21" s="144"/>
      <c r="AQ21" s="144"/>
      <c r="AR21" s="144"/>
      <c r="AS21" s="144"/>
      <c r="AT21" s="144"/>
      <c r="AU21" s="144"/>
    </row>
    <row r="22">
      <c r="A22" s="66"/>
      <c r="B22" s="67"/>
      <c r="C22" s="67"/>
      <c r="D22" s="67"/>
      <c r="E22" s="11"/>
      <c r="F22" s="74"/>
      <c r="G22" s="74"/>
      <c r="H22" s="74"/>
      <c r="I22" s="74"/>
      <c r="J22" s="74"/>
      <c r="K22" s="74"/>
      <c r="L22" s="74"/>
      <c r="M22" s="74"/>
      <c r="N22" s="74"/>
      <c r="O22" s="74"/>
      <c r="P22" s="74"/>
      <c r="Q22" s="74"/>
      <c r="R22" s="74"/>
      <c r="S22" s="74"/>
      <c r="T22" s="74"/>
      <c r="U22" s="14"/>
      <c r="V22" s="74"/>
      <c r="W22" s="74"/>
      <c r="X22" s="74"/>
      <c r="Y22" s="74"/>
      <c r="Z22" s="74"/>
      <c r="AA22" s="74"/>
      <c r="AB22" s="22"/>
      <c r="AC22" s="36"/>
      <c r="AD22" s="36"/>
      <c r="AP22" s="144"/>
      <c r="AQ22" s="144"/>
      <c r="AR22" s="144"/>
      <c r="AS22" s="74"/>
      <c r="AT22" s="144"/>
      <c r="AU22" s="144"/>
      <c r="AV22" s="144"/>
      <c r="AW22" s="144"/>
    </row>
    <row r="23">
      <c r="A23" s="95"/>
    </row>
    <row r="24">
      <c r="A24" s="95"/>
    </row>
    <row r="25">
      <c r="A25" s="95"/>
    </row>
    <row r="26">
      <c r="A26" s="95"/>
    </row>
    <row r="27">
      <c r="AB27" s="7" t="s">
        <v>939</v>
      </c>
      <c r="AC27" s="7"/>
      <c r="AD27" s="7"/>
    </row>
    <row r="28">
      <c r="F28" s="7"/>
      <c r="AG28" s="7"/>
      <c r="AH28" s="7"/>
      <c r="AI28" s="7"/>
      <c r="AJ28" s="7"/>
      <c r="AK28" s="7"/>
      <c r="AL28" s="7"/>
      <c r="AM28" s="7"/>
      <c r="AN28" s="7"/>
    </row>
    <row r="29">
      <c r="F29" s="7"/>
      <c r="AH29" s="7"/>
      <c r="AI29" s="7"/>
      <c r="AJ29" s="7"/>
      <c r="AK29" s="7"/>
      <c r="AL29" s="7"/>
      <c r="AM29" s="7"/>
      <c r="AN29" s="7"/>
    </row>
    <row r="30">
      <c r="F30" s="7"/>
      <c r="AH30" s="7"/>
      <c r="AI30" s="7"/>
      <c r="AJ30" s="7"/>
      <c r="AK30" s="7"/>
      <c r="AL30" s="7"/>
      <c r="AM30" s="7"/>
      <c r="AN30" s="7"/>
    </row>
    <row r="31">
      <c r="AI31" s="7"/>
      <c r="AJ31" s="7"/>
      <c r="AK31" s="7"/>
      <c r="AL31" s="7"/>
      <c r="AM31" s="7"/>
      <c r="AN31" s="7"/>
    </row>
    <row r="32">
      <c r="AI32" s="7"/>
      <c r="AJ32" s="7"/>
      <c r="AK32" s="7"/>
      <c r="AL32" s="7"/>
      <c r="AM32" s="7"/>
      <c r="AN32" s="7"/>
      <c r="AO32" s="7"/>
    </row>
    <row r="33">
      <c r="AO33" s="7"/>
      <c r="AP33" s="7"/>
      <c r="AQ33" s="155"/>
      <c r="AR33" s="7"/>
      <c r="AS33" s="7"/>
    </row>
    <row r="34">
      <c r="AO34" s="7"/>
      <c r="AP34" s="7"/>
      <c r="AQ34" s="155"/>
      <c r="AR34" s="7"/>
      <c r="AS34" s="7"/>
    </row>
    <row r="35">
      <c r="E35" s="156"/>
      <c r="F35" s="156"/>
      <c r="G35" s="157"/>
      <c r="H35" s="157"/>
      <c r="I35" s="157"/>
      <c r="AO35" s="7"/>
      <c r="AP35" s="7"/>
      <c r="AQ35" s="155"/>
      <c r="AR35" s="7"/>
      <c r="AS35" s="7"/>
    </row>
    <row r="36">
      <c r="E36" s="157"/>
      <c r="F36" s="156"/>
      <c r="G36" s="157"/>
      <c r="H36" s="157"/>
      <c r="I36" s="157"/>
      <c r="AO36" s="7"/>
      <c r="AP36" s="7"/>
      <c r="AQ36" s="155"/>
      <c r="AR36" s="7"/>
    </row>
    <row r="37">
      <c r="E37" s="157"/>
      <c r="F37" s="156"/>
      <c r="G37" s="157"/>
      <c r="H37" s="157"/>
      <c r="I37" s="157"/>
      <c r="AP37" s="7"/>
      <c r="AQ37" s="7"/>
      <c r="AR37" s="7"/>
    </row>
    <row r="38">
      <c r="E38" s="157"/>
      <c r="F38" s="156"/>
      <c r="G38" s="157"/>
      <c r="H38" s="157"/>
      <c r="I38" s="157"/>
      <c r="AP38" s="7"/>
      <c r="AQ38" s="7"/>
      <c r="AR38" s="7"/>
    </row>
    <row r="39">
      <c r="AP39" s="7"/>
      <c r="AQ39" s="7"/>
      <c r="AR39" s="155"/>
    </row>
    <row r="40">
      <c r="F40" s="158"/>
      <c r="AP40" s="7"/>
      <c r="AQ40" s="7"/>
      <c r="AR40" s="155"/>
    </row>
    <row r="41">
      <c r="AR41" s="155"/>
    </row>
    <row r="46">
      <c r="AQ46" s="7"/>
      <c r="AR46" s="7"/>
    </row>
    <row r="50">
      <c r="AJ50" s="7"/>
      <c r="AK50" s="7"/>
      <c r="AQ50" s="7"/>
    </row>
    <row r="51">
      <c r="AJ51" s="7"/>
      <c r="AK51" s="7"/>
      <c r="AM51" s="7"/>
      <c r="AN51" s="7"/>
      <c r="AQ51" s="7"/>
    </row>
    <row r="52">
      <c r="AJ52" s="7"/>
      <c r="AK52" s="7"/>
      <c r="AM52" s="7"/>
      <c r="AN52" s="7"/>
      <c r="AQ52" s="7"/>
    </row>
    <row r="53">
      <c r="AJ53" s="7"/>
      <c r="AK53" s="7"/>
      <c r="AM53" s="7"/>
      <c r="AN53" s="7"/>
      <c r="AQ53" s="7"/>
    </row>
    <row r="54">
      <c r="AJ54" s="7"/>
      <c r="AK54" s="7"/>
      <c r="AM54" s="7"/>
      <c r="AN54" s="7"/>
      <c r="AQ54" s="7"/>
    </row>
    <row r="55">
      <c r="AJ55" s="7"/>
      <c r="AK55" s="7"/>
      <c r="AM55" s="7"/>
      <c r="AN55" s="7"/>
      <c r="AQ55" s="7"/>
    </row>
    <row r="202">
      <c r="A202" s="108" t="s">
        <v>385</v>
      </c>
      <c r="B202" s="3" t="s">
        <v>1</v>
      </c>
      <c r="C202" s="3" t="s">
        <v>2</v>
      </c>
      <c r="D202" s="3" t="s">
        <v>3</v>
      </c>
      <c r="E202" s="3" t="s">
        <v>834</v>
      </c>
      <c r="F202" s="3" t="s">
        <v>5</v>
      </c>
      <c r="G202" s="3" t="s">
        <v>835</v>
      </c>
      <c r="H202" s="3"/>
      <c r="I202" s="3"/>
      <c r="J202" s="3" t="s">
        <v>305</v>
      </c>
      <c r="K202" s="3"/>
      <c r="L202" s="3"/>
      <c r="M202" s="3" t="s">
        <v>836</v>
      </c>
      <c r="N202" s="3"/>
      <c r="O202" s="3"/>
      <c r="P202" s="3"/>
      <c r="Q202" s="3"/>
      <c r="R202" s="3"/>
      <c r="S202" s="3"/>
      <c r="T202" s="3"/>
      <c r="U202" s="3" t="s">
        <v>306</v>
      </c>
      <c r="V202" s="5" t="s">
        <v>837</v>
      </c>
      <c r="W202" s="5" t="s">
        <v>838</v>
      </c>
      <c r="X202" s="5" t="s">
        <v>839</v>
      </c>
      <c r="Y202" s="5" t="s">
        <v>840</v>
      </c>
      <c r="Z202" s="5" t="s">
        <v>841</v>
      </c>
      <c r="AA202" s="5" t="s">
        <v>842</v>
      </c>
      <c r="AB202" s="5" t="s">
        <v>21</v>
      </c>
      <c r="AC202" s="5" t="s">
        <v>23</v>
      </c>
      <c r="AD202" s="159"/>
    </row>
    <row r="203">
      <c r="A203" s="57" t="s">
        <v>30</v>
      </c>
      <c r="B203" s="21" t="s">
        <v>31</v>
      </c>
      <c r="C203" s="21"/>
      <c r="D203" s="10" t="s">
        <v>33</v>
      </c>
      <c r="E203" s="116">
        <f t="shared" ref="E203:E214" si="1">G203/M203</f>
        <v>8.721626277</v>
      </c>
      <c r="F203" s="111"/>
      <c r="G203" s="112">
        <f t="shared" ref="G203:G214" si="2">V203+X203</f>
        <v>142.013072</v>
      </c>
      <c r="H203" s="112"/>
      <c r="I203" s="112"/>
      <c r="J203" s="113">
        <v>24.147293281</v>
      </c>
      <c r="K203" s="113"/>
      <c r="L203" s="113"/>
      <c r="M203" s="113">
        <v>16.282866</v>
      </c>
      <c r="N203" s="113"/>
      <c r="O203" s="113"/>
      <c r="P203" s="113"/>
      <c r="Q203" s="113"/>
      <c r="R203" s="113"/>
      <c r="S203" s="113"/>
      <c r="T203" s="113"/>
      <c r="U203" s="113">
        <f t="shared" ref="U203:U214" si="3">M203*100/J203</f>
        <v>67.43143346</v>
      </c>
      <c r="V203" s="114">
        <v>142.013071534</v>
      </c>
      <c r="W203" s="114">
        <f t="shared" ref="W203:W214" si="4">V203*100/(V203+X203+Z203)</f>
        <v>21.63876579</v>
      </c>
      <c r="X203" s="114">
        <v>4.44E-7</v>
      </c>
      <c r="Y203" s="114">
        <f t="shared" ref="Y203:Y214" si="5">X203*100/(V203+X203+Z203)</f>
        <v>0.00000006765301185</v>
      </c>
      <c r="Z203" s="114">
        <v>514.276999707</v>
      </c>
      <c r="AA203" s="114">
        <f t="shared" ref="AA203:AA214" si="6">Z203*100/(V203+X203+Z203)</f>
        <v>78.36123414</v>
      </c>
      <c r="AB203" s="22"/>
      <c r="AC203" s="21" t="s">
        <v>940</v>
      </c>
      <c r="AD203" s="21"/>
    </row>
    <row r="204">
      <c r="A204" s="57" t="s">
        <v>58</v>
      </c>
      <c r="B204" s="21" t="s">
        <v>31</v>
      </c>
      <c r="C204" s="21"/>
      <c r="D204" s="10" t="s">
        <v>60</v>
      </c>
      <c r="E204" s="116">
        <f t="shared" si="1"/>
        <v>81.96506181</v>
      </c>
      <c r="F204" s="111"/>
      <c r="G204" s="112">
        <f t="shared" si="2"/>
        <v>6918.878567</v>
      </c>
      <c r="H204" s="112"/>
      <c r="I204" s="112"/>
      <c r="J204" s="117">
        <v>299.336068822</v>
      </c>
      <c r="K204" s="117"/>
      <c r="L204" s="117"/>
      <c r="M204" s="117">
        <v>84.4125339985</v>
      </c>
      <c r="N204" s="117"/>
      <c r="O204" s="117"/>
      <c r="P204" s="117"/>
      <c r="Q204" s="117"/>
      <c r="R204" s="117"/>
      <c r="S204" s="117"/>
      <c r="T204" s="117"/>
      <c r="U204" s="113">
        <f t="shared" si="3"/>
        <v>28.19992069</v>
      </c>
      <c r="V204" s="114">
        <v>0.010961698</v>
      </c>
      <c r="W204" s="114">
        <f t="shared" si="4"/>
        <v>0.0001128073451</v>
      </c>
      <c r="X204" s="114">
        <v>6918.867605249</v>
      </c>
      <c r="Y204" s="114">
        <f t="shared" si="5"/>
        <v>71.20238907</v>
      </c>
      <c r="Z204" s="114">
        <v>2798.306060702</v>
      </c>
      <c r="AA204" s="114">
        <f t="shared" si="6"/>
        <v>28.79749812</v>
      </c>
      <c r="AB204" s="22"/>
      <c r="AC204" s="22" t="s">
        <v>941</v>
      </c>
      <c r="AD204" s="22"/>
    </row>
    <row r="205">
      <c r="A205" s="57" t="s">
        <v>69</v>
      </c>
      <c r="B205" s="21" t="s">
        <v>31</v>
      </c>
      <c r="C205" s="21"/>
      <c r="D205" s="10" t="s">
        <v>33</v>
      </c>
      <c r="E205" s="110">
        <f t="shared" si="1"/>
        <v>49.79253143</v>
      </c>
      <c r="F205" s="111"/>
      <c r="G205" s="112">
        <f t="shared" si="2"/>
        <v>19.08512875</v>
      </c>
      <c r="H205" s="112"/>
      <c r="I205" s="112"/>
      <c r="J205" s="111">
        <v>0.510844769</v>
      </c>
      <c r="K205" s="111"/>
      <c r="L205" s="111"/>
      <c r="M205" s="111">
        <v>0.383293</v>
      </c>
      <c r="N205" s="111"/>
      <c r="O205" s="111"/>
      <c r="P205" s="111"/>
      <c r="Q205" s="111"/>
      <c r="R205" s="111"/>
      <c r="S205" s="111"/>
      <c r="T205" s="111"/>
      <c r="U205" s="113">
        <f t="shared" si="3"/>
        <v>75.03120777</v>
      </c>
      <c r="V205" s="119">
        <v>19.085128748</v>
      </c>
      <c r="W205" s="114">
        <f t="shared" si="4"/>
        <v>99.81934202</v>
      </c>
      <c r="X205" s="114">
        <v>0.0</v>
      </c>
      <c r="Y205" s="114">
        <f t="shared" si="5"/>
        <v>0</v>
      </c>
      <c r="Z205" s="120">
        <v>0.03454121</v>
      </c>
      <c r="AA205" s="114">
        <f t="shared" si="6"/>
        <v>0.1806579825</v>
      </c>
      <c r="AB205" s="22"/>
      <c r="AC205" s="22" t="s">
        <v>942</v>
      </c>
      <c r="AD205" s="22"/>
    </row>
    <row r="206">
      <c r="A206" s="57" t="s">
        <v>92</v>
      </c>
      <c r="B206" s="9" t="s">
        <v>93</v>
      </c>
      <c r="C206" s="9"/>
      <c r="D206" s="9" t="s">
        <v>850</v>
      </c>
      <c r="E206" s="116">
        <f t="shared" si="1"/>
        <v>7.763928401</v>
      </c>
      <c r="F206" s="113"/>
      <c r="G206" s="112">
        <f t="shared" si="2"/>
        <v>43.49927158</v>
      </c>
      <c r="H206" s="112"/>
      <c r="I206" s="112"/>
      <c r="J206" s="113">
        <v>6.418983413</v>
      </c>
      <c r="K206" s="113"/>
      <c r="L206" s="113"/>
      <c r="M206" s="113">
        <v>5.602739919</v>
      </c>
      <c r="N206" s="113"/>
      <c r="O206" s="113"/>
      <c r="P206" s="113"/>
      <c r="Q206" s="113"/>
      <c r="R206" s="113"/>
      <c r="S206" s="113"/>
      <c r="T206" s="113"/>
      <c r="U206" s="113">
        <f t="shared" si="3"/>
        <v>87.28391333</v>
      </c>
      <c r="V206" s="122">
        <v>43.499271581</v>
      </c>
      <c r="W206" s="114">
        <f t="shared" si="4"/>
        <v>9.356417136</v>
      </c>
      <c r="X206" s="113">
        <v>0.0</v>
      </c>
      <c r="Y206" s="114">
        <f t="shared" si="5"/>
        <v>0</v>
      </c>
      <c r="Z206" s="113">
        <v>421.414497735</v>
      </c>
      <c r="AA206" s="114">
        <f t="shared" si="6"/>
        <v>90.64358286</v>
      </c>
      <c r="AB206" s="22"/>
      <c r="AC206" s="22" t="s">
        <v>943</v>
      </c>
      <c r="AD206" s="22"/>
    </row>
    <row r="207">
      <c r="A207" s="57" t="s">
        <v>117</v>
      </c>
      <c r="B207" s="9" t="s">
        <v>93</v>
      </c>
      <c r="C207" s="9"/>
      <c r="D207" s="9" t="s">
        <v>33</v>
      </c>
      <c r="E207" s="160">
        <f t="shared" si="1"/>
        <v>0.01663709204</v>
      </c>
      <c r="F207" s="113"/>
      <c r="G207" s="112">
        <f t="shared" si="2"/>
        <v>0.163862546</v>
      </c>
      <c r="H207" s="112"/>
      <c r="I207" s="112"/>
      <c r="J207" s="113">
        <v>9.94285944</v>
      </c>
      <c r="K207" s="113"/>
      <c r="L207" s="113"/>
      <c r="M207" s="113">
        <v>9.84923</v>
      </c>
      <c r="N207" s="113"/>
      <c r="O207" s="113"/>
      <c r="P207" s="113"/>
      <c r="Q207" s="113"/>
      <c r="R207" s="113"/>
      <c r="S207" s="113"/>
      <c r="T207" s="113"/>
      <c r="U207" s="113">
        <f t="shared" si="3"/>
        <v>99.05832482</v>
      </c>
      <c r="V207" s="113">
        <v>0.163862258</v>
      </c>
      <c r="W207" s="114">
        <f t="shared" si="4"/>
        <v>0.2090184595</v>
      </c>
      <c r="X207" s="125">
        <v>2.88E-7</v>
      </c>
      <c r="Y207" s="114">
        <f t="shared" si="5"/>
        <v>0.0000003673653534</v>
      </c>
      <c r="Z207" s="113">
        <v>78.232207553</v>
      </c>
      <c r="AA207" s="114">
        <f t="shared" si="6"/>
        <v>99.79098117</v>
      </c>
      <c r="AB207" s="22"/>
      <c r="AC207" s="22" t="s">
        <v>944</v>
      </c>
      <c r="AD207" s="22"/>
    </row>
    <row r="208">
      <c r="A208" s="57" t="s">
        <v>139</v>
      </c>
      <c r="B208" s="9" t="s">
        <v>93</v>
      </c>
      <c r="C208" s="9"/>
      <c r="D208" s="9" t="s">
        <v>33</v>
      </c>
      <c r="E208" s="116">
        <f t="shared" si="1"/>
        <v>26.0630153</v>
      </c>
      <c r="F208" s="125"/>
      <c r="G208" s="112">
        <f t="shared" si="2"/>
        <v>1501.971435</v>
      </c>
      <c r="H208" s="112"/>
      <c r="I208" s="112"/>
      <c r="J208" s="127">
        <v>62.371648399</v>
      </c>
      <c r="K208" s="127"/>
      <c r="L208" s="127"/>
      <c r="M208" s="113">
        <v>57.62846</v>
      </c>
      <c r="N208" s="113"/>
      <c r="O208" s="113"/>
      <c r="P208" s="113"/>
      <c r="Q208" s="113"/>
      <c r="R208" s="113"/>
      <c r="S208" s="113"/>
      <c r="T208" s="113"/>
      <c r="U208" s="113">
        <f t="shared" si="3"/>
        <v>92.39528132</v>
      </c>
      <c r="V208" s="113">
        <v>1501.97143463</v>
      </c>
      <c r="W208" s="114">
        <f t="shared" si="4"/>
        <v>89.70820077</v>
      </c>
      <c r="X208" s="113">
        <v>0.0</v>
      </c>
      <c r="Y208" s="114">
        <f t="shared" si="5"/>
        <v>0</v>
      </c>
      <c r="Z208" s="113">
        <v>172.314106331</v>
      </c>
      <c r="AA208" s="114">
        <f t="shared" si="6"/>
        <v>10.29179923</v>
      </c>
      <c r="AB208" s="22"/>
      <c r="AC208" s="22" t="s">
        <v>945</v>
      </c>
      <c r="AD208" s="22"/>
    </row>
    <row r="209">
      <c r="A209" s="57" t="s">
        <v>159</v>
      </c>
      <c r="B209" s="9" t="s">
        <v>160</v>
      </c>
      <c r="C209" s="44"/>
      <c r="D209" s="22" t="s">
        <v>855</v>
      </c>
      <c r="E209" s="116">
        <f t="shared" si="1"/>
        <v>12.63655509</v>
      </c>
      <c r="F209" s="113"/>
      <c r="G209" s="112">
        <f t="shared" si="2"/>
        <v>18.77525455</v>
      </c>
      <c r="H209" s="112"/>
      <c r="I209" s="112"/>
      <c r="J209" s="113">
        <v>2.142226746</v>
      </c>
      <c r="K209" s="113"/>
      <c r="L209" s="113"/>
      <c r="M209" s="113">
        <v>1.485789</v>
      </c>
      <c r="N209" s="113"/>
      <c r="O209" s="113"/>
      <c r="P209" s="113"/>
      <c r="Q209" s="113"/>
      <c r="R209" s="113"/>
      <c r="S209" s="113"/>
      <c r="T209" s="113"/>
      <c r="U209" s="113">
        <f t="shared" si="3"/>
        <v>69.35722387</v>
      </c>
      <c r="V209" s="113">
        <v>18.775254548</v>
      </c>
      <c r="W209" s="114">
        <f t="shared" si="4"/>
        <v>13.45985314</v>
      </c>
      <c r="X209" s="113">
        <v>0.0</v>
      </c>
      <c r="Y209" s="114">
        <f t="shared" si="5"/>
        <v>0</v>
      </c>
      <c r="Z209" s="113">
        <v>120.715528548</v>
      </c>
      <c r="AA209" s="114">
        <f t="shared" si="6"/>
        <v>86.54014686</v>
      </c>
      <c r="AB209" s="22"/>
      <c r="AC209" s="22" t="s">
        <v>946</v>
      </c>
      <c r="AD209" s="22"/>
    </row>
    <row r="210">
      <c r="A210" s="57" t="s">
        <v>185</v>
      </c>
      <c r="B210" s="9" t="s">
        <v>160</v>
      </c>
      <c r="C210" s="129"/>
      <c r="D210" s="9" t="s">
        <v>857</v>
      </c>
      <c r="E210" s="161">
        <f t="shared" si="1"/>
        <v>0.000000001505105789</v>
      </c>
      <c r="F210" s="113"/>
      <c r="G210" s="112">
        <f t="shared" si="2"/>
        <v>0.000000008</v>
      </c>
      <c r="H210" s="112"/>
      <c r="I210" s="112"/>
      <c r="J210" s="113">
        <v>6.355860486</v>
      </c>
      <c r="K210" s="113"/>
      <c r="L210" s="113"/>
      <c r="M210" s="113">
        <v>5.315241</v>
      </c>
      <c r="N210" s="113"/>
      <c r="O210" s="113"/>
      <c r="P210" s="113"/>
      <c r="Q210" s="113"/>
      <c r="R210" s="113"/>
      <c r="S210" s="113"/>
      <c r="T210" s="113"/>
      <c r="U210" s="113">
        <f t="shared" si="3"/>
        <v>83.62740201</v>
      </c>
      <c r="V210" s="125">
        <v>8.0E-9</v>
      </c>
      <c r="W210" s="114">
        <f t="shared" si="4"/>
        <v>0.000000006769464677</v>
      </c>
      <c r="X210" s="113">
        <v>0.0</v>
      </c>
      <c r="Y210" s="114">
        <f t="shared" si="5"/>
        <v>0</v>
      </c>
      <c r="Z210" s="113">
        <v>118.177734592</v>
      </c>
      <c r="AA210" s="114">
        <f t="shared" si="6"/>
        <v>99.99999999</v>
      </c>
      <c r="AB210" s="22"/>
      <c r="AC210" s="22" t="s">
        <v>947</v>
      </c>
      <c r="AD210" s="22"/>
    </row>
    <row r="211">
      <c r="A211" s="57" t="s">
        <v>209</v>
      </c>
      <c r="B211" s="9" t="s">
        <v>160</v>
      </c>
      <c r="C211" s="129"/>
      <c r="D211" s="22" t="s">
        <v>860</v>
      </c>
      <c r="E211" s="110">
        <f t="shared" si="1"/>
        <v>64.48099763</v>
      </c>
      <c r="F211" s="113"/>
      <c r="G211" s="112">
        <f t="shared" si="2"/>
        <v>16.23979718</v>
      </c>
      <c r="H211" s="112"/>
      <c r="I211" s="112"/>
      <c r="J211" s="113">
        <v>0.753715085</v>
      </c>
      <c r="K211" s="113"/>
      <c r="L211" s="113"/>
      <c r="M211" s="113">
        <v>0.251854</v>
      </c>
      <c r="N211" s="113"/>
      <c r="O211" s="113"/>
      <c r="P211" s="113"/>
      <c r="Q211" s="113"/>
      <c r="R211" s="113"/>
      <c r="S211" s="113"/>
      <c r="T211" s="113"/>
      <c r="U211" s="113">
        <f t="shared" si="3"/>
        <v>33.41501384</v>
      </c>
      <c r="V211" s="68">
        <v>16.239797176</v>
      </c>
      <c r="W211" s="114">
        <f t="shared" si="4"/>
        <v>95.45684169</v>
      </c>
      <c r="X211" s="68">
        <v>0.0</v>
      </c>
      <c r="Y211" s="114">
        <f t="shared" si="5"/>
        <v>0</v>
      </c>
      <c r="Z211" s="68">
        <v>0.772914421</v>
      </c>
      <c r="AA211" s="114">
        <f t="shared" si="6"/>
        <v>4.543158312</v>
      </c>
      <c r="AB211" s="22"/>
      <c r="AC211" s="22" t="s">
        <v>948</v>
      </c>
      <c r="AD211" s="22"/>
    </row>
    <row r="212">
      <c r="A212" s="57" t="s">
        <v>232</v>
      </c>
      <c r="B212" s="9" t="s">
        <v>233</v>
      </c>
      <c r="C212" s="22"/>
      <c r="D212" s="67" t="s">
        <v>862</v>
      </c>
      <c r="E212" s="116">
        <f t="shared" si="1"/>
        <v>71.6619171</v>
      </c>
      <c r="F212" s="131"/>
      <c r="G212" s="112">
        <f t="shared" si="2"/>
        <v>134.5024672</v>
      </c>
      <c r="H212" s="112"/>
      <c r="I212" s="112"/>
      <c r="J212" s="68">
        <v>2.023362284</v>
      </c>
      <c r="K212" s="68"/>
      <c r="L212" s="68"/>
      <c r="M212" s="68">
        <v>1.876903</v>
      </c>
      <c r="N212" s="68"/>
      <c r="O212" s="68"/>
      <c r="P212" s="68"/>
      <c r="Q212" s="68"/>
      <c r="R212" s="68"/>
      <c r="S212" s="68"/>
      <c r="T212" s="68"/>
      <c r="U212" s="113">
        <f t="shared" si="3"/>
        <v>92.76158871</v>
      </c>
      <c r="V212" s="68">
        <v>134.502467187</v>
      </c>
      <c r="W212" s="114">
        <f t="shared" si="4"/>
        <v>98.83485123</v>
      </c>
      <c r="X212" s="68">
        <v>0.0</v>
      </c>
      <c r="Y212" s="114">
        <f t="shared" si="5"/>
        <v>0</v>
      </c>
      <c r="Z212" s="68">
        <v>1.585628781</v>
      </c>
      <c r="AA212" s="114">
        <f t="shared" si="6"/>
        <v>1.165148773</v>
      </c>
      <c r="AB212" s="132"/>
      <c r="AC212" s="22" t="s">
        <v>949</v>
      </c>
      <c r="AD212" s="22"/>
    </row>
    <row r="213">
      <c r="A213" s="57" t="s">
        <v>258</v>
      </c>
      <c r="B213" s="9" t="s">
        <v>233</v>
      </c>
      <c r="C213" s="22"/>
      <c r="D213" s="67" t="s">
        <v>860</v>
      </c>
      <c r="E213" s="160">
        <f t="shared" si="1"/>
        <v>9.922245097</v>
      </c>
      <c r="F213" s="113"/>
      <c r="G213" s="112">
        <f t="shared" si="2"/>
        <v>10.71699709</v>
      </c>
      <c r="H213" s="112"/>
      <c r="I213" s="112"/>
      <c r="J213" s="113">
        <v>1.163434952</v>
      </c>
      <c r="K213" s="113"/>
      <c r="L213" s="113"/>
      <c r="M213" s="113">
        <v>1.080098</v>
      </c>
      <c r="N213" s="113"/>
      <c r="O213" s="113"/>
      <c r="P213" s="113"/>
      <c r="Q213" s="113"/>
      <c r="R213" s="113"/>
      <c r="S213" s="113"/>
      <c r="T213" s="113"/>
      <c r="U213" s="113">
        <f t="shared" si="3"/>
        <v>92.83699086</v>
      </c>
      <c r="V213" s="130">
        <v>10.716997083</v>
      </c>
      <c r="W213" s="114">
        <f t="shared" si="4"/>
        <v>21.21314721</v>
      </c>
      <c r="X213" s="130">
        <v>2.0E-9</v>
      </c>
      <c r="Y213" s="114">
        <f t="shared" si="5"/>
        <v>0.000000003958785665</v>
      </c>
      <c r="Z213" s="68">
        <v>39.803545551</v>
      </c>
      <c r="AA213" s="114">
        <f t="shared" si="6"/>
        <v>78.78685278</v>
      </c>
      <c r="AB213" s="22"/>
      <c r="AC213" s="22" t="s">
        <v>950</v>
      </c>
      <c r="AD213" s="22"/>
    </row>
    <row r="214">
      <c r="A214" s="57" t="s">
        <v>280</v>
      </c>
      <c r="B214" s="9" t="s">
        <v>233</v>
      </c>
      <c r="C214" s="22"/>
      <c r="D214" s="22" t="s">
        <v>33</v>
      </c>
      <c r="E214" s="160">
        <f t="shared" si="1"/>
        <v>7.8904104</v>
      </c>
      <c r="F214" s="113"/>
      <c r="G214" s="112">
        <f t="shared" si="2"/>
        <v>16.59944299</v>
      </c>
      <c r="H214" s="112"/>
      <c r="I214" s="112"/>
      <c r="J214" s="113">
        <v>12.144893592</v>
      </c>
      <c r="K214" s="113"/>
      <c r="L214" s="113"/>
      <c r="M214" s="113">
        <v>2.103749</v>
      </c>
      <c r="N214" s="113"/>
      <c r="O214" s="113"/>
      <c r="P214" s="113"/>
      <c r="Q214" s="113"/>
      <c r="R214" s="113"/>
      <c r="S214" s="113"/>
      <c r="T214" s="113"/>
      <c r="U214" s="113">
        <f t="shared" si="3"/>
        <v>17.32208672</v>
      </c>
      <c r="V214" s="113">
        <v>16.599442734</v>
      </c>
      <c r="W214" s="114">
        <f t="shared" si="4"/>
        <v>45.01010222</v>
      </c>
      <c r="X214" s="125">
        <v>2.55E-7</v>
      </c>
      <c r="Y214" s="114">
        <f t="shared" si="5"/>
        <v>0.0000006914434568</v>
      </c>
      <c r="Z214" s="113">
        <v>20.279928345</v>
      </c>
      <c r="AA214" s="114">
        <f t="shared" si="6"/>
        <v>54.98989709</v>
      </c>
      <c r="AB214" s="22"/>
      <c r="AC214" s="22" t="s">
        <v>951</v>
      </c>
      <c r="AD214" s="22"/>
    </row>
    <row r="215">
      <c r="A215" s="134"/>
      <c r="B215" s="62"/>
      <c r="C215" s="62"/>
      <c r="D215" s="62"/>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c r="AA215" s="134"/>
      <c r="AB215" s="134"/>
      <c r="AC215" s="134"/>
      <c r="AD215" s="134"/>
    </row>
    <row r="216">
      <c r="A216" s="65" t="s">
        <v>303</v>
      </c>
      <c r="B216" s="136" t="s">
        <v>952</v>
      </c>
      <c r="C216" s="3" t="s">
        <v>304</v>
      </c>
      <c r="D216" s="3" t="s">
        <v>3</v>
      </c>
      <c r="E216" s="3" t="s">
        <v>4</v>
      </c>
      <c r="F216" s="3" t="s">
        <v>5</v>
      </c>
      <c r="G216" s="3" t="s">
        <v>6</v>
      </c>
      <c r="H216" s="3"/>
      <c r="I216" s="3"/>
      <c r="J216" s="3" t="s">
        <v>305</v>
      </c>
      <c r="K216" s="3"/>
      <c r="L216" s="3"/>
      <c r="M216" s="3" t="s">
        <v>836</v>
      </c>
      <c r="N216" s="3"/>
      <c r="O216" s="3"/>
      <c r="P216" s="3"/>
      <c r="Q216" s="3"/>
      <c r="R216" s="3"/>
      <c r="S216" s="3"/>
      <c r="T216" s="3"/>
      <c r="U216" s="3" t="s">
        <v>306</v>
      </c>
      <c r="V216" s="5"/>
      <c r="W216" s="5" t="s">
        <v>16</v>
      </c>
      <c r="X216" s="5"/>
      <c r="Y216" s="5" t="s">
        <v>18</v>
      </c>
      <c r="Z216" s="5"/>
      <c r="AA216" s="5" t="s">
        <v>20</v>
      </c>
      <c r="AB216" s="5" t="s">
        <v>21</v>
      </c>
      <c r="AC216" s="5" t="s">
        <v>23</v>
      </c>
      <c r="AD216" s="159"/>
    </row>
    <row r="217">
      <c r="A217" s="66" t="s">
        <v>307</v>
      </c>
      <c r="B217" s="67" t="s">
        <v>308</v>
      </c>
      <c r="C217" s="67"/>
      <c r="D217" s="67" t="s">
        <v>860</v>
      </c>
      <c r="E217" s="161">
        <f t="shared" ref="E217:E224" si="7">G217/M217</f>
        <v>38.2580521</v>
      </c>
      <c r="F217" s="68"/>
      <c r="G217" s="112">
        <f t="shared" ref="G217:G224" si="8">V217+X217</f>
        <v>4650.241672</v>
      </c>
      <c r="H217" s="112"/>
      <c r="I217" s="112"/>
      <c r="J217" s="14">
        <v>138.315746029</v>
      </c>
      <c r="K217" s="14"/>
      <c r="L217" s="14"/>
      <c r="M217" s="68">
        <v>121.549358</v>
      </c>
      <c r="N217" s="68"/>
      <c r="O217" s="68"/>
      <c r="P217" s="68"/>
      <c r="Q217" s="68"/>
      <c r="R217" s="68"/>
      <c r="S217" s="68"/>
      <c r="T217" s="68"/>
      <c r="U217" s="113">
        <f t="shared" ref="U217:U224" si="9">M217*100/J217</f>
        <v>87.87817836</v>
      </c>
      <c r="V217" s="68">
        <v>4650.241670238</v>
      </c>
      <c r="W217" s="114">
        <f t="shared" ref="W217:W224" si="10">V217*100/(V217+X217+Z217)</f>
        <v>10.90070696</v>
      </c>
      <c r="X217" s="130">
        <v>1.386E-6</v>
      </c>
      <c r="Y217" s="114">
        <f t="shared" ref="Y217:Y224" si="11">X217*100/(V217+X217+Z217)</f>
        <v>0.000000003248945092</v>
      </c>
      <c r="Z217" s="68">
        <v>38009.759060646</v>
      </c>
      <c r="AA217" s="114">
        <f t="shared" ref="AA217:AA224" si="12">Z217*100/(V217+X217+Z217)</f>
        <v>89.09929303</v>
      </c>
      <c r="AB217" s="70"/>
      <c r="AC217" s="70" t="s">
        <v>953</v>
      </c>
      <c r="AD217" s="70"/>
    </row>
    <row r="218">
      <c r="A218" s="66" t="s">
        <v>335</v>
      </c>
      <c r="B218" s="67" t="s">
        <v>93</v>
      </c>
      <c r="C218" s="67"/>
      <c r="D218" s="67" t="s">
        <v>850</v>
      </c>
      <c r="E218" s="116">
        <f t="shared" si="7"/>
        <v>143.468914</v>
      </c>
      <c r="F218" s="68"/>
      <c r="G218" s="112">
        <f t="shared" si="8"/>
        <v>1664.79434</v>
      </c>
      <c r="H218" s="112"/>
      <c r="I218" s="112"/>
      <c r="J218" s="68">
        <v>11.714850905</v>
      </c>
      <c r="K218" s="68"/>
      <c r="L218" s="68"/>
      <c r="M218" s="68">
        <v>11.603868</v>
      </c>
      <c r="N218" s="68"/>
      <c r="O218" s="68"/>
      <c r="P218" s="68"/>
      <c r="Q218" s="68"/>
      <c r="R218" s="68"/>
      <c r="S218" s="68"/>
      <c r="T218" s="68"/>
      <c r="U218" s="113">
        <f t="shared" si="9"/>
        <v>99.05263067</v>
      </c>
      <c r="V218" s="68">
        <v>91.012446173</v>
      </c>
      <c r="W218" s="114">
        <f t="shared" si="10"/>
        <v>0.3082850759</v>
      </c>
      <c r="X218" s="68">
        <v>1573.781893897</v>
      </c>
      <c r="Y218" s="114">
        <f t="shared" si="11"/>
        <v>5.330847494</v>
      </c>
      <c r="Z218" s="68">
        <v>27857.376300404</v>
      </c>
      <c r="AA218" s="114">
        <f t="shared" si="12"/>
        <v>94.36086743</v>
      </c>
      <c r="AB218" s="70"/>
      <c r="AC218" s="70" t="s">
        <v>954</v>
      </c>
      <c r="AD218" s="70"/>
    </row>
    <row r="219">
      <c r="A219" s="66" t="s">
        <v>358</v>
      </c>
      <c r="B219" s="67" t="s">
        <v>31</v>
      </c>
      <c r="C219" s="153"/>
      <c r="D219" s="67" t="s">
        <v>860</v>
      </c>
      <c r="E219" s="110">
        <f t="shared" si="7"/>
        <v>11.21993723</v>
      </c>
      <c r="F219" s="11"/>
      <c r="G219" s="112">
        <f t="shared" si="8"/>
        <v>307.5733958</v>
      </c>
      <c r="H219" s="112"/>
      <c r="I219" s="112"/>
      <c r="J219" s="14">
        <v>27.683789512</v>
      </c>
      <c r="K219" s="14"/>
      <c r="L219" s="14"/>
      <c r="M219" s="14">
        <v>27.413112</v>
      </c>
      <c r="N219" s="14"/>
      <c r="O219" s="14"/>
      <c r="P219" s="14"/>
      <c r="Q219" s="14"/>
      <c r="R219" s="14"/>
      <c r="S219" s="14"/>
      <c r="T219" s="14"/>
      <c r="U219" s="113">
        <f t="shared" si="9"/>
        <v>99.02225267</v>
      </c>
      <c r="V219" s="11">
        <v>307.570894827</v>
      </c>
      <c r="W219" s="114">
        <f t="shared" si="10"/>
        <v>31.04729482</v>
      </c>
      <c r="X219" s="68">
        <v>0.00250102</v>
      </c>
      <c r="Y219" s="114">
        <f t="shared" si="11"/>
        <v>0.0002524618116</v>
      </c>
      <c r="Z219" s="11">
        <v>683.079402029</v>
      </c>
      <c r="AA219" s="114">
        <f t="shared" si="12"/>
        <v>68.95245272</v>
      </c>
      <c r="AB219" s="22"/>
      <c r="AC219" s="36" t="s">
        <v>955</v>
      </c>
      <c r="AD219" s="36"/>
    </row>
    <row r="220">
      <c r="A220" s="66" t="s">
        <v>382</v>
      </c>
      <c r="B220" s="67" t="s">
        <v>308</v>
      </c>
      <c r="C220" s="67"/>
      <c r="D220" s="67" t="s">
        <v>873</v>
      </c>
      <c r="E220" s="161">
        <f t="shared" si="7"/>
        <v>58.90366162</v>
      </c>
      <c r="F220" s="77"/>
      <c r="G220" s="112">
        <f t="shared" si="8"/>
        <v>740.8072606</v>
      </c>
      <c r="H220" s="112"/>
      <c r="I220" s="112"/>
      <c r="J220" s="68">
        <v>12.69024556</v>
      </c>
      <c r="K220" s="68"/>
      <c r="L220" s="68"/>
      <c r="M220" s="68">
        <v>12.576591</v>
      </c>
      <c r="N220" s="68"/>
      <c r="O220" s="68"/>
      <c r="P220" s="68"/>
      <c r="Q220" s="68"/>
      <c r="R220" s="68"/>
      <c r="S220" s="68"/>
      <c r="T220" s="68"/>
      <c r="U220" s="113">
        <f t="shared" si="9"/>
        <v>99.10439432</v>
      </c>
      <c r="V220" s="140">
        <v>740.80726055</v>
      </c>
      <c r="W220" s="114">
        <f t="shared" si="10"/>
        <v>24.84752757</v>
      </c>
      <c r="X220" s="130">
        <v>9.6E-8</v>
      </c>
      <c r="Y220" s="114">
        <f t="shared" si="11"/>
        <v>0.000000003219950416</v>
      </c>
      <c r="Z220" s="68">
        <v>2240.605109468</v>
      </c>
      <c r="AA220" s="114">
        <f t="shared" si="12"/>
        <v>75.15247243</v>
      </c>
      <c r="AB220" s="70"/>
      <c r="AC220" s="36" t="s">
        <v>956</v>
      </c>
      <c r="AD220" s="36"/>
    </row>
    <row r="221">
      <c r="A221" s="66" t="s">
        <v>457</v>
      </c>
      <c r="B221" s="67" t="s">
        <v>233</v>
      </c>
      <c r="C221" s="67"/>
      <c r="D221" s="67" t="s">
        <v>33</v>
      </c>
      <c r="E221" s="116">
        <f t="shared" si="7"/>
        <v>0.0207951851</v>
      </c>
      <c r="F221" s="68"/>
      <c r="G221" s="112">
        <f t="shared" si="8"/>
        <v>5.187082389</v>
      </c>
      <c r="H221" s="112"/>
      <c r="I221" s="112"/>
      <c r="J221" s="68">
        <v>249.494361936</v>
      </c>
      <c r="K221" s="68"/>
      <c r="L221" s="68"/>
      <c r="M221" s="68">
        <v>249.436702</v>
      </c>
      <c r="N221" s="68"/>
      <c r="O221" s="68"/>
      <c r="P221" s="68"/>
      <c r="Q221" s="68"/>
      <c r="R221" s="68"/>
      <c r="S221" s="68"/>
      <c r="T221" s="68"/>
      <c r="U221" s="113">
        <f t="shared" si="9"/>
        <v>99.97688928</v>
      </c>
      <c r="V221" s="68">
        <v>4.003865913</v>
      </c>
      <c r="W221" s="114">
        <f t="shared" si="10"/>
        <v>0.7032185587</v>
      </c>
      <c r="X221" s="68">
        <v>1.183216476</v>
      </c>
      <c r="Y221" s="114">
        <f t="shared" si="11"/>
        <v>0.2078140984</v>
      </c>
      <c r="Z221" s="68">
        <v>564.175865116</v>
      </c>
      <c r="AA221" s="114">
        <f t="shared" si="12"/>
        <v>99.08896734</v>
      </c>
      <c r="AB221" s="143"/>
      <c r="AC221" s="36" t="s">
        <v>957</v>
      </c>
      <c r="AD221" s="36"/>
    </row>
    <row r="222">
      <c r="A222" s="66" t="s">
        <v>503</v>
      </c>
      <c r="B222" s="67" t="s">
        <v>308</v>
      </c>
      <c r="C222" s="67"/>
      <c r="D222" s="67" t="s">
        <v>860</v>
      </c>
      <c r="E222" s="161">
        <f t="shared" si="7"/>
        <v>130.4580879</v>
      </c>
      <c r="F222" s="68"/>
      <c r="G222" s="112">
        <f t="shared" si="8"/>
        <v>4182.521782</v>
      </c>
      <c r="H222" s="112"/>
      <c r="I222" s="112"/>
      <c r="J222" s="68">
        <v>32.870936796</v>
      </c>
      <c r="K222" s="68"/>
      <c r="L222" s="68"/>
      <c r="M222" s="68">
        <v>32.060272</v>
      </c>
      <c r="N222" s="68"/>
      <c r="O222" s="68"/>
      <c r="P222" s="68"/>
      <c r="Q222" s="68"/>
      <c r="R222" s="68"/>
      <c r="S222" s="68"/>
      <c r="T222" s="68"/>
      <c r="U222" s="113">
        <f t="shared" si="9"/>
        <v>97.53379467</v>
      </c>
      <c r="V222" s="68">
        <v>4182.521781443</v>
      </c>
      <c r="W222" s="114">
        <f t="shared" si="10"/>
        <v>27.75599568</v>
      </c>
      <c r="X222" s="130">
        <v>9.6E-8</v>
      </c>
      <c r="Y222" s="114">
        <f t="shared" si="11"/>
        <v>0.0000000006370739293</v>
      </c>
      <c r="Z222" s="68">
        <v>10886.37298706</v>
      </c>
      <c r="AA222" s="114">
        <f t="shared" si="12"/>
        <v>72.24400432</v>
      </c>
      <c r="AB222" s="70"/>
      <c r="AC222" s="36" t="s">
        <v>958</v>
      </c>
      <c r="AD222" s="36"/>
    </row>
    <row r="223">
      <c r="A223" s="66" t="s">
        <v>562</v>
      </c>
      <c r="B223" s="67" t="s">
        <v>308</v>
      </c>
      <c r="C223" s="67"/>
      <c r="D223" s="67" t="s">
        <v>211</v>
      </c>
      <c r="E223" s="160">
        <f t="shared" si="7"/>
        <v>85.26449065</v>
      </c>
      <c r="F223" s="77"/>
      <c r="G223" s="112">
        <f t="shared" si="8"/>
        <v>700.3654252</v>
      </c>
      <c r="H223" s="112"/>
      <c r="I223" s="112"/>
      <c r="J223" s="68">
        <v>8.297161239</v>
      </c>
      <c r="K223" s="68"/>
      <c r="L223" s="68"/>
      <c r="M223" s="68">
        <v>8.214034</v>
      </c>
      <c r="N223" s="68"/>
      <c r="O223" s="68"/>
      <c r="P223" s="68"/>
      <c r="Q223" s="68"/>
      <c r="R223" s="68"/>
      <c r="S223" s="68"/>
      <c r="T223" s="68"/>
      <c r="U223" s="113">
        <f t="shared" si="9"/>
        <v>98.99812434</v>
      </c>
      <c r="V223" s="68">
        <v>700.365424737</v>
      </c>
      <c r="W223" s="114">
        <f t="shared" si="10"/>
        <v>47.51439346</v>
      </c>
      <c r="X223" s="130">
        <v>4.56E-7</v>
      </c>
      <c r="Y223" s="114">
        <f t="shared" si="11"/>
        <v>0.00000003093608372</v>
      </c>
      <c r="Z223" s="68">
        <v>773.641446805</v>
      </c>
      <c r="AA223" s="114">
        <f t="shared" si="12"/>
        <v>52.48560651</v>
      </c>
      <c r="AB223" s="70"/>
      <c r="AC223" s="21" t="s">
        <v>959</v>
      </c>
      <c r="AD223" s="21"/>
    </row>
    <row r="224">
      <c r="A224" s="66" t="s">
        <v>614</v>
      </c>
      <c r="B224" s="67" t="s">
        <v>31</v>
      </c>
      <c r="C224" s="67"/>
      <c r="D224" s="67" t="s">
        <v>860</v>
      </c>
      <c r="E224" s="116">
        <f t="shared" si="7"/>
        <v>48.91346938</v>
      </c>
      <c r="F224" s="11"/>
      <c r="G224" s="112">
        <f t="shared" si="8"/>
        <v>234.9405403</v>
      </c>
      <c r="H224" s="112"/>
      <c r="I224" s="112"/>
      <c r="J224" s="11">
        <v>5.709997759</v>
      </c>
      <c r="K224" s="11"/>
      <c r="L224" s="11"/>
      <c r="M224" s="11">
        <v>4.803187</v>
      </c>
      <c r="N224" s="11"/>
      <c r="O224" s="11"/>
      <c r="P224" s="11"/>
      <c r="Q224" s="11"/>
      <c r="R224" s="11"/>
      <c r="S224" s="11"/>
      <c r="T224" s="11"/>
      <c r="U224" s="113">
        <f t="shared" si="9"/>
        <v>84.11889466</v>
      </c>
      <c r="V224" s="11">
        <v>1.300291094</v>
      </c>
      <c r="W224" s="114">
        <f t="shared" si="10"/>
        <v>0.05950157583</v>
      </c>
      <c r="X224" s="11">
        <v>233.640249163</v>
      </c>
      <c r="Y224" s="114">
        <f t="shared" si="11"/>
        <v>10.69142369</v>
      </c>
      <c r="Z224" s="11">
        <v>1950.364766192</v>
      </c>
      <c r="AA224" s="114">
        <f t="shared" si="12"/>
        <v>89.24907474</v>
      </c>
      <c r="AB224" s="22"/>
      <c r="AC224" s="36" t="s">
        <v>960</v>
      </c>
      <c r="AD224" s="36"/>
    </row>
    <row r="225">
      <c r="A225" s="134"/>
      <c r="B225" s="134"/>
      <c r="C225" s="134"/>
      <c r="D225" s="134"/>
      <c r="E225" s="134"/>
      <c r="F225" s="63"/>
      <c r="G225" s="134"/>
      <c r="H225" s="134"/>
      <c r="I225" s="134"/>
      <c r="J225" s="134"/>
      <c r="K225" s="134"/>
      <c r="L225" s="134"/>
      <c r="M225" s="134"/>
      <c r="N225" s="134"/>
      <c r="O225" s="134"/>
      <c r="P225" s="134"/>
      <c r="Q225" s="134"/>
      <c r="R225" s="134"/>
      <c r="S225" s="134"/>
      <c r="T225" s="134"/>
      <c r="U225" s="134"/>
      <c r="V225" s="134"/>
      <c r="W225" s="134"/>
      <c r="X225" s="134"/>
      <c r="Y225" s="134"/>
      <c r="Z225" s="134"/>
      <c r="AA225" s="134"/>
      <c r="AB225" s="134"/>
      <c r="AC225" s="134"/>
      <c r="AD225" s="134"/>
    </row>
    <row r="226">
      <c r="A226" s="67" t="s">
        <v>681</v>
      </c>
      <c r="B226" s="67" t="s">
        <v>683</v>
      </c>
      <c r="C226" s="67" t="s">
        <v>961</v>
      </c>
      <c r="D226" s="67" t="s">
        <v>33</v>
      </c>
      <c r="E226" s="148">
        <f t="shared" ref="E226:E227" si="13">G226/M226</f>
        <v>296.5554734</v>
      </c>
      <c r="F226" s="112"/>
      <c r="G226" s="112">
        <f t="shared" ref="G226:G227" si="14">V226+X226</f>
        <v>91030.96556</v>
      </c>
      <c r="H226" s="112"/>
      <c r="I226" s="112"/>
      <c r="J226" s="112">
        <v>313.300094982</v>
      </c>
      <c r="K226" s="112"/>
      <c r="L226" s="112"/>
      <c r="M226" s="112">
        <v>306.961003</v>
      </c>
      <c r="N226" s="112"/>
      <c r="O226" s="112"/>
      <c r="P226" s="112"/>
      <c r="Q226" s="112"/>
      <c r="R226" s="112"/>
      <c r="S226" s="112"/>
      <c r="T226" s="112"/>
      <c r="U226" s="113">
        <f t="shared" ref="U226:U227" si="15">M226*100/J226</f>
        <v>97.9766709</v>
      </c>
      <c r="V226" s="112">
        <v>91030.965563272</v>
      </c>
      <c r="W226" s="114">
        <f t="shared" ref="W226:W227" si="16">V226*100/(V226+X226+Z226)</f>
        <v>74.44920653</v>
      </c>
      <c r="X226" s="112">
        <v>0.0</v>
      </c>
      <c r="Y226" s="114">
        <f t="shared" ref="Y226:Y227" si="17">X226*100/(V226+X226+Z226)</f>
        <v>0</v>
      </c>
      <c r="Z226" s="112">
        <v>31241.614364588</v>
      </c>
      <c r="AA226" s="114">
        <f t="shared" ref="AA226:AA227" si="18">Z226*100/(V226+X226+Z226)</f>
        <v>25.55079347</v>
      </c>
      <c r="AB226" s="112"/>
      <c r="AC226" s="67" t="s">
        <v>962</v>
      </c>
      <c r="AD226" s="67"/>
    </row>
    <row r="227">
      <c r="A227" s="67" t="s">
        <v>684</v>
      </c>
      <c r="B227" s="67" t="s">
        <v>683</v>
      </c>
      <c r="C227" s="67" t="s">
        <v>963</v>
      </c>
      <c r="D227" s="67" t="s">
        <v>95</v>
      </c>
      <c r="E227" s="148">
        <f t="shared" si="13"/>
        <v>8.717051009</v>
      </c>
      <c r="F227" s="112"/>
      <c r="G227" s="112">
        <f t="shared" si="14"/>
        <v>336.3443012</v>
      </c>
      <c r="H227" s="112"/>
      <c r="I227" s="112"/>
      <c r="J227" s="112">
        <v>327.518708423</v>
      </c>
      <c r="K227" s="112"/>
      <c r="L227" s="112"/>
      <c r="M227" s="112">
        <v>38.584643</v>
      </c>
      <c r="N227" s="112"/>
      <c r="O227" s="112"/>
      <c r="P227" s="112"/>
      <c r="Q227" s="112"/>
      <c r="R227" s="112"/>
      <c r="S227" s="112"/>
      <c r="T227" s="112"/>
      <c r="U227" s="113">
        <f t="shared" si="15"/>
        <v>11.7808974</v>
      </c>
      <c r="V227" s="112">
        <v>336.344301108</v>
      </c>
      <c r="W227" s="114">
        <f t="shared" si="16"/>
        <v>78.8686719</v>
      </c>
      <c r="X227" s="112">
        <v>1.02E-7</v>
      </c>
      <c r="Y227" s="114">
        <f t="shared" si="17"/>
        <v>0.00000002391776673</v>
      </c>
      <c r="Z227" s="112">
        <v>90.116919697</v>
      </c>
      <c r="AA227" s="114">
        <f t="shared" si="18"/>
        <v>21.13132807</v>
      </c>
      <c r="AB227" s="112"/>
      <c r="AC227" s="67" t="s">
        <v>964</v>
      </c>
      <c r="AD227" s="67"/>
    </row>
    <row r="228">
      <c r="C228" s="7" t="s">
        <v>965</v>
      </c>
      <c r="E228" s="112"/>
      <c r="F228" s="112"/>
      <c r="G228" s="112"/>
      <c r="H228" s="112"/>
      <c r="I228" s="112"/>
      <c r="J228" s="112"/>
      <c r="K228" s="112"/>
      <c r="L228" s="112"/>
      <c r="M228" s="112"/>
      <c r="N228" s="112"/>
      <c r="O228" s="112"/>
      <c r="P228" s="112"/>
      <c r="Q228" s="112"/>
      <c r="R228" s="112"/>
      <c r="S228" s="112"/>
      <c r="T228" s="112"/>
      <c r="U228" s="112"/>
      <c r="V228" s="112"/>
      <c r="W228" s="112"/>
      <c r="X228" s="112"/>
      <c r="Y228" s="112"/>
      <c r="Z228" s="112"/>
      <c r="AA228" s="112"/>
      <c r="AB228" s="112"/>
    </row>
    <row r="229">
      <c r="B229" s="7" t="s">
        <v>966</v>
      </c>
      <c r="C229" s="7" t="s">
        <v>967</v>
      </c>
      <c r="E229" s="112"/>
      <c r="F229" s="112"/>
      <c r="G229" s="112"/>
      <c r="H229" s="112"/>
      <c r="I229" s="112"/>
      <c r="J229" s="112"/>
      <c r="K229" s="112"/>
      <c r="L229" s="112"/>
      <c r="M229" s="112"/>
      <c r="N229" s="112"/>
      <c r="O229" s="112"/>
      <c r="P229" s="112"/>
      <c r="Q229" s="112"/>
      <c r="R229" s="112"/>
      <c r="S229" s="112"/>
      <c r="T229" s="112"/>
      <c r="U229" s="112"/>
      <c r="V229" s="112"/>
      <c r="W229" s="112"/>
      <c r="X229" s="112"/>
      <c r="Y229" s="112"/>
      <c r="Z229" s="112"/>
      <c r="AA229" s="112"/>
      <c r="AB229" s="112"/>
    </row>
    <row r="230">
      <c r="B230" s="7" t="s">
        <v>968</v>
      </c>
      <c r="C230" s="7" t="s">
        <v>969</v>
      </c>
      <c r="E230" s="112"/>
      <c r="F230" s="112"/>
      <c r="G230" s="112"/>
      <c r="H230" s="112"/>
      <c r="I230" s="112"/>
      <c r="J230" s="112"/>
      <c r="K230" s="112"/>
      <c r="L230" s="112"/>
      <c r="M230" s="112"/>
      <c r="N230" s="112"/>
      <c r="O230" s="112"/>
      <c r="P230" s="112"/>
      <c r="Q230" s="112"/>
      <c r="R230" s="112"/>
      <c r="S230" s="112"/>
      <c r="T230" s="112"/>
      <c r="U230" s="112"/>
      <c r="V230" s="112"/>
      <c r="W230" s="112"/>
      <c r="X230" s="112"/>
      <c r="Y230" s="112"/>
      <c r="Z230" s="112"/>
      <c r="AA230" s="112"/>
      <c r="AB230" s="112"/>
    </row>
    <row r="231">
      <c r="E231" s="112"/>
      <c r="F231" s="112"/>
      <c r="G231" s="112"/>
      <c r="H231" s="112"/>
      <c r="I231" s="112"/>
      <c r="J231" s="112"/>
      <c r="K231" s="112"/>
      <c r="L231" s="112"/>
      <c r="M231" s="112"/>
      <c r="N231" s="112"/>
      <c r="O231" s="112"/>
      <c r="P231" s="112"/>
      <c r="Q231" s="112"/>
      <c r="R231" s="112"/>
      <c r="S231" s="112"/>
      <c r="T231" s="112"/>
      <c r="U231" s="112"/>
      <c r="V231" s="112"/>
      <c r="W231" s="112"/>
      <c r="X231" s="112"/>
      <c r="Y231" s="112"/>
      <c r="Z231" s="112"/>
      <c r="AA231" s="112"/>
      <c r="AB231" s="112"/>
    </row>
    <row r="232">
      <c r="B232" s="7" t="s">
        <v>970</v>
      </c>
      <c r="C232" s="7" t="s">
        <v>971</v>
      </c>
      <c r="E232" s="112"/>
      <c r="F232" s="112"/>
      <c r="G232" s="112"/>
      <c r="H232" s="112"/>
      <c r="I232" s="112"/>
      <c r="J232" s="112"/>
      <c r="K232" s="112"/>
      <c r="L232" s="112"/>
      <c r="M232" s="112"/>
      <c r="N232" s="112"/>
      <c r="O232" s="112"/>
      <c r="P232" s="112"/>
      <c r="Q232" s="112"/>
      <c r="R232" s="112"/>
      <c r="S232" s="112"/>
      <c r="T232" s="112"/>
      <c r="U232" s="112"/>
      <c r="V232" s="112"/>
      <c r="W232" s="112"/>
      <c r="X232" s="112"/>
      <c r="Y232" s="112"/>
      <c r="Z232" s="112"/>
      <c r="AA232" s="112"/>
      <c r="AB232" s="112"/>
    </row>
    <row r="233">
      <c r="C233" s="7" t="s">
        <v>972</v>
      </c>
      <c r="E233" s="112"/>
      <c r="F233" s="112"/>
      <c r="G233" s="112"/>
      <c r="H233" s="112"/>
      <c r="I233" s="112"/>
      <c r="J233" s="112"/>
      <c r="K233" s="112"/>
      <c r="L233" s="112"/>
      <c r="M233" s="112"/>
      <c r="N233" s="112"/>
      <c r="O233" s="112"/>
      <c r="P233" s="112"/>
      <c r="Q233" s="112"/>
      <c r="R233" s="112"/>
      <c r="S233" s="112"/>
      <c r="T233" s="112"/>
      <c r="U233" s="112"/>
      <c r="V233" s="112"/>
      <c r="W233" s="112"/>
      <c r="X233" s="112"/>
      <c r="Y233" s="112"/>
      <c r="Z233" s="112"/>
      <c r="AA233" s="112"/>
      <c r="AB233" s="112"/>
    </row>
    <row r="234">
      <c r="C234" s="7" t="s">
        <v>973</v>
      </c>
      <c r="E234" s="112"/>
      <c r="F234" s="112"/>
      <c r="G234" s="112"/>
      <c r="H234" s="112"/>
      <c r="I234" s="112"/>
      <c r="J234" s="112"/>
      <c r="K234" s="112"/>
      <c r="L234" s="112"/>
      <c r="M234" s="112"/>
      <c r="N234" s="112"/>
      <c r="O234" s="112"/>
      <c r="P234" s="112"/>
      <c r="Q234" s="112"/>
      <c r="R234" s="112"/>
      <c r="S234" s="112"/>
      <c r="T234" s="112"/>
      <c r="U234" s="112"/>
      <c r="V234" s="112"/>
      <c r="W234" s="112"/>
      <c r="X234" s="112"/>
      <c r="Y234" s="112"/>
      <c r="Z234" s="112"/>
      <c r="AA234" s="112"/>
      <c r="AB234" s="112"/>
    </row>
    <row r="235">
      <c r="C235" s="7" t="s">
        <v>974</v>
      </c>
      <c r="E235" s="112"/>
      <c r="F235" s="112"/>
      <c r="G235" s="112"/>
      <c r="H235" s="112"/>
      <c r="I235" s="112"/>
      <c r="J235" s="112"/>
      <c r="K235" s="112"/>
      <c r="L235" s="112"/>
      <c r="M235" s="112"/>
      <c r="N235" s="112"/>
      <c r="O235" s="112"/>
      <c r="P235" s="112"/>
      <c r="Q235" s="112"/>
      <c r="R235" s="112"/>
      <c r="S235" s="112"/>
      <c r="T235" s="112"/>
      <c r="U235" s="112"/>
      <c r="V235" s="112"/>
      <c r="W235" s="112"/>
      <c r="X235" s="112"/>
      <c r="Y235" s="112"/>
      <c r="Z235" s="112"/>
      <c r="AA235" s="112"/>
      <c r="AB235" s="112"/>
    </row>
    <row r="236">
      <c r="E236" s="112"/>
      <c r="F236" s="112"/>
      <c r="G236" s="112"/>
      <c r="H236" s="112"/>
      <c r="I236" s="112"/>
      <c r="J236" s="112"/>
      <c r="K236" s="112"/>
      <c r="L236" s="112"/>
      <c r="M236" s="112"/>
      <c r="N236" s="112"/>
      <c r="O236" s="112"/>
      <c r="P236" s="112"/>
      <c r="Q236" s="112"/>
      <c r="R236" s="112"/>
      <c r="S236" s="112"/>
      <c r="T236" s="112"/>
      <c r="U236" s="112"/>
      <c r="V236" s="112"/>
      <c r="W236" s="112"/>
      <c r="X236" s="112"/>
      <c r="Y236" s="112"/>
      <c r="Z236" s="112"/>
      <c r="AA236" s="112"/>
      <c r="AB236" s="112"/>
    </row>
    <row r="237">
      <c r="C237" s="7" t="s">
        <v>975</v>
      </c>
      <c r="E237" s="112"/>
      <c r="F237" s="112"/>
      <c r="G237" s="112"/>
      <c r="H237" s="112"/>
      <c r="I237" s="112"/>
      <c r="J237" s="112"/>
      <c r="K237" s="112"/>
      <c r="L237" s="112"/>
      <c r="M237" s="112"/>
      <c r="N237" s="112"/>
      <c r="O237" s="112"/>
      <c r="P237" s="112"/>
      <c r="Q237" s="112"/>
      <c r="R237" s="112"/>
      <c r="S237" s="112"/>
      <c r="T237" s="112"/>
      <c r="U237" s="112"/>
      <c r="V237" s="112"/>
      <c r="W237" s="112"/>
      <c r="X237" s="112"/>
      <c r="Y237" s="112"/>
      <c r="Z237" s="112"/>
      <c r="AA237" s="112"/>
      <c r="AB237" s="112"/>
    </row>
    <row r="238">
      <c r="C238" s="7" t="s">
        <v>976</v>
      </c>
      <c r="E238" s="112"/>
      <c r="F238" s="112"/>
      <c r="G238" s="112"/>
      <c r="H238" s="112"/>
      <c r="I238" s="112"/>
      <c r="J238" s="112"/>
      <c r="K238" s="112"/>
      <c r="L238" s="112"/>
      <c r="M238" s="112"/>
      <c r="N238" s="112"/>
      <c r="O238" s="112"/>
      <c r="P238" s="112"/>
      <c r="Q238" s="112"/>
      <c r="R238" s="112"/>
      <c r="S238" s="112"/>
      <c r="T238" s="112"/>
      <c r="U238" s="112"/>
      <c r="V238" s="112"/>
      <c r="W238" s="112"/>
      <c r="X238" s="112"/>
      <c r="Y238" s="112"/>
      <c r="Z238" s="112"/>
      <c r="AA238" s="112"/>
      <c r="AB238" s="112"/>
    </row>
    <row r="239">
      <c r="C239" s="7"/>
      <c r="E239" s="112"/>
      <c r="F239" s="112"/>
      <c r="G239" s="112"/>
      <c r="H239" s="112"/>
      <c r="I239" s="112"/>
      <c r="J239" s="112"/>
      <c r="K239" s="112"/>
      <c r="L239" s="112"/>
      <c r="M239" s="112"/>
      <c r="N239" s="112"/>
      <c r="O239" s="112"/>
      <c r="P239" s="112"/>
      <c r="Q239" s="112"/>
      <c r="R239" s="112"/>
      <c r="S239" s="112"/>
      <c r="T239" s="112"/>
      <c r="U239" s="112"/>
      <c r="V239" s="112"/>
      <c r="W239" s="112"/>
      <c r="X239" s="112"/>
      <c r="Y239" s="112"/>
      <c r="Z239" s="112"/>
      <c r="AA239" s="112"/>
      <c r="AB239" s="112"/>
    </row>
    <row r="240">
      <c r="C240" s="7"/>
    </row>
    <row r="241">
      <c r="C241" s="7"/>
    </row>
  </sheetData>
  <hyperlinks>
    <hyperlink r:id="rId1" ref="D2"/>
    <hyperlink r:id="rId2" ref="D3"/>
    <hyperlink r:id="rId3" ref="D4"/>
    <hyperlink r:id="rId4" ref="D5"/>
    <hyperlink r:id="rId5" ref="D6"/>
    <hyperlink r:id="rId6" ref="D7"/>
    <hyperlink r:id="rId7" ref="D8"/>
    <hyperlink r:id="rId8" ref="D9"/>
    <hyperlink r:id="rId9" ref="D10"/>
    <hyperlink r:id="rId10" ref="A203"/>
    <hyperlink r:id="rId11" ref="A204"/>
    <hyperlink r:id="rId12" ref="A205"/>
    <hyperlink r:id="rId13" ref="A206"/>
    <hyperlink r:id="rId14" ref="A207"/>
    <hyperlink r:id="rId15" ref="A208"/>
    <hyperlink r:id="rId16" ref="A209"/>
    <hyperlink r:id="rId17" ref="A210"/>
    <hyperlink r:id="rId18" ref="A211"/>
    <hyperlink r:id="rId19" ref="A212"/>
    <hyperlink r:id="rId20" ref="A213"/>
    <hyperlink r:id="rId21" ref="A214"/>
  </hyperlinks>
  <drawing r:id="rId2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4.29"/>
    <col customWidth="1" min="3" max="3" width="80.86"/>
    <col customWidth="1" min="4" max="4" width="31.43"/>
    <col customWidth="1" min="5" max="5" width="45.29"/>
    <col customWidth="1" min="6" max="6" width="36.71"/>
    <col customWidth="1" min="7" max="9" width="28.86"/>
    <col customWidth="1" min="10" max="10" width="43.57"/>
    <col customWidth="1" min="11" max="13" width="28.86"/>
    <col customWidth="1" min="14" max="15" width="45.57"/>
    <col customWidth="1" min="16" max="17" width="35.57"/>
    <col customWidth="1" min="18" max="19" width="29.14"/>
    <col customWidth="1" min="20" max="21" width="29.57"/>
    <col customWidth="1" min="22" max="22" width="45.0"/>
    <col customWidth="1" min="23" max="23" width="143.43"/>
    <col customWidth="1" min="24" max="24" width="155.29"/>
    <col customWidth="1" min="25" max="25" width="32.86"/>
  </cols>
  <sheetData>
    <row r="1" ht="33.0" customHeight="1">
      <c r="A1" s="1" t="s">
        <v>385</v>
      </c>
      <c r="B1" s="3" t="s">
        <v>1</v>
      </c>
      <c r="C1" s="3" t="s">
        <v>2</v>
      </c>
      <c r="D1" s="3" t="s">
        <v>3</v>
      </c>
      <c r="E1" s="3" t="s">
        <v>1157</v>
      </c>
      <c r="F1" s="3" t="s">
        <v>5</v>
      </c>
      <c r="G1" s="3" t="s">
        <v>6</v>
      </c>
      <c r="H1" s="3" t="s">
        <v>7</v>
      </c>
      <c r="I1" s="3" t="s">
        <v>1158</v>
      </c>
      <c r="J1" s="3" t="s">
        <v>8</v>
      </c>
      <c r="K1" s="3" t="s">
        <v>1160</v>
      </c>
      <c r="L1" s="3" t="s">
        <v>2059</v>
      </c>
      <c r="M1" s="3" t="s">
        <v>12</v>
      </c>
      <c r="N1" s="3" t="s">
        <v>1161</v>
      </c>
      <c r="O1" s="3" t="s">
        <v>1162</v>
      </c>
      <c r="P1" s="5" t="s">
        <v>15</v>
      </c>
      <c r="Q1" s="5" t="s">
        <v>1163</v>
      </c>
      <c r="R1" s="5" t="s">
        <v>17</v>
      </c>
      <c r="S1" s="5" t="s">
        <v>18</v>
      </c>
      <c r="T1" s="5" t="s">
        <v>19</v>
      </c>
      <c r="U1" s="5" t="s">
        <v>20</v>
      </c>
      <c r="V1" s="5" t="s">
        <v>21</v>
      </c>
      <c r="W1" s="5" t="s">
        <v>1164</v>
      </c>
      <c r="X1" s="5" t="s">
        <v>1165</v>
      </c>
      <c r="Y1" s="23"/>
      <c r="AG1" s="6" t="s">
        <v>26</v>
      </c>
      <c r="AH1" s="6" t="s">
        <v>2060</v>
      </c>
      <c r="AJ1" s="141" t="s">
        <v>1173</v>
      </c>
      <c r="AK1" s="141" t="s">
        <v>1174</v>
      </c>
      <c r="AL1" s="141" t="s">
        <v>1175</v>
      </c>
      <c r="AM1" s="141" t="s">
        <v>1176</v>
      </c>
      <c r="AN1" s="141" t="s">
        <v>1177</v>
      </c>
      <c r="AO1" s="141" t="s">
        <v>1178</v>
      </c>
      <c r="AP1" s="6"/>
      <c r="AQ1" s="6"/>
      <c r="AR1" s="7" t="s">
        <v>386</v>
      </c>
    </row>
    <row r="2" ht="21.75" customHeight="1">
      <c r="A2" s="57" t="s">
        <v>30</v>
      </c>
      <c r="B2" s="21" t="s">
        <v>31</v>
      </c>
      <c r="C2" s="21" t="s">
        <v>1179</v>
      </c>
      <c r="D2" s="147" t="s">
        <v>33</v>
      </c>
      <c r="E2" s="68" t="s">
        <v>2065</v>
      </c>
      <c r="F2" s="11">
        <f>54842.3/1000</f>
        <v>54.8423</v>
      </c>
      <c r="G2" s="112" t="s">
        <v>2070</v>
      </c>
      <c r="H2" s="7" t="s">
        <v>2071</v>
      </c>
      <c r="I2" s="112"/>
      <c r="J2" s="38">
        <v>14.607513599</v>
      </c>
      <c r="K2" s="113">
        <v>73.9957141</v>
      </c>
      <c r="L2" s="11"/>
      <c r="M2" s="11">
        <v>70.253966</v>
      </c>
      <c r="N2" s="22" t="s">
        <v>43</v>
      </c>
      <c r="O2" s="113" t="s">
        <v>1191</v>
      </c>
      <c r="P2" s="200" t="s">
        <v>2076</v>
      </c>
      <c r="Q2" s="201">
        <v>19.1</v>
      </c>
      <c r="R2" s="201">
        <v>0.0</v>
      </c>
      <c r="S2" s="114">
        <v>0.0</v>
      </c>
      <c r="T2" s="202" t="s">
        <v>2077</v>
      </c>
      <c r="U2" s="201">
        <v>80.9</v>
      </c>
      <c r="V2" s="22" t="s">
        <v>249</v>
      </c>
      <c r="W2" s="21" t="s">
        <v>2078</v>
      </c>
      <c r="X2" s="21" t="s">
        <v>1197</v>
      </c>
      <c r="AG2" s="7">
        <v>48.0</v>
      </c>
      <c r="AJ2" s="144">
        <v>11.140471</v>
      </c>
      <c r="AK2" s="111">
        <v>11.140749</v>
      </c>
      <c r="AL2" s="144">
        <v>11.00391</v>
      </c>
      <c r="AM2" s="111">
        <v>10.950398</v>
      </c>
      <c r="AN2" s="144">
        <v>10.898119</v>
      </c>
      <c r="AO2" s="111">
        <v>10.849535</v>
      </c>
      <c r="AP2" s="144"/>
      <c r="AQ2" s="144"/>
      <c r="AS2">
        <f>AK2/AJ2</f>
        <v>1.000024954</v>
      </c>
    </row>
    <row r="3">
      <c r="A3" s="57" t="s">
        <v>58</v>
      </c>
      <c r="B3" s="21" t="s">
        <v>31</v>
      </c>
      <c r="C3" s="21" t="s">
        <v>59</v>
      </c>
      <c r="D3" s="147" t="s">
        <v>60</v>
      </c>
      <c r="E3" s="113" t="s">
        <v>1205</v>
      </c>
      <c r="F3" s="11"/>
      <c r="G3" s="112" t="s">
        <v>1207</v>
      </c>
      <c r="H3" s="112"/>
      <c r="I3" s="112"/>
      <c r="J3" s="117">
        <v>515.516156903</v>
      </c>
      <c r="K3" s="117">
        <f>104.01472497/J3</f>
        <v>0.2017681184</v>
      </c>
      <c r="L3" s="117"/>
      <c r="M3" s="117"/>
      <c r="N3" s="22" t="s">
        <v>43</v>
      </c>
      <c r="O3" s="113"/>
      <c r="P3" s="203" t="s">
        <v>1214</v>
      </c>
      <c r="Q3" s="114">
        <v>0.0</v>
      </c>
      <c r="R3" s="204" t="s">
        <v>1215</v>
      </c>
      <c r="S3" s="114">
        <v>71.2</v>
      </c>
      <c r="T3" s="114" t="s">
        <v>1217</v>
      </c>
      <c r="U3" s="114">
        <v>28.8</v>
      </c>
      <c r="V3" s="22" t="s">
        <v>249</v>
      </c>
      <c r="W3" s="22" t="s">
        <v>1219</v>
      </c>
      <c r="X3" s="22"/>
      <c r="Y3" s="145"/>
      <c r="Z3" s="145"/>
      <c r="AB3" s="146"/>
      <c r="AJ3" s="144">
        <v>0.0</v>
      </c>
      <c r="AK3" s="144"/>
      <c r="AL3" s="144"/>
      <c r="AM3" s="144"/>
      <c r="AN3" s="144"/>
      <c r="AO3" s="144"/>
      <c r="AP3" s="144"/>
      <c r="AQ3" s="144"/>
      <c r="AS3" t="str">
        <f>AP3/AQ3</f>
        <v>#DIV/0!</v>
      </c>
    </row>
    <row r="4">
      <c r="A4" s="57" t="s">
        <v>69</v>
      </c>
      <c r="B4" s="21" t="s">
        <v>31</v>
      </c>
      <c r="C4" s="21" t="s">
        <v>1221</v>
      </c>
      <c r="D4" s="147" t="s">
        <v>33</v>
      </c>
      <c r="E4" s="11" t="s">
        <v>2091</v>
      </c>
      <c r="F4" s="11">
        <f>929.67/1000</f>
        <v>0.92967</v>
      </c>
      <c r="G4" s="201" t="s">
        <v>2092</v>
      </c>
      <c r="H4" s="117">
        <v>0.668</v>
      </c>
      <c r="I4" s="201"/>
      <c r="J4" s="11">
        <v>0.513754766</v>
      </c>
      <c r="K4" s="201">
        <v>75.0</v>
      </c>
      <c r="L4" s="201"/>
      <c r="M4" s="201">
        <v>93.830471</v>
      </c>
      <c r="N4" s="17" t="s">
        <v>66</v>
      </c>
      <c r="O4" s="42" t="s">
        <v>1213</v>
      </c>
      <c r="P4" s="201" t="s">
        <v>2093</v>
      </c>
      <c r="Q4" s="201">
        <v>99.82</v>
      </c>
      <c r="R4" s="114">
        <v>0.0</v>
      </c>
      <c r="S4" s="114">
        <v>0.0</v>
      </c>
      <c r="T4" s="201" t="s">
        <v>2094</v>
      </c>
      <c r="U4" s="201">
        <v>0.18</v>
      </c>
      <c r="V4" s="22" t="s">
        <v>249</v>
      </c>
      <c r="W4" s="22" t="s">
        <v>2095</v>
      </c>
      <c r="X4" s="22"/>
      <c r="AG4" s="7">
        <v>48.0</v>
      </c>
      <c r="AJ4" s="111">
        <v>0.787127</v>
      </c>
      <c r="AK4" s="111">
        <v>0.674611</v>
      </c>
      <c r="AL4" s="144">
        <v>0.590738</v>
      </c>
      <c r="AM4" s="111">
        <v>0.526958</v>
      </c>
      <c r="AN4" s="144">
        <v>0.453055</v>
      </c>
      <c r="AO4" s="111">
        <v>0.382188</v>
      </c>
      <c r="AP4" s="144"/>
      <c r="AQ4" s="144"/>
      <c r="AS4">
        <f>AK4/AJ4</f>
        <v>0.8570548336</v>
      </c>
    </row>
    <row r="5">
      <c r="A5" s="57" t="s">
        <v>92</v>
      </c>
      <c r="B5" s="9" t="s">
        <v>93</v>
      </c>
      <c r="C5" s="9" t="s">
        <v>94</v>
      </c>
      <c r="D5" s="113" t="s">
        <v>95</v>
      </c>
      <c r="E5" s="113" t="s">
        <v>2096</v>
      </c>
      <c r="F5" s="113">
        <v>0.312559</v>
      </c>
      <c r="G5" s="205" t="s">
        <v>2097</v>
      </c>
      <c r="H5" s="205">
        <v>0.968</v>
      </c>
      <c r="I5" s="205"/>
      <c r="J5" s="113">
        <v>173.583</v>
      </c>
      <c r="K5" s="113">
        <v>99.422</v>
      </c>
      <c r="L5" s="113"/>
      <c r="M5" s="113">
        <v>89.0656</v>
      </c>
      <c r="N5" s="22" t="s">
        <v>43</v>
      </c>
      <c r="O5" s="113" t="s">
        <v>1213</v>
      </c>
      <c r="P5" s="42">
        <v>2.978129542357E12</v>
      </c>
      <c r="Q5" s="122">
        <v>92.38</v>
      </c>
      <c r="R5" s="113">
        <v>0.0</v>
      </c>
      <c r="S5" s="113">
        <v>0.0</v>
      </c>
      <c r="T5" s="42">
        <v>2.95332819088E11</v>
      </c>
      <c r="U5" s="113">
        <v>7.62</v>
      </c>
      <c r="V5" s="22" t="s">
        <v>108</v>
      </c>
      <c r="W5" s="22" t="s">
        <v>1256</v>
      </c>
      <c r="X5" s="22"/>
      <c r="Y5" s="145"/>
      <c r="Z5" s="145"/>
      <c r="AB5" s="146"/>
      <c r="AG5" s="7">
        <v>48.0</v>
      </c>
      <c r="AJ5" s="147">
        <v>362.268193905</v>
      </c>
      <c r="AK5" s="147">
        <v>307.15</v>
      </c>
      <c r="AL5" s="147">
        <v>266.332</v>
      </c>
      <c r="AM5" s="147">
        <v>215.787</v>
      </c>
      <c r="AN5" s="147">
        <v>205.127</v>
      </c>
      <c r="AO5" s="147">
        <v>156.803</v>
      </c>
      <c r="AP5" s="144"/>
      <c r="AQ5" s="144"/>
      <c r="AS5" t="str">
        <f t="shared" ref="AS5:AS13" si="1">AP5/AQ5</f>
        <v>#DIV/0!</v>
      </c>
    </row>
    <row r="6">
      <c r="A6" s="57" t="s">
        <v>117</v>
      </c>
      <c r="B6" s="9" t="s">
        <v>93</v>
      </c>
      <c r="C6" s="9" t="s">
        <v>118</v>
      </c>
      <c r="D6" s="113" t="s">
        <v>33</v>
      </c>
      <c r="E6" s="113" t="s">
        <v>2098</v>
      </c>
      <c r="F6" s="113">
        <v>0.578193</v>
      </c>
      <c r="G6" s="113" t="s">
        <v>2099</v>
      </c>
      <c r="H6" s="113">
        <v>0.434</v>
      </c>
      <c r="I6" s="113"/>
      <c r="J6" s="113">
        <v>0.89</v>
      </c>
      <c r="K6" s="113">
        <v>100.0</v>
      </c>
      <c r="L6" s="113"/>
      <c r="M6" s="113">
        <v>89.0656</v>
      </c>
      <c r="N6" s="22" t="s">
        <v>126</v>
      </c>
      <c r="O6" s="113" t="s">
        <v>1213</v>
      </c>
      <c r="P6" s="113">
        <v>2.30894195E8</v>
      </c>
      <c r="Q6" s="113">
        <v>45.42</v>
      </c>
      <c r="R6" s="113">
        <v>480.0</v>
      </c>
      <c r="S6" s="113">
        <v>0.0</v>
      </c>
      <c r="T6" s="113">
        <v>2.77500093E8</v>
      </c>
      <c r="U6" s="113">
        <v>54.58</v>
      </c>
      <c r="V6" s="22" t="s">
        <v>108</v>
      </c>
      <c r="W6" s="22" t="s">
        <v>1256</v>
      </c>
      <c r="X6" s="22"/>
      <c r="Y6" s="145"/>
      <c r="Z6" s="145"/>
      <c r="AB6" s="146"/>
      <c r="AG6" s="7">
        <v>48.0</v>
      </c>
      <c r="AJ6" s="144">
        <v>1.18833333333333</v>
      </c>
      <c r="AK6" s="144">
        <v>1.009</v>
      </c>
      <c r="AL6" s="144">
        <v>0.915</v>
      </c>
      <c r="AM6" s="144">
        <v>0.555</v>
      </c>
      <c r="AN6" s="144">
        <v>0.738</v>
      </c>
      <c r="AO6" s="144">
        <v>0.447</v>
      </c>
      <c r="AP6" s="144"/>
      <c r="AQ6" s="144"/>
      <c r="AS6" t="str">
        <f t="shared" si="1"/>
        <v>#DIV/0!</v>
      </c>
    </row>
    <row r="7">
      <c r="A7" s="57" t="s">
        <v>139</v>
      </c>
      <c r="B7" s="9" t="s">
        <v>93</v>
      </c>
      <c r="C7" s="9" t="s">
        <v>140</v>
      </c>
      <c r="D7" s="113" t="s">
        <v>33</v>
      </c>
      <c r="E7" s="113" t="s">
        <v>2100</v>
      </c>
      <c r="F7" s="125">
        <v>7.002537</v>
      </c>
      <c r="G7" s="205" t="s">
        <v>2101</v>
      </c>
      <c r="H7" s="205">
        <v>1.27</v>
      </c>
      <c r="I7" s="205"/>
      <c r="J7" s="127">
        <v>55.094</v>
      </c>
      <c r="K7" s="113">
        <v>80.3922</v>
      </c>
      <c r="L7" s="113"/>
      <c r="M7" s="113">
        <v>71.9524</v>
      </c>
      <c r="N7" s="22" t="s">
        <v>43</v>
      </c>
      <c r="O7" s="113"/>
      <c r="P7" s="42">
        <v>1.711864177283E12</v>
      </c>
      <c r="Q7" s="113">
        <v>98.18</v>
      </c>
      <c r="R7" s="113">
        <v>0.0</v>
      </c>
      <c r="S7" s="113">
        <v>0.0</v>
      </c>
      <c r="T7" s="42">
        <v>4.2357411892E10</v>
      </c>
      <c r="U7" s="113">
        <v>1.82</v>
      </c>
      <c r="V7" s="22" t="s">
        <v>108</v>
      </c>
      <c r="W7" s="22" t="s">
        <v>1294</v>
      </c>
      <c r="X7" s="22"/>
      <c r="Y7" s="145"/>
      <c r="Z7" s="145"/>
      <c r="AB7" s="146"/>
      <c r="AG7" s="7">
        <v>48.0</v>
      </c>
      <c r="AJ7" s="144">
        <v>69.619317776</v>
      </c>
      <c r="AK7" s="144">
        <v>61.7159843189999</v>
      </c>
      <c r="AL7" s="144">
        <v>58.2716309999999</v>
      </c>
      <c r="AM7" s="144">
        <v>50.76088236</v>
      </c>
      <c r="AN7" s="144">
        <v>48.177295734</v>
      </c>
      <c r="AO7" s="144">
        <v>43.8772</v>
      </c>
      <c r="AP7" s="144"/>
      <c r="AQ7" s="144"/>
      <c r="AS7" t="str">
        <f t="shared" si="1"/>
        <v>#DIV/0!</v>
      </c>
    </row>
    <row r="8">
      <c r="A8" s="57" t="s">
        <v>159</v>
      </c>
      <c r="B8" s="9" t="s">
        <v>160</v>
      </c>
      <c r="C8" s="44" t="s">
        <v>161</v>
      </c>
      <c r="D8" s="113" t="s">
        <v>95</v>
      </c>
      <c r="E8" s="113" t="s">
        <v>2103</v>
      </c>
      <c r="F8" s="113">
        <v>0.275634</v>
      </c>
      <c r="G8" s="113" t="s">
        <v>2104</v>
      </c>
      <c r="H8" s="113">
        <v>0.982764912</v>
      </c>
      <c r="I8" s="113"/>
      <c r="J8" s="113">
        <v>1.643</v>
      </c>
      <c r="K8" s="113">
        <v>17.271146</v>
      </c>
      <c r="L8" s="113" t="s">
        <v>2105</v>
      </c>
      <c r="M8" s="113">
        <v>69.51621</v>
      </c>
      <c r="N8" s="22" t="s">
        <v>43</v>
      </c>
      <c r="O8" s="113" t="s">
        <v>1213</v>
      </c>
      <c r="P8" s="113">
        <v>2.1105638086E10</v>
      </c>
      <c r="Q8" s="113">
        <v>98.96</v>
      </c>
      <c r="R8" s="113">
        <v>2064.0</v>
      </c>
      <c r="S8" s="113">
        <v>0.0</v>
      </c>
      <c r="T8" s="113">
        <v>2.21982415E8</v>
      </c>
      <c r="U8" s="113">
        <v>1.04</v>
      </c>
      <c r="V8" s="22" t="s">
        <v>108</v>
      </c>
      <c r="W8" s="22" t="s">
        <v>2106</v>
      </c>
      <c r="X8" s="150" t="s">
        <v>178</v>
      </c>
      <c r="Y8" s="150"/>
      <c r="Z8" s="145"/>
      <c r="AB8" s="146"/>
      <c r="AG8" s="7">
        <v>24.0</v>
      </c>
      <c r="AJ8" s="144">
        <v>1.551</v>
      </c>
      <c r="AK8" s="144">
        <v>1.402</v>
      </c>
      <c r="AL8" s="144">
        <v>1.283</v>
      </c>
      <c r="AM8" s="144">
        <v>1.169</v>
      </c>
      <c r="AN8" s="144">
        <v>1.068</v>
      </c>
      <c r="AO8" s="144">
        <v>0.976</v>
      </c>
      <c r="AP8" s="144"/>
      <c r="AQ8" s="144"/>
      <c r="AS8" t="str">
        <f t="shared" si="1"/>
        <v>#DIV/0!</v>
      </c>
    </row>
    <row r="9">
      <c r="A9" s="57" t="s">
        <v>185</v>
      </c>
      <c r="B9" s="9" t="s">
        <v>160</v>
      </c>
      <c r="C9" s="129" t="s">
        <v>186</v>
      </c>
      <c r="D9" s="113" t="s">
        <v>95</v>
      </c>
      <c r="E9" s="113" t="s">
        <v>2111</v>
      </c>
      <c r="F9" s="113">
        <v>0.403429</v>
      </c>
      <c r="G9" s="113" t="s">
        <v>2112</v>
      </c>
      <c r="H9" s="113">
        <v>0.012953116</v>
      </c>
      <c r="I9" s="113"/>
      <c r="J9" s="113">
        <v>5.903</v>
      </c>
      <c r="K9" s="113">
        <v>31.6375</v>
      </c>
      <c r="L9" s="113" t="s">
        <v>2113</v>
      </c>
      <c r="M9" s="113">
        <v>78.337152</v>
      </c>
      <c r="N9" s="22" t="s">
        <v>43</v>
      </c>
      <c r="O9" s="113" t="s">
        <v>1213</v>
      </c>
      <c r="P9" s="113">
        <v>10.0</v>
      </c>
      <c r="Q9" s="113">
        <v>0.6</v>
      </c>
      <c r="R9" s="113">
        <v>0.0</v>
      </c>
      <c r="S9" s="113">
        <v>0.0</v>
      </c>
      <c r="T9" s="113">
        <v>1654.0</v>
      </c>
      <c r="U9" s="113">
        <v>99.4</v>
      </c>
      <c r="V9" s="22" t="s">
        <v>108</v>
      </c>
      <c r="W9" s="22" t="s">
        <v>2115</v>
      </c>
      <c r="X9" s="150" t="s">
        <v>2116</v>
      </c>
      <c r="Y9" s="150"/>
      <c r="Z9" s="145"/>
      <c r="AB9" s="146"/>
      <c r="AG9" s="7">
        <v>48.0</v>
      </c>
      <c r="AJ9" s="144">
        <v>0.078</v>
      </c>
      <c r="AK9" s="144">
        <v>0.068</v>
      </c>
      <c r="AL9" s="144">
        <v>0.052</v>
      </c>
      <c r="AM9" s="144">
        <v>0.042</v>
      </c>
      <c r="AN9" s="144">
        <v>0.038</v>
      </c>
      <c r="AO9" s="144">
        <v>0.035</v>
      </c>
      <c r="AP9" s="144"/>
      <c r="AQ9" s="144"/>
      <c r="AS9" t="str">
        <f t="shared" si="1"/>
        <v>#DIV/0!</v>
      </c>
    </row>
    <row r="10">
      <c r="A10" s="57" t="s">
        <v>209</v>
      </c>
      <c r="B10" s="9" t="s">
        <v>160</v>
      </c>
      <c r="C10" s="21" t="s">
        <v>210</v>
      </c>
      <c r="D10" s="113" t="s">
        <v>211</v>
      </c>
      <c r="E10" s="113" t="s">
        <v>2118</v>
      </c>
      <c r="F10" s="113">
        <v>0.435767</v>
      </c>
      <c r="G10" s="113" t="s">
        <v>2119</v>
      </c>
      <c r="H10" s="113">
        <v>0.046970212</v>
      </c>
      <c r="I10" s="113"/>
      <c r="J10" s="113">
        <v>15.221</v>
      </c>
      <c r="K10" s="113">
        <v>45.949491</v>
      </c>
      <c r="L10" s="113" t="s">
        <v>2120</v>
      </c>
      <c r="M10" s="113">
        <v>96.534078805</v>
      </c>
      <c r="N10" s="22" t="s">
        <v>43</v>
      </c>
      <c r="O10" s="113" t="s">
        <v>1213</v>
      </c>
      <c r="P10" s="113">
        <v>1.52510753192E11</v>
      </c>
      <c r="Q10" s="113">
        <v>94.61</v>
      </c>
      <c r="R10" s="113">
        <v>0.0</v>
      </c>
      <c r="S10" s="113">
        <v>0.0</v>
      </c>
      <c r="T10" s="113">
        <v>8.691727184E9</v>
      </c>
      <c r="U10" s="113">
        <v>5.39</v>
      </c>
      <c r="V10" s="22" t="s">
        <v>108</v>
      </c>
      <c r="W10" s="22" t="s">
        <v>2122</v>
      </c>
      <c r="X10" s="22"/>
      <c r="Y10" s="145"/>
      <c r="Z10" s="145"/>
      <c r="AB10" s="146"/>
      <c r="AG10" s="7">
        <v>4.0</v>
      </c>
      <c r="AJ10" s="144">
        <v>20.6</v>
      </c>
      <c r="AK10" s="144">
        <v>17.602</v>
      </c>
      <c r="AL10" s="144">
        <v>15.328</v>
      </c>
      <c r="AM10" s="144">
        <v>13.715</v>
      </c>
      <c r="AN10" s="144">
        <v>11.723</v>
      </c>
      <c r="AO10" s="144">
        <v>9.98</v>
      </c>
      <c r="AP10" s="144"/>
      <c r="AQ10" s="144"/>
      <c r="AS10" t="str">
        <f t="shared" si="1"/>
        <v>#DIV/0!</v>
      </c>
    </row>
    <row r="11">
      <c r="A11" s="57" t="s">
        <v>232</v>
      </c>
      <c r="B11" s="9" t="s">
        <v>233</v>
      </c>
      <c r="C11" s="22" t="s">
        <v>234</v>
      </c>
      <c r="D11" s="113" t="s">
        <v>211</v>
      </c>
      <c r="E11" s="113" t="s">
        <v>2128</v>
      </c>
      <c r="F11" s="113">
        <v>1.360001349</v>
      </c>
      <c r="G11" s="68" t="s">
        <v>1000</v>
      </c>
      <c r="H11" s="68">
        <v>1.143689568</v>
      </c>
      <c r="I11" s="68"/>
      <c r="J11" s="68">
        <v>1.959</v>
      </c>
      <c r="K11" s="68">
        <v>89.4783053</v>
      </c>
      <c r="L11" s="68"/>
      <c r="M11" s="68">
        <v>79.2113227</v>
      </c>
      <c r="N11" s="17" t="s">
        <v>43</v>
      </c>
      <c r="O11" s="113" t="s">
        <v>1213</v>
      </c>
      <c r="P11" s="68">
        <v>1.54562007E11</v>
      </c>
      <c r="Q11" s="68">
        <v>96.81</v>
      </c>
      <c r="R11" s="68">
        <v>0.0</v>
      </c>
      <c r="S11" s="68">
        <v>0.0</v>
      </c>
      <c r="T11" s="68">
        <v>5.09299454942671E9</v>
      </c>
      <c r="U11" s="68">
        <v>3.19</v>
      </c>
      <c r="V11" s="67" t="s">
        <v>1382</v>
      </c>
      <c r="W11" s="22" t="s">
        <v>1383</v>
      </c>
      <c r="X11" s="22"/>
      <c r="Y11" s="145"/>
      <c r="Z11" s="145"/>
      <c r="AB11" s="146"/>
      <c r="AG11" s="7">
        <v>48.0</v>
      </c>
      <c r="AJ11" s="144">
        <v>2.61106</v>
      </c>
      <c r="AK11" s="144">
        <v>2.25648</v>
      </c>
      <c r="AL11" s="144">
        <v>2.06945</v>
      </c>
      <c r="AM11" s="144">
        <v>1.85919</v>
      </c>
      <c r="AN11" s="144">
        <v>1.86778</v>
      </c>
      <c r="AO11" s="144">
        <v>1.57579</v>
      </c>
      <c r="AP11" s="144"/>
      <c r="AQ11" s="144"/>
      <c r="AS11" t="str">
        <f t="shared" si="1"/>
        <v>#DIV/0!</v>
      </c>
    </row>
    <row r="12">
      <c r="A12" s="57" t="s">
        <v>258</v>
      </c>
      <c r="B12" s="9" t="s">
        <v>233</v>
      </c>
      <c r="C12" s="22" t="s">
        <v>259</v>
      </c>
      <c r="D12" s="113" t="s">
        <v>211</v>
      </c>
      <c r="E12" s="113" t="s">
        <v>2129</v>
      </c>
      <c r="F12" s="113">
        <v>3.812684163</v>
      </c>
      <c r="G12" s="113" t="s">
        <v>2130</v>
      </c>
      <c r="H12" s="113">
        <v>2.812013064</v>
      </c>
      <c r="I12" s="113"/>
      <c r="J12" s="113">
        <v>2.297</v>
      </c>
      <c r="K12" s="113">
        <v>97.2664345</v>
      </c>
      <c r="L12" s="113"/>
      <c r="M12" s="113">
        <v>36.3714285</v>
      </c>
      <c r="N12" s="21" t="s">
        <v>43</v>
      </c>
      <c r="O12" s="147" t="s">
        <v>1213</v>
      </c>
      <c r="P12" s="113">
        <v>1.2754703E10</v>
      </c>
      <c r="Q12" s="113">
        <v>75.42</v>
      </c>
      <c r="R12" s="113">
        <v>0.0</v>
      </c>
      <c r="S12" s="113">
        <v>0.0</v>
      </c>
      <c r="T12" s="113">
        <v>4.15686289763988E9</v>
      </c>
      <c r="U12" s="113">
        <v>24.58</v>
      </c>
      <c r="V12" s="22" t="s">
        <v>1382</v>
      </c>
      <c r="W12" s="22" t="s">
        <v>1405</v>
      </c>
      <c r="X12" s="22"/>
      <c r="Y12" s="145"/>
      <c r="Z12" s="145"/>
      <c r="AB12" s="146"/>
      <c r="AG12" s="7">
        <v>36.0</v>
      </c>
      <c r="AJ12" s="144">
        <v>2.234213</v>
      </c>
      <c r="AK12" s="144">
        <v>2.221909</v>
      </c>
      <c r="AL12" s="144">
        <v>2.105748</v>
      </c>
      <c r="AM12" s="144">
        <v>2.025599</v>
      </c>
      <c r="AN12" s="144">
        <v>2.100878</v>
      </c>
      <c r="AO12" s="144">
        <v>2.107785</v>
      </c>
      <c r="AP12" s="144"/>
      <c r="AQ12" s="144"/>
      <c r="AS12" t="str">
        <f t="shared" si="1"/>
        <v>#DIV/0!</v>
      </c>
    </row>
    <row r="13">
      <c r="A13" s="57" t="s">
        <v>280</v>
      </c>
      <c r="B13" s="9" t="s">
        <v>233</v>
      </c>
      <c r="C13" s="22" t="s">
        <v>281</v>
      </c>
      <c r="D13" s="113" t="s">
        <v>33</v>
      </c>
      <c r="E13" s="113" t="s">
        <v>2131</v>
      </c>
      <c r="F13" s="113">
        <v>8.111963245</v>
      </c>
      <c r="G13" s="113" t="s">
        <v>2132</v>
      </c>
      <c r="H13" s="113">
        <v>0.51</v>
      </c>
      <c r="I13" s="113"/>
      <c r="J13" s="113">
        <v>21.661</v>
      </c>
      <c r="K13" s="113">
        <v>13.4097549</v>
      </c>
      <c r="L13" s="113"/>
      <c r="M13" s="113">
        <v>92.4116919</v>
      </c>
      <c r="N13" s="21" t="s">
        <v>43</v>
      </c>
      <c r="O13" s="147" t="s">
        <v>1213</v>
      </c>
      <c r="P13" s="113">
        <v>1.0854083073E10</v>
      </c>
      <c r="Q13" s="113">
        <v>98.03</v>
      </c>
      <c r="R13" s="113">
        <v>0.0</v>
      </c>
      <c r="S13" s="113">
        <v>0.0</v>
      </c>
      <c r="T13" s="113">
        <v>2.18122448E8</v>
      </c>
      <c r="U13" s="113">
        <v>1.97</v>
      </c>
      <c r="V13" s="22" t="s">
        <v>1382</v>
      </c>
      <c r="W13" s="22" t="s">
        <v>1428</v>
      </c>
      <c r="X13" s="22" t="s">
        <v>1429</v>
      </c>
      <c r="Y13" s="145"/>
      <c r="Z13" s="145"/>
      <c r="AB13" s="146"/>
      <c r="AG13" s="7">
        <v>64.0</v>
      </c>
      <c r="AJ13" s="144">
        <v>3.513924</v>
      </c>
      <c r="AK13" s="144">
        <v>3.366471</v>
      </c>
      <c r="AL13" s="144">
        <v>3.204138</v>
      </c>
      <c r="AM13" s="144">
        <v>3.063635</v>
      </c>
      <c r="AN13" s="144">
        <v>3.093836</v>
      </c>
      <c r="AO13" s="144">
        <v>2.917332</v>
      </c>
      <c r="AP13" s="144"/>
      <c r="AQ13" s="144"/>
      <c r="AS13" t="str">
        <f t="shared" si="1"/>
        <v>#DIV/0!</v>
      </c>
    </row>
    <row r="14">
      <c r="A14" s="134"/>
      <c r="B14" s="62"/>
      <c r="C14" s="62"/>
      <c r="D14" s="62"/>
      <c r="E14" s="134"/>
      <c r="F14" s="134"/>
      <c r="G14" s="134"/>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H14" s="134"/>
      <c r="AI14" s="134"/>
      <c r="AJ14" s="134"/>
      <c r="AK14" s="134"/>
      <c r="AL14" s="134"/>
      <c r="AM14" s="134"/>
      <c r="AN14" s="134"/>
      <c r="AO14" s="134"/>
      <c r="AP14" s="170"/>
      <c r="AQ14" s="170"/>
      <c r="AR14" s="134"/>
      <c r="AS14" s="134"/>
      <c r="AT14" s="134"/>
    </row>
    <row r="15">
      <c r="A15" s="65" t="s">
        <v>303</v>
      </c>
      <c r="B15" s="136" t="s">
        <v>2133</v>
      </c>
      <c r="C15" s="3" t="s">
        <v>304</v>
      </c>
      <c r="D15" s="3" t="s">
        <v>3</v>
      </c>
      <c r="E15" s="3" t="s">
        <v>4</v>
      </c>
      <c r="F15" s="3" t="s">
        <v>5</v>
      </c>
      <c r="G15" s="3" t="s">
        <v>6</v>
      </c>
      <c r="H15" s="3" t="s">
        <v>7</v>
      </c>
      <c r="I15" s="3" t="s">
        <v>1158</v>
      </c>
      <c r="J15" s="3" t="s">
        <v>305</v>
      </c>
      <c r="K15" s="3" t="s">
        <v>306</v>
      </c>
      <c r="L15" s="3" t="s">
        <v>2059</v>
      </c>
      <c r="M15" s="3" t="s">
        <v>12</v>
      </c>
      <c r="N15" s="3" t="s">
        <v>1161</v>
      </c>
      <c r="O15" s="3" t="s">
        <v>1162</v>
      </c>
      <c r="P15" s="5" t="s">
        <v>15</v>
      </c>
      <c r="Q15" s="5" t="s">
        <v>16</v>
      </c>
      <c r="R15" s="5" t="s">
        <v>17</v>
      </c>
      <c r="S15" s="5" t="s">
        <v>18</v>
      </c>
      <c r="T15" s="5" t="s">
        <v>19</v>
      </c>
      <c r="U15" s="5" t="s">
        <v>20</v>
      </c>
      <c r="V15" s="5" t="s">
        <v>21</v>
      </c>
      <c r="W15" s="5" t="s">
        <v>1164</v>
      </c>
      <c r="X15" s="5" t="s">
        <v>1165</v>
      </c>
      <c r="AG15" s="6" t="s">
        <v>26</v>
      </c>
      <c r="AH15" s="6" t="s">
        <v>2060</v>
      </c>
      <c r="AJ15" s="141" t="s">
        <v>1173</v>
      </c>
      <c r="AK15" s="141" t="s">
        <v>1174</v>
      </c>
      <c r="AL15" s="141" t="s">
        <v>1175</v>
      </c>
      <c r="AM15" s="141" t="s">
        <v>1176</v>
      </c>
      <c r="AN15" s="141" t="s">
        <v>1177</v>
      </c>
      <c r="AO15" s="141" t="s">
        <v>1178</v>
      </c>
      <c r="AP15" s="6"/>
      <c r="AQ15" s="6"/>
    </row>
    <row r="16">
      <c r="A16" s="66" t="s">
        <v>307</v>
      </c>
      <c r="B16" s="67" t="s">
        <v>308</v>
      </c>
      <c r="C16" s="67" t="s">
        <v>309</v>
      </c>
      <c r="D16" s="68" t="s">
        <v>310</v>
      </c>
      <c r="E16" s="68" t="s">
        <v>2136</v>
      </c>
      <c r="F16" s="68">
        <v>6.866228</v>
      </c>
      <c r="G16" s="68" t="s">
        <v>2137</v>
      </c>
      <c r="H16" s="68" t="s">
        <v>2138</v>
      </c>
      <c r="I16" s="68"/>
      <c r="J16" s="14">
        <v>126.031007</v>
      </c>
      <c r="K16" s="68">
        <v>96.792069</v>
      </c>
      <c r="L16" s="68"/>
      <c r="M16" s="68">
        <v>70.970003</v>
      </c>
      <c r="N16" s="67" t="s">
        <v>43</v>
      </c>
      <c r="O16" s="7">
        <v>0.667</v>
      </c>
      <c r="P16" s="68">
        <f>VALUE(SUBSTITUTE(G16, "(DP)", "")) * 1000  ^ 3</f>
        <v>4728161016000</v>
      </c>
      <c r="Q16" s="68">
        <v>61.878261</v>
      </c>
      <c r="R16" s="68">
        <f>P16/Q16 * S16</f>
        <v>0</v>
      </c>
      <c r="S16" s="68">
        <v>0.0</v>
      </c>
      <c r="T16" s="68">
        <f>P16/Q16 * U16</f>
        <v>2912908625566</v>
      </c>
      <c r="U16" s="68">
        <v>38.121739</v>
      </c>
      <c r="V16" s="70" t="s">
        <v>2150</v>
      </c>
      <c r="W16" s="70" t="s">
        <v>2151</v>
      </c>
      <c r="X16" s="70"/>
      <c r="Y16" s="36"/>
      <c r="Z16" s="152"/>
      <c r="AG16" s="7">
        <v>24.0</v>
      </c>
      <c r="AJ16" s="144">
        <v>125.31615</v>
      </c>
      <c r="AK16" s="144">
        <v>131.551266</v>
      </c>
      <c r="AL16" s="144">
        <v>127.876772</v>
      </c>
      <c r="AM16" s="144">
        <v>133.909096</v>
      </c>
      <c r="AN16" s="144">
        <v>124.625798</v>
      </c>
      <c r="AO16" s="144">
        <v>125.799637</v>
      </c>
      <c r="AS16">
        <f>AO16/AJ16</f>
        <v>1.003858138</v>
      </c>
    </row>
    <row r="17">
      <c r="A17" s="66" t="s">
        <v>335</v>
      </c>
      <c r="B17" s="67" t="s">
        <v>93</v>
      </c>
      <c r="C17" s="67" t="s">
        <v>336</v>
      </c>
      <c r="D17" s="68" t="s">
        <v>337</v>
      </c>
      <c r="E17" s="68" t="s">
        <v>2152</v>
      </c>
      <c r="F17" s="68">
        <v>0.4809</v>
      </c>
      <c r="G17" s="68" t="s">
        <v>2153</v>
      </c>
      <c r="H17" s="68">
        <v>0.2329</v>
      </c>
      <c r="I17" s="68"/>
      <c r="J17" s="68">
        <v>26.844</v>
      </c>
      <c r="K17" s="68">
        <v>100.0</v>
      </c>
      <c r="L17" s="68"/>
      <c r="M17" s="68">
        <v>87.191</v>
      </c>
      <c r="N17" s="67" t="s">
        <v>66</v>
      </c>
      <c r="O17" s="68">
        <v>0.8</v>
      </c>
      <c r="P17" s="68">
        <v>5.6947683364E10</v>
      </c>
      <c r="Q17" s="68">
        <v>4.04</v>
      </c>
      <c r="R17" s="68">
        <v>7.0454339442E11</v>
      </c>
      <c r="S17" s="68">
        <v>50.04</v>
      </c>
      <c r="T17" s="68">
        <v>6.46523550788E11</v>
      </c>
      <c r="U17" s="68">
        <v>45.92</v>
      </c>
      <c r="V17" s="70" t="s">
        <v>108</v>
      </c>
      <c r="W17" s="70" t="s">
        <v>1476</v>
      </c>
      <c r="X17" s="70"/>
      <c r="Y17" s="152"/>
      <c r="Z17" s="152"/>
      <c r="AG17" s="7">
        <v>48.0</v>
      </c>
      <c r="AJ17" s="144">
        <v>20.58</v>
      </c>
      <c r="AK17" s="144">
        <v>18.934</v>
      </c>
      <c r="AL17" s="144">
        <v>15.884</v>
      </c>
      <c r="AM17" s="144">
        <v>17.65</v>
      </c>
      <c r="AN17" s="144">
        <v>14.879</v>
      </c>
      <c r="AO17" s="144">
        <v>13.819</v>
      </c>
      <c r="AP17" s="144"/>
      <c r="AQ17" s="144"/>
      <c r="AS17" t="str">
        <f>AP17/AQ17</f>
        <v>#DIV/0!</v>
      </c>
    </row>
    <row r="18">
      <c r="A18" s="66" t="s">
        <v>358</v>
      </c>
      <c r="B18" s="67" t="s">
        <v>31</v>
      </c>
      <c r="C18" s="153" t="s">
        <v>725</v>
      </c>
      <c r="D18" s="68" t="s">
        <v>211</v>
      </c>
      <c r="E18" s="11" t="s">
        <v>2154</v>
      </c>
      <c r="F18" s="11">
        <f>20186.66/1000</f>
        <v>20.18666</v>
      </c>
      <c r="G18" s="154" t="s">
        <v>2155</v>
      </c>
      <c r="H18" s="68">
        <v>1.442</v>
      </c>
      <c r="I18" s="154"/>
      <c r="J18" s="11">
        <v>28.31229448</v>
      </c>
      <c r="K18" s="11">
        <v>98.48158375</v>
      </c>
      <c r="L18" s="11"/>
      <c r="M18" s="11">
        <v>63.851622</v>
      </c>
      <c r="N18" s="73" t="s">
        <v>43</v>
      </c>
      <c r="O18" s="206">
        <v>5.0</v>
      </c>
      <c r="P18" s="11" t="s">
        <v>2160</v>
      </c>
      <c r="Q18" s="11">
        <v>31.05</v>
      </c>
      <c r="R18" s="11" t="s">
        <v>2161</v>
      </c>
      <c r="S18" s="11">
        <v>0.0</v>
      </c>
      <c r="T18" s="11" t="s">
        <v>2162</v>
      </c>
      <c r="U18" s="11">
        <v>68.95</v>
      </c>
      <c r="V18" s="22" t="s">
        <v>249</v>
      </c>
      <c r="W18" s="36" t="s">
        <v>375</v>
      </c>
      <c r="X18" s="36"/>
      <c r="AG18" s="7">
        <v>10.0</v>
      </c>
      <c r="AJ18" s="111">
        <v>38.963464</v>
      </c>
      <c r="AK18" s="144">
        <v>35.524255</v>
      </c>
      <c r="AL18" s="111">
        <v>33.205421</v>
      </c>
      <c r="AM18" s="111">
        <v>31.546845</v>
      </c>
      <c r="AN18" s="111">
        <v>29.500828</v>
      </c>
      <c r="AO18" s="111">
        <v>27.911493</v>
      </c>
      <c r="AP18" s="144"/>
      <c r="AQ18" s="144"/>
      <c r="AS18">
        <f>AK18/AJ18</f>
        <v>0.911732463</v>
      </c>
    </row>
    <row r="19">
      <c r="A19" s="66" t="s">
        <v>382</v>
      </c>
      <c r="B19" s="67" t="s">
        <v>308</v>
      </c>
      <c r="C19" s="67" t="s">
        <v>383</v>
      </c>
      <c r="D19" s="68" t="s">
        <v>33</v>
      </c>
      <c r="E19" s="68" t="s">
        <v>2168</v>
      </c>
      <c r="F19" s="77">
        <v>4.501373</v>
      </c>
      <c r="G19" s="68" t="s">
        <v>2169</v>
      </c>
      <c r="H19" s="68">
        <v>3.8474</v>
      </c>
      <c r="I19" s="68"/>
      <c r="J19" s="68">
        <v>253.076185</v>
      </c>
      <c r="K19" s="68">
        <v>99.876361</v>
      </c>
      <c r="L19" s="68"/>
      <c r="M19" s="68">
        <v>43.053701</v>
      </c>
      <c r="N19" s="21" t="s">
        <v>43</v>
      </c>
      <c r="O19" s="147" t="s">
        <v>1213</v>
      </c>
      <c r="P19" s="68">
        <f>VALUE(SUBSTITUTE(G19, "(DP)", "")) * 1000  ^ 3</f>
        <v>14646604894000</v>
      </c>
      <c r="Q19" s="140">
        <v>95.282939</v>
      </c>
      <c r="R19" s="68">
        <f>P19/Q19 * S19</f>
        <v>0</v>
      </c>
      <c r="S19" s="68">
        <v>0.0</v>
      </c>
      <c r="T19" s="68">
        <f>P19/Q19 * U19</f>
        <v>725092335029</v>
      </c>
      <c r="U19" s="68">
        <v>4.717061</v>
      </c>
      <c r="V19" s="70" t="s">
        <v>2150</v>
      </c>
      <c r="W19" s="36" t="s">
        <v>1524</v>
      </c>
      <c r="X19" s="21" t="s">
        <v>446</v>
      </c>
      <c r="Y19" s="21"/>
      <c r="Z19" s="152"/>
      <c r="AG19" s="7">
        <v>48.0</v>
      </c>
      <c r="AJ19" s="144">
        <v>551.840029</v>
      </c>
      <c r="AK19" s="144">
        <v>342.90458</v>
      </c>
      <c r="AL19" s="144">
        <v>315.068288</v>
      </c>
      <c r="AM19" s="144">
        <v>314.663422</v>
      </c>
      <c r="AN19" s="144">
        <v>255.498237</v>
      </c>
      <c r="AO19" s="144">
        <v>254.252253</v>
      </c>
      <c r="AS19">
        <f>AO19/AJ19</f>
        <v>0.4607354299</v>
      </c>
    </row>
    <row r="20" ht="18.75" customHeight="1">
      <c r="A20" s="66" t="s">
        <v>457</v>
      </c>
      <c r="B20" s="67" t="s">
        <v>233</v>
      </c>
      <c r="C20" s="67" t="s">
        <v>460</v>
      </c>
      <c r="D20" s="68" t="s">
        <v>33</v>
      </c>
      <c r="E20" s="68" t="s">
        <v>1533</v>
      </c>
      <c r="F20" s="68">
        <v>1.817356197</v>
      </c>
      <c r="G20" s="68">
        <v>11.735486</v>
      </c>
      <c r="H20" s="68">
        <v>0.054401268</v>
      </c>
      <c r="I20" s="68"/>
      <c r="J20" s="68">
        <v>603.664</v>
      </c>
      <c r="K20" s="68">
        <v>99.99</v>
      </c>
      <c r="L20" s="68"/>
      <c r="M20" s="68">
        <v>30.8429459</v>
      </c>
      <c r="N20" s="67" t="s">
        <v>43</v>
      </c>
      <c r="O20" s="68" t="s">
        <v>1213</v>
      </c>
      <c r="P20" s="68">
        <v>1.1735486E10</v>
      </c>
      <c r="Q20" s="68">
        <v>6.71</v>
      </c>
      <c r="R20" s="68">
        <v>2.38207629388972E10</v>
      </c>
      <c r="S20" s="68">
        <v>13.62</v>
      </c>
      <c r="T20" s="68">
        <v>1.39339220509687E11</v>
      </c>
      <c r="U20" s="68">
        <v>79.67</v>
      </c>
      <c r="V20" s="22" t="s">
        <v>1382</v>
      </c>
      <c r="W20" s="22" t="s">
        <v>1548</v>
      </c>
      <c r="X20" s="22"/>
      <c r="Y20" s="152"/>
      <c r="Z20" s="152"/>
      <c r="AG20" s="7">
        <v>48.0</v>
      </c>
      <c r="AJ20" s="144">
        <v>923.596197</v>
      </c>
      <c r="AK20" s="144">
        <v>874.468878</v>
      </c>
      <c r="AL20" s="144">
        <v>827.891059</v>
      </c>
      <c r="AM20" s="144">
        <v>803.047412</v>
      </c>
      <c r="AN20" s="144">
        <v>757.211094</v>
      </c>
      <c r="AO20" s="144">
        <v>723.488468</v>
      </c>
      <c r="AP20" s="144"/>
      <c r="AQ20" s="144"/>
      <c r="AS20" t="str">
        <f>AP20/AQ20</f>
        <v>#DIV/0!</v>
      </c>
    </row>
    <row r="21">
      <c r="A21" s="66" t="s">
        <v>503</v>
      </c>
      <c r="B21" s="67" t="s">
        <v>308</v>
      </c>
      <c r="C21" s="67" t="s">
        <v>506</v>
      </c>
      <c r="D21" s="68" t="s">
        <v>211</v>
      </c>
      <c r="E21" s="68" t="s">
        <v>2176</v>
      </c>
      <c r="F21" s="68">
        <v>0.408103</v>
      </c>
      <c r="G21" s="68" t="s">
        <v>2177</v>
      </c>
      <c r="H21" s="68">
        <v>6.09292</v>
      </c>
      <c r="I21" s="68"/>
      <c r="J21" s="68">
        <v>33.195818</v>
      </c>
      <c r="K21" s="68">
        <v>96.703889</v>
      </c>
      <c r="L21" s="68"/>
      <c r="M21" s="68">
        <v>71.967334</v>
      </c>
      <c r="N21" s="67" t="s">
        <v>66</v>
      </c>
      <c r="O21" s="68" t="s">
        <v>1213</v>
      </c>
      <c r="P21" s="68">
        <f t="shared" ref="P21:P22" si="2">VALUE(SUBSTITUTE(G21, "(DP)", "")) * 1000  ^ 3</f>
        <v>4171705431000</v>
      </c>
      <c r="Q21" s="68">
        <v>70.667506</v>
      </c>
      <c r="R21" s="68">
        <f t="shared" ref="R21:R22" si="3">P21/Q21 * S21</f>
        <v>0</v>
      </c>
      <c r="S21" s="68">
        <v>0.0</v>
      </c>
      <c r="T21" s="68">
        <f t="shared" ref="T21:T22" si="4">P21/Q21 * U21</f>
        <v>1731581195530</v>
      </c>
      <c r="U21" s="68">
        <v>29.332494</v>
      </c>
      <c r="V21" s="70" t="s">
        <v>2150</v>
      </c>
      <c r="W21" s="36" t="s">
        <v>1571</v>
      </c>
      <c r="X21" s="36"/>
      <c r="Y21" s="21"/>
      <c r="Z21" s="152"/>
      <c r="AG21" s="7">
        <v>48.0</v>
      </c>
      <c r="AJ21" s="144">
        <v>68.408817</v>
      </c>
      <c r="AK21" s="144">
        <v>50.263166</v>
      </c>
      <c r="AL21" s="144">
        <v>44.653796</v>
      </c>
      <c r="AM21" s="144">
        <v>44.262586</v>
      </c>
      <c r="AN21" s="144">
        <v>32.343959</v>
      </c>
      <c r="AO21" s="144">
        <v>32.038938</v>
      </c>
      <c r="AS21">
        <f t="shared" ref="AS21:AS22" si="5">AO21/AJ21</f>
        <v>0.468345155</v>
      </c>
    </row>
    <row r="22">
      <c r="A22" s="66" t="s">
        <v>562</v>
      </c>
      <c r="B22" s="67" t="s">
        <v>308</v>
      </c>
      <c r="C22" s="67" t="s">
        <v>565</v>
      </c>
      <c r="D22" s="68" t="s">
        <v>211</v>
      </c>
      <c r="E22" s="68" t="s">
        <v>2186</v>
      </c>
      <c r="F22" s="77">
        <v>1.368833</v>
      </c>
      <c r="G22" s="14" t="s">
        <v>2187</v>
      </c>
      <c r="H22" s="14"/>
      <c r="I22" s="14"/>
      <c r="J22" s="68">
        <v>332.573597</v>
      </c>
      <c r="K22" s="68">
        <v>99.893369</v>
      </c>
      <c r="L22" s="68"/>
      <c r="M22" s="68">
        <v>78.20485</v>
      </c>
      <c r="N22" s="90" t="s">
        <v>66</v>
      </c>
      <c r="O22" s="77" t="s">
        <v>1213</v>
      </c>
      <c r="P22" s="68">
        <f t="shared" si="2"/>
        <v>93960063361000</v>
      </c>
      <c r="Q22" s="68">
        <v>97.755614</v>
      </c>
      <c r="R22" s="68">
        <f t="shared" si="3"/>
        <v>0</v>
      </c>
      <c r="S22" s="68">
        <v>0.0</v>
      </c>
      <c r="T22" s="68">
        <f t="shared" si="4"/>
        <v>2157243375982</v>
      </c>
      <c r="U22" s="68">
        <v>2.244386</v>
      </c>
      <c r="V22" s="70" t="s">
        <v>2150</v>
      </c>
      <c r="W22" s="21" t="s">
        <v>2192</v>
      </c>
      <c r="X22" s="36" t="s">
        <v>602</v>
      </c>
      <c r="Z22" s="36"/>
      <c r="AG22" s="7">
        <v>24.0</v>
      </c>
      <c r="AJ22" s="144">
        <v>765.6205</v>
      </c>
      <c r="AK22" s="144">
        <v>524.962969</v>
      </c>
      <c r="AL22" s="144">
        <v>498.615297</v>
      </c>
      <c r="AM22" s="144">
        <v>445.842722</v>
      </c>
      <c r="AN22" s="144">
        <v>340.369692</v>
      </c>
      <c r="AO22" s="144">
        <v>333.036733</v>
      </c>
      <c r="AS22">
        <f t="shared" si="5"/>
        <v>0.43498931</v>
      </c>
    </row>
    <row r="23">
      <c r="A23" s="66" t="s">
        <v>614</v>
      </c>
      <c r="B23" s="67" t="s">
        <v>31</v>
      </c>
      <c r="C23" s="67" t="s">
        <v>616</v>
      </c>
      <c r="D23" s="68" t="s">
        <v>211</v>
      </c>
      <c r="E23" s="11" t="s">
        <v>2195</v>
      </c>
      <c r="F23" s="11">
        <f>5092.93/1000</f>
        <v>5.09293</v>
      </c>
      <c r="G23" s="11" t="s">
        <v>2196</v>
      </c>
      <c r="H23" s="11">
        <v>3.856</v>
      </c>
      <c r="I23" s="11"/>
      <c r="J23" s="11">
        <v>5.698879631</v>
      </c>
      <c r="K23" s="11">
        <v>84.94371374</v>
      </c>
      <c r="L23" s="11"/>
      <c r="M23" s="11">
        <v>91.83081</v>
      </c>
      <c r="N23" s="73" t="s">
        <v>43</v>
      </c>
      <c r="O23" s="14">
        <v>6.17</v>
      </c>
      <c r="P23" s="11" t="s">
        <v>2197</v>
      </c>
      <c r="Q23" s="11">
        <v>0.06</v>
      </c>
      <c r="R23" s="11" t="s">
        <v>2198</v>
      </c>
      <c r="S23" s="11">
        <v>10.69</v>
      </c>
      <c r="T23" s="11" t="s">
        <v>2199</v>
      </c>
      <c r="U23" s="11">
        <v>89.25</v>
      </c>
      <c r="V23" s="22" t="s">
        <v>249</v>
      </c>
      <c r="W23" s="36" t="s">
        <v>1622</v>
      </c>
      <c r="X23" s="36"/>
      <c r="AG23" s="7">
        <v>24.0</v>
      </c>
      <c r="AJ23" s="111">
        <v>9.369069</v>
      </c>
      <c r="AK23" s="144">
        <v>8.060861</v>
      </c>
      <c r="AL23" s="144">
        <v>7.135887</v>
      </c>
      <c r="AM23" s="111">
        <v>6.378651</v>
      </c>
      <c r="AN23" s="144">
        <v>5.552516</v>
      </c>
      <c r="AO23" s="111">
        <v>4.760749</v>
      </c>
      <c r="AP23" s="144"/>
      <c r="AQ23" s="144"/>
      <c r="AS23">
        <f>AK23/AJ23</f>
        <v>0.8603694775</v>
      </c>
    </row>
    <row r="24">
      <c r="A24" s="134"/>
      <c r="B24" s="134"/>
      <c r="C24" s="134"/>
      <c r="D24" s="134"/>
      <c r="E24" s="134"/>
      <c r="F24" s="63"/>
      <c r="G24" s="134"/>
      <c r="H24" s="134"/>
      <c r="I24" s="134"/>
      <c r="J24" s="134"/>
      <c r="K24" s="134"/>
      <c r="L24" s="134"/>
      <c r="M24" s="134"/>
      <c r="N24" s="134"/>
      <c r="O24" s="134"/>
      <c r="P24" s="134"/>
      <c r="Q24" s="134"/>
      <c r="R24" s="134"/>
      <c r="S24" s="134"/>
      <c r="T24" s="134"/>
      <c r="U24" s="134"/>
      <c r="V24" s="134"/>
      <c r="W24" s="134"/>
      <c r="X24" s="134"/>
      <c r="Y24" s="134"/>
      <c r="Z24" s="134"/>
      <c r="AA24" s="134"/>
      <c r="AB24" s="134"/>
      <c r="AC24" s="134"/>
      <c r="AD24" s="134"/>
      <c r="AE24" s="134"/>
      <c r="AF24" s="134"/>
      <c r="AG24" s="134"/>
      <c r="AH24" s="134"/>
      <c r="AI24" s="134"/>
      <c r="AJ24" s="134"/>
      <c r="AK24" s="134"/>
      <c r="AL24" s="134"/>
      <c r="AM24" s="134"/>
      <c r="AN24" s="134"/>
      <c r="AO24" s="134"/>
      <c r="AP24" s="134"/>
      <c r="AQ24" s="134"/>
      <c r="AR24" s="134"/>
      <c r="AS24" s="134"/>
      <c r="AT24" s="134"/>
    </row>
    <row r="25">
      <c r="A25" s="95" t="s">
        <v>681</v>
      </c>
      <c r="B25" s="7" t="s">
        <v>683</v>
      </c>
      <c r="F25" s="7"/>
      <c r="V25" s="7"/>
      <c r="W25" s="7"/>
      <c r="X25" s="7"/>
    </row>
    <row r="26">
      <c r="A26" s="95" t="s">
        <v>684</v>
      </c>
      <c r="B26" s="7" t="s">
        <v>683</v>
      </c>
      <c r="F26" s="7"/>
      <c r="V26" s="7"/>
      <c r="W26" s="7"/>
      <c r="X26" s="7"/>
    </row>
    <row r="27">
      <c r="A27" s="95" t="s">
        <v>685</v>
      </c>
      <c r="B27" s="7" t="s">
        <v>683</v>
      </c>
      <c r="F27" s="7"/>
      <c r="V27" s="7"/>
      <c r="W27" s="7"/>
      <c r="X27" s="7"/>
    </row>
    <row r="28">
      <c r="A28" s="95" t="s">
        <v>686</v>
      </c>
      <c r="B28" s="7" t="s">
        <v>683</v>
      </c>
      <c r="F28" s="7"/>
      <c r="V28" s="7"/>
      <c r="W28" s="7"/>
      <c r="X28" s="7"/>
    </row>
    <row r="29">
      <c r="F29" s="7" t="s">
        <v>1632</v>
      </c>
      <c r="V29" s="7" t="s">
        <v>939</v>
      </c>
      <c r="W29" s="7"/>
      <c r="X29" s="7"/>
    </row>
    <row r="30">
      <c r="F30" s="7"/>
      <c r="AA30" s="7"/>
      <c r="AB30" s="7"/>
      <c r="AC30" s="7"/>
      <c r="AD30" s="7"/>
      <c r="AE30" s="7"/>
      <c r="AF30" s="7"/>
      <c r="AG30" s="7"/>
      <c r="AH30" s="7"/>
    </row>
    <row r="31">
      <c r="F31" s="7"/>
      <c r="AB31" s="7"/>
      <c r="AC31" s="7"/>
      <c r="AD31" s="7"/>
      <c r="AE31" s="7"/>
      <c r="AF31" s="7"/>
      <c r="AG31" s="7"/>
      <c r="AH31" s="7"/>
    </row>
    <row r="32">
      <c r="F32" s="7"/>
      <c r="AB32" s="7"/>
      <c r="AC32" s="7"/>
      <c r="AD32" s="7"/>
      <c r="AE32" s="7"/>
      <c r="AF32" s="7"/>
      <c r="AG32" s="7"/>
      <c r="AH32" s="7"/>
    </row>
    <row r="33">
      <c r="AB33" s="7"/>
      <c r="AC33" s="7"/>
      <c r="AD33" s="7"/>
      <c r="AE33" s="7"/>
      <c r="AF33" s="7"/>
      <c r="AG33" s="7"/>
      <c r="AH33" s="7"/>
    </row>
    <row r="34">
      <c r="F34" s="7" t="s">
        <v>707</v>
      </c>
      <c r="AB34" s="7"/>
      <c r="AC34" s="7"/>
      <c r="AD34" s="7"/>
      <c r="AE34" s="7"/>
      <c r="AF34" s="7"/>
      <c r="AG34" s="7"/>
      <c r="AH34" s="7"/>
      <c r="AI34" s="7"/>
    </row>
    <row r="35">
      <c r="F35" s="7" t="s">
        <v>1634</v>
      </c>
      <c r="AA35" s="7"/>
      <c r="AB35" s="7" t="s">
        <v>681</v>
      </c>
      <c r="AC35" s="7">
        <v>477.974183</v>
      </c>
      <c r="AD35" s="7">
        <v>422.62175</v>
      </c>
      <c r="AE35" s="7">
        <v>372.151638</v>
      </c>
      <c r="AF35" s="7">
        <v>331.790119</v>
      </c>
      <c r="AG35" s="7">
        <v>290.940303</v>
      </c>
      <c r="AH35" s="7">
        <v>258.035359</v>
      </c>
      <c r="AI35" s="7"/>
      <c r="AJ35" s="7"/>
      <c r="AK35" s="155"/>
      <c r="AL35" s="7"/>
      <c r="AM35" s="7"/>
    </row>
    <row r="36">
      <c r="F36" s="7" t="s">
        <v>1635</v>
      </c>
      <c r="AA36" s="7"/>
      <c r="AB36" s="7" t="s">
        <v>684</v>
      </c>
      <c r="AC36" s="7">
        <v>51.051375</v>
      </c>
      <c r="AD36" s="7">
        <v>45.327551</v>
      </c>
      <c r="AE36" s="7">
        <v>41.877619</v>
      </c>
      <c r="AF36" s="7">
        <v>39.914856</v>
      </c>
      <c r="AG36" s="7">
        <v>39.000085</v>
      </c>
      <c r="AH36" s="7">
        <v>38.294241</v>
      </c>
      <c r="AI36" s="7"/>
      <c r="AJ36" s="7"/>
      <c r="AK36" s="155"/>
      <c r="AL36" s="7"/>
      <c r="AM36" s="7"/>
    </row>
    <row r="37">
      <c r="E37" s="156" t="s">
        <v>1636</v>
      </c>
      <c r="F37" s="185" t="s">
        <v>710</v>
      </c>
      <c r="G37" s="157"/>
      <c r="H37" s="157"/>
      <c r="I37" s="157"/>
      <c r="AB37" s="7" t="s">
        <v>1166</v>
      </c>
      <c r="AC37" s="7">
        <v>1.2</v>
      </c>
      <c r="AD37" s="7">
        <v>1.4</v>
      </c>
      <c r="AE37" s="7">
        <v>1.6</v>
      </c>
      <c r="AF37" s="7">
        <v>1.8</v>
      </c>
      <c r="AG37" s="7">
        <v>2.1</v>
      </c>
      <c r="AH37" s="7">
        <v>2.5</v>
      </c>
      <c r="AI37" s="7"/>
      <c r="AJ37" s="7"/>
      <c r="AK37" s="155"/>
      <c r="AL37" s="7"/>
      <c r="AM37" s="7"/>
    </row>
    <row r="38">
      <c r="E38" s="157"/>
      <c r="F38" s="185" t="s">
        <v>1637</v>
      </c>
      <c r="G38" s="157"/>
      <c r="H38" s="157"/>
      <c r="I38" s="157"/>
      <c r="AB38" s="7"/>
      <c r="AC38" s="7"/>
      <c r="AD38" s="7"/>
      <c r="AE38" s="7"/>
      <c r="AF38" s="7"/>
      <c r="AG38" s="7"/>
      <c r="AH38" s="7"/>
      <c r="AI38" s="7"/>
      <c r="AJ38" s="7"/>
      <c r="AK38" s="155"/>
      <c r="AL38" s="7"/>
    </row>
    <row r="39">
      <c r="E39" s="157"/>
      <c r="F39" s="185" t="s">
        <v>1638</v>
      </c>
      <c r="G39" s="157"/>
      <c r="H39" s="157"/>
      <c r="I39" s="157"/>
      <c r="AB39" s="7" t="s">
        <v>1639</v>
      </c>
      <c r="AC39" s="7"/>
      <c r="AD39" s="7"/>
      <c r="AE39" s="7"/>
      <c r="AJ39" s="7"/>
      <c r="AK39" s="7"/>
      <c r="AL39" s="7"/>
    </row>
    <row r="40">
      <c r="E40" s="157"/>
      <c r="F40" s="156" t="s">
        <v>1640</v>
      </c>
      <c r="G40" s="157"/>
      <c r="H40" s="157"/>
      <c r="I40" s="157"/>
      <c r="AB40" s="7" t="s">
        <v>1641</v>
      </c>
      <c r="AC40" s="7">
        <v>1.2</v>
      </c>
      <c r="AD40" s="7"/>
      <c r="AE40" s="7"/>
      <c r="AF40" s="7">
        <v>11.212663</v>
      </c>
      <c r="AJ40" s="7"/>
      <c r="AK40" s="7"/>
      <c r="AL40" s="7"/>
    </row>
    <row r="41">
      <c r="AA41" s="7"/>
      <c r="AB41" s="7" t="s">
        <v>1642</v>
      </c>
      <c r="AC41" s="7">
        <v>1.4</v>
      </c>
      <c r="AD41" s="7"/>
      <c r="AE41" s="7"/>
      <c r="AF41" s="7">
        <v>11.167063</v>
      </c>
      <c r="AJ41" s="7"/>
      <c r="AK41" s="7"/>
      <c r="AL41" s="155"/>
    </row>
    <row r="42">
      <c r="F42" s="158" t="s">
        <v>1643</v>
      </c>
      <c r="AB42" s="7" t="s">
        <v>1644</v>
      </c>
      <c r="AC42" s="7">
        <v>1.6</v>
      </c>
      <c r="AD42" s="7"/>
      <c r="AE42" s="7"/>
      <c r="AF42" s="7">
        <v>11.041133</v>
      </c>
      <c r="AJ42" s="7"/>
      <c r="AK42" s="7"/>
      <c r="AL42" s="155"/>
    </row>
    <row r="43">
      <c r="AB43" s="7" t="s">
        <v>1645</v>
      </c>
      <c r="AC43" s="7">
        <v>1.8</v>
      </c>
      <c r="AD43" s="7"/>
      <c r="AE43" s="7"/>
      <c r="AF43" s="7">
        <v>10.848057</v>
      </c>
      <c r="AL43" s="155"/>
    </row>
    <row r="44">
      <c r="AB44" s="7" t="s">
        <v>1646</v>
      </c>
      <c r="AC44" s="7">
        <v>2.1</v>
      </c>
      <c r="AD44" s="7"/>
      <c r="AE44" s="7"/>
      <c r="AF44" s="7">
        <v>10.917546</v>
      </c>
    </row>
    <row r="45">
      <c r="AB45" s="7" t="s">
        <v>1647</v>
      </c>
      <c r="AC45" s="7">
        <v>2.5</v>
      </c>
      <c r="AD45" s="7"/>
      <c r="AE45" s="7"/>
      <c r="AF45" s="7">
        <v>10.725041</v>
      </c>
    </row>
    <row r="46">
      <c r="AC46" s="7">
        <v>2.9</v>
      </c>
      <c r="AD46" s="7"/>
      <c r="AE46" s="7"/>
    </row>
    <row r="48">
      <c r="AK48" s="7"/>
      <c r="AL48" s="7"/>
    </row>
    <row r="52">
      <c r="AD52" s="7"/>
      <c r="AE52" s="7"/>
      <c r="AK52" s="7"/>
    </row>
    <row r="53">
      <c r="AD53" s="7"/>
      <c r="AE53" s="7"/>
      <c r="AG53" s="7"/>
      <c r="AH53" s="7"/>
      <c r="AK53" s="7"/>
    </row>
    <row r="54">
      <c r="AD54" s="7"/>
      <c r="AE54" s="7"/>
      <c r="AG54" s="7"/>
      <c r="AH54" s="7"/>
      <c r="AK54" s="7"/>
    </row>
    <row r="55">
      <c r="AD55" s="7"/>
      <c r="AE55" s="7"/>
      <c r="AG55" s="7"/>
      <c r="AH55" s="7"/>
      <c r="AK55" s="7"/>
    </row>
    <row r="56">
      <c r="AD56" s="7"/>
      <c r="AE56" s="7"/>
      <c r="AG56" s="7"/>
      <c r="AH56" s="7"/>
      <c r="AK56" s="7"/>
    </row>
    <row r="57">
      <c r="AD57" s="7"/>
      <c r="AE57" s="7"/>
      <c r="AG57" s="7"/>
      <c r="AH57" s="7"/>
      <c r="AK57" s="7"/>
    </row>
    <row r="204">
      <c r="A204" s="108" t="s">
        <v>385</v>
      </c>
      <c r="B204" s="3" t="s">
        <v>1</v>
      </c>
      <c r="C204" s="3" t="s">
        <v>2</v>
      </c>
      <c r="D204" s="3" t="s">
        <v>3</v>
      </c>
      <c r="E204" s="3" t="s">
        <v>834</v>
      </c>
      <c r="F204" s="3" t="s">
        <v>5</v>
      </c>
      <c r="G204" s="3" t="s">
        <v>835</v>
      </c>
      <c r="H204" s="3"/>
      <c r="I204" s="3"/>
      <c r="J204" s="3" t="s">
        <v>305</v>
      </c>
      <c r="K204" s="3" t="s">
        <v>836</v>
      </c>
      <c r="L204" s="3"/>
      <c r="M204" s="3"/>
      <c r="N204" s="3" t="s">
        <v>306</v>
      </c>
      <c r="O204" s="3"/>
      <c r="P204" s="5" t="s">
        <v>837</v>
      </c>
      <c r="Q204" s="5" t="s">
        <v>838</v>
      </c>
      <c r="R204" s="5" t="s">
        <v>839</v>
      </c>
      <c r="S204" s="5" t="s">
        <v>840</v>
      </c>
      <c r="T204" s="5" t="s">
        <v>841</v>
      </c>
      <c r="U204" s="5" t="s">
        <v>842</v>
      </c>
      <c r="V204" s="5" t="s">
        <v>21</v>
      </c>
      <c r="W204" s="5" t="s">
        <v>23</v>
      </c>
      <c r="X204" s="159"/>
    </row>
    <row r="205">
      <c r="A205" s="57" t="s">
        <v>30</v>
      </c>
      <c r="B205" s="21" t="s">
        <v>31</v>
      </c>
      <c r="C205" s="21"/>
      <c r="D205" s="10" t="s">
        <v>33</v>
      </c>
      <c r="E205" s="116">
        <f t="shared" ref="E205:E216" si="6">G205/K205</f>
        <v>8.721626277</v>
      </c>
      <c r="F205" s="111"/>
      <c r="G205" s="112">
        <f t="shared" ref="G205:G216" si="7">P205+R205</f>
        <v>142.013072</v>
      </c>
      <c r="H205" s="112"/>
      <c r="I205" s="112"/>
      <c r="J205" s="113">
        <v>24.147293281</v>
      </c>
      <c r="K205" s="113">
        <v>16.282866</v>
      </c>
      <c r="L205" s="113"/>
      <c r="M205" s="113"/>
      <c r="N205" s="113">
        <f t="shared" ref="N205:N216" si="8">K205*100/J205</f>
        <v>67.43143346</v>
      </c>
      <c r="O205" s="113"/>
      <c r="P205" s="114">
        <v>142.013071534</v>
      </c>
      <c r="Q205" s="114">
        <f t="shared" ref="Q205:Q216" si="9">P205*100/(P205+R205+T205)</f>
        <v>21.63876579</v>
      </c>
      <c r="R205" s="114">
        <v>4.44E-7</v>
      </c>
      <c r="S205" s="114">
        <f t="shared" ref="S205:S216" si="10">R205*100/(P205+R205+T205)</f>
        <v>0.00000006765301185</v>
      </c>
      <c r="T205" s="114">
        <v>514.276999707</v>
      </c>
      <c r="U205" s="114">
        <f t="shared" ref="U205:U216" si="11">T205*100/(P205+R205+T205)</f>
        <v>78.36123414</v>
      </c>
      <c r="V205" s="22"/>
      <c r="W205" s="21" t="s">
        <v>940</v>
      </c>
      <c r="X205" s="21"/>
    </row>
    <row r="206">
      <c r="A206" s="57" t="s">
        <v>58</v>
      </c>
      <c r="B206" s="21" t="s">
        <v>31</v>
      </c>
      <c r="C206" s="21"/>
      <c r="D206" s="10" t="s">
        <v>60</v>
      </c>
      <c r="E206" s="116">
        <f t="shared" si="6"/>
        <v>81.96506181</v>
      </c>
      <c r="F206" s="111"/>
      <c r="G206" s="112">
        <f t="shared" si="7"/>
        <v>6918.878567</v>
      </c>
      <c r="H206" s="112"/>
      <c r="I206" s="112"/>
      <c r="J206" s="117">
        <v>299.336068822</v>
      </c>
      <c r="K206" s="117">
        <v>84.4125339985</v>
      </c>
      <c r="L206" s="117"/>
      <c r="M206" s="117"/>
      <c r="N206" s="113">
        <f t="shared" si="8"/>
        <v>28.19992069</v>
      </c>
      <c r="O206" s="113"/>
      <c r="P206" s="114">
        <v>0.010961698</v>
      </c>
      <c r="Q206" s="114">
        <f t="shared" si="9"/>
        <v>0.0001128073451</v>
      </c>
      <c r="R206" s="114">
        <v>6918.867605249</v>
      </c>
      <c r="S206" s="114">
        <f t="shared" si="10"/>
        <v>71.20238907</v>
      </c>
      <c r="T206" s="114">
        <v>2798.306060702</v>
      </c>
      <c r="U206" s="114">
        <f t="shared" si="11"/>
        <v>28.79749812</v>
      </c>
      <c r="V206" s="22"/>
      <c r="W206" s="22" t="s">
        <v>941</v>
      </c>
      <c r="X206" s="22"/>
    </row>
    <row r="207">
      <c r="A207" s="57" t="s">
        <v>69</v>
      </c>
      <c r="B207" s="21" t="s">
        <v>31</v>
      </c>
      <c r="C207" s="21"/>
      <c r="D207" s="10" t="s">
        <v>33</v>
      </c>
      <c r="E207" s="110">
        <f t="shared" si="6"/>
        <v>49.79253143</v>
      </c>
      <c r="F207" s="111"/>
      <c r="G207" s="112">
        <f t="shared" si="7"/>
        <v>19.08512875</v>
      </c>
      <c r="H207" s="112"/>
      <c r="I207" s="112"/>
      <c r="J207" s="111">
        <v>0.510844769</v>
      </c>
      <c r="K207" s="111">
        <v>0.383293</v>
      </c>
      <c r="L207" s="111"/>
      <c r="M207" s="111"/>
      <c r="N207" s="113">
        <f t="shared" si="8"/>
        <v>75.03120777</v>
      </c>
      <c r="O207" s="113"/>
      <c r="P207" s="119">
        <v>19.085128748</v>
      </c>
      <c r="Q207" s="114">
        <f t="shared" si="9"/>
        <v>99.81934202</v>
      </c>
      <c r="R207" s="114">
        <v>0.0</v>
      </c>
      <c r="S207" s="114">
        <f t="shared" si="10"/>
        <v>0</v>
      </c>
      <c r="T207" s="120">
        <v>0.03454121</v>
      </c>
      <c r="U207" s="114">
        <f t="shared" si="11"/>
        <v>0.1806579825</v>
      </c>
      <c r="V207" s="22"/>
      <c r="W207" s="22" t="s">
        <v>942</v>
      </c>
      <c r="X207" s="22"/>
    </row>
    <row r="208">
      <c r="A208" s="57" t="s">
        <v>92</v>
      </c>
      <c r="B208" s="9" t="s">
        <v>93</v>
      </c>
      <c r="C208" s="9"/>
      <c r="D208" s="9" t="s">
        <v>850</v>
      </c>
      <c r="E208" s="116">
        <f t="shared" si="6"/>
        <v>7.763928401</v>
      </c>
      <c r="F208" s="113"/>
      <c r="G208" s="112">
        <f t="shared" si="7"/>
        <v>43.49927158</v>
      </c>
      <c r="H208" s="112"/>
      <c r="I208" s="112"/>
      <c r="J208" s="113">
        <v>6.418983413</v>
      </c>
      <c r="K208" s="113">
        <v>5.602739919</v>
      </c>
      <c r="L208" s="113"/>
      <c r="M208" s="113"/>
      <c r="N208" s="113">
        <f t="shared" si="8"/>
        <v>87.28391333</v>
      </c>
      <c r="O208" s="113"/>
      <c r="P208" s="122">
        <v>43.499271581</v>
      </c>
      <c r="Q208" s="114">
        <f t="shared" si="9"/>
        <v>9.356417136</v>
      </c>
      <c r="R208" s="113">
        <v>0.0</v>
      </c>
      <c r="S208" s="114">
        <f t="shared" si="10"/>
        <v>0</v>
      </c>
      <c r="T208" s="113">
        <v>421.414497735</v>
      </c>
      <c r="U208" s="114">
        <f t="shared" si="11"/>
        <v>90.64358286</v>
      </c>
      <c r="V208" s="22"/>
      <c r="W208" s="22" t="s">
        <v>943</v>
      </c>
      <c r="X208" s="22"/>
    </row>
    <row r="209">
      <c r="A209" s="57" t="s">
        <v>117</v>
      </c>
      <c r="B209" s="9" t="s">
        <v>93</v>
      </c>
      <c r="C209" s="9"/>
      <c r="D209" s="9" t="s">
        <v>33</v>
      </c>
      <c r="E209" s="160">
        <f t="shared" si="6"/>
        <v>0.01663709204</v>
      </c>
      <c r="F209" s="113"/>
      <c r="G209" s="112">
        <f t="shared" si="7"/>
        <v>0.163862546</v>
      </c>
      <c r="H209" s="112"/>
      <c r="I209" s="112"/>
      <c r="J209" s="113">
        <v>9.94285944</v>
      </c>
      <c r="K209" s="113">
        <v>9.84923</v>
      </c>
      <c r="L209" s="113"/>
      <c r="M209" s="113"/>
      <c r="N209" s="113">
        <f t="shared" si="8"/>
        <v>99.05832482</v>
      </c>
      <c r="O209" s="113"/>
      <c r="P209" s="113">
        <v>0.163862258</v>
      </c>
      <c r="Q209" s="114">
        <f t="shared" si="9"/>
        <v>0.2090184595</v>
      </c>
      <c r="R209" s="125">
        <v>2.88E-7</v>
      </c>
      <c r="S209" s="114">
        <f t="shared" si="10"/>
        <v>0.0000003673653534</v>
      </c>
      <c r="T209" s="113">
        <v>78.232207553</v>
      </c>
      <c r="U209" s="114">
        <f t="shared" si="11"/>
        <v>99.79098117</v>
      </c>
      <c r="V209" s="22"/>
      <c r="W209" s="22" t="s">
        <v>944</v>
      </c>
      <c r="X209" s="22"/>
    </row>
    <row r="210">
      <c r="A210" s="57" t="s">
        <v>139</v>
      </c>
      <c r="B210" s="9" t="s">
        <v>93</v>
      </c>
      <c r="C210" s="9"/>
      <c r="D210" s="9" t="s">
        <v>33</v>
      </c>
      <c r="E210" s="116">
        <f t="shared" si="6"/>
        <v>26.0630153</v>
      </c>
      <c r="F210" s="125"/>
      <c r="G210" s="112">
        <f t="shared" si="7"/>
        <v>1501.971435</v>
      </c>
      <c r="H210" s="112"/>
      <c r="I210" s="112"/>
      <c r="J210" s="127">
        <v>62.371648399</v>
      </c>
      <c r="K210" s="113">
        <v>57.62846</v>
      </c>
      <c r="L210" s="113"/>
      <c r="M210" s="113"/>
      <c r="N210" s="113">
        <f t="shared" si="8"/>
        <v>92.39528132</v>
      </c>
      <c r="O210" s="113"/>
      <c r="P210" s="113">
        <v>1501.97143463</v>
      </c>
      <c r="Q210" s="114">
        <f t="shared" si="9"/>
        <v>89.70820077</v>
      </c>
      <c r="R210" s="113">
        <v>0.0</v>
      </c>
      <c r="S210" s="114">
        <f t="shared" si="10"/>
        <v>0</v>
      </c>
      <c r="T210" s="113">
        <v>172.314106331</v>
      </c>
      <c r="U210" s="114">
        <f t="shared" si="11"/>
        <v>10.29179923</v>
      </c>
      <c r="V210" s="22"/>
      <c r="W210" s="22" t="s">
        <v>945</v>
      </c>
      <c r="X210" s="22"/>
    </row>
    <row r="211">
      <c r="A211" s="57" t="s">
        <v>159</v>
      </c>
      <c r="B211" s="9" t="s">
        <v>160</v>
      </c>
      <c r="C211" s="44"/>
      <c r="D211" s="22" t="s">
        <v>855</v>
      </c>
      <c r="E211" s="116">
        <f t="shared" si="6"/>
        <v>12.63655509</v>
      </c>
      <c r="F211" s="113"/>
      <c r="G211" s="112">
        <f t="shared" si="7"/>
        <v>18.77525455</v>
      </c>
      <c r="H211" s="112"/>
      <c r="I211" s="112"/>
      <c r="J211" s="113">
        <v>2.142226746</v>
      </c>
      <c r="K211" s="113">
        <v>1.485789</v>
      </c>
      <c r="L211" s="113"/>
      <c r="M211" s="113"/>
      <c r="N211" s="113">
        <f t="shared" si="8"/>
        <v>69.35722387</v>
      </c>
      <c r="O211" s="113"/>
      <c r="P211" s="113">
        <v>18.775254548</v>
      </c>
      <c r="Q211" s="114">
        <f t="shared" si="9"/>
        <v>13.45985314</v>
      </c>
      <c r="R211" s="113">
        <v>0.0</v>
      </c>
      <c r="S211" s="114">
        <f t="shared" si="10"/>
        <v>0</v>
      </c>
      <c r="T211" s="113">
        <v>120.715528548</v>
      </c>
      <c r="U211" s="114">
        <f t="shared" si="11"/>
        <v>86.54014686</v>
      </c>
      <c r="V211" s="22"/>
      <c r="W211" s="22" t="s">
        <v>946</v>
      </c>
      <c r="X211" s="22"/>
    </row>
    <row r="212">
      <c r="A212" s="57" t="s">
        <v>185</v>
      </c>
      <c r="B212" s="9" t="s">
        <v>160</v>
      </c>
      <c r="C212" s="129"/>
      <c r="D212" s="9" t="s">
        <v>857</v>
      </c>
      <c r="E212" s="161">
        <f t="shared" si="6"/>
        <v>0.000000001505105789</v>
      </c>
      <c r="F212" s="113"/>
      <c r="G212" s="112">
        <f t="shared" si="7"/>
        <v>0.000000008</v>
      </c>
      <c r="H212" s="112"/>
      <c r="I212" s="112"/>
      <c r="J212" s="113">
        <v>6.355860486</v>
      </c>
      <c r="K212" s="113">
        <v>5.315241</v>
      </c>
      <c r="L212" s="113"/>
      <c r="M212" s="113"/>
      <c r="N212" s="113">
        <f t="shared" si="8"/>
        <v>83.62740201</v>
      </c>
      <c r="O212" s="113"/>
      <c r="P212" s="125">
        <v>8.0E-9</v>
      </c>
      <c r="Q212" s="114">
        <f t="shared" si="9"/>
        <v>0.000000006769464677</v>
      </c>
      <c r="R212" s="113">
        <v>0.0</v>
      </c>
      <c r="S212" s="114">
        <f t="shared" si="10"/>
        <v>0</v>
      </c>
      <c r="T212" s="113">
        <v>118.177734592</v>
      </c>
      <c r="U212" s="114">
        <f t="shared" si="11"/>
        <v>99.99999999</v>
      </c>
      <c r="V212" s="22"/>
      <c r="W212" s="22" t="s">
        <v>947</v>
      </c>
      <c r="X212" s="22"/>
    </row>
    <row r="213">
      <c r="A213" s="57" t="s">
        <v>209</v>
      </c>
      <c r="B213" s="9" t="s">
        <v>160</v>
      </c>
      <c r="C213" s="129"/>
      <c r="D213" s="22" t="s">
        <v>860</v>
      </c>
      <c r="E213" s="110">
        <f t="shared" si="6"/>
        <v>64.48099763</v>
      </c>
      <c r="F213" s="113"/>
      <c r="G213" s="112">
        <f t="shared" si="7"/>
        <v>16.23979718</v>
      </c>
      <c r="H213" s="112"/>
      <c r="I213" s="112"/>
      <c r="J213" s="113">
        <v>0.753715085</v>
      </c>
      <c r="K213" s="113">
        <v>0.251854</v>
      </c>
      <c r="L213" s="113"/>
      <c r="M213" s="113"/>
      <c r="N213" s="113">
        <f t="shared" si="8"/>
        <v>33.41501384</v>
      </c>
      <c r="O213" s="113"/>
      <c r="P213" s="68">
        <v>16.239797176</v>
      </c>
      <c r="Q213" s="114">
        <f t="shared" si="9"/>
        <v>95.45684169</v>
      </c>
      <c r="R213" s="68">
        <v>0.0</v>
      </c>
      <c r="S213" s="114">
        <f t="shared" si="10"/>
        <v>0</v>
      </c>
      <c r="T213" s="68">
        <v>0.772914421</v>
      </c>
      <c r="U213" s="114">
        <f t="shared" si="11"/>
        <v>4.543158312</v>
      </c>
      <c r="V213" s="22"/>
      <c r="W213" s="22" t="s">
        <v>948</v>
      </c>
      <c r="X213" s="22"/>
    </row>
    <row r="214">
      <c r="A214" s="57" t="s">
        <v>232</v>
      </c>
      <c r="B214" s="9" t="s">
        <v>233</v>
      </c>
      <c r="C214" s="22"/>
      <c r="D214" s="67" t="s">
        <v>862</v>
      </c>
      <c r="E214" s="116">
        <f t="shared" si="6"/>
        <v>71.6619171</v>
      </c>
      <c r="F214" s="131"/>
      <c r="G214" s="112">
        <f t="shared" si="7"/>
        <v>134.5024672</v>
      </c>
      <c r="H214" s="112"/>
      <c r="I214" s="112"/>
      <c r="J214" s="68">
        <v>2.023362284</v>
      </c>
      <c r="K214" s="68">
        <v>1.876903</v>
      </c>
      <c r="L214" s="68"/>
      <c r="M214" s="68"/>
      <c r="N214" s="113">
        <f t="shared" si="8"/>
        <v>92.76158871</v>
      </c>
      <c r="O214" s="113"/>
      <c r="P214" s="68">
        <v>134.502467187</v>
      </c>
      <c r="Q214" s="114">
        <f t="shared" si="9"/>
        <v>98.83485123</v>
      </c>
      <c r="R214" s="68">
        <v>0.0</v>
      </c>
      <c r="S214" s="114">
        <f t="shared" si="10"/>
        <v>0</v>
      </c>
      <c r="T214" s="68">
        <v>1.585628781</v>
      </c>
      <c r="U214" s="114">
        <f t="shared" si="11"/>
        <v>1.165148773</v>
      </c>
      <c r="V214" s="132"/>
      <c r="W214" s="22" t="s">
        <v>949</v>
      </c>
      <c r="X214" s="22"/>
    </row>
    <row r="215">
      <c r="A215" s="57" t="s">
        <v>258</v>
      </c>
      <c r="B215" s="9" t="s">
        <v>233</v>
      </c>
      <c r="C215" s="22"/>
      <c r="D215" s="67" t="s">
        <v>860</v>
      </c>
      <c r="E215" s="160">
        <f t="shared" si="6"/>
        <v>9.922245097</v>
      </c>
      <c r="F215" s="113"/>
      <c r="G215" s="112">
        <f t="shared" si="7"/>
        <v>10.71699709</v>
      </c>
      <c r="H215" s="112"/>
      <c r="I215" s="112"/>
      <c r="J215" s="113">
        <v>1.163434952</v>
      </c>
      <c r="K215" s="113">
        <v>1.080098</v>
      </c>
      <c r="L215" s="113"/>
      <c r="M215" s="113"/>
      <c r="N215" s="113">
        <f t="shared" si="8"/>
        <v>92.83699086</v>
      </c>
      <c r="O215" s="113"/>
      <c r="P215" s="130">
        <v>10.716997083</v>
      </c>
      <c r="Q215" s="114">
        <f t="shared" si="9"/>
        <v>21.21314721</v>
      </c>
      <c r="R215" s="130">
        <v>2.0E-9</v>
      </c>
      <c r="S215" s="114">
        <f t="shared" si="10"/>
        <v>0.000000003958785665</v>
      </c>
      <c r="T215" s="68">
        <v>39.803545551</v>
      </c>
      <c r="U215" s="114">
        <f t="shared" si="11"/>
        <v>78.78685278</v>
      </c>
      <c r="V215" s="22"/>
      <c r="W215" s="22" t="s">
        <v>950</v>
      </c>
      <c r="X215" s="22"/>
    </row>
    <row r="216">
      <c r="A216" s="57" t="s">
        <v>280</v>
      </c>
      <c r="B216" s="9" t="s">
        <v>233</v>
      </c>
      <c r="C216" s="22"/>
      <c r="D216" s="22" t="s">
        <v>33</v>
      </c>
      <c r="E216" s="160">
        <f t="shared" si="6"/>
        <v>7.8904104</v>
      </c>
      <c r="F216" s="113"/>
      <c r="G216" s="112">
        <f t="shared" si="7"/>
        <v>16.59944299</v>
      </c>
      <c r="H216" s="112"/>
      <c r="I216" s="112"/>
      <c r="J216" s="113">
        <v>12.144893592</v>
      </c>
      <c r="K216" s="113">
        <v>2.103749</v>
      </c>
      <c r="L216" s="113"/>
      <c r="M216" s="113"/>
      <c r="N216" s="113">
        <f t="shared" si="8"/>
        <v>17.32208672</v>
      </c>
      <c r="O216" s="113"/>
      <c r="P216" s="113">
        <v>16.599442734</v>
      </c>
      <c r="Q216" s="114">
        <f t="shared" si="9"/>
        <v>45.01010222</v>
      </c>
      <c r="R216" s="125">
        <v>2.55E-7</v>
      </c>
      <c r="S216" s="114">
        <f t="shared" si="10"/>
        <v>0.0000006914434568</v>
      </c>
      <c r="T216" s="113">
        <v>20.279928345</v>
      </c>
      <c r="U216" s="114">
        <f t="shared" si="11"/>
        <v>54.98989709</v>
      </c>
      <c r="V216" s="22"/>
      <c r="W216" s="22" t="s">
        <v>951</v>
      </c>
      <c r="X216" s="22"/>
    </row>
    <row r="217">
      <c r="A217" s="134"/>
      <c r="B217" s="62"/>
      <c r="C217" s="62"/>
      <c r="D217" s="62"/>
      <c r="E217" s="134"/>
      <c r="F217" s="134"/>
      <c r="G217" s="134"/>
      <c r="H217" s="134"/>
      <c r="I217" s="134"/>
      <c r="J217" s="134"/>
      <c r="K217" s="134"/>
      <c r="L217" s="134"/>
      <c r="M217" s="134"/>
      <c r="N217" s="134"/>
      <c r="O217" s="134"/>
      <c r="P217" s="134"/>
      <c r="Q217" s="134"/>
      <c r="R217" s="134"/>
      <c r="S217" s="134"/>
      <c r="T217" s="134"/>
      <c r="U217" s="134"/>
      <c r="V217" s="134"/>
      <c r="W217" s="134"/>
      <c r="X217" s="134"/>
    </row>
    <row r="218">
      <c r="A218" s="65" t="s">
        <v>303</v>
      </c>
      <c r="B218" s="136" t="s">
        <v>2202</v>
      </c>
      <c r="C218" s="3" t="s">
        <v>304</v>
      </c>
      <c r="D218" s="3" t="s">
        <v>3</v>
      </c>
      <c r="E218" s="3" t="s">
        <v>4</v>
      </c>
      <c r="F218" s="3" t="s">
        <v>5</v>
      </c>
      <c r="G218" s="3" t="s">
        <v>6</v>
      </c>
      <c r="H218" s="3"/>
      <c r="I218" s="3"/>
      <c r="J218" s="3" t="s">
        <v>305</v>
      </c>
      <c r="K218" s="3" t="s">
        <v>836</v>
      </c>
      <c r="L218" s="3"/>
      <c r="M218" s="3"/>
      <c r="N218" s="3" t="s">
        <v>306</v>
      </c>
      <c r="O218" s="3"/>
      <c r="P218" s="5"/>
      <c r="Q218" s="5" t="s">
        <v>16</v>
      </c>
      <c r="R218" s="5"/>
      <c r="S218" s="5" t="s">
        <v>18</v>
      </c>
      <c r="T218" s="5"/>
      <c r="U218" s="5" t="s">
        <v>20</v>
      </c>
      <c r="V218" s="5" t="s">
        <v>21</v>
      </c>
      <c r="W218" s="5" t="s">
        <v>23</v>
      </c>
      <c r="X218" s="159"/>
    </row>
    <row r="219">
      <c r="A219" s="66" t="s">
        <v>307</v>
      </c>
      <c r="B219" s="67" t="s">
        <v>308</v>
      </c>
      <c r="C219" s="67"/>
      <c r="D219" s="67" t="s">
        <v>860</v>
      </c>
      <c r="E219" s="161">
        <f t="shared" ref="E219:E226" si="12">G219/K219</f>
        <v>38.2580521</v>
      </c>
      <c r="F219" s="68"/>
      <c r="G219" s="112">
        <f t="shared" ref="G219:G226" si="13">P219+R219</f>
        <v>4650.241672</v>
      </c>
      <c r="H219" s="112"/>
      <c r="I219" s="112"/>
      <c r="J219" s="14">
        <v>138.315746029</v>
      </c>
      <c r="K219" s="68">
        <v>121.549358</v>
      </c>
      <c r="L219" s="68"/>
      <c r="M219" s="68"/>
      <c r="N219" s="113">
        <f t="shared" ref="N219:N226" si="14">K219*100/J219</f>
        <v>87.87817836</v>
      </c>
      <c r="O219" s="113"/>
      <c r="P219" s="68">
        <v>4650.241670238</v>
      </c>
      <c r="Q219" s="114">
        <f t="shared" ref="Q219:Q226" si="15">P219*100/(P219+R219+T219)</f>
        <v>10.90070696</v>
      </c>
      <c r="R219" s="130">
        <v>1.386E-6</v>
      </c>
      <c r="S219" s="114">
        <f t="shared" ref="S219:S226" si="16">R219*100/(P219+R219+T219)</f>
        <v>0.000000003248945092</v>
      </c>
      <c r="T219" s="68">
        <v>38009.759060646</v>
      </c>
      <c r="U219" s="114">
        <f t="shared" ref="U219:U226" si="17">T219*100/(P219+R219+T219)</f>
        <v>89.09929303</v>
      </c>
      <c r="V219" s="70"/>
      <c r="W219" s="70" t="s">
        <v>953</v>
      </c>
      <c r="X219" s="70"/>
    </row>
    <row r="220">
      <c r="A220" s="66" t="s">
        <v>335</v>
      </c>
      <c r="B220" s="67" t="s">
        <v>93</v>
      </c>
      <c r="C220" s="67"/>
      <c r="D220" s="67" t="s">
        <v>850</v>
      </c>
      <c r="E220" s="116">
        <f t="shared" si="12"/>
        <v>143.468914</v>
      </c>
      <c r="F220" s="68"/>
      <c r="G220" s="112">
        <f t="shared" si="13"/>
        <v>1664.79434</v>
      </c>
      <c r="H220" s="112"/>
      <c r="I220" s="112"/>
      <c r="J220" s="68">
        <v>11.714850905</v>
      </c>
      <c r="K220" s="68">
        <v>11.603868</v>
      </c>
      <c r="L220" s="68"/>
      <c r="M220" s="68"/>
      <c r="N220" s="113">
        <f t="shared" si="14"/>
        <v>99.05263067</v>
      </c>
      <c r="O220" s="113"/>
      <c r="P220" s="68">
        <v>91.012446173</v>
      </c>
      <c r="Q220" s="114">
        <f t="shared" si="15"/>
        <v>0.3082850759</v>
      </c>
      <c r="R220" s="68">
        <v>1573.781893897</v>
      </c>
      <c r="S220" s="114">
        <f t="shared" si="16"/>
        <v>5.330847494</v>
      </c>
      <c r="T220" s="68">
        <v>27857.376300404</v>
      </c>
      <c r="U220" s="114">
        <f t="shared" si="17"/>
        <v>94.36086743</v>
      </c>
      <c r="V220" s="70"/>
      <c r="W220" s="70" t="s">
        <v>954</v>
      </c>
      <c r="X220" s="70"/>
    </row>
    <row r="221">
      <c r="A221" s="66" t="s">
        <v>358</v>
      </c>
      <c r="B221" s="67" t="s">
        <v>31</v>
      </c>
      <c r="C221" s="153"/>
      <c r="D221" s="67" t="s">
        <v>860</v>
      </c>
      <c r="E221" s="110">
        <f t="shared" si="12"/>
        <v>11.21993723</v>
      </c>
      <c r="F221" s="11"/>
      <c r="G221" s="112">
        <f t="shared" si="13"/>
        <v>307.5733958</v>
      </c>
      <c r="H221" s="112"/>
      <c r="I221" s="112"/>
      <c r="J221" s="14">
        <v>27.683789512</v>
      </c>
      <c r="K221" s="14">
        <v>27.413112</v>
      </c>
      <c r="L221" s="14"/>
      <c r="M221" s="14"/>
      <c r="N221" s="113">
        <f t="shared" si="14"/>
        <v>99.02225267</v>
      </c>
      <c r="O221" s="113"/>
      <c r="P221" s="11">
        <v>307.570894827</v>
      </c>
      <c r="Q221" s="114">
        <f t="shared" si="15"/>
        <v>31.04729482</v>
      </c>
      <c r="R221" s="68">
        <v>0.00250102</v>
      </c>
      <c r="S221" s="114">
        <f t="shared" si="16"/>
        <v>0.0002524618116</v>
      </c>
      <c r="T221" s="11">
        <v>683.079402029</v>
      </c>
      <c r="U221" s="114">
        <f t="shared" si="17"/>
        <v>68.95245272</v>
      </c>
      <c r="V221" s="22"/>
      <c r="W221" s="36" t="s">
        <v>955</v>
      </c>
      <c r="X221" s="36"/>
    </row>
    <row r="222">
      <c r="A222" s="66" t="s">
        <v>382</v>
      </c>
      <c r="B222" s="67" t="s">
        <v>308</v>
      </c>
      <c r="C222" s="67"/>
      <c r="D222" s="67" t="s">
        <v>873</v>
      </c>
      <c r="E222" s="161">
        <f t="shared" si="12"/>
        <v>58.90366162</v>
      </c>
      <c r="F222" s="77"/>
      <c r="G222" s="112">
        <f t="shared" si="13"/>
        <v>740.8072606</v>
      </c>
      <c r="H222" s="112"/>
      <c r="I222" s="112"/>
      <c r="J222" s="68">
        <v>12.69024556</v>
      </c>
      <c r="K222" s="68">
        <v>12.576591</v>
      </c>
      <c r="L222" s="68"/>
      <c r="M222" s="68"/>
      <c r="N222" s="113">
        <f t="shared" si="14"/>
        <v>99.10439432</v>
      </c>
      <c r="O222" s="113"/>
      <c r="P222" s="140">
        <v>740.80726055</v>
      </c>
      <c r="Q222" s="114">
        <f t="shared" si="15"/>
        <v>24.84752757</v>
      </c>
      <c r="R222" s="130">
        <v>9.6E-8</v>
      </c>
      <c r="S222" s="114">
        <f t="shared" si="16"/>
        <v>0.000000003219950416</v>
      </c>
      <c r="T222" s="68">
        <v>2240.605109468</v>
      </c>
      <c r="U222" s="114">
        <f t="shared" si="17"/>
        <v>75.15247243</v>
      </c>
      <c r="V222" s="70"/>
      <c r="W222" s="36" t="s">
        <v>956</v>
      </c>
      <c r="X222" s="36"/>
    </row>
    <row r="223">
      <c r="A223" s="66" t="s">
        <v>457</v>
      </c>
      <c r="B223" s="67" t="s">
        <v>233</v>
      </c>
      <c r="C223" s="67"/>
      <c r="D223" s="67" t="s">
        <v>33</v>
      </c>
      <c r="E223" s="116">
        <f t="shared" si="12"/>
        <v>0.0207951851</v>
      </c>
      <c r="F223" s="68"/>
      <c r="G223" s="112">
        <f t="shared" si="13"/>
        <v>5.187082389</v>
      </c>
      <c r="H223" s="112"/>
      <c r="I223" s="112"/>
      <c r="J223" s="68">
        <v>249.494361936</v>
      </c>
      <c r="K223" s="68">
        <v>249.436702</v>
      </c>
      <c r="L223" s="68"/>
      <c r="M223" s="68"/>
      <c r="N223" s="113">
        <f t="shared" si="14"/>
        <v>99.97688928</v>
      </c>
      <c r="O223" s="113"/>
      <c r="P223" s="68">
        <v>4.003865913</v>
      </c>
      <c r="Q223" s="114">
        <f t="shared" si="15"/>
        <v>0.7032185587</v>
      </c>
      <c r="R223" s="68">
        <v>1.183216476</v>
      </c>
      <c r="S223" s="114">
        <f t="shared" si="16"/>
        <v>0.2078140984</v>
      </c>
      <c r="T223" s="68">
        <v>564.175865116</v>
      </c>
      <c r="U223" s="114">
        <f t="shared" si="17"/>
        <v>99.08896734</v>
      </c>
      <c r="V223" s="143"/>
      <c r="W223" s="36" t="s">
        <v>957</v>
      </c>
      <c r="X223" s="36"/>
    </row>
    <row r="224">
      <c r="A224" s="66" t="s">
        <v>503</v>
      </c>
      <c r="B224" s="67" t="s">
        <v>308</v>
      </c>
      <c r="C224" s="67"/>
      <c r="D224" s="67" t="s">
        <v>860</v>
      </c>
      <c r="E224" s="161">
        <f t="shared" si="12"/>
        <v>130.4580879</v>
      </c>
      <c r="F224" s="68"/>
      <c r="G224" s="112">
        <f t="shared" si="13"/>
        <v>4182.521782</v>
      </c>
      <c r="H224" s="112"/>
      <c r="I224" s="112"/>
      <c r="J224" s="68">
        <v>32.870936796</v>
      </c>
      <c r="K224" s="68">
        <v>32.060272</v>
      </c>
      <c r="L224" s="68"/>
      <c r="M224" s="68"/>
      <c r="N224" s="113">
        <f t="shared" si="14"/>
        <v>97.53379467</v>
      </c>
      <c r="O224" s="113"/>
      <c r="P224" s="68">
        <v>4182.521781443</v>
      </c>
      <c r="Q224" s="114">
        <f t="shared" si="15"/>
        <v>27.75599568</v>
      </c>
      <c r="R224" s="130">
        <v>9.6E-8</v>
      </c>
      <c r="S224" s="114">
        <f t="shared" si="16"/>
        <v>0.0000000006370739293</v>
      </c>
      <c r="T224" s="68">
        <v>10886.37298706</v>
      </c>
      <c r="U224" s="114">
        <f t="shared" si="17"/>
        <v>72.24400432</v>
      </c>
      <c r="V224" s="70"/>
      <c r="W224" s="36" t="s">
        <v>958</v>
      </c>
      <c r="X224" s="36"/>
    </row>
    <row r="225">
      <c r="A225" s="66" t="s">
        <v>562</v>
      </c>
      <c r="B225" s="67" t="s">
        <v>308</v>
      </c>
      <c r="C225" s="67"/>
      <c r="D225" s="67" t="s">
        <v>211</v>
      </c>
      <c r="E225" s="160">
        <f t="shared" si="12"/>
        <v>85.26449065</v>
      </c>
      <c r="F225" s="77"/>
      <c r="G225" s="112">
        <f t="shared" si="13"/>
        <v>700.3654252</v>
      </c>
      <c r="H225" s="112"/>
      <c r="I225" s="112"/>
      <c r="J225" s="68">
        <v>8.297161239</v>
      </c>
      <c r="K225" s="68">
        <v>8.214034</v>
      </c>
      <c r="L225" s="68"/>
      <c r="M225" s="68"/>
      <c r="N225" s="113">
        <f t="shared" si="14"/>
        <v>98.99812434</v>
      </c>
      <c r="O225" s="113"/>
      <c r="P225" s="68">
        <v>700.365424737</v>
      </c>
      <c r="Q225" s="114">
        <f t="shared" si="15"/>
        <v>47.51439346</v>
      </c>
      <c r="R225" s="130">
        <v>4.56E-7</v>
      </c>
      <c r="S225" s="114">
        <f t="shared" si="16"/>
        <v>0.00000003093608372</v>
      </c>
      <c r="T225" s="68">
        <v>773.641446805</v>
      </c>
      <c r="U225" s="114">
        <f t="shared" si="17"/>
        <v>52.48560651</v>
      </c>
      <c r="V225" s="70"/>
      <c r="W225" s="21" t="s">
        <v>959</v>
      </c>
      <c r="X225" s="21"/>
    </row>
    <row r="226">
      <c r="A226" s="66" t="s">
        <v>614</v>
      </c>
      <c r="B226" s="67" t="s">
        <v>31</v>
      </c>
      <c r="C226" s="67"/>
      <c r="D226" s="67" t="s">
        <v>860</v>
      </c>
      <c r="E226" s="116">
        <f t="shared" si="12"/>
        <v>48.91346938</v>
      </c>
      <c r="F226" s="11"/>
      <c r="G226" s="112">
        <f t="shared" si="13"/>
        <v>234.9405403</v>
      </c>
      <c r="H226" s="112"/>
      <c r="I226" s="112"/>
      <c r="J226" s="11">
        <v>5.709997759</v>
      </c>
      <c r="K226" s="11">
        <v>4.803187</v>
      </c>
      <c r="L226" s="11"/>
      <c r="M226" s="11"/>
      <c r="N226" s="113">
        <f t="shared" si="14"/>
        <v>84.11889466</v>
      </c>
      <c r="O226" s="113"/>
      <c r="P226" s="11">
        <v>1.300291094</v>
      </c>
      <c r="Q226" s="114">
        <f t="shared" si="15"/>
        <v>0.05950157583</v>
      </c>
      <c r="R226" s="11">
        <v>233.640249163</v>
      </c>
      <c r="S226" s="114">
        <f t="shared" si="16"/>
        <v>10.69142369</v>
      </c>
      <c r="T226" s="11">
        <v>1950.364766192</v>
      </c>
      <c r="U226" s="114">
        <f t="shared" si="17"/>
        <v>89.24907474</v>
      </c>
      <c r="V226" s="22"/>
      <c r="W226" s="36" t="s">
        <v>960</v>
      </c>
      <c r="X226" s="36"/>
    </row>
    <row r="227">
      <c r="A227" s="134"/>
      <c r="B227" s="134"/>
      <c r="C227" s="134"/>
      <c r="D227" s="134"/>
      <c r="E227" s="134"/>
      <c r="F227" s="63"/>
      <c r="G227" s="134"/>
      <c r="H227" s="134"/>
      <c r="I227" s="134"/>
      <c r="J227" s="134"/>
      <c r="K227" s="134"/>
      <c r="L227" s="134"/>
      <c r="M227" s="134"/>
      <c r="N227" s="134"/>
      <c r="O227" s="134"/>
      <c r="P227" s="134"/>
      <c r="Q227" s="134"/>
      <c r="R227" s="134"/>
      <c r="S227" s="134"/>
      <c r="T227" s="134"/>
      <c r="U227" s="134"/>
      <c r="V227" s="134"/>
      <c r="W227" s="134"/>
      <c r="X227" s="134"/>
    </row>
    <row r="228">
      <c r="A228" s="67" t="s">
        <v>681</v>
      </c>
      <c r="B228" s="67" t="s">
        <v>683</v>
      </c>
      <c r="C228" s="67" t="s">
        <v>961</v>
      </c>
      <c r="D228" s="67" t="s">
        <v>33</v>
      </c>
      <c r="E228" s="148">
        <f t="shared" ref="E228:E229" si="18">G228/K228</f>
        <v>296.5554734</v>
      </c>
      <c r="F228" s="112"/>
      <c r="G228" s="112">
        <f t="shared" ref="G228:G229" si="19">P228+R228</f>
        <v>91030.96556</v>
      </c>
      <c r="H228" s="112"/>
      <c r="I228" s="112"/>
      <c r="J228" s="112">
        <v>313.300094982</v>
      </c>
      <c r="K228" s="112">
        <v>306.961003</v>
      </c>
      <c r="L228" s="112"/>
      <c r="M228" s="112"/>
      <c r="N228" s="113">
        <f t="shared" ref="N228:N229" si="20">K228*100/J228</f>
        <v>97.9766709</v>
      </c>
      <c r="O228" s="113"/>
      <c r="P228" s="112">
        <v>91030.965563272</v>
      </c>
      <c r="Q228" s="114">
        <f t="shared" ref="Q228:Q229" si="21">P228*100/(P228+R228+T228)</f>
        <v>74.44920653</v>
      </c>
      <c r="R228" s="112">
        <v>0.0</v>
      </c>
      <c r="S228" s="114">
        <f t="shared" ref="S228:S229" si="22">R228*100/(P228+R228+T228)</f>
        <v>0</v>
      </c>
      <c r="T228" s="112">
        <v>31241.614364588</v>
      </c>
      <c r="U228" s="114">
        <f t="shared" ref="U228:U229" si="23">T228*100/(P228+R228+T228)</f>
        <v>25.55079347</v>
      </c>
      <c r="V228" s="112"/>
      <c r="W228" s="67" t="s">
        <v>962</v>
      </c>
      <c r="X228" s="67"/>
    </row>
    <row r="229">
      <c r="A229" s="67" t="s">
        <v>684</v>
      </c>
      <c r="B229" s="67" t="s">
        <v>683</v>
      </c>
      <c r="C229" s="67" t="s">
        <v>963</v>
      </c>
      <c r="D229" s="67" t="s">
        <v>95</v>
      </c>
      <c r="E229" s="148">
        <f t="shared" si="18"/>
        <v>8.717051009</v>
      </c>
      <c r="F229" s="112"/>
      <c r="G229" s="112">
        <f t="shared" si="19"/>
        <v>336.3443012</v>
      </c>
      <c r="H229" s="112"/>
      <c r="I229" s="112"/>
      <c r="J229" s="112">
        <v>327.518708423</v>
      </c>
      <c r="K229" s="112">
        <v>38.584643</v>
      </c>
      <c r="L229" s="112"/>
      <c r="M229" s="112"/>
      <c r="N229" s="113">
        <f t="shared" si="20"/>
        <v>11.7808974</v>
      </c>
      <c r="O229" s="113"/>
      <c r="P229" s="112">
        <v>336.344301108</v>
      </c>
      <c r="Q229" s="114">
        <f t="shared" si="21"/>
        <v>78.8686719</v>
      </c>
      <c r="R229" s="112">
        <v>1.02E-7</v>
      </c>
      <c r="S229" s="114">
        <f t="shared" si="22"/>
        <v>0.00000002391776673</v>
      </c>
      <c r="T229" s="112">
        <v>90.116919697</v>
      </c>
      <c r="U229" s="114">
        <f t="shared" si="23"/>
        <v>21.13132807</v>
      </c>
      <c r="V229" s="112"/>
      <c r="W229" s="67" t="s">
        <v>964</v>
      </c>
      <c r="X229" s="67"/>
    </row>
    <row r="230">
      <c r="C230" s="7" t="s">
        <v>965</v>
      </c>
      <c r="E230" s="112"/>
      <c r="F230" s="112"/>
      <c r="G230" s="112"/>
      <c r="H230" s="112"/>
      <c r="I230" s="112"/>
      <c r="J230" s="112"/>
      <c r="K230" s="112"/>
      <c r="L230" s="112"/>
      <c r="M230" s="112"/>
      <c r="N230" s="112"/>
      <c r="O230" s="112"/>
      <c r="P230" s="112"/>
      <c r="Q230" s="112"/>
      <c r="R230" s="112"/>
      <c r="S230" s="112"/>
      <c r="T230" s="112"/>
      <c r="U230" s="112"/>
      <c r="V230" s="112"/>
    </row>
    <row r="231">
      <c r="B231" s="7" t="s">
        <v>966</v>
      </c>
      <c r="C231" s="7" t="s">
        <v>967</v>
      </c>
      <c r="E231" s="112"/>
      <c r="F231" s="112"/>
      <c r="G231" s="112"/>
      <c r="H231" s="112"/>
      <c r="I231" s="112"/>
      <c r="J231" s="112"/>
      <c r="K231" s="112"/>
      <c r="L231" s="112"/>
      <c r="M231" s="112"/>
      <c r="N231" s="112"/>
      <c r="O231" s="112"/>
      <c r="P231" s="112"/>
      <c r="Q231" s="112"/>
      <c r="R231" s="112"/>
      <c r="S231" s="112"/>
      <c r="T231" s="112"/>
      <c r="U231" s="112"/>
      <c r="V231" s="112"/>
    </row>
    <row r="232">
      <c r="B232" s="7" t="s">
        <v>968</v>
      </c>
      <c r="C232" s="7" t="s">
        <v>969</v>
      </c>
      <c r="E232" s="112"/>
      <c r="F232" s="112"/>
      <c r="G232" s="112"/>
      <c r="H232" s="112"/>
      <c r="I232" s="112"/>
      <c r="J232" s="112"/>
      <c r="K232" s="112"/>
      <c r="L232" s="112"/>
      <c r="M232" s="112"/>
      <c r="N232" s="112"/>
      <c r="O232" s="112"/>
      <c r="P232" s="112"/>
      <c r="Q232" s="112"/>
      <c r="R232" s="112"/>
      <c r="S232" s="112"/>
      <c r="T232" s="112"/>
      <c r="U232" s="112"/>
      <c r="V232" s="112"/>
    </row>
    <row r="233">
      <c r="E233" s="112"/>
      <c r="F233" s="112"/>
      <c r="G233" s="112"/>
      <c r="H233" s="112"/>
      <c r="I233" s="112"/>
      <c r="J233" s="112"/>
      <c r="K233" s="112"/>
      <c r="L233" s="112"/>
      <c r="M233" s="112"/>
      <c r="N233" s="112"/>
      <c r="O233" s="112"/>
      <c r="P233" s="112"/>
      <c r="Q233" s="112"/>
      <c r="R233" s="112"/>
      <c r="S233" s="112"/>
      <c r="T233" s="112"/>
      <c r="U233" s="112"/>
      <c r="V233" s="112"/>
    </row>
    <row r="234">
      <c r="B234" s="7" t="s">
        <v>970</v>
      </c>
      <c r="C234" s="7" t="s">
        <v>971</v>
      </c>
      <c r="E234" s="112"/>
      <c r="F234" s="112"/>
      <c r="G234" s="112"/>
      <c r="H234" s="112"/>
      <c r="I234" s="112"/>
      <c r="J234" s="112"/>
      <c r="K234" s="112"/>
      <c r="L234" s="112"/>
      <c r="M234" s="112"/>
      <c r="N234" s="112"/>
      <c r="O234" s="112"/>
      <c r="P234" s="112"/>
      <c r="Q234" s="112"/>
      <c r="R234" s="112"/>
      <c r="S234" s="112"/>
      <c r="T234" s="112"/>
      <c r="U234" s="112"/>
      <c r="V234" s="112"/>
    </row>
    <row r="235">
      <c r="C235" s="7" t="s">
        <v>972</v>
      </c>
      <c r="E235" s="112"/>
      <c r="F235" s="112"/>
      <c r="G235" s="112"/>
      <c r="H235" s="112"/>
      <c r="I235" s="112"/>
      <c r="J235" s="112"/>
      <c r="K235" s="112"/>
      <c r="L235" s="112"/>
      <c r="M235" s="112"/>
      <c r="N235" s="112"/>
      <c r="O235" s="112"/>
      <c r="P235" s="112"/>
      <c r="Q235" s="112"/>
      <c r="R235" s="112"/>
      <c r="S235" s="112"/>
      <c r="T235" s="112"/>
      <c r="U235" s="112"/>
      <c r="V235" s="112"/>
    </row>
    <row r="236">
      <c r="C236" s="7" t="s">
        <v>973</v>
      </c>
      <c r="E236" s="112"/>
      <c r="F236" s="112"/>
      <c r="G236" s="112"/>
      <c r="H236" s="112"/>
      <c r="I236" s="112"/>
      <c r="J236" s="112"/>
      <c r="K236" s="112"/>
      <c r="L236" s="112"/>
      <c r="M236" s="112"/>
      <c r="N236" s="112"/>
      <c r="O236" s="112"/>
      <c r="P236" s="112"/>
      <c r="Q236" s="112"/>
      <c r="R236" s="112"/>
      <c r="S236" s="112"/>
      <c r="T236" s="112"/>
      <c r="U236" s="112"/>
      <c r="V236" s="112"/>
    </row>
    <row r="237">
      <c r="C237" s="7" t="s">
        <v>974</v>
      </c>
      <c r="E237" s="112"/>
      <c r="F237" s="112"/>
      <c r="G237" s="112"/>
      <c r="H237" s="112"/>
      <c r="I237" s="112"/>
      <c r="J237" s="112"/>
      <c r="K237" s="112"/>
      <c r="L237" s="112"/>
      <c r="M237" s="112"/>
      <c r="N237" s="112"/>
      <c r="O237" s="112"/>
      <c r="P237" s="112"/>
      <c r="Q237" s="112"/>
      <c r="R237" s="112"/>
      <c r="S237" s="112"/>
      <c r="T237" s="112"/>
      <c r="U237" s="112"/>
      <c r="V237" s="112"/>
    </row>
    <row r="238">
      <c r="E238" s="112"/>
      <c r="F238" s="112"/>
      <c r="G238" s="112"/>
      <c r="H238" s="112"/>
      <c r="I238" s="112"/>
      <c r="J238" s="112"/>
      <c r="K238" s="112"/>
      <c r="L238" s="112"/>
      <c r="M238" s="112"/>
      <c r="N238" s="112"/>
      <c r="O238" s="112"/>
      <c r="P238" s="112"/>
      <c r="Q238" s="112"/>
      <c r="R238" s="112"/>
      <c r="S238" s="112"/>
      <c r="T238" s="112"/>
      <c r="U238" s="112"/>
      <c r="V238" s="112"/>
    </row>
    <row r="239">
      <c r="C239" s="7" t="s">
        <v>975</v>
      </c>
      <c r="E239" s="112"/>
      <c r="F239" s="112"/>
      <c r="G239" s="112"/>
      <c r="H239" s="112"/>
      <c r="I239" s="112"/>
      <c r="J239" s="112"/>
      <c r="K239" s="112"/>
      <c r="L239" s="112"/>
      <c r="M239" s="112"/>
      <c r="N239" s="112"/>
      <c r="O239" s="112"/>
      <c r="P239" s="112"/>
      <c r="Q239" s="112"/>
      <c r="R239" s="112"/>
      <c r="S239" s="112"/>
      <c r="T239" s="112"/>
      <c r="U239" s="112"/>
      <c r="V239" s="112"/>
    </row>
    <row r="240">
      <c r="C240" s="7" t="s">
        <v>976</v>
      </c>
      <c r="E240" s="112"/>
      <c r="F240" s="112"/>
      <c r="G240" s="112"/>
      <c r="H240" s="112"/>
      <c r="I240" s="112"/>
      <c r="J240" s="112"/>
      <c r="K240" s="112"/>
      <c r="L240" s="112"/>
      <c r="M240" s="112"/>
      <c r="N240" s="112"/>
      <c r="O240" s="112"/>
      <c r="P240" s="112"/>
      <c r="Q240" s="112"/>
      <c r="R240" s="112"/>
      <c r="S240" s="112"/>
      <c r="T240" s="112"/>
      <c r="U240" s="112"/>
      <c r="V240" s="112"/>
    </row>
    <row r="241">
      <c r="C241" s="7"/>
      <c r="E241" s="112"/>
      <c r="F241" s="112"/>
      <c r="G241" s="112"/>
      <c r="H241" s="112"/>
      <c r="I241" s="112"/>
      <c r="J241" s="112"/>
      <c r="K241" s="112"/>
      <c r="L241" s="112"/>
      <c r="M241" s="112"/>
      <c r="N241" s="112"/>
      <c r="O241" s="112"/>
      <c r="P241" s="112"/>
      <c r="Q241" s="112"/>
      <c r="R241" s="112"/>
      <c r="S241" s="112"/>
      <c r="T241" s="112"/>
      <c r="U241" s="112"/>
      <c r="V241" s="112"/>
    </row>
    <row r="242">
      <c r="C242" s="105" t="s">
        <v>1692</v>
      </c>
    </row>
    <row r="243">
      <c r="C243" s="7"/>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F37"/>
    <hyperlink r:id="rId14" ref="F38"/>
    <hyperlink r:id="rId15" ref="F39"/>
    <hyperlink r:id="rId16" ref="A205"/>
    <hyperlink r:id="rId17" ref="A206"/>
    <hyperlink r:id="rId18" ref="A207"/>
    <hyperlink r:id="rId19" ref="A208"/>
    <hyperlink r:id="rId20" ref="A209"/>
    <hyperlink r:id="rId21" ref="A210"/>
    <hyperlink r:id="rId22" ref="A211"/>
    <hyperlink r:id="rId23" ref="A212"/>
    <hyperlink r:id="rId24" ref="A213"/>
    <hyperlink r:id="rId25" ref="A214"/>
    <hyperlink r:id="rId26" ref="A215"/>
    <hyperlink r:id="rId27" ref="A216"/>
  </hyperlinks>
  <drawing r:id="rId2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4.29"/>
    <col customWidth="1" min="3" max="3" width="80.57"/>
    <col customWidth="1" min="4" max="4" width="27.29"/>
    <col customWidth="1" min="5" max="5" width="33.86"/>
    <col customWidth="1" min="6" max="6" width="37.71"/>
    <col customWidth="1" min="7" max="8" width="29.29"/>
    <col customWidth="1" min="9" max="9" width="60.29"/>
    <col customWidth="1" min="10" max="13" width="29.29"/>
    <col customWidth="1" min="14" max="14" width="47.0"/>
    <col customWidth="1" min="15" max="17" width="28.86"/>
    <col customWidth="1" min="18" max="19" width="29.14"/>
    <col customWidth="1" min="20" max="21" width="29.57"/>
    <col customWidth="1" min="22" max="22" width="24.29"/>
    <col customWidth="1" min="23" max="23" width="82.71"/>
    <col customWidth="1" min="24" max="24" width="104.0"/>
    <col customWidth="1" min="26" max="26" width="17.43"/>
    <col customWidth="1" min="28" max="28" width="21.29"/>
    <col customWidth="1" min="29" max="29" width="21.86"/>
    <col customWidth="1" min="34" max="34" width="18.43"/>
  </cols>
  <sheetData>
    <row r="1" ht="33.0" customHeight="1">
      <c r="A1" s="1" t="s">
        <v>385</v>
      </c>
      <c r="B1" s="3" t="s">
        <v>1</v>
      </c>
      <c r="C1" s="3" t="s">
        <v>2</v>
      </c>
      <c r="D1" s="3" t="s">
        <v>3</v>
      </c>
      <c r="E1" s="3" t="s">
        <v>4</v>
      </c>
      <c r="F1" s="3" t="s">
        <v>5</v>
      </c>
      <c r="G1" s="3" t="s">
        <v>6</v>
      </c>
      <c r="H1" s="3" t="s">
        <v>7</v>
      </c>
      <c r="I1" s="3" t="s">
        <v>8</v>
      </c>
      <c r="J1" s="3" t="s">
        <v>9</v>
      </c>
      <c r="K1" s="3" t="s">
        <v>10</v>
      </c>
      <c r="L1" s="3" t="s">
        <v>11</v>
      </c>
      <c r="M1" s="3" t="s">
        <v>12</v>
      </c>
      <c r="N1" s="3" t="s">
        <v>13</v>
      </c>
      <c r="O1" s="4" t="s">
        <v>14</v>
      </c>
      <c r="P1" s="5" t="s">
        <v>15</v>
      </c>
      <c r="Q1" s="5" t="s">
        <v>16</v>
      </c>
      <c r="R1" s="5" t="s">
        <v>17</v>
      </c>
      <c r="S1" s="5" t="s">
        <v>18</v>
      </c>
      <c r="T1" s="5" t="s">
        <v>19</v>
      </c>
      <c r="U1" s="5" t="s">
        <v>20</v>
      </c>
      <c r="V1" s="5" t="s">
        <v>21</v>
      </c>
      <c r="W1" s="5" t="s">
        <v>22</v>
      </c>
      <c r="X1" s="5" t="s">
        <v>23</v>
      </c>
      <c r="Y1" s="5" t="s">
        <v>0</v>
      </c>
      <c r="Z1" s="5" t="s">
        <v>0</v>
      </c>
      <c r="AA1" s="5" t="s">
        <v>0</v>
      </c>
      <c r="AB1" s="6" t="s">
        <v>24</v>
      </c>
      <c r="AC1" s="6" t="s">
        <v>25</v>
      </c>
      <c r="AD1" s="7" t="s">
        <v>386</v>
      </c>
      <c r="AG1" s="6" t="s">
        <v>26</v>
      </c>
      <c r="AH1" s="6" t="s">
        <v>27</v>
      </c>
      <c r="AI1" s="6" t="s">
        <v>28</v>
      </c>
    </row>
    <row r="2" ht="15.0" customHeight="1">
      <c r="A2" s="8" t="s">
        <v>30</v>
      </c>
      <c r="B2" s="9" t="s">
        <v>31</v>
      </c>
      <c r="C2" s="10" t="s">
        <v>32</v>
      </c>
      <c r="D2" s="10" t="s">
        <v>33</v>
      </c>
      <c r="E2" s="11" t="s">
        <v>387</v>
      </c>
      <c r="F2" s="12" t="s">
        <v>388</v>
      </c>
      <c r="G2" s="13" t="s">
        <v>389</v>
      </c>
      <c r="H2" s="75" t="s">
        <v>390</v>
      </c>
      <c r="I2" s="12" t="s">
        <v>391</v>
      </c>
      <c r="J2" s="12" t="s">
        <v>392</v>
      </c>
      <c r="K2" s="16" t="s">
        <v>393</v>
      </c>
      <c r="L2" s="16" t="s">
        <v>41</v>
      </c>
      <c r="M2" s="76" t="s">
        <v>42</v>
      </c>
      <c r="N2" s="17" t="s">
        <v>43</v>
      </c>
      <c r="O2" s="18" t="s">
        <v>0</v>
      </c>
      <c r="P2" s="11" t="s">
        <v>394</v>
      </c>
      <c r="Q2" s="19" t="s">
        <v>395</v>
      </c>
      <c r="R2" s="41" t="s">
        <v>41</v>
      </c>
      <c r="S2" s="19" t="s">
        <v>41</v>
      </c>
      <c r="T2" s="11" t="s">
        <v>396</v>
      </c>
      <c r="U2" s="19" t="s">
        <v>397</v>
      </c>
      <c r="V2" s="20" t="s">
        <v>48</v>
      </c>
      <c r="W2" s="21" t="s">
        <v>0</v>
      </c>
      <c r="X2" s="21" t="s">
        <v>398</v>
      </c>
      <c r="Y2" s="20" t="s">
        <v>50</v>
      </c>
      <c r="Z2" s="20" t="s">
        <v>0</v>
      </c>
      <c r="AA2" s="7" t="s">
        <v>0</v>
      </c>
      <c r="AB2" s="24" t="s">
        <v>399</v>
      </c>
      <c r="AC2" s="24" t="s">
        <v>400</v>
      </c>
      <c r="AD2" s="7" t="s">
        <v>0</v>
      </c>
      <c r="AE2" s="25" t="s">
        <v>401</v>
      </c>
      <c r="AF2" s="7" t="s">
        <v>0</v>
      </c>
      <c r="AG2" s="25" t="s">
        <v>54</v>
      </c>
      <c r="AH2" s="25" t="s">
        <v>57</v>
      </c>
      <c r="AI2" s="7" t="s">
        <v>0</v>
      </c>
      <c r="AJ2" s="7" t="s">
        <v>0</v>
      </c>
      <c r="AK2" s="7" t="s">
        <v>0</v>
      </c>
      <c r="AL2" s="7" t="s">
        <v>0</v>
      </c>
      <c r="AM2" s="7" t="s">
        <v>0</v>
      </c>
      <c r="AN2" s="7" t="s">
        <v>0</v>
      </c>
      <c r="AO2" s="7" t="s">
        <v>0</v>
      </c>
      <c r="AP2" s="7" t="s">
        <v>0</v>
      </c>
      <c r="AQ2" s="7" t="s">
        <v>0</v>
      </c>
      <c r="AR2" s="7" t="s">
        <v>0</v>
      </c>
      <c r="AS2" s="7" t="s">
        <v>0</v>
      </c>
      <c r="AT2" s="7" t="s">
        <v>0</v>
      </c>
      <c r="AU2" s="7" t="s">
        <v>0</v>
      </c>
      <c r="AV2" s="7" t="s">
        <v>0</v>
      </c>
      <c r="AW2" s="7" t="s">
        <v>0</v>
      </c>
      <c r="AX2" s="7" t="s">
        <v>0</v>
      </c>
    </row>
    <row r="3">
      <c r="A3" s="8" t="s">
        <v>58</v>
      </c>
      <c r="B3" s="9" t="s">
        <v>31</v>
      </c>
      <c r="C3" s="10" t="s">
        <v>59</v>
      </c>
      <c r="D3" s="10" t="s">
        <v>60</v>
      </c>
      <c r="E3" s="11" t="s">
        <v>404</v>
      </c>
      <c r="F3" s="12" t="s">
        <v>405</v>
      </c>
      <c r="G3" s="39" t="s">
        <v>407</v>
      </c>
      <c r="H3" s="75" t="s">
        <v>408</v>
      </c>
      <c r="I3" s="12" t="s">
        <v>409</v>
      </c>
      <c r="J3" s="12" t="s">
        <v>410</v>
      </c>
      <c r="K3" s="30" t="s">
        <v>0</v>
      </c>
      <c r="L3" s="30" t="s">
        <v>0</v>
      </c>
      <c r="M3" s="26" t="s">
        <v>0</v>
      </c>
      <c r="N3" s="17" t="s">
        <v>66</v>
      </c>
      <c r="O3" s="31" t="s">
        <v>0</v>
      </c>
      <c r="P3" s="42" t="s">
        <v>411</v>
      </c>
      <c r="Q3" s="19" t="s">
        <v>41</v>
      </c>
      <c r="R3" s="42" t="s">
        <v>412</v>
      </c>
      <c r="S3" s="19" t="s">
        <v>413</v>
      </c>
      <c r="T3" s="11" t="s">
        <v>414</v>
      </c>
      <c r="U3" s="19" t="s">
        <v>415</v>
      </c>
      <c r="V3" s="20" t="s">
        <v>48</v>
      </c>
      <c r="W3" s="22" t="s">
        <v>0</v>
      </c>
      <c r="X3" s="22" t="s">
        <v>416</v>
      </c>
      <c r="Y3" s="20" t="s">
        <v>0</v>
      </c>
      <c r="Z3" s="20" t="s">
        <v>0</v>
      </c>
      <c r="AA3" s="7" t="s">
        <v>0</v>
      </c>
      <c r="AB3" s="36" t="s">
        <v>0</v>
      </c>
      <c r="AC3" s="152"/>
      <c r="AE3" t="str">
        <f>AB3/AC3</f>
        <v>#DIV/0!</v>
      </c>
      <c r="AG3" s="7">
        <v>32.0</v>
      </c>
      <c r="AH3" s="162">
        <f>AI3/I3</f>
        <v>0</v>
      </c>
      <c r="AI3" s="162"/>
    </row>
    <row r="4">
      <c r="A4" s="8" t="s">
        <v>69</v>
      </c>
      <c r="B4" s="9" t="s">
        <v>31</v>
      </c>
      <c r="C4" s="10" t="s">
        <v>70</v>
      </c>
      <c r="D4" s="10" t="s">
        <v>33</v>
      </c>
      <c r="E4" s="11" t="s">
        <v>419</v>
      </c>
      <c r="F4" s="12" t="s">
        <v>420</v>
      </c>
      <c r="G4" s="11" t="s">
        <v>422</v>
      </c>
      <c r="H4" s="75" t="s">
        <v>423</v>
      </c>
      <c r="I4" s="16" t="s">
        <v>425</v>
      </c>
      <c r="J4" s="12" t="s">
        <v>427</v>
      </c>
      <c r="K4" s="16" t="s">
        <v>428</v>
      </c>
      <c r="L4" s="16" t="s">
        <v>41</v>
      </c>
      <c r="M4" s="76" t="s">
        <v>42</v>
      </c>
      <c r="N4" s="17" t="s">
        <v>66</v>
      </c>
      <c r="O4" s="18" t="s">
        <v>0</v>
      </c>
      <c r="P4" s="11" t="s">
        <v>429</v>
      </c>
      <c r="Q4" s="19" t="s">
        <v>430</v>
      </c>
      <c r="R4" s="14" t="s">
        <v>432</v>
      </c>
      <c r="S4" s="19" t="s">
        <v>433</v>
      </c>
      <c r="T4" s="11" t="s">
        <v>434</v>
      </c>
      <c r="U4" s="19" t="s">
        <v>436</v>
      </c>
      <c r="V4" s="20" t="s">
        <v>48</v>
      </c>
      <c r="W4" s="22" t="s">
        <v>0</v>
      </c>
      <c r="X4" s="22" t="s">
        <v>438</v>
      </c>
      <c r="Y4" s="20" t="s">
        <v>0</v>
      </c>
      <c r="Z4" s="20" t="s">
        <v>0</v>
      </c>
      <c r="AA4" s="7" t="s">
        <v>0</v>
      </c>
      <c r="AB4" s="24" t="s">
        <v>441</v>
      </c>
      <c r="AC4" s="24" t="s">
        <v>443</v>
      </c>
      <c r="AD4" s="7" t="s">
        <v>0</v>
      </c>
      <c r="AE4" s="25" t="s">
        <v>444</v>
      </c>
      <c r="AF4" s="7" t="s">
        <v>0</v>
      </c>
      <c r="AG4" s="25" t="s">
        <v>88</v>
      </c>
      <c r="AH4" s="25" t="s">
        <v>91</v>
      </c>
      <c r="AI4" s="7" t="s">
        <v>0</v>
      </c>
      <c r="AJ4" s="7" t="s">
        <v>0</v>
      </c>
      <c r="AK4" s="7" t="s">
        <v>0</v>
      </c>
      <c r="AL4" s="7" t="s">
        <v>0</v>
      </c>
      <c r="AM4" s="7" t="s">
        <v>0</v>
      </c>
      <c r="AN4" s="7" t="s">
        <v>0</v>
      </c>
      <c r="AO4" s="7" t="s">
        <v>0</v>
      </c>
      <c r="AP4" s="7" t="s">
        <v>0</v>
      </c>
      <c r="AQ4" s="7" t="s">
        <v>0</v>
      </c>
      <c r="AR4" s="7" t="s">
        <v>0</v>
      </c>
      <c r="AS4" s="7" t="s">
        <v>0</v>
      </c>
      <c r="AT4" s="7" t="s">
        <v>0</v>
      </c>
      <c r="AU4" s="7" t="s">
        <v>0</v>
      </c>
      <c r="AV4" s="7" t="s">
        <v>0</v>
      </c>
      <c r="AW4" s="7" t="s">
        <v>0</v>
      </c>
      <c r="AX4" s="7" t="s">
        <v>0</v>
      </c>
    </row>
    <row r="5">
      <c r="A5" s="8" t="s">
        <v>92</v>
      </c>
      <c r="B5" s="9" t="s">
        <v>93</v>
      </c>
      <c r="C5" s="9" t="s">
        <v>94</v>
      </c>
      <c r="D5" s="9" t="s">
        <v>95</v>
      </c>
      <c r="E5" s="42" t="s">
        <v>453</v>
      </c>
      <c r="F5" s="41" t="s">
        <v>454</v>
      </c>
      <c r="G5" s="42" t="s">
        <v>455</v>
      </c>
      <c r="H5" s="80" t="s">
        <v>456</v>
      </c>
      <c r="I5" s="41" t="s">
        <v>458</v>
      </c>
      <c r="J5" s="41" t="s">
        <v>459</v>
      </c>
      <c r="K5" s="30" t="s">
        <v>0</v>
      </c>
      <c r="L5" s="30" t="s">
        <v>0</v>
      </c>
      <c r="M5" s="81" t="s">
        <v>461</v>
      </c>
      <c r="N5" s="17" t="s">
        <v>43</v>
      </c>
      <c r="O5" s="31" t="s">
        <v>0</v>
      </c>
      <c r="P5" s="41" t="s">
        <v>103</v>
      </c>
      <c r="Q5" s="41" t="s">
        <v>468</v>
      </c>
      <c r="R5" s="41" t="s">
        <v>41</v>
      </c>
      <c r="S5" s="41" t="s">
        <v>469</v>
      </c>
      <c r="T5" s="41" t="s">
        <v>106</v>
      </c>
      <c r="U5" s="41" t="s">
        <v>471</v>
      </c>
      <c r="V5" s="22" t="s">
        <v>108</v>
      </c>
      <c r="W5" s="20" t="s">
        <v>0</v>
      </c>
      <c r="X5" s="20" t="s">
        <v>472</v>
      </c>
      <c r="Y5" s="20" t="s">
        <v>0</v>
      </c>
      <c r="Z5" s="20" t="s">
        <v>0</v>
      </c>
      <c r="AA5" s="7" t="s">
        <v>0</v>
      </c>
      <c r="AB5" s="24" t="s">
        <v>473</v>
      </c>
      <c r="AC5" s="36">
        <v>369.17</v>
      </c>
      <c r="AE5">
        <f t="shared" ref="AE5:AE13" si="1">AB5/AC5</f>
        <v>0.8414551562</v>
      </c>
      <c r="AG5" s="7">
        <v>256.0</v>
      </c>
      <c r="AH5">
        <f t="shared" ref="AH5:AH7" si="2">AI5/I5</f>
        <v>143.4763709</v>
      </c>
      <c r="AI5" s="7">
        <v>44276.0</v>
      </c>
    </row>
    <row r="6">
      <c r="A6" s="8" t="s">
        <v>117</v>
      </c>
      <c r="B6" s="9" t="s">
        <v>93</v>
      </c>
      <c r="C6" s="9" t="s">
        <v>118</v>
      </c>
      <c r="D6" s="9" t="s">
        <v>33</v>
      </c>
      <c r="E6" s="42" t="s">
        <v>477</v>
      </c>
      <c r="F6" s="58" t="s">
        <v>479</v>
      </c>
      <c r="G6" s="42" t="s">
        <v>481</v>
      </c>
      <c r="H6" s="80" t="s">
        <v>122</v>
      </c>
      <c r="I6" s="163" t="s">
        <v>482</v>
      </c>
      <c r="J6" s="41" t="s">
        <v>483</v>
      </c>
      <c r="K6" s="30" t="s">
        <v>0</v>
      </c>
      <c r="L6" s="30" t="s">
        <v>0</v>
      </c>
      <c r="M6" s="81" t="s">
        <v>484</v>
      </c>
      <c r="N6" s="17" t="s">
        <v>126</v>
      </c>
      <c r="O6" s="31" t="s">
        <v>0</v>
      </c>
      <c r="P6" s="41" t="s">
        <v>485</v>
      </c>
      <c r="Q6" s="41" t="s">
        <v>486</v>
      </c>
      <c r="R6" s="41" t="s">
        <v>487</v>
      </c>
      <c r="S6" s="41" t="s">
        <v>488</v>
      </c>
      <c r="T6" s="41" t="s">
        <v>490</v>
      </c>
      <c r="U6" s="41" t="s">
        <v>492</v>
      </c>
      <c r="V6" s="22" t="s">
        <v>108</v>
      </c>
      <c r="W6" s="22" t="s">
        <v>0</v>
      </c>
      <c r="X6" s="22" t="s">
        <v>472</v>
      </c>
      <c r="Y6" s="20" t="s">
        <v>0</v>
      </c>
      <c r="Z6" s="20" t="s">
        <v>0</v>
      </c>
      <c r="AA6" s="7" t="s">
        <v>0</v>
      </c>
      <c r="AB6" s="24" t="s">
        <v>494</v>
      </c>
      <c r="AC6" s="164">
        <v>16.6974</v>
      </c>
      <c r="AE6">
        <f t="shared" si="1"/>
        <v>0.7071370393</v>
      </c>
      <c r="AG6" s="7">
        <v>256.0</v>
      </c>
      <c r="AH6" s="165">
        <f t="shared" si="2"/>
        <v>1341.418764</v>
      </c>
      <c r="AI6" s="7">
        <v>2059.0</v>
      </c>
    </row>
    <row r="7">
      <c r="A7" s="8" t="s">
        <v>139</v>
      </c>
      <c r="B7" s="9" t="s">
        <v>93</v>
      </c>
      <c r="C7" s="9" t="s">
        <v>140</v>
      </c>
      <c r="D7" s="9" t="s">
        <v>33</v>
      </c>
      <c r="E7" s="42" t="s">
        <v>504</v>
      </c>
      <c r="F7" s="41" t="s">
        <v>505</v>
      </c>
      <c r="G7" s="42" t="s">
        <v>143</v>
      </c>
      <c r="H7" s="80" t="s">
        <v>144</v>
      </c>
      <c r="I7" s="41" t="s">
        <v>507</v>
      </c>
      <c r="J7" s="41" t="s">
        <v>509</v>
      </c>
      <c r="K7" s="30" t="s">
        <v>0</v>
      </c>
      <c r="L7" s="30" t="s">
        <v>0</v>
      </c>
      <c r="M7" s="85" t="s">
        <v>510</v>
      </c>
      <c r="N7" s="17" t="s">
        <v>43</v>
      </c>
      <c r="O7" s="31" t="s">
        <v>0</v>
      </c>
      <c r="P7" s="41" t="s">
        <v>148</v>
      </c>
      <c r="Q7" s="41" t="s">
        <v>149</v>
      </c>
      <c r="R7" s="41" t="s">
        <v>41</v>
      </c>
      <c r="S7" s="41" t="s">
        <v>150</v>
      </c>
      <c r="T7" s="41" t="s">
        <v>151</v>
      </c>
      <c r="U7" s="41" t="s">
        <v>152</v>
      </c>
      <c r="V7" s="22" t="s">
        <v>108</v>
      </c>
      <c r="W7" s="22" t="s">
        <v>0</v>
      </c>
      <c r="X7" s="22" t="s">
        <v>472</v>
      </c>
      <c r="Y7" s="20" t="s">
        <v>0</v>
      </c>
      <c r="Z7" s="20" t="s">
        <v>0</v>
      </c>
      <c r="AA7" s="7" t="s">
        <v>0</v>
      </c>
      <c r="AB7" s="24" t="s">
        <v>514</v>
      </c>
      <c r="AC7" s="36">
        <v>338.52</v>
      </c>
      <c r="AE7">
        <f t="shared" si="1"/>
        <v>0.6760309583</v>
      </c>
      <c r="AG7" s="7">
        <v>256.0</v>
      </c>
      <c r="AH7" s="165">
        <f t="shared" si="2"/>
        <v>6281.778948</v>
      </c>
      <c r="AI7" s="7">
        <v>45982.0</v>
      </c>
    </row>
    <row r="8">
      <c r="A8" s="8" t="s">
        <v>159</v>
      </c>
      <c r="B8" s="9" t="s">
        <v>160</v>
      </c>
      <c r="C8" s="87" t="s">
        <v>161</v>
      </c>
      <c r="D8" s="9" t="s">
        <v>95</v>
      </c>
      <c r="E8" s="42" t="s">
        <v>977</v>
      </c>
      <c r="F8" s="42">
        <v>24.19441</v>
      </c>
      <c r="G8" s="42" t="s">
        <v>978</v>
      </c>
      <c r="H8" s="80">
        <v>0.82</v>
      </c>
      <c r="I8" s="166">
        <v>8.33307</v>
      </c>
      <c r="J8" s="42">
        <v>98.433579</v>
      </c>
      <c r="K8" s="167">
        <v>68508.0</v>
      </c>
      <c r="L8" s="167">
        <v>0.0</v>
      </c>
      <c r="M8" s="166">
        <v>100.0</v>
      </c>
      <c r="N8" s="17" t="s">
        <v>43</v>
      </c>
      <c r="O8" s="31" t="s">
        <v>0</v>
      </c>
      <c r="P8" s="41" t="s">
        <v>979</v>
      </c>
      <c r="Q8" s="41" t="s">
        <v>980</v>
      </c>
      <c r="R8" s="41" t="s">
        <v>981</v>
      </c>
      <c r="S8" s="41" t="s">
        <v>982</v>
      </c>
      <c r="T8" s="41" t="s">
        <v>983</v>
      </c>
      <c r="U8" s="41" t="s">
        <v>984</v>
      </c>
      <c r="V8" s="20" t="s">
        <v>108</v>
      </c>
      <c r="W8" s="20" t="s">
        <v>0</v>
      </c>
      <c r="X8" s="20" t="s">
        <v>985</v>
      </c>
      <c r="Y8" s="47" t="s">
        <v>178</v>
      </c>
      <c r="Z8" s="20" t="s">
        <v>0</v>
      </c>
      <c r="AA8" s="7" t="s">
        <v>0</v>
      </c>
      <c r="AB8" s="24" t="s">
        <v>549</v>
      </c>
      <c r="AC8" s="36">
        <v>2.229</v>
      </c>
      <c r="AE8">
        <f t="shared" si="1"/>
        <v>0.7074921489</v>
      </c>
      <c r="AG8" s="7">
        <v>256.0</v>
      </c>
      <c r="AH8" s="7">
        <v>120.74606</v>
      </c>
      <c r="AI8" s="7">
        <v>227.0</v>
      </c>
    </row>
    <row r="9">
      <c r="A9" s="8" t="s">
        <v>185</v>
      </c>
      <c r="B9" s="9" t="s">
        <v>160</v>
      </c>
      <c r="C9" s="48" t="s">
        <v>186</v>
      </c>
      <c r="D9" s="9" t="s">
        <v>95</v>
      </c>
      <c r="E9" s="42" t="s">
        <v>986</v>
      </c>
      <c r="F9" s="42">
        <v>21.16446</v>
      </c>
      <c r="G9" s="42" t="s">
        <v>987</v>
      </c>
      <c r="H9" s="80" t="s">
        <v>555</v>
      </c>
      <c r="I9" s="42">
        <v>13.158319</v>
      </c>
      <c r="J9" s="42">
        <v>74.940849</v>
      </c>
      <c r="K9" s="11">
        <v>635716.0</v>
      </c>
      <c r="L9" s="11">
        <v>0.0</v>
      </c>
      <c r="M9" s="166">
        <v>100.0</v>
      </c>
      <c r="N9" s="17" t="s">
        <v>43</v>
      </c>
      <c r="O9" s="31" t="s">
        <v>0</v>
      </c>
      <c r="P9" s="41" t="s">
        <v>196</v>
      </c>
      <c r="Q9" s="41" t="s">
        <v>988</v>
      </c>
      <c r="R9" s="41" t="s">
        <v>196</v>
      </c>
      <c r="S9" s="41" t="s">
        <v>198</v>
      </c>
      <c r="T9" s="45" t="s">
        <v>989</v>
      </c>
      <c r="U9" s="41" t="s">
        <v>990</v>
      </c>
      <c r="V9" s="20" t="s">
        <v>108</v>
      </c>
      <c r="W9" s="20" t="s">
        <v>0</v>
      </c>
      <c r="X9" s="49" t="s">
        <v>566</v>
      </c>
      <c r="Y9" s="47" t="s">
        <v>202</v>
      </c>
      <c r="Z9" s="20" t="s">
        <v>0</v>
      </c>
      <c r="AA9" s="7" t="s">
        <v>0</v>
      </c>
      <c r="AB9" s="24" t="s">
        <v>569</v>
      </c>
      <c r="AC9" s="36">
        <v>0.187</v>
      </c>
      <c r="AE9">
        <f t="shared" si="1"/>
        <v>0.7540106952</v>
      </c>
      <c r="AG9" s="7">
        <v>256.0</v>
      </c>
      <c r="AH9" s="168">
        <v>119.241453</v>
      </c>
      <c r="AI9" s="7">
        <v>15.0</v>
      </c>
    </row>
    <row r="10">
      <c r="A10" s="8" t="s">
        <v>209</v>
      </c>
      <c r="B10" s="9" t="s">
        <v>160</v>
      </c>
      <c r="C10" s="21" t="s">
        <v>210</v>
      </c>
      <c r="D10" s="22" t="s">
        <v>211</v>
      </c>
      <c r="E10" s="42" t="s">
        <v>991</v>
      </c>
      <c r="F10" s="42">
        <v>18.25291</v>
      </c>
      <c r="G10" s="42" t="s">
        <v>992</v>
      </c>
      <c r="H10" s="80" t="s">
        <v>993</v>
      </c>
      <c r="I10" s="42">
        <v>1.354583</v>
      </c>
      <c r="J10" s="42">
        <v>36.197708</v>
      </c>
      <c r="K10" s="167">
        <v>333400.0</v>
      </c>
      <c r="L10" s="167">
        <v>0.0</v>
      </c>
      <c r="M10" s="166">
        <v>100.0</v>
      </c>
      <c r="N10" s="17" t="s">
        <v>43</v>
      </c>
      <c r="O10" s="31" t="s">
        <v>0</v>
      </c>
      <c r="P10" s="41" t="s">
        <v>994</v>
      </c>
      <c r="Q10" s="41" t="s">
        <v>995</v>
      </c>
      <c r="R10" s="41" t="s">
        <v>41</v>
      </c>
      <c r="S10" s="41" t="s">
        <v>198</v>
      </c>
      <c r="T10" s="41" t="s">
        <v>996</v>
      </c>
      <c r="U10" s="41" t="s">
        <v>997</v>
      </c>
      <c r="V10" s="20" t="s">
        <v>108</v>
      </c>
      <c r="W10" s="20" t="s">
        <v>0</v>
      </c>
      <c r="X10" s="49" t="s">
        <v>594</v>
      </c>
      <c r="Y10" s="20" t="s">
        <v>0</v>
      </c>
      <c r="Z10" s="20" t="s">
        <v>0</v>
      </c>
      <c r="AA10" s="7" t="s">
        <v>0</v>
      </c>
      <c r="AB10" s="24" t="s">
        <v>597</v>
      </c>
      <c r="AC10" s="36">
        <v>59.519</v>
      </c>
      <c r="AE10">
        <f t="shared" si="1"/>
        <v>0.7805238663</v>
      </c>
      <c r="AG10" s="7">
        <v>8.0</v>
      </c>
      <c r="AH10" s="7">
        <v>118.355539</v>
      </c>
      <c r="AI10" s="7">
        <v>4871.0</v>
      </c>
    </row>
    <row r="11">
      <c r="A11" s="8" t="s">
        <v>232</v>
      </c>
      <c r="B11" s="9" t="s">
        <v>233</v>
      </c>
      <c r="C11" s="9" t="s">
        <v>234</v>
      </c>
      <c r="D11" s="9" t="s">
        <v>211</v>
      </c>
      <c r="E11" s="42" t="s">
        <v>998</v>
      </c>
      <c r="F11" s="41" t="s">
        <v>999</v>
      </c>
      <c r="G11" s="14" t="s">
        <v>1000</v>
      </c>
      <c r="H11" s="80" t="s">
        <v>1001</v>
      </c>
      <c r="I11" s="169" t="s">
        <v>1002</v>
      </c>
      <c r="J11" s="52" t="s">
        <v>1003</v>
      </c>
      <c r="K11" s="71" t="s">
        <v>0</v>
      </c>
      <c r="L11" s="71" t="s">
        <v>0</v>
      </c>
      <c r="M11" s="85" t="s">
        <v>619</v>
      </c>
      <c r="N11" s="17" t="s">
        <v>43</v>
      </c>
      <c r="O11" s="55" t="s">
        <v>0</v>
      </c>
      <c r="P11" s="52" t="s">
        <v>1004</v>
      </c>
      <c r="Q11" s="52" t="s">
        <v>1005</v>
      </c>
      <c r="R11" s="52" t="s">
        <v>41</v>
      </c>
      <c r="S11" s="52" t="s">
        <v>41</v>
      </c>
      <c r="T11" s="52" t="s">
        <v>1006</v>
      </c>
      <c r="U11" s="52" t="s">
        <v>1007</v>
      </c>
      <c r="V11" s="20" t="s">
        <v>249</v>
      </c>
      <c r="W11" s="20" t="s">
        <v>0</v>
      </c>
      <c r="X11" s="93" t="s">
        <v>632</v>
      </c>
      <c r="Y11" s="20" t="s">
        <v>0</v>
      </c>
      <c r="Z11" s="20" t="s">
        <v>0</v>
      </c>
      <c r="AA11" s="7" t="s">
        <v>0</v>
      </c>
      <c r="AB11" s="24" t="s">
        <v>636</v>
      </c>
      <c r="AC11" s="36">
        <v>3.79424</v>
      </c>
      <c r="AE11">
        <f t="shared" si="1"/>
        <v>0.7612196382</v>
      </c>
      <c r="AG11" s="7">
        <v>48.0</v>
      </c>
      <c r="AH11">
        <f t="shared" ref="AH11:AH13" si="3">AI11/I11</f>
        <v>175.3433408</v>
      </c>
      <c r="AI11" s="7">
        <v>549.0</v>
      </c>
    </row>
    <row r="12">
      <c r="A12" s="57" t="s">
        <v>258</v>
      </c>
      <c r="B12" s="9" t="s">
        <v>233</v>
      </c>
      <c r="C12" s="9" t="s">
        <v>259</v>
      </c>
      <c r="D12" s="9" t="s">
        <v>211</v>
      </c>
      <c r="E12" s="42" t="s">
        <v>1008</v>
      </c>
      <c r="F12" s="41" t="s">
        <v>1009</v>
      </c>
      <c r="G12" s="42" t="s">
        <v>1010</v>
      </c>
      <c r="H12" s="80" t="s">
        <v>1011</v>
      </c>
      <c r="I12" s="163" t="s">
        <v>1012</v>
      </c>
      <c r="J12" s="41" t="s">
        <v>1013</v>
      </c>
      <c r="K12" s="30" t="s">
        <v>0</v>
      </c>
      <c r="L12" s="30" t="s">
        <v>0</v>
      </c>
      <c r="M12" s="81" t="s">
        <v>655</v>
      </c>
      <c r="N12" s="21" t="s">
        <v>43</v>
      </c>
      <c r="O12" s="31" t="s">
        <v>0</v>
      </c>
      <c r="P12" s="41" t="s">
        <v>1014</v>
      </c>
      <c r="Q12" s="41" t="s">
        <v>1015</v>
      </c>
      <c r="R12" s="41" t="s">
        <v>41</v>
      </c>
      <c r="S12" s="41" t="s">
        <v>41</v>
      </c>
      <c r="T12" s="41" t="s">
        <v>1016</v>
      </c>
      <c r="U12" s="41" t="s">
        <v>1017</v>
      </c>
      <c r="V12" s="20" t="s">
        <v>249</v>
      </c>
      <c r="W12" s="20" t="s">
        <v>0</v>
      </c>
      <c r="X12" s="20" t="s">
        <v>660</v>
      </c>
      <c r="Y12" s="20" t="s">
        <v>0</v>
      </c>
      <c r="Z12" s="20" t="s">
        <v>0</v>
      </c>
      <c r="AA12" s="7" t="s">
        <v>0</v>
      </c>
      <c r="AB12" s="24" t="s">
        <v>661</v>
      </c>
      <c r="AC12" s="36">
        <v>2.627435</v>
      </c>
      <c r="AE12">
        <f t="shared" si="1"/>
        <v>0.8165903248</v>
      </c>
      <c r="AG12" s="7">
        <v>256.0</v>
      </c>
      <c r="AH12">
        <f t="shared" si="3"/>
        <v>185.5413105</v>
      </c>
      <c r="AI12" s="7">
        <v>521.0</v>
      </c>
    </row>
    <row r="13">
      <c r="A13" s="57" t="s">
        <v>280</v>
      </c>
      <c r="B13" s="9" t="s">
        <v>233</v>
      </c>
      <c r="C13" s="94" t="s">
        <v>281</v>
      </c>
      <c r="D13" s="94" t="s">
        <v>33</v>
      </c>
      <c r="E13" s="42" t="s">
        <v>1018</v>
      </c>
      <c r="F13" s="41" t="s">
        <v>1019</v>
      </c>
      <c r="G13" s="42" t="s">
        <v>1020</v>
      </c>
      <c r="H13" s="80" t="s">
        <v>1021</v>
      </c>
      <c r="I13" s="41" t="s">
        <v>1022</v>
      </c>
      <c r="J13" s="41" t="s">
        <v>1023</v>
      </c>
      <c r="K13" s="30" t="s">
        <v>0</v>
      </c>
      <c r="L13" s="30" t="s">
        <v>0</v>
      </c>
      <c r="M13" s="81" t="s">
        <v>671</v>
      </c>
      <c r="N13" s="21" t="s">
        <v>43</v>
      </c>
      <c r="O13" s="31" t="s">
        <v>0</v>
      </c>
      <c r="P13" s="41" t="s">
        <v>1024</v>
      </c>
      <c r="Q13" s="41" t="s">
        <v>1025</v>
      </c>
      <c r="R13" s="41" t="s">
        <v>41</v>
      </c>
      <c r="S13" s="41" t="s">
        <v>41</v>
      </c>
      <c r="T13" s="41" t="s">
        <v>1026</v>
      </c>
      <c r="U13" s="41" t="s">
        <v>1027</v>
      </c>
      <c r="V13" s="20" t="s">
        <v>249</v>
      </c>
      <c r="W13" s="20" t="s">
        <v>0</v>
      </c>
      <c r="X13" s="20" t="s">
        <v>678</v>
      </c>
      <c r="Y13" s="20" t="s">
        <v>0</v>
      </c>
      <c r="Z13" s="20" t="s">
        <v>0</v>
      </c>
      <c r="AA13" s="7" t="s">
        <v>0</v>
      </c>
      <c r="AB13" s="24" t="s">
        <v>679</v>
      </c>
      <c r="AC13" s="36">
        <v>1.705111</v>
      </c>
      <c r="AE13">
        <f t="shared" si="1"/>
        <v>0.7883592329</v>
      </c>
      <c r="AG13" s="7">
        <v>256.0</v>
      </c>
      <c r="AH13">
        <f t="shared" si="3"/>
        <v>150.0215085</v>
      </c>
      <c r="AI13" s="7">
        <v>4185.0</v>
      </c>
    </row>
    <row r="14">
      <c r="A14" s="61" t="s">
        <v>0</v>
      </c>
      <c r="B14" s="61" t="s">
        <v>0</v>
      </c>
      <c r="C14" s="62" t="s">
        <v>0</v>
      </c>
      <c r="D14" s="62" t="s">
        <v>0</v>
      </c>
      <c r="E14" s="63" t="s">
        <v>0</v>
      </c>
      <c r="F14" s="63" t="s">
        <v>0</v>
      </c>
      <c r="G14" s="63" t="s">
        <v>0</v>
      </c>
      <c r="H14" s="96" t="s">
        <v>0</v>
      </c>
      <c r="I14" s="63" t="s">
        <v>0</v>
      </c>
      <c r="J14" s="63" t="s">
        <v>0</v>
      </c>
      <c r="K14" s="63" t="s">
        <v>0</v>
      </c>
      <c r="L14" s="63" t="s">
        <v>0</v>
      </c>
      <c r="M14" s="96" t="s">
        <v>0</v>
      </c>
      <c r="N14" s="63" t="s">
        <v>0</v>
      </c>
      <c r="O14" s="63" t="s">
        <v>0</v>
      </c>
      <c r="P14" s="63" t="s">
        <v>0</v>
      </c>
      <c r="Q14" s="63" t="s">
        <v>0</v>
      </c>
      <c r="R14" s="63" t="s">
        <v>0</v>
      </c>
      <c r="S14" s="63" t="s">
        <v>0</v>
      </c>
      <c r="T14" s="63" t="s">
        <v>0</v>
      </c>
      <c r="U14" s="63" t="s">
        <v>0</v>
      </c>
      <c r="V14" s="63" t="s">
        <v>0</v>
      </c>
      <c r="W14" s="63" t="s">
        <v>0</v>
      </c>
      <c r="X14" s="63" t="s">
        <v>0</v>
      </c>
      <c r="Y14" s="63" t="s">
        <v>0</v>
      </c>
      <c r="Z14" s="63" t="s">
        <v>0</v>
      </c>
      <c r="AA14" s="63" t="s">
        <v>0</v>
      </c>
      <c r="AB14" s="64" t="s">
        <v>0</v>
      </c>
      <c r="AC14" s="170"/>
      <c r="AD14" s="134"/>
      <c r="AE14" s="134"/>
      <c r="AF14" s="134"/>
      <c r="AG14" s="134"/>
      <c r="AH14" s="134"/>
      <c r="AI14" s="134"/>
      <c r="AJ14" s="134"/>
      <c r="AK14" s="134"/>
      <c r="AL14" s="134"/>
      <c r="AM14" s="134"/>
      <c r="AN14" s="134"/>
      <c r="AO14" s="134"/>
      <c r="AP14" s="134"/>
      <c r="AQ14" s="134"/>
      <c r="AR14" s="134"/>
      <c r="AS14" s="134"/>
      <c r="AT14" s="134"/>
      <c r="AU14" s="134"/>
      <c r="AV14" s="134"/>
      <c r="AW14" s="134"/>
      <c r="AX14" s="134"/>
    </row>
    <row r="15">
      <c r="A15" s="65" t="s">
        <v>303</v>
      </c>
      <c r="B15" s="3" t="s">
        <v>1</v>
      </c>
      <c r="C15" s="3" t="s">
        <v>304</v>
      </c>
      <c r="D15" s="3" t="s">
        <v>3</v>
      </c>
      <c r="E15" s="3" t="s">
        <v>4</v>
      </c>
      <c r="F15" s="3" t="s">
        <v>5</v>
      </c>
      <c r="G15" s="3" t="s">
        <v>6</v>
      </c>
      <c r="H15" s="98" t="s">
        <v>7</v>
      </c>
      <c r="I15" s="3" t="s">
        <v>305</v>
      </c>
      <c r="J15" s="3" t="s">
        <v>306</v>
      </c>
      <c r="K15" s="3" t="s">
        <v>0</v>
      </c>
      <c r="L15" s="3" t="s">
        <v>0</v>
      </c>
      <c r="M15" s="98" t="s">
        <v>12</v>
      </c>
      <c r="N15" s="3" t="s">
        <v>13</v>
      </c>
      <c r="O15" s="4" t="s">
        <v>0</v>
      </c>
      <c r="P15" s="5" t="s">
        <v>15</v>
      </c>
      <c r="Q15" s="5" t="s">
        <v>16</v>
      </c>
      <c r="R15" s="5" t="s">
        <v>17</v>
      </c>
      <c r="S15" s="5" t="s">
        <v>18</v>
      </c>
      <c r="T15" s="5" t="s">
        <v>0</v>
      </c>
      <c r="U15" s="5" t="s">
        <v>20</v>
      </c>
      <c r="V15" s="5" t="s">
        <v>21</v>
      </c>
      <c r="W15" s="5" t="s">
        <v>0</v>
      </c>
      <c r="X15" s="5" t="s">
        <v>23</v>
      </c>
      <c r="Y15" s="5" t="s">
        <v>0</v>
      </c>
      <c r="Z15" s="5" t="s">
        <v>0</v>
      </c>
      <c r="AA15" s="5" t="s">
        <v>0</v>
      </c>
      <c r="AB15" s="6" t="s">
        <v>24</v>
      </c>
      <c r="AC15" s="6" t="s">
        <v>25</v>
      </c>
      <c r="AG15" s="6" t="s">
        <v>26</v>
      </c>
      <c r="AH15" s="6" t="s">
        <v>27</v>
      </c>
      <c r="AI15" s="6" t="s">
        <v>28</v>
      </c>
    </row>
    <row r="16">
      <c r="A16" s="66" t="s">
        <v>307</v>
      </c>
      <c r="B16" s="67" t="s">
        <v>308</v>
      </c>
      <c r="C16" s="67" t="s">
        <v>309</v>
      </c>
      <c r="D16" s="67" t="s">
        <v>310</v>
      </c>
      <c r="E16" s="14" t="s">
        <v>1028</v>
      </c>
      <c r="F16" s="52" t="s">
        <v>1029</v>
      </c>
      <c r="G16" s="14" t="s">
        <v>691</v>
      </c>
      <c r="H16" s="171" t="s">
        <v>1030</v>
      </c>
      <c r="I16" s="15" t="s">
        <v>1031</v>
      </c>
      <c r="J16" s="52" t="s">
        <v>1032</v>
      </c>
      <c r="K16" s="53" t="s">
        <v>1033</v>
      </c>
      <c r="L16" s="53" t="s">
        <v>41</v>
      </c>
      <c r="M16" s="85" t="s">
        <v>1034</v>
      </c>
      <c r="N16" s="67" t="s">
        <v>43</v>
      </c>
      <c r="O16" s="69" t="s">
        <v>0</v>
      </c>
      <c r="P16" s="15" t="s">
        <v>698</v>
      </c>
      <c r="Q16" s="15" t="s">
        <v>699</v>
      </c>
      <c r="R16" s="15" t="s">
        <v>321</v>
      </c>
      <c r="S16" s="15" t="s">
        <v>322</v>
      </c>
      <c r="T16" s="15" t="s">
        <v>700</v>
      </c>
      <c r="U16" s="15" t="s">
        <v>701</v>
      </c>
      <c r="V16" s="70" t="s">
        <v>325</v>
      </c>
      <c r="W16" s="70" t="s">
        <v>326</v>
      </c>
      <c r="X16" s="70" t="s">
        <v>702</v>
      </c>
      <c r="Y16" s="36" t="s">
        <v>0</v>
      </c>
      <c r="Z16" s="36" t="s">
        <v>0</v>
      </c>
      <c r="AA16" s="70" t="s">
        <v>0</v>
      </c>
      <c r="AB16" s="24" t="s">
        <v>703</v>
      </c>
      <c r="AC16" s="36">
        <v>122.905416</v>
      </c>
      <c r="AE16">
        <f t="shared" ref="AE16:AE17" si="4">AB16/AC16</f>
        <v>0.7725427657</v>
      </c>
      <c r="AG16" s="7">
        <v>128.0</v>
      </c>
      <c r="AH16" s="165">
        <f t="shared" ref="AH16:AH17" si="5">AI16/I16</f>
        <v>884.4004601</v>
      </c>
      <c r="AI16" s="7">
        <v>23332.0</v>
      </c>
    </row>
    <row r="17">
      <c r="A17" s="66" t="s">
        <v>335</v>
      </c>
      <c r="B17" s="67" t="s">
        <v>93</v>
      </c>
      <c r="C17" s="67" t="s">
        <v>336</v>
      </c>
      <c r="D17" s="67" t="s">
        <v>337</v>
      </c>
      <c r="E17" s="100" t="s">
        <v>706</v>
      </c>
      <c r="F17" s="52" t="s">
        <v>708</v>
      </c>
      <c r="G17" s="14" t="s">
        <v>709</v>
      </c>
      <c r="H17" s="100" t="s">
        <v>341</v>
      </c>
      <c r="I17" s="52" t="s">
        <v>711</v>
      </c>
      <c r="J17" s="52" t="s">
        <v>712</v>
      </c>
      <c r="K17" s="71" t="s">
        <v>0</v>
      </c>
      <c r="L17" s="71" t="s">
        <v>0</v>
      </c>
      <c r="M17" s="85" t="s">
        <v>713</v>
      </c>
      <c r="N17" s="73" t="s">
        <v>66</v>
      </c>
      <c r="O17" s="55" t="s">
        <v>0</v>
      </c>
      <c r="P17" s="52" t="s">
        <v>714</v>
      </c>
      <c r="Q17" s="52" t="s">
        <v>715</v>
      </c>
      <c r="R17" s="52" t="s">
        <v>716</v>
      </c>
      <c r="S17" s="52" t="s">
        <v>717</v>
      </c>
      <c r="T17" s="52" t="s">
        <v>718</v>
      </c>
      <c r="U17" s="52" t="s">
        <v>719</v>
      </c>
      <c r="V17" s="22" t="s">
        <v>108</v>
      </c>
      <c r="W17" s="7" t="s">
        <v>0</v>
      </c>
      <c r="X17" s="36" t="s">
        <v>720</v>
      </c>
      <c r="Y17" s="36" t="s">
        <v>721</v>
      </c>
      <c r="Z17" s="36" t="s">
        <v>0</v>
      </c>
      <c r="AA17" s="36" t="s">
        <v>0</v>
      </c>
      <c r="AB17" s="24" t="s">
        <v>722</v>
      </c>
      <c r="AC17" s="36">
        <v>15.884</v>
      </c>
      <c r="AE17">
        <f t="shared" si="4"/>
        <v>0.7297280282</v>
      </c>
      <c r="AG17" s="7">
        <v>256.0</v>
      </c>
      <c r="AH17">
        <f t="shared" si="5"/>
        <v>128.8962246</v>
      </c>
      <c r="AI17" s="7">
        <v>2233.0</v>
      </c>
    </row>
    <row r="18">
      <c r="A18" s="66" t="s">
        <v>358</v>
      </c>
      <c r="B18" s="67" t="s">
        <v>31</v>
      </c>
      <c r="C18" s="67" t="s">
        <v>725</v>
      </c>
      <c r="D18" s="67" t="s">
        <v>211</v>
      </c>
      <c r="E18" s="11" t="s">
        <v>726</v>
      </c>
      <c r="F18" s="12" t="s">
        <v>727</v>
      </c>
      <c r="G18" s="11" t="s">
        <v>728</v>
      </c>
      <c r="H18" s="100" t="s">
        <v>729</v>
      </c>
      <c r="I18" s="12" t="s">
        <v>730</v>
      </c>
      <c r="J18" s="12" t="s">
        <v>731</v>
      </c>
      <c r="K18" s="16" t="s">
        <v>732</v>
      </c>
      <c r="L18" s="16" t="s">
        <v>733</v>
      </c>
      <c r="M18" s="76" t="s">
        <v>734</v>
      </c>
      <c r="N18" s="73" t="s">
        <v>43</v>
      </c>
      <c r="O18" s="18" t="s">
        <v>0</v>
      </c>
      <c r="P18" s="11" t="s">
        <v>735</v>
      </c>
      <c r="Q18" s="19" t="s">
        <v>736</v>
      </c>
      <c r="R18" s="11" t="s">
        <v>737</v>
      </c>
      <c r="S18" s="19" t="s">
        <v>738</v>
      </c>
      <c r="T18" s="11" t="s">
        <v>739</v>
      </c>
      <c r="U18" s="19" t="s">
        <v>740</v>
      </c>
      <c r="V18" s="20" t="s">
        <v>48</v>
      </c>
      <c r="W18" s="36" t="s">
        <v>0</v>
      </c>
      <c r="X18" s="36" t="s">
        <v>375</v>
      </c>
      <c r="Y18" s="36" t="s">
        <v>0</v>
      </c>
      <c r="Z18" s="36" t="s">
        <v>0</v>
      </c>
      <c r="AA18" s="36" t="s">
        <v>0</v>
      </c>
      <c r="AB18" s="24" t="s">
        <v>741</v>
      </c>
      <c r="AC18" s="24" t="s">
        <v>742</v>
      </c>
      <c r="AD18" s="7" t="s">
        <v>0</v>
      </c>
      <c r="AE18" s="25" t="s">
        <v>743</v>
      </c>
      <c r="AF18" s="7" t="s">
        <v>0</v>
      </c>
      <c r="AG18" s="25" t="s">
        <v>379</v>
      </c>
      <c r="AH18" s="25" t="s">
        <v>1035</v>
      </c>
      <c r="AI18" s="7" t="s">
        <v>0</v>
      </c>
      <c r="AJ18" s="7" t="s">
        <v>0</v>
      </c>
      <c r="AK18" s="7" t="s">
        <v>0</v>
      </c>
      <c r="AL18" s="7" t="s">
        <v>0</v>
      </c>
      <c r="AM18" s="7" t="s">
        <v>0</v>
      </c>
      <c r="AN18" s="7" t="s">
        <v>0</v>
      </c>
      <c r="AO18" s="7" t="s">
        <v>0</v>
      </c>
      <c r="AP18" s="7" t="s">
        <v>0</v>
      </c>
      <c r="AQ18" s="7" t="s">
        <v>0</v>
      </c>
      <c r="AR18" s="7" t="s">
        <v>0</v>
      </c>
      <c r="AS18" s="7" t="s">
        <v>0</v>
      </c>
      <c r="AT18" s="7" t="s">
        <v>0</v>
      </c>
      <c r="AU18" s="7" t="s">
        <v>0</v>
      </c>
      <c r="AV18" s="7" t="s">
        <v>0</v>
      </c>
      <c r="AW18" s="7" t="s">
        <v>0</v>
      </c>
      <c r="AX18" s="7" t="s">
        <v>0</v>
      </c>
    </row>
    <row r="19">
      <c r="A19" s="66" t="s">
        <v>382</v>
      </c>
      <c r="B19" s="67" t="s">
        <v>308</v>
      </c>
      <c r="C19" s="67" t="s">
        <v>383</v>
      </c>
      <c r="D19" s="67" t="s">
        <v>33</v>
      </c>
      <c r="E19" s="77" t="s">
        <v>1036</v>
      </c>
      <c r="F19" s="52" t="s">
        <v>1037</v>
      </c>
      <c r="G19" s="77" t="s">
        <v>1038</v>
      </c>
      <c r="H19" s="103" t="s">
        <v>1039</v>
      </c>
      <c r="I19" s="79" t="s">
        <v>1040</v>
      </c>
      <c r="J19" s="79" t="s">
        <v>1041</v>
      </c>
      <c r="K19" s="53" t="s">
        <v>254</v>
      </c>
      <c r="L19" s="53" t="s">
        <v>1042</v>
      </c>
      <c r="M19" s="102" t="s">
        <v>1043</v>
      </c>
      <c r="N19" s="21" t="s">
        <v>43</v>
      </c>
      <c r="O19" s="69" t="s">
        <v>0</v>
      </c>
      <c r="P19" s="15" t="s">
        <v>1044</v>
      </c>
      <c r="Q19" s="52" t="s">
        <v>1045</v>
      </c>
      <c r="R19" s="15" t="s">
        <v>1046</v>
      </c>
      <c r="S19" s="52" t="s">
        <v>1047</v>
      </c>
      <c r="T19" s="15" t="s">
        <v>1048</v>
      </c>
      <c r="U19" s="52" t="s">
        <v>1049</v>
      </c>
      <c r="V19" s="70" t="s">
        <v>325</v>
      </c>
      <c r="W19" s="70" t="s">
        <v>326</v>
      </c>
      <c r="X19" s="36" t="s">
        <v>759</v>
      </c>
      <c r="Y19" s="21" t="s">
        <v>446</v>
      </c>
      <c r="Z19" s="36" t="s">
        <v>0</v>
      </c>
      <c r="AA19" s="36" t="s">
        <v>0</v>
      </c>
      <c r="AB19" s="24" t="s">
        <v>760</v>
      </c>
      <c r="AC19" s="36">
        <v>318.193046</v>
      </c>
      <c r="AE19">
        <f t="shared" ref="AE19:AE22" si="6">AB19/AC19</f>
        <v>0.7129989038</v>
      </c>
      <c r="AG19" s="7">
        <v>256.0</v>
      </c>
      <c r="AH19">
        <f t="shared" ref="AH19:AH22" si="7">AI19/I19</f>
        <v>115.0708117</v>
      </c>
      <c r="AI19" s="7">
        <v>50912.0</v>
      </c>
    </row>
    <row r="20">
      <c r="A20" s="66" t="s">
        <v>457</v>
      </c>
      <c r="B20" s="67" t="s">
        <v>233</v>
      </c>
      <c r="C20" s="67" t="s">
        <v>460</v>
      </c>
      <c r="D20" s="67" t="s">
        <v>33</v>
      </c>
      <c r="E20" s="77" t="s">
        <v>763</v>
      </c>
      <c r="F20" s="102" t="s">
        <v>764</v>
      </c>
      <c r="G20" s="77" t="s">
        <v>765</v>
      </c>
      <c r="H20" s="103" t="s">
        <v>465</v>
      </c>
      <c r="I20" s="52" t="s">
        <v>766</v>
      </c>
      <c r="J20" s="79" t="s">
        <v>767</v>
      </c>
      <c r="K20" s="71" t="s">
        <v>0</v>
      </c>
      <c r="L20" s="71" t="s">
        <v>0</v>
      </c>
      <c r="M20" s="102" t="s">
        <v>768</v>
      </c>
      <c r="N20" s="72" t="s">
        <v>0</v>
      </c>
      <c r="O20" s="82" t="s">
        <v>0</v>
      </c>
      <c r="P20" s="79" t="s">
        <v>769</v>
      </c>
      <c r="Q20" s="79" t="s">
        <v>770</v>
      </c>
      <c r="R20" s="52" t="s">
        <v>771</v>
      </c>
      <c r="S20" s="52" t="s">
        <v>772</v>
      </c>
      <c r="T20" s="52" t="s">
        <v>773</v>
      </c>
      <c r="U20" s="52" t="s">
        <v>774</v>
      </c>
      <c r="V20" s="20" t="s">
        <v>249</v>
      </c>
      <c r="W20" s="36" t="s">
        <v>0</v>
      </c>
      <c r="X20" s="20" t="s">
        <v>493</v>
      </c>
      <c r="Y20" s="36" t="s">
        <v>0</v>
      </c>
      <c r="Z20" s="36" t="s">
        <v>0</v>
      </c>
      <c r="AA20" s="36" t="s">
        <v>0</v>
      </c>
      <c r="AB20" s="24" t="s">
        <v>775</v>
      </c>
      <c r="AC20" s="36">
        <v>4950.3513</v>
      </c>
      <c r="AE20">
        <f t="shared" si="6"/>
        <v>0.7661365019</v>
      </c>
      <c r="AG20" s="7">
        <v>64.0</v>
      </c>
      <c r="AH20">
        <f t="shared" si="7"/>
        <v>96.52352755</v>
      </c>
      <c r="AI20" s="7">
        <v>357244.0</v>
      </c>
    </row>
    <row r="21">
      <c r="A21" s="66" t="s">
        <v>503</v>
      </c>
      <c r="B21" s="67" t="s">
        <v>308</v>
      </c>
      <c r="C21" s="67" t="s">
        <v>506</v>
      </c>
      <c r="D21" s="67" t="s">
        <v>211</v>
      </c>
      <c r="E21" s="77" t="s">
        <v>1050</v>
      </c>
      <c r="F21" s="79" t="s">
        <v>1051</v>
      </c>
      <c r="G21" s="14" t="s">
        <v>512</v>
      </c>
      <c r="H21" s="100" t="s">
        <v>1052</v>
      </c>
      <c r="I21" s="52" t="s">
        <v>1053</v>
      </c>
      <c r="J21" s="52" t="s">
        <v>1054</v>
      </c>
      <c r="K21" s="53" t="s">
        <v>1055</v>
      </c>
      <c r="L21" s="53" t="s">
        <v>1056</v>
      </c>
      <c r="M21" s="85" t="s">
        <v>1057</v>
      </c>
      <c r="N21" s="73" t="s">
        <v>66</v>
      </c>
      <c r="O21" s="69" t="s">
        <v>0</v>
      </c>
      <c r="P21" s="15" t="s">
        <v>521</v>
      </c>
      <c r="Q21" s="79" t="s">
        <v>522</v>
      </c>
      <c r="R21" s="15" t="s">
        <v>523</v>
      </c>
      <c r="S21" s="52" t="s">
        <v>524</v>
      </c>
      <c r="T21" s="15" t="s">
        <v>525</v>
      </c>
      <c r="U21" s="52" t="s">
        <v>526</v>
      </c>
      <c r="V21" s="70" t="s">
        <v>325</v>
      </c>
      <c r="W21" s="36" t="s">
        <v>326</v>
      </c>
      <c r="X21" s="36" t="s">
        <v>527</v>
      </c>
      <c r="Y21" s="21" t="s">
        <v>0</v>
      </c>
      <c r="Z21" s="36" t="s">
        <v>0</v>
      </c>
      <c r="AA21" s="36" t="s">
        <v>0</v>
      </c>
      <c r="AB21" s="24" t="s">
        <v>788</v>
      </c>
      <c r="AC21" s="36">
        <v>33.979817</v>
      </c>
      <c r="AE21">
        <f t="shared" si="6"/>
        <v>0.6796708175</v>
      </c>
      <c r="AG21" s="7">
        <v>256.0</v>
      </c>
      <c r="AH21">
        <f t="shared" si="7"/>
        <v>218.4964068</v>
      </c>
      <c r="AI21" s="7">
        <v>5909.0</v>
      </c>
    </row>
    <row r="22">
      <c r="A22" s="66" t="s">
        <v>562</v>
      </c>
      <c r="B22" s="67" t="s">
        <v>308</v>
      </c>
      <c r="C22" s="21" t="s">
        <v>565</v>
      </c>
      <c r="D22" s="67" t="s">
        <v>211</v>
      </c>
      <c r="E22" s="77" t="s">
        <v>1058</v>
      </c>
      <c r="F22" s="79" t="s">
        <v>1059</v>
      </c>
      <c r="G22" s="77" t="s">
        <v>1060</v>
      </c>
      <c r="H22" s="103" t="s">
        <v>1061</v>
      </c>
      <c r="I22" s="79" t="s">
        <v>1062</v>
      </c>
      <c r="J22" s="79" t="s">
        <v>1063</v>
      </c>
      <c r="K22" s="53" t="s">
        <v>1064</v>
      </c>
      <c r="L22" s="53" t="s">
        <v>418</v>
      </c>
      <c r="M22" s="102" t="s">
        <v>1065</v>
      </c>
      <c r="N22" s="90" t="s">
        <v>66</v>
      </c>
      <c r="O22" s="69" t="s">
        <v>0</v>
      </c>
      <c r="P22" s="15" t="s">
        <v>1066</v>
      </c>
      <c r="Q22" s="79" t="s">
        <v>1067</v>
      </c>
      <c r="R22" s="15" t="s">
        <v>802</v>
      </c>
      <c r="S22" s="52" t="s">
        <v>803</v>
      </c>
      <c r="T22" s="15" t="s">
        <v>804</v>
      </c>
      <c r="U22" s="52" t="s">
        <v>805</v>
      </c>
      <c r="V22" s="70" t="s">
        <v>325</v>
      </c>
      <c r="W22" s="21" t="s">
        <v>326</v>
      </c>
      <c r="X22" s="21" t="s">
        <v>806</v>
      </c>
      <c r="Y22" s="36" t="s">
        <v>602</v>
      </c>
      <c r="Z22" s="36" t="s">
        <v>0</v>
      </c>
      <c r="AA22" s="36" t="s">
        <v>0</v>
      </c>
      <c r="AB22" s="24" t="s">
        <v>807</v>
      </c>
      <c r="AC22" s="36">
        <v>399.182176</v>
      </c>
      <c r="AE22">
        <f t="shared" si="6"/>
        <v>0.6664647948</v>
      </c>
      <c r="AG22" s="7">
        <v>128.0</v>
      </c>
      <c r="AH22" s="165">
        <f t="shared" si="7"/>
        <v>3035.790817</v>
      </c>
      <c r="AI22" s="7">
        <v>61612.0</v>
      </c>
    </row>
    <row r="23">
      <c r="A23" s="66" t="s">
        <v>614</v>
      </c>
      <c r="B23" s="67" t="s">
        <v>31</v>
      </c>
      <c r="C23" s="67" t="s">
        <v>616</v>
      </c>
      <c r="D23" s="67" t="s">
        <v>211</v>
      </c>
      <c r="E23" s="11" t="s">
        <v>810</v>
      </c>
      <c r="F23" s="12" t="s">
        <v>811</v>
      </c>
      <c r="G23" s="14" t="s">
        <v>812</v>
      </c>
      <c r="H23" s="100" t="s">
        <v>813</v>
      </c>
      <c r="I23" s="12" t="s">
        <v>814</v>
      </c>
      <c r="J23" s="12" t="s">
        <v>815</v>
      </c>
      <c r="K23" s="16" t="s">
        <v>816</v>
      </c>
      <c r="L23" s="16" t="s">
        <v>817</v>
      </c>
      <c r="M23" s="76" t="s">
        <v>818</v>
      </c>
      <c r="N23" s="73" t="s">
        <v>43</v>
      </c>
      <c r="O23" s="18" t="s">
        <v>0</v>
      </c>
      <c r="P23" s="11" t="s">
        <v>633</v>
      </c>
      <c r="Q23" s="19" t="s">
        <v>819</v>
      </c>
      <c r="R23" s="11" t="s">
        <v>820</v>
      </c>
      <c r="S23" s="19" t="s">
        <v>821</v>
      </c>
      <c r="T23" s="11" t="s">
        <v>822</v>
      </c>
      <c r="U23" s="19" t="s">
        <v>823</v>
      </c>
      <c r="V23" s="20" t="s">
        <v>48</v>
      </c>
      <c r="W23" s="36" t="s">
        <v>0</v>
      </c>
      <c r="X23" s="36" t="s">
        <v>824</v>
      </c>
      <c r="Y23" s="36" t="s">
        <v>0</v>
      </c>
      <c r="Z23" s="36" t="s">
        <v>0</v>
      </c>
      <c r="AA23" s="36" t="s">
        <v>0</v>
      </c>
      <c r="AB23" s="24" t="s">
        <v>825</v>
      </c>
      <c r="AC23" s="24" t="s">
        <v>826</v>
      </c>
      <c r="AD23" s="7" t="s">
        <v>0</v>
      </c>
      <c r="AE23" s="25" t="s">
        <v>827</v>
      </c>
      <c r="AF23" s="7" t="s">
        <v>0</v>
      </c>
      <c r="AG23" s="25" t="s">
        <v>88</v>
      </c>
      <c r="AH23" s="25" t="s">
        <v>1068</v>
      </c>
      <c r="AI23" s="7" t="s">
        <v>0</v>
      </c>
      <c r="AJ23" s="7" t="s">
        <v>0</v>
      </c>
      <c r="AK23" s="7" t="s">
        <v>0</v>
      </c>
      <c r="AL23" s="7" t="s">
        <v>0</v>
      </c>
      <c r="AM23" s="7" t="s">
        <v>0</v>
      </c>
      <c r="AN23" s="7" t="s">
        <v>0</v>
      </c>
      <c r="AO23" s="7" t="s">
        <v>0</v>
      </c>
      <c r="AP23" s="7" t="s">
        <v>0</v>
      </c>
      <c r="AQ23" s="7" t="s">
        <v>0</v>
      </c>
      <c r="AR23" s="7" t="s">
        <v>0</v>
      </c>
      <c r="AS23" s="7" t="s">
        <v>0</v>
      </c>
      <c r="AT23" s="7" t="s">
        <v>0</v>
      </c>
      <c r="AU23" s="7" t="s">
        <v>0</v>
      </c>
      <c r="AV23" s="7" t="s">
        <v>0</v>
      </c>
      <c r="AW23" s="7" t="s">
        <v>0</v>
      </c>
      <c r="AX23" s="7" t="s">
        <v>0</v>
      </c>
    </row>
    <row r="24">
      <c r="A24" s="63" t="s">
        <v>0</v>
      </c>
      <c r="B24" s="63" t="s">
        <v>0</v>
      </c>
      <c r="C24" s="63" t="s">
        <v>0</v>
      </c>
      <c r="D24" s="63" t="s">
        <v>0</v>
      </c>
      <c r="E24" s="63" t="s">
        <v>0</v>
      </c>
      <c r="F24" s="63" t="s">
        <v>0</v>
      </c>
      <c r="G24" s="63" t="s">
        <v>0</v>
      </c>
      <c r="H24" s="63" t="s">
        <v>0</v>
      </c>
      <c r="I24" s="63" t="s">
        <v>0</v>
      </c>
      <c r="J24" s="63" t="s">
        <v>0</v>
      </c>
      <c r="K24" s="63" t="s">
        <v>0</v>
      </c>
      <c r="L24" s="63" t="s">
        <v>0</v>
      </c>
      <c r="M24" s="63" t="s">
        <v>0</v>
      </c>
      <c r="N24" s="63" t="s">
        <v>0</v>
      </c>
      <c r="O24" s="63" t="s">
        <v>0</v>
      </c>
      <c r="P24" s="63" t="s">
        <v>0</v>
      </c>
      <c r="Q24" s="63" t="s">
        <v>0</v>
      </c>
      <c r="R24" s="63" t="s">
        <v>0</v>
      </c>
      <c r="S24" s="63" t="s">
        <v>0</v>
      </c>
      <c r="T24" s="63" t="s">
        <v>0</v>
      </c>
      <c r="U24" s="63" t="s">
        <v>0</v>
      </c>
      <c r="V24" s="63" t="s">
        <v>0</v>
      </c>
      <c r="W24" s="63" t="s">
        <v>0</v>
      </c>
      <c r="X24" s="63" t="s">
        <v>0</v>
      </c>
      <c r="Y24" s="63" t="s">
        <v>0</v>
      </c>
      <c r="Z24" s="63" t="s">
        <v>0</v>
      </c>
      <c r="AA24" s="63" t="s">
        <v>0</v>
      </c>
      <c r="AB24" s="64" t="s">
        <v>0</v>
      </c>
      <c r="AC24" s="170"/>
      <c r="AD24" s="134"/>
      <c r="AE24" s="134"/>
      <c r="AF24" s="134"/>
      <c r="AG24" s="134"/>
      <c r="AH24" s="134"/>
      <c r="AI24" s="134"/>
      <c r="AJ24" s="134"/>
      <c r="AK24" s="134"/>
      <c r="AL24" s="134"/>
      <c r="AM24" s="134"/>
      <c r="AN24" s="134"/>
      <c r="AO24" s="134"/>
      <c r="AP24" s="134"/>
      <c r="AQ24" s="134"/>
      <c r="AR24" s="134"/>
      <c r="AS24" s="134"/>
      <c r="AT24" s="134"/>
      <c r="AU24" s="134"/>
      <c r="AV24" s="134"/>
      <c r="AW24" s="134"/>
      <c r="AX24" s="134"/>
    </row>
    <row r="25">
      <c r="A25" s="95" t="s">
        <v>681</v>
      </c>
      <c r="B25" s="7" t="s">
        <v>683</v>
      </c>
      <c r="F25" s="7"/>
      <c r="K25" s="96"/>
      <c r="L25" s="96"/>
      <c r="M25" s="96"/>
    </row>
    <row r="26">
      <c r="A26" s="95" t="s">
        <v>684</v>
      </c>
      <c r="B26" s="7" t="s">
        <v>683</v>
      </c>
      <c r="F26" s="7"/>
      <c r="K26" s="96"/>
      <c r="L26" s="96"/>
      <c r="M26" s="96"/>
    </row>
    <row r="27">
      <c r="A27" s="95" t="s">
        <v>685</v>
      </c>
      <c r="B27" s="7" t="s">
        <v>683</v>
      </c>
      <c r="F27" s="7"/>
      <c r="K27" s="96"/>
      <c r="L27" s="96"/>
      <c r="M27" s="96"/>
    </row>
    <row r="28">
      <c r="A28" s="95" t="s">
        <v>686</v>
      </c>
      <c r="B28" s="7" t="s">
        <v>683</v>
      </c>
      <c r="F28" s="7"/>
      <c r="K28" s="96"/>
      <c r="L28" s="96"/>
      <c r="M28" s="96"/>
    </row>
    <row r="29">
      <c r="F29" s="7" t="s">
        <v>828</v>
      </c>
      <c r="K29" s="96"/>
      <c r="L29" s="96"/>
      <c r="M29" s="96" t="s">
        <v>829</v>
      </c>
    </row>
    <row r="30">
      <c r="F30" s="7"/>
    </row>
    <row r="31">
      <c r="F31" s="96" t="s">
        <v>830</v>
      </c>
      <c r="H31" s="88" t="s">
        <v>831</v>
      </c>
      <c r="J31" s="104" t="s">
        <v>832</v>
      </c>
      <c r="AA31" s="7" t="s">
        <v>681</v>
      </c>
      <c r="AB31" s="7">
        <v>146.537469</v>
      </c>
      <c r="AC31" s="7">
        <v>202.463919</v>
      </c>
      <c r="AE31">
        <f t="shared" ref="AE31:AE32" si="8">AB31/AC31</f>
        <v>0.7237707821</v>
      </c>
    </row>
    <row r="32">
      <c r="F32" s="105" t="s">
        <v>830</v>
      </c>
      <c r="J32" s="106" t="s">
        <v>832</v>
      </c>
      <c r="AA32" s="7" t="s">
        <v>684</v>
      </c>
      <c r="AB32" s="7">
        <v>40.564237</v>
      </c>
      <c r="AC32" s="7">
        <v>45.004945</v>
      </c>
      <c r="AE32">
        <f t="shared" si="8"/>
        <v>0.9013284429</v>
      </c>
    </row>
    <row r="33">
      <c r="F33" s="107" t="s">
        <v>833</v>
      </c>
    </row>
    <row r="34">
      <c r="F34" s="7" t="s">
        <v>707</v>
      </c>
    </row>
    <row r="35">
      <c r="F35" s="101" t="s">
        <v>710</v>
      </c>
    </row>
    <row r="204">
      <c r="A204" s="108" t="s">
        <v>385</v>
      </c>
      <c r="B204" s="3" t="s">
        <v>1</v>
      </c>
      <c r="C204" s="3" t="s">
        <v>2</v>
      </c>
      <c r="D204" s="3" t="s">
        <v>3</v>
      </c>
      <c r="E204" s="3" t="s">
        <v>834</v>
      </c>
      <c r="F204" s="3" t="s">
        <v>5</v>
      </c>
      <c r="G204" s="3" t="s">
        <v>835</v>
      </c>
      <c r="H204" s="3"/>
      <c r="I204" s="3" t="s">
        <v>305</v>
      </c>
      <c r="J204" s="3" t="s">
        <v>836</v>
      </c>
      <c r="K204" s="3"/>
      <c r="L204" s="3"/>
      <c r="M204" s="3"/>
      <c r="N204" s="3" t="s">
        <v>306</v>
      </c>
      <c r="O204" s="5"/>
      <c r="P204" s="5" t="s">
        <v>837</v>
      </c>
      <c r="Q204" s="5" t="s">
        <v>838</v>
      </c>
      <c r="R204" s="5" t="s">
        <v>839</v>
      </c>
      <c r="S204" s="5" t="s">
        <v>840</v>
      </c>
      <c r="T204" s="5" t="s">
        <v>841</v>
      </c>
      <c r="U204" s="5" t="s">
        <v>842</v>
      </c>
      <c r="V204" s="5" t="s">
        <v>21</v>
      </c>
      <c r="W204" s="5" t="s">
        <v>23</v>
      </c>
      <c r="Z204" s="7" t="s">
        <v>843</v>
      </c>
      <c r="AA204" s="7" t="s">
        <v>844</v>
      </c>
    </row>
    <row r="205">
      <c r="A205" s="57" t="s">
        <v>30</v>
      </c>
      <c r="B205" s="21" t="s">
        <v>31</v>
      </c>
      <c r="C205" s="109" t="s">
        <v>845</v>
      </c>
      <c r="D205" s="10" t="s">
        <v>33</v>
      </c>
      <c r="E205" s="110">
        <f t="shared" ref="E205:E216" si="9">G205/J205</f>
        <v>10.4484206</v>
      </c>
      <c r="F205" s="111"/>
      <c r="G205" s="112">
        <f t="shared" ref="G205:G216" si="10">P205+R205</f>
        <v>100.5839882</v>
      </c>
      <c r="H205" s="112"/>
      <c r="I205" s="113">
        <v>16.396423642</v>
      </c>
      <c r="J205" s="113">
        <v>9.626717</v>
      </c>
      <c r="K205" s="113"/>
      <c r="L205" s="113"/>
      <c r="M205" s="113"/>
      <c r="N205" s="113">
        <f t="shared" ref="N205:N216" si="11">J205*100/I205</f>
        <v>58.71229733</v>
      </c>
      <c r="O205" s="114"/>
      <c r="P205" s="114">
        <v>100.583984878</v>
      </c>
      <c r="Q205" s="114">
        <f t="shared" ref="Q205:Q216" si="12">P205*100/(P205+R205+T205)</f>
        <v>20.32191312</v>
      </c>
      <c r="R205" s="114">
        <v>3.354E-6</v>
      </c>
      <c r="S205" s="114">
        <f t="shared" ref="S205:S216" si="13">R205*100/(P205+R205+T205)</f>
        <v>0.0000006776396529</v>
      </c>
      <c r="T205" s="114">
        <v>394.369337728</v>
      </c>
      <c r="U205" s="114">
        <f t="shared" ref="U205:U216" si="14">T205*100/(P205+R205+T205)</f>
        <v>79.6780862</v>
      </c>
      <c r="V205" s="22"/>
      <c r="W205" s="21" t="s">
        <v>846</v>
      </c>
      <c r="Z205" s="7">
        <v>0.0</v>
      </c>
      <c r="AA205">
        <f t="shared" ref="AA205:AA216" si="15">Z205/J205</f>
        <v>0</v>
      </c>
      <c r="AC205" s="115">
        <v>16.282866</v>
      </c>
    </row>
    <row r="206">
      <c r="A206" s="57" t="s">
        <v>58</v>
      </c>
      <c r="B206" s="21" t="s">
        <v>31</v>
      </c>
      <c r="C206" s="21" t="s">
        <v>847</v>
      </c>
      <c r="D206" s="10" t="s">
        <v>60</v>
      </c>
      <c r="E206" s="116">
        <f t="shared" si="9"/>
        <v>60.43568438</v>
      </c>
      <c r="F206" s="111"/>
      <c r="G206" s="112">
        <f t="shared" si="10"/>
        <v>6938.829058</v>
      </c>
      <c r="H206" s="112"/>
      <c r="I206" s="117">
        <v>1855.482203639</v>
      </c>
      <c r="J206" s="113">
        <v>114.813443899</v>
      </c>
      <c r="K206" s="113"/>
      <c r="L206" s="113"/>
      <c r="M206" s="113"/>
      <c r="N206" s="113">
        <f t="shared" si="11"/>
        <v>6.187795478</v>
      </c>
      <c r="O206" s="114"/>
      <c r="P206" s="114">
        <v>0.009430308</v>
      </c>
      <c r="Q206" s="114">
        <f t="shared" si="12"/>
        <v>0.00009519695101</v>
      </c>
      <c r="R206" s="114">
        <v>6938.819627501</v>
      </c>
      <c r="S206" s="114">
        <f t="shared" si="13"/>
        <v>70.04590647</v>
      </c>
      <c r="T206" s="114">
        <v>2967.273921137</v>
      </c>
      <c r="U206" s="114">
        <f t="shared" si="14"/>
        <v>29.95399833</v>
      </c>
      <c r="V206" s="22"/>
      <c r="W206" s="22" t="s">
        <v>848</v>
      </c>
      <c r="Z206" s="7">
        <v>0.0</v>
      </c>
      <c r="AA206">
        <f t="shared" si="15"/>
        <v>0</v>
      </c>
      <c r="AC206" s="118">
        <v>84.4125339985</v>
      </c>
    </row>
    <row r="207">
      <c r="A207" s="57" t="s">
        <v>69</v>
      </c>
      <c r="B207" s="21" t="s">
        <v>31</v>
      </c>
      <c r="C207" s="21"/>
      <c r="D207" s="10" t="s">
        <v>33</v>
      </c>
      <c r="E207" s="110">
        <f t="shared" si="9"/>
        <v>37.25382026</v>
      </c>
      <c r="F207" s="111"/>
      <c r="G207" s="112">
        <f t="shared" si="10"/>
        <v>22.13197306</v>
      </c>
      <c r="H207" s="112"/>
      <c r="I207" s="111">
        <v>0.854956905</v>
      </c>
      <c r="J207" s="113">
        <v>0.594086</v>
      </c>
      <c r="K207" s="113"/>
      <c r="L207" s="113"/>
      <c r="M207" s="113"/>
      <c r="N207" s="113">
        <f t="shared" si="11"/>
        <v>69.48724509</v>
      </c>
      <c r="O207" s="119"/>
      <c r="P207" s="119">
        <v>20.263405055</v>
      </c>
      <c r="Q207" s="114">
        <f t="shared" si="12"/>
        <v>89.76156124</v>
      </c>
      <c r="R207" s="114">
        <v>1.868568006</v>
      </c>
      <c r="S207" s="114">
        <f t="shared" si="13"/>
        <v>8.277265397</v>
      </c>
      <c r="T207" s="120">
        <v>0.442729045</v>
      </c>
      <c r="U207" s="114">
        <f t="shared" si="14"/>
        <v>1.961173365</v>
      </c>
      <c r="V207" s="22"/>
      <c r="W207" s="22" t="s">
        <v>849</v>
      </c>
      <c r="Z207" s="7">
        <v>0.594086</v>
      </c>
      <c r="AA207">
        <f t="shared" si="15"/>
        <v>1</v>
      </c>
      <c r="AC207" s="121">
        <v>0.383293</v>
      </c>
    </row>
    <row r="208">
      <c r="A208" s="57" t="s">
        <v>92</v>
      </c>
      <c r="B208" s="9" t="s">
        <v>93</v>
      </c>
      <c r="C208" s="9"/>
      <c r="D208" s="9" t="s">
        <v>850</v>
      </c>
      <c r="E208" s="116">
        <f t="shared" si="9"/>
        <v>5.042348333</v>
      </c>
      <c r="F208" s="113"/>
      <c r="G208" s="112">
        <f t="shared" si="10"/>
        <v>67.83698168</v>
      </c>
      <c r="H208" s="112"/>
      <c r="I208" s="113">
        <v>14.692030534</v>
      </c>
      <c r="J208" s="113">
        <v>13.453450098</v>
      </c>
      <c r="K208" s="113"/>
      <c r="L208" s="113"/>
      <c r="M208" s="113"/>
      <c r="N208" s="113">
        <f t="shared" si="11"/>
        <v>91.56971235</v>
      </c>
      <c r="O208" s="122"/>
      <c r="P208" s="122">
        <v>67.414770532</v>
      </c>
      <c r="Q208" s="114">
        <f t="shared" si="12"/>
        <v>5.997728954</v>
      </c>
      <c r="R208" s="113">
        <v>0.422211144</v>
      </c>
      <c r="S208" s="114">
        <f t="shared" si="13"/>
        <v>0.0375631035</v>
      </c>
      <c r="T208" s="113">
        <v>1056.167971713</v>
      </c>
      <c r="U208" s="114">
        <f t="shared" si="14"/>
        <v>93.96470794</v>
      </c>
      <c r="V208" s="22"/>
      <c r="W208" s="22" t="s">
        <v>851</v>
      </c>
      <c r="Z208" s="7">
        <v>13.453450098</v>
      </c>
      <c r="AA208">
        <f t="shared" si="15"/>
        <v>1</v>
      </c>
      <c r="AC208" s="123">
        <v>5.602739919</v>
      </c>
    </row>
    <row r="209">
      <c r="A209" s="57" t="s">
        <v>117</v>
      </c>
      <c r="B209" s="9" t="s">
        <v>93</v>
      </c>
      <c r="C209" s="9"/>
      <c r="D209" s="9" t="s">
        <v>33</v>
      </c>
      <c r="E209" s="124">
        <f t="shared" si="9"/>
        <v>0.0172161029</v>
      </c>
      <c r="F209" s="113"/>
      <c r="G209" s="112">
        <f t="shared" si="10"/>
        <v>0.620033659</v>
      </c>
      <c r="H209" s="112"/>
      <c r="I209" s="113">
        <v>36.452693713</v>
      </c>
      <c r="J209" s="113">
        <v>36.014751</v>
      </c>
      <c r="K209" s="113"/>
      <c r="L209" s="113"/>
      <c r="M209" s="113"/>
      <c r="N209" s="113">
        <f t="shared" si="11"/>
        <v>98.79859986</v>
      </c>
      <c r="O209" s="113"/>
      <c r="P209" s="113">
        <v>0.613012265</v>
      </c>
      <c r="Q209" s="114">
        <f t="shared" si="12"/>
        <v>0.7808828358</v>
      </c>
      <c r="R209" s="125">
        <v>0.007021394</v>
      </c>
      <c r="S209" s="114">
        <f t="shared" si="13"/>
        <v>0.008944170241</v>
      </c>
      <c r="T209" s="113">
        <v>77.882430076</v>
      </c>
      <c r="U209" s="114">
        <f t="shared" si="14"/>
        <v>99.21017299</v>
      </c>
      <c r="V209" s="22"/>
      <c r="W209" s="126">
        <v>0.49745126157358754</v>
      </c>
      <c r="Z209" s="7">
        <v>36.012846</v>
      </c>
      <c r="AA209">
        <f t="shared" si="15"/>
        <v>0.999947105</v>
      </c>
      <c r="AC209" s="123">
        <v>9.84923</v>
      </c>
    </row>
    <row r="210">
      <c r="A210" s="57" t="s">
        <v>139</v>
      </c>
      <c r="B210" s="9" t="s">
        <v>93</v>
      </c>
      <c r="C210" s="9" t="s">
        <v>852</v>
      </c>
      <c r="D210" s="9" t="s">
        <v>33</v>
      </c>
      <c r="E210" s="124">
        <f t="shared" si="9"/>
        <v>2.238698309</v>
      </c>
      <c r="F210" s="125"/>
      <c r="G210" s="112">
        <f t="shared" si="10"/>
        <v>158.5047901</v>
      </c>
      <c r="H210" s="112"/>
      <c r="I210" s="127">
        <v>76.450617209</v>
      </c>
      <c r="J210" s="113">
        <v>70.802211</v>
      </c>
      <c r="K210" s="113"/>
      <c r="L210" s="113"/>
      <c r="M210" s="113"/>
      <c r="N210" s="113">
        <f t="shared" si="11"/>
        <v>92.61169312</v>
      </c>
      <c r="O210" s="113"/>
      <c r="P210" s="113">
        <v>158.497430619</v>
      </c>
      <c r="Q210" s="114">
        <f t="shared" si="12"/>
        <v>7.410996851</v>
      </c>
      <c r="R210" s="125">
        <v>0.007359439</v>
      </c>
      <c r="S210" s="114">
        <f t="shared" si="13"/>
        <v>0.0003441114411</v>
      </c>
      <c r="T210" s="113">
        <v>1980.174173094</v>
      </c>
      <c r="U210" s="114">
        <f t="shared" si="14"/>
        <v>92.58865904</v>
      </c>
      <c r="V210" s="22"/>
      <c r="W210" s="22" t="s">
        <v>853</v>
      </c>
      <c r="Z210" s="7">
        <v>38.63476</v>
      </c>
      <c r="AA210">
        <f t="shared" si="15"/>
        <v>0.5456716599</v>
      </c>
      <c r="AC210" s="128">
        <v>57.62846</v>
      </c>
    </row>
    <row r="211">
      <c r="A211" s="57" t="s">
        <v>159</v>
      </c>
      <c r="B211" s="9" t="s">
        <v>160</v>
      </c>
      <c r="C211" s="109" t="s">
        <v>854</v>
      </c>
      <c r="D211" s="22" t="s">
        <v>855</v>
      </c>
      <c r="E211" s="116">
        <f t="shared" si="9"/>
        <v>6.411579853</v>
      </c>
      <c r="F211" s="113"/>
      <c r="G211" s="112">
        <f t="shared" si="10"/>
        <v>17.09152794</v>
      </c>
      <c r="H211" s="112"/>
      <c r="I211" s="127">
        <v>23.452134886</v>
      </c>
      <c r="J211" s="113">
        <v>2.665728</v>
      </c>
      <c r="K211" s="113"/>
      <c r="L211" s="113"/>
      <c r="M211" s="113"/>
      <c r="N211" s="113">
        <f t="shared" si="11"/>
        <v>11.3666752</v>
      </c>
      <c r="O211" s="113"/>
      <c r="P211" s="113">
        <v>17.091437566</v>
      </c>
      <c r="Q211" s="114">
        <f t="shared" si="12"/>
        <v>2.507197026</v>
      </c>
      <c r="R211" s="125">
        <v>9.0373E-5</v>
      </c>
      <c r="S211" s="114">
        <f t="shared" si="13"/>
        <v>0.00001325710116</v>
      </c>
      <c r="T211" s="113">
        <v>664.603504075</v>
      </c>
      <c r="U211" s="114">
        <f t="shared" si="14"/>
        <v>97.49278972</v>
      </c>
      <c r="V211" s="22"/>
      <c r="W211" s="22" t="s">
        <v>856</v>
      </c>
      <c r="Z211" s="7">
        <v>0.803039</v>
      </c>
      <c r="AA211">
        <f t="shared" si="15"/>
        <v>0.3012456635</v>
      </c>
      <c r="AC211" s="128">
        <v>1.485789</v>
      </c>
    </row>
    <row r="212">
      <c r="A212" s="57" t="s">
        <v>185</v>
      </c>
      <c r="B212" s="9" t="s">
        <v>160</v>
      </c>
      <c r="C212" s="129"/>
      <c r="D212" s="9" t="s">
        <v>857</v>
      </c>
      <c r="E212" s="124">
        <f t="shared" si="9"/>
        <v>0.00000001280589952</v>
      </c>
      <c r="F212" s="113"/>
      <c r="G212" s="112">
        <f t="shared" si="10"/>
        <v>0.000000114</v>
      </c>
      <c r="H212" s="112"/>
      <c r="I212" s="113">
        <v>12.167181007</v>
      </c>
      <c r="J212" s="113">
        <v>8.902147</v>
      </c>
      <c r="K212" s="113"/>
      <c r="L212" s="113"/>
      <c r="M212" s="113"/>
      <c r="N212" s="113">
        <f t="shared" si="11"/>
        <v>73.16523848</v>
      </c>
      <c r="O212" s="125"/>
      <c r="P212" s="125">
        <v>4.9E-8</v>
      </c>
      <c r="Q212" s="114">
        <f t="shared" si="12"/>
        <v>0.00000004143360825</v>
      </c>
      <c r="R212" s="125">
        <v>6.5E-8</v>
      </c>
      <c r="S212" s="114">
        <f t="shared" si="13"/>
        <v>0.00000005496294972</v>
      </c>
      <c r="T212" s="113">
        <v>118.261483905</v>
      </c>
      <c r="U212" s="114">
        <f t="shared" si="14"/>
        <v>99.9999999</v>
      </c>
      <c r="V212" s="22"/>
      <c r="W212" s="22" t="s">
        <v>858</v>
      </c>
      <c r="Z212" s="7">
        <v>8.592534</v>
      </c>
      <c r="AA212">
        <f t="shared" si="15"/>
        <v>0.9652204126</v>
      </c>
      <c r="AC212" s="123">
        <v>5.315241</v>
      </c>
    </row>
    <row r="213">
      <c r="A213" s="57" t="s">
        <v>209</v>
      </c>
      <c r="B213" s="9" t="s">
        <v>160</v>
      </c>
      <c r="C213" s="129" t="s">
        <v>859</v>
      </c>
      <c r="D213" s="22" t="s">
        <v>860</v>
      </c>
      <c r="E213" s="116">
        <f t="shared" si="9"/>
        <v>37.48113203</v>
      </c>
      <c r="F213" s="113"/>
      <c r="G213" s="112">
        <f t="shared" si="10"/>
        <v>21.14205711</v>
      </c>
      <c r="H213" s="112"/>
      <c r="I213" s="113">
        <v>2.430953164</v>
      </c>
      <c r="J213" s="113">
        <v>0.564072</v>
      </c>
      <c r="K213" s="113"/>
      <c r="L213" s="113"/>
      <c r="M213" s="113"/>
      <c r="N213" s="113">
        <f t="shared" si="11"/>
        <v>23.20373787</v>
      </c>
      <c r="O213" s="68"/>
      <c r="P213" s="68">
        <v>21.142040823</v>
      </c>
      <c r="Q213" s="114">
        <f t="shared" si="12"/>
        <v>80.01718517</v>
      </c>
      <c r="R213" s="130">
        <v>1.6282E-5</v>
      </c>
      <c r="S213" s="114">
        <f t="shared" si="13"/>
        <v>0.00006162318103</v>
      </c>
      <c r="T213" s="68">
        <v>5.279818118</v>
      </c>
      <c r="U213" s="114">
        <f t="shared" si="14"/>
        <v>19.98275321</v>
      </c>
      <c r="V213" s="22"/>
      <c r="W213" s="36" t="s">
        <v>861</v>
      </c>
      <c r="X213" s="7"/>
      <c r="Z213" s="7">
        <v>0.299981</v>
      </c>
      <c r="AA213">
        <f t="shared" si="15"/>
        <v>0.5318133146</v>
      </c>
      <c r="AC213" s="128">
        <v>0.251854</v>
      </c>
    </row>
    <row r="214">
      <c r="A214" s="57" t="s">
        <v>232</v>
      </c>
      <c r="B214" s="9" t="s">
        <v>233</v>
      </c>
      <c r="C214" s="22"/>
      <c r="D214" s="67" t="s">
        <v>862</v>
      </c>
      <c r="E214" s="124">
        <f t="shared" si="9"/>
        <v>53.99489354</v>
      </c>
      <c r="F214" s="131"/>
      <c r="G214" s="112">
        <f t="shared" si="10"/>
        <v>139.8531997</v>
      </c>
      <c r="H214" s="112"/>
      <c r="I214" s="68">
        <v>3.118367228</v>
      </c>
      <c r="J214" s="68">
        <v>2.590119</v>
      </c>
      <c r="K214" s="68"/>
      <c r="L214" s="68"/>
      <c r="M214" s="68"/>
      <c r="N214" s="113">
        <f t="shared" si="11"/>
        <v>83.06010199</v>
      </c>
      <c r="O214" s="68"/>
      <c r="P214" s="68">
        <v>139.853178363</v>
      </c>
      <c r="Q214" s="114">
        <f t="shared" si="12"/>
        <v>54.44110143</v>
      </c>
      <c r="R214" s="130">
        <v>2.1304E-5</v>
      </c>
      <c r="S214" s="114">
        <f t="shared" si="13"/>
        <v>0.000008293077343</v>
      </c>
      <c r="T214" s="68">
        <v>117.035758664</v>
      </c>
      <c r="U214" s="114">
        <f t="shared" si="14"/>
        <v>45.55889028</v>
      </c>
      <c r="V214" s="132"/>
      <c r="W214" s="22" t="s">
        <v>863</v>
      </c>
      <c r="Z214" s="7">
        <v>1.785868</v>
      </c>
      <c r="AA214">
        <f t="shared" si="15"/>
        <v>0.6894926449</v>
      </c>
      <c r="AC214" s="133">
        <v>1.876903</v>
      </c>
    </row>
    <row r="215">
      <c r="A215" s="57" t="s">
        <v>258</v>
      </c>
      <c r="B215" s="9" t="s">
        <v>233</v>
      </c>
      <c r="C215" s="22"/>
      <c r="D215" s="67" t="s">
        <v>860</v>
      </c>
      <c r="E215" s="110">
        <f t="shared" si="9"/>
        <v>4.354369759</v>
      </c>
      <c r="F215" s="113"/>
      <c r="G215" s="112">
        <f t="shared" si="10"/>
        <v>10.55844531</v>
      </c>
      <c r="H215" s="112"/>
      <c r="I215" s="113">
        <v>2.784337845</v>
      </c>
      <c r="J215" s="113">
        <v>2.424793</v>
      </c>
      <c r="K215" s="113"/>
      <c r="L215" s="113"/>
      <c r="M215" s="113"/>
      <c r="N215" s="113">
        <f t="shared" si="11"/>
        <v>87.08688151</v>
      </c>
      <c r="O215" s="68"/>
      <c r="P215" s="68">
        <v>10.555515339</v>
      </c>
      <c r="Q215" s="114">
        <f t="shared" si="12"/>
        <v>18.57434635</v>
      </c>
      <c r="R215" s="130">
        <v>0.002929973</v>
      </c>
      <c r="S215" s="114">
        <f t="shared" si="13"/>
        <v>0.00515581964</v>
      </c>
      <c r="T215" s="68">
        <v>46.270016591</v>
      </c>
      <c r="U215" s="114">
        <f t="shared" si="14"/>
        <v>81.42049783</v>
      </c>
      <c r="V215" s="22"/>
      <c r="W215" s="22" t="s">
        <v>864</v>
      </c>
      <c r="Z215" s="7">
        <v>1.350603</v>
      </c>
      <c r="AA215">
        <f t="shared" si="15"/>
        <v>0.5569972365</v>
      </c>
      <c r="AC215" s="123">
        <v>1.080098</v>
      </c>
    </row>
    <row r="216">
      <c r="A216" s="57" t="s">
        <v>280</v>
      </c>
      <c r="B216" s="9" t="s">
        <v>233</v>
      </c>
      <c r="C216" s="22" t="s">
        <v>865</v>
      </c>
      <c r="D216" s="22" t="s">
        <v>33</v>
      </c>
      <c r="E216" s="116">
        <f t="shared" si="9"/>
        <v>9.73751851</v>
      </c>
      <c r="F216" s="113"/>
      <c r="G216" s="112">
        <f t="shared" si="10"/>
        <v>27.6958007</v>
      </c>
      <c r="H216" s="112"/>
      <c r="I216" s="113">
        <v>34.438799529</v>
      </c>
      <c r="J216" s="113">
        <v>2.844236</v>
      </c>
      <c r="K216" s="113"/>
      <c r="L216" s="113"/>
      <c r="M216" s="113"/>
      <c r="N216" s="113">
        <f t="shared" si="11"/>
        <v>8.258812847</v>
      </c>
      <c r="O216" s="113"/>
      <c r="P216" s="113">
        <v>27.278859678</v>
      </c>
      <c r="Q216" s="114">
        <f t="shared" si="12"/>
        <v>61.80707087</v>
      </c>
      <c r="R216" s="125">
        <v>0.41694102</v>
      </c>
      <c r="S216" s="114">
        <f t="shared" si="13"/>
        <v>0.9446840328</v>
      </c>
      <c r="T216" s="113">
        <v>16.439699164</v>
      </c>
      <c r="U216" s="114">
        <f t="shared" si="14"/>
        <v>37.2482451</v>
      </c>
      <c r="V216" s="22"/>
      <c r="W216" s="22" t="s">
        <v>866</v>
      </c>
      <c r="Z216" s="7">
        <v>1.82927</v>
      </c>
      <c r="AA216">
        <f t="shared" si="15"/>
        <v>0.6431498652</v>
      </c>
      <c r="AC216" s="128">
        <v>2.103749</v>
      </c>
    </row>
    <row r="217">
      <c r="A217" s="134"/>
      <c r="B217" s="62"/>
      <c r="C217" s="62"/>
      <c r="D217" s="62"/>
      <c r="E217" s="134"/>
      <c r="F217" s="134"/>
      <c r="G217" s="134"/>
      <c r="H217" s="134"/>
      <c r="I217" s="134"/>
      <c r="J217" s="134"/>
      <c r="K217" s="134"/>
      <c r="L217" s="134"/>
      <c r="M217" s="134"/>
      <c r="N217" s="134"/>
      <c r="O217" s="134"/>
      <c r="P217" s="134"/>
      <c r="Q217" s="134"/>
      <c r="R217" s="134"/>
      <c r="S217" s="134"/>
      <c r="T217" s="134"/>
      <c r="U217" s="134"/>
      <c r="V217" s="134"/>
      <c r="W217" s="134"/>
      <c r="AC217" s="135"/>
    </row>
    <row r="218">
      <c r="A218" s="65" t="s">
        <v>303</v>
      </c>
      <c r="B218" s="136" t="s">
        <v>1069</v>
      </c>
      <c r="C218" s="3" t="s">
        <v>304</v>
      </c>
      <c r="D218" s="3" t="s">
        <v>3</v>
      </c>
      <c r="E218" s="3" t="s">
        <v>4</v>
      </c>
      <c r="F218" s="3" t="s">
        <v>5</v>
      </c>
      <c r="G218" s="3" t="s">
        <v>6</v>
      </c>
      <c r="H218" s="3"/>
      <c r="I218" s="3" t="s">
        <v>305</v>
      </c>
      <c r="J218" s="3" t="s">
        <v>836</v>
      </c>
      <c r="K218" s="3"/>
      <c r="L218" s="3"/>
      <c r="M218" s="3"/>
      <c r="N218" s="3" t="s">
        <v>306</v>
      </c>
      <c r="O218" s="5"/>
      <c r="P218" s="5"/>
      <c r="Q218" s="5" t="s">
        <v>16</v>
      </c>
      <c r="R218" s="5"/>
      <c r="S218" s="5" t="s">
        <v>18</v>
      </c>
      <c r="T218" s="5"/>
      <c r="U218" s="5" t="s">
        <v>20</v>
      </c>
      <c r="V218" s="5" t="s">
        <v>21</v>
      </c>
      <c r="W218" s="5" t="s">
        <v>23</v>
      </c>
      <c r="AC218" s="137" t="s">
        <v>836</v>
      </c>
    </row>
    <row r="219">
      <c r="A219" s="66" t="s">
        <v>307</v>
      </c>
      <c r="B219" s="67" t="s">
        <v>308</v>
      </c>
      <c r="C219" s="129" t="s">
        <v>868</v>
      </c>
      <c r="D219" s="67" t="s">
        <v>860</v>
      </c>
      <c r="E219" s="124">
        <f t="shared" ref="E219:E226" si="16">G219/J219</f>
        <v>22.44130294</v>
      </c>
      <c r="F219" s="68"/>
      <c r="G219" s="112">
        <f t="shared" ref="G219:G226" si="17">P219+R219</f>
        <v>480.6547607</v>
      </c>
      <c r="H219" s="112"/>
      <c r="I219" s="14">
        <v>25.64169106</v>
      </c>
      <c r="J219" s="68">
        <v>21.418309</v>
      </c>
      <c r="K219" s="68"/>
      <c r="L219" s="68"/>
      <c r="M219" s="68"/>
      <c r="N219" s="113">
        <f t="shared" ref="N219:N226" si="18">J219*100/I219</f>
        <v>83.5292374</v>
      </c>
      <c r="O219" s="68"/>
      <c r="P219" s="68">
        <v>480.654748029</v>
      </c>
      <c r="Q219" s="114">
        <f t="shared" ref="Q219:Q226" si="19">P219*100/(P219+R219+T219)</f>
        <v>11.16767543</v>
      </c>
      <c r="R219" s="130">
        <v>1.2691E-5</v>
      </c>
      <c r="S219" s="114">
        <f t="shared" ref="S219:S226" si="20">R219*100/(P219+R219+T219)</f>
        <v>0.00000029486647</v>
      </c>
      <c r="T219" s="68">
        <v>3823.327310037</v>
      </c>
      <c r="U219" s="114">
        <f t="shared" ref="U219:U226" si="21">T219*100/(P219+R219+T219)</f>
        <v>88.83232428</v>
      </c>
      <c r="V219" s="70"/>
      <c r="W219" s="36" t="s">
        <v>869</v>
      </c>
      <c r="X219" s="7"/>
      <c r="Z219" s="7">
        <v>9.146052</v>
      </c>
      <c r="AA219">
        <f t="shared" ref="AA219:AA226" si="22">Z219/J219</f>
        <v>0.4270202657</v>
      </c>
      <c r="AC219" s="133">
        <v>121.549358</v>
      </c>
    </row>
    <row r="220">
      <c r="A220" s="66" t="s">
        <v>335</v>
      </c>
      <c r="B220" s="67" t="s">
        <v>93</v>
      </c>
      <c r="C220" s="129"/>
      <c r="D220" s="67" t="s">
        <v>850</v>
      </c>
      <c r="E220" s="116">
        <f t="shared" si="16"/>
        <v>76.33416272</v>
      </c>
      <c r="F220" s="68"/>
      <c r="G220" s="112">
        <f t="shared" si="17"/>
        <v>1673.853688</v>
      </c>
      <c r="H220" s="112"/>
      <c r="I220" s="68">
        <v>22.651057882</v>
      </c>
      <c r="J220" s="68">
        <v>21.927976</v>
      </c>
      <c r="K220" s="68"/>
      <c r="L220" s="68"/>
      <c r="M220" s="68"/>
      <c r="N220" s="113">
        <f t="shared" si="18"/>
        <v>96.80773461</v>
      </c>
      <c r="O220" s="68"/>
      <c r="P220" s="68">
        <v>93.93618832</v>
      </c>
      <c r="Q220" s="114">
        <f t="shared" si="19"/>
        <v>0.429946638</v>
      </c>
      <c r="R220" s="68">
        <v>1579.917499856</v>
      </c>
      <c r="S220" s="114">
        <f t="shared" si="20"/>
        <v>7.231294238</v>
      </c>
      <c r="T220" s="68">
        <v>20174.482832226</v>
      </c>
      <c r="U220" s="114">
        <f t="shared" si="21"/>
        <v>92.33875912</v>
      </c>
      <c r="V220" s="70"/>
      <c r="W220" s="36" t="s">
        <v>870</v>
      </c>
      <c r="Z220" s="7">
        <v>13.081261</v>
      </c>
      <c r="AA220">
        <f t="shared" si="22"/>
        <v>0.5965557879</v>
      </c>
      <c r="AC220" s="138">
        <v>11.603868</v>
      </c>
    </row>
    <row r="221">
      <c r="A221" s="66" t="s">
        <v>358</v>
      </c>
      <c r="B221" s="67" t="s">
        <v>31</v>
      </c>
      <c r="C221" s="129"/>
      <c r="D221" s="67" t="s">
        <v>860</v>
      </c>
      <c r="E221" s="110">
        <f t="shared" si="16"/>
        <v>6.02767739</v>
      </c>
      <c r="F221" s="11"/>
      <c r="G221" s="112">
        <f t="shared" si="17"/>
        <v>304.7974215</v>
      </c>
      <c r="H221" s="112"/>
      <c r="I221" s="14">
        <v>52.020524407</v>
      </c>
      <c r="J221" s="14">
        <v>50.566313</v>
      </c>
      <c r="K221" s="14"/>
      <c r="L221" s="14"/>
      <c r="M221" s="14"/>
      <c r="N221" s="113">
        <f t="shared" si="18"/>
        <v>97.20454297</v>
      </c>
      <c r="O221" s="11"/>
      <c r="P221" s="11">
        <v>304.731885026</v>
      </c>
      <c r="Q221" s="114">
        <f t="shared" si="19"/>
        <v>24.77792447</v>
      </c>
      <c r="R221" s="68">
        <v>0.06553652</v>
      </c>
      <c r="S221" s="114">
        <f t="shared" si="20"/>
        <v>0.005328812055</v>
      </c>
      <c r="T221" s="11">
        <v>925.054923017</v>
      </c>
      <c r="U221" s="114">
        <f t="shared" si="21"/>
        <v>75.21674672</v>
      </c>
      <c r="V221" s="22"/>
      <c r="W221" s="36" t="s">
        <v>871</v>
      </c>
      <c r="Z221" s="7">
        <v>37.753047</v>
      </c>
      <c r="AA221">
        <f t="shared" si="22"/>
        <v>0.746604701</v>
      </c>
      <c r="AC221" s="139">
        <v>27.413112</v>
      </c>
    </row>
    <row r="222">
      <c r="A222" s="66" t="s">
        <v>382</v>
      </c>
      <c r="B222" s="67" t="s">
        <v>308</v>
      </c>
      <c r="C222" s="129"/>
      <c r="D222" s="67" t="s">
        <v>873</v>
      </c>
      <c r="E222" s="124">
        <f t="shared" si="16"/>
        <v>30.41680832</v>
      </c>
      <c r="F222" s="77"/>
      <c r="G222" s="112">
        <f t="shared" si="17"/>
        <v>734.8465767</v>
      </c>
      <c r="H222" s="112"/>
      <c r="I222" s="68">
        <v>24.804700708</v>
      </c>
      <c r="J222" s="68">
        <v>24.159227</v>
      </c>
      <c r="K222" s="68"/>
      <c r="L222" s="68"/>
      <c r="M222" s="68"/>
      <c r="N222" s="113">
        <f t="shared" si="18"/>
        <v>97.39777667</v>
      </c>
      <c r="O222" s="140"/>
      <c r="P222" s="140">
        <v>733.501225304</v>
      </c>
      <c r="Q222" s="114">
        <f t="shared" si="19"/>
        <v>29.50514585</v>
      </c>
      <c r="R222" s="130">
        <v>1.345351417</v>
      </c>
      <c r="S222" s="114">
        <f t="shared" si="20"/>
        <v>0.05411686908</v>
      </c>
      <c r="T222" s="68">
        <v>1751.164605889</v>
      </c>
      <c r="U222" s="114">
        <f t="shared" si="21"/>
        <v>70.44073728</v>
      </c>
      <c r="V222" s="70"/>
      <c r="W222" s="36" t="s">
        <v>895</v>
      </c>
      <c r="Z222" s="7">
        <v>20.73447</v>
      </c>
      <c r="AA222">
        <f t="shared" si="22"/>
        <v>0.8582422774</v>
      </c>
      <c r="AC222" s="138">
        <v>12.576591</v>
      </c>
    </row>
    <row r="223">
      <c r="A223" s="66" t="s">
        <v>457</v>
      </c>
      <c r="B223" s="67" t="s">
        <v>233</v>
      </c>
      <c r="C223" s="129" t="s">
        <v>898</v>
      </c>
      <c r="D223" s="67" t="s">
        <v>33</v>
      </c>
      <c r="E223" s="116">
        <f t="shared" si="16"/>
        <v>0.003508490458</v>
      </c>
      <c r="F223" s="68"/>
      <c r="G223" s="112">
        <f t="shared" si="17"/>
        <v>5.51289392</v>
      </c>
      <c r="H223" s="112"/>
      <c r="I223" s="68">
        <v>1571.500967564</v>
      </c>
      <c r="J223" s="68">
        <v>1571.300816</v>
      </c>
      <c r="K223" s="68"/>
      <c r="L223" s="68"/>
      <c r="M223" s="68"/>
      <c r="N223" s="113">
        <f t="shared" si="18"/>
        <v>99.98726367</v>
      </c>
      <c r="O223" s="68"/>
      <c r="P223" s="68">
        <v>4.310343055</v>
      </c>
      <c r="Q223" s="114">
        <f t="shared" si="19"/>
        <v>0.7312484186</v>
      </c>
      <c r="R223" s="68">
        <v>1.202550865</v>
      </c>
      <c r="S223" s="114">
        <f t="shared" si="20"/>
        <v>0.204012397</v>
      </c>
      <c r="T223" s="68">
        <v>583.937003703</v>
      </c>
      <c r="U223" s="114">
        <f t="shared" si="21"/>
        <v>99.06473918</v>
      </c>
      <c r="V223" s="143"/>
      <c r="W223" s="36" t="s">
        <v>901</v>
      </c>
      <c r="AA223">
        <f t="shared" si="22"/>
        <v>0</v>
      </c>
      <c r="AC223" s="133">
        <v>249.436702</v>
      </c>
    </row>
    <row r="224">
      <c r="A224" s="66" t="s">
        <v>503</v>
      </c>
      <c r="B224" s="67" t="s">
        <v>308</v>
      </c>
      <c r="C224" s="129"/>
      <c r="D224" s="67" t="s">
        <v>860</v>
      </c>
      <c r="E224" s="110">
        <f t="shared" si="16"/>
        <v>201.5196952</v>
      </c>
      <c r="F224" s="68"/>
      <c r="G224" s="112">
        <f t="shared" si="17"/>
        <v>4855.762352</v>
      </c>
      <c r="H224" s="112"/>
      <c r="I224" s="68">
        <v>27.203390778</v>
      </c>
      <c r="J224" s="68">
        <v>24.095721</v>
      </c>
      <c r="K224" s="68"/>
      <c r="L224" s="68"/>
      <c r="M224" s="68"/>
      <c r="N224" s="113">
        <f t="shared" si="18"/>
        <v>88.57616757</v>
      </c>
      <c r="O224" s="68"/>
      <c r="P224" s="68">
        <v>4853.699732525</v>
      </c>
      <c r="Q224" s="114">
        <f t="shared" si="19"/>
        <v>16.95969737</v>
      </c>
      <c r="R224" s="130">
        <v>2.062619516</v>
      </c>
      <c r="S224" s="114">
        <f t="shared" si="20"/>
        <v>0.007207162517</v>
      </c>
      <c r="T224" s="68">
        <v>23763.260894126</v>
      </c>
      <c r="U224" s="114">
        <f t="shared" si="21"/>
        <v>83.03309547</v>
      </c>
      <c r="V224" s="70"/>
      <c r="W224" s="21" t="s">
        <v>906</v>
      </c>
      <c r="Z224" s="7">
        <v>22.332327</v>
      </c>
      <c r="AA224">
        <f t="shared" si="22"/>
        <v>0.9268171307</v>
      </c>
      <c r="AC224" s="133">
        <v>32.060272</v>
      </c>
    </row>
    <row r="225">
      <c r="A225" s="66" t="s">
        <v>562</v>
      </c>
      <c r="B225" s="67" t="s">
        <v>308</v>
      </c>
      <c r="C225" s="129"/>
      <c r="D225" s="67" t="s">
        <v>211</v>
      </c>
      <c r="E225" s="116">
        <f t="shared" si="16"/>
        <v>45.13910704</v>
      </c>
      <c r="F225" s="77"/>
      <c r="G225" s="112">
        <f t="shared" si="17"/>
        <v>872.372782</v>
      </c>
      <c r="H225" s="112"/>
      <c r="I225" s="68">
        <v>19.588357187</v>
      </c>
      <c r="J225" s="68">
        <v>19.326319</v>
      </c>
      <c r="K225" s="68"/>
      <c r="L225" s="68"/>
      <c r="M225" s="68"/>
      <c r="N225" s="113">
        <f t="shared" si="18"/>
        <v>98.66227584</v>
      </c>
      <c r="O225" s="68"/>
      <c r="P225" s="68">
        <v>871.745653493</v>
      </c>
      <c r="Q225" s="114">
        <f t="shared" si="19"/>
        <v>28.07722798</v>
      </c>
      <c r="R225" s="130">
        <v>0.627128477</v>
      </c>
      <c r="S225" s="114">
        <f t="shared" si="20"/>
        <v>0.02019858562</v>
      </c>
      <c r="T225" s="68">
        <v>2232.441033876</v>
      </c>
      <c r="U225" s="114">
        <f t="shared" si="21"/>
        <v>71.90257343</v>
      </c>
      <c r="V225" s="70"/>
      <c r="W225" s="21" t="s">
        <v>911</v>
      </c>
      <c r="Z225" s="7">
        <v>18.939141</v>
      </c>
      <c r="AA225">
        <f t="shared" si="22"/>
        <v>0.9799662833</v>
      </c>
      <c r="AC225" s="138">
        <v>8.214034</v>
      </c>
    </row>
    <row r="226">
      <c r="A226" s="66" t="s">
        <v>614</v>
      </c>
      <c r="B226" s="67" t="s">
        <v>31</v>
      </c>
      <c r="C226" s="129"/>
      <c r="D226" s="67" t="s">
        <v>860</v>
      </c>
      <c r="E226" s="116">
        <f t="shared" si="16"/>
        <v>18.81704506</v>
      </c>
      <c r="F226" s="11"/>
      <c r="G226" s="112">
        <f t="shared" si="17"/>
        <v>258.747805</v>
      </c>
      <c r="H226" s="112"/>
      <c r="I226" s="11">
        <v>15.445556952</v>
      </c>
      <c r="J226" s="11">
        <v>13.750714</v>
      </c>
      <c r="K226" s="11"/>
      <c r="L226" s="11"/>
      <c r="M226" s="11"/>
      <c r="N226" s="113">
        <f t="shared" si="18"/>
        <v>89.02698713</v>
      </c>
      <c r="O226" s="11"/>
      <c r="P226" s="11">
        <v>2.300224069</v>
      </c>
      <c r="Q226" s="114">
        <f t="shared" si="19"/>
        <v>0.1126366241</v>
      </c>
      <c r="R226" s="11">
        <v>256.447580931</v>
      </c>
      <c r="S226" s="114">
        <f t="shared" si="20"/>
        <v>12.55764173</v>
      </c>
      <c r="T226" s="11">
        <v>1783.415734836</v>
      </c>
      <c r="U226" s="114">
        <f t="shared" si="21"/>
        <v>87.32972164</v>
      </c>
      <c r="V226" s="22"/>
      <c r="W226" s="21" t="s">
        <v>916</v>
      </c>
      <c r="Z226" s="7">
        <v>8.223005</v>
      </c>
      <c r="AA226">
        <f t="shared" si="22"/>
        <v>0.5980056745</v>
      </c>
      <c r="AC226" s="121">
        <v>4.803187</v>
      </c>
    </row>
    <row r="227">
      <c r="A227" s="134"/>
      <c r="B227" s="134"/>
      <c r="C227" s="134"/>
      <c r="D227" s="134"/>
      <c r="E227" s="134"/>
      <c r="F227" s="63"/>
      <c r="G227" s="134"/>
      <c r="H227" s="134"/>
      <c r="I227" s="134"/>
      <c r="J227" s="134"/>
      <c r="K227" s="134"/>
      <c r="L227" s="134"/>
      <c r="M227" s="134"/>
      <c r="N227" s="134"/>
      <c r="O227" s="134"/>
      <c r="P227" s="134"/>
      <c r="Q227" s="134"/>
      <c r="R227" s="134"/>
      <c r="S227" s="134"/>
      <c r="T227" s="134"/>
      <c r="U227" s="134"/>
      <c r="V227" s="134"/>
      <c r="W227" s="134"/>
      <c r="AC227" s="135"/>
    </row>
    <row r="228">
      <c r="A228" s="67" t="s">
        <v>681</v>
      </c>
      <c r="B228" s="7" t="s">
        <v>683</v>
      </c>
      <c r="C228" s="67"/>
      <c r="D228" s="67" t="s">
        <v>33</v>
      </c>
      <c r="E228" s="148">
        <f t="shared" ref="E228:E229" si="23">G228/J228</f>
        <v>548.4773093</v>
      </c>
      <c r="F228" s="112"/>
      <c r="G228" s="112">
        <f t="shared" ref="G228:G229" si="24">P228+R228</f>
        <v>92299.93796</v>
      </c>
      <c r="H228" s="112"/>
      <c r="I228" s="112">
        <v>177.057418956</v>
      </c>
      <c r="J228" s="112">
        <v>168.283968</v>
      </c>
      <c r="K228" s="112"/>
      <c r="L228" s="112"/>
      <c r="M228" s="112"/>
      <c r="N228" s="113">
        <f t="shared" ref="N228:N229" si="25">J228*100/I228</f>
        <v>95.0448555</v>
      </c>
      <c r="O228" s="112"/>
      <c r="P228" s="112">
        <v>92299.922665027</v>
      </c>
      <c r="Q228" s="114">
        <f t="shared" ref="Q228:Q229" si="26">P228*100/(P228+R228+T228)</f>
        <v>82.93048561</v>
      </c>
      <c r="R228" s="112">
        <v>0.015297229</v>
      </c>
      <c r="S228" s="114">
        <f t="shared" ref="S228:S229" si="27">R228*100/(P228+R228+T228)</f>
        <v>0.00001374439537</v>
      </c>
      <c r="T228" s="112">
        <v>18998.002694584</v>
      </c>
      <c r="U228" s="114">
        <f t="shared" ref="U228:U229" si="28">T228*100/(P228+R228+T228)</f>
        <v>17.06950064</v>
      </c>
      <c r="V228" s="112"/>
      <c r="W228" s="67" t="s">
        <v>929</v>
      </c>
      <c r="Z228" s="7">
        <v>150.620582</v>
      </c>
      <c r="AA228">
        <f t="shared" ref="AA228:AA229" si="29">Z228/J228</f>
        <v>0.895038213</v>
      </c>
      <c r="AC228" s="151">
        <v>306.961003</v>
      </c>
    </row>
    <row r="229">
      <c r="A229" s="67" t="s">
        <v>684</v>
      </c>
      <c r="B229" s="7" t="s">
        <v>683</v>
      </c>
      <c r="C229" s="67"/>
      <c r="D229" s="67" t="s">
        <v>95</v>
      </c>
      <c r="E229" s="148">
        <f t="shared" si="23"/>
        <v>7.624739044</v>
      </c>
      <c r="F229" s="112"/>
      <c r="G229" s="112">
        <f t="shared" si="24"/>
        <v>309.2917217</v>
      </c>
      <c r="H229" s="112"/>
      <c r="I229" s="112">
        <v>138.129459874</v>
      </c>
      <c r="J229" s="112">
        <v>40.564237</v>
      </c>
      <c r="K229" s="112"/>
      <c r="L229" s="112"/>
      <c r="M229" s="112"/>
      <c r="N229" s="113">
        <f t="shared" si="25"/>
        <v>29.36682518</v>
      </c>
      <c r="O229" s="112"/>
      <c r="P229" s="112">
        <v>309.291711833</v>
      </c>
      <c r="Q229" s="114">
        <f t="shared" si="26"/>
        <v>1.733564329</v>
      </c>
      <c r="R229" s="112">
        <v>9.818E-6</v>
      </c>
      <c r="S229" s="114">
        <f t="shared" si="27"/>
        <v>0.00000005502939112</v>
      </c>
      <c r="T229" s="112">
        <v>17532.083223418</v>
      </c>
      <c r="U229" s="114">
        <f t="shared" si="28"/>
        <v>98.26643562</v>
      </c>
      <c r="V229" s="112"/>
      <c r="W229" s="67" t="s">
        <v>938</v>
      </c>
      <c r="Z229" s="7">
        <v>40.564237</v>
      </c>
      <c r="AA229">
        <f t="shared" si="29"/>
        <v>1</v>
      </c>
    </row>
    <row r="230">
      <c r="B230" s="7" t="s">
        <v>683</v>
      </c>
    </row>
    <row r="231">
      <c r="B231" s="7" t="s">
        <v>683</v>
      </c>
    </row>
  </sheetData>
  <mergeCells count="2">
    <mergeCell ref="J31:M31"/>
    <mergeCell ref="J32:M32"/>
  </mergeCells>
  <conditionalFormatting sqref="J205:M229">
    <cfRule type="cellIs" dxfId="0" priority="1" operator="greaterThan">
      <formula>INDIRECT("Xeon!I201:I225")</formula>
    </cfRule>
  </conditionalFormatting>
  <conditionalFormatting sqref="J205:M229">
    <cfRule type="cellIs" dxfId="1" priority="2" operator="lessThan">
      <formula>INDIRECT("Xeon!I201:I225")</formula>
    </cfRule>
  </conditionalFormatting>
  <hyperlinks>
    <hyperlink r:id="rId1" ref="F35"/>
    <hyperlink r:id="rId2" ref="A205"/>
    <hyperlink r:id="rId3" ref="A206"/>
    <hyperlink r:id="rId4" ref="A207"/>
    <hyperlink r:id="rId5" ref="A208"/>
    <hyperlink r:id="rId6" ref="A209"/>
    <hyperlink r:id="rId7" ref="A210"/>
    <hyperlink r:id="rId8" ref="A211"/>
    <hyperlink r:id="rId9" ref="A212"/>
    <hyperlink r:id="rId10" ref="A213"/>
    <hyperlink r:id="rId11" ref="A214"/>
    <hyperlink r:id="rId12" ref="A215"/>
    <hyperlink r:id="rId13" ref="A216"/>
  </hyperlinks>
  <drawing r:id="rId1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4.29"/>
    <col customWidth="1" min="3" max="3" width="79.57"/>
    <col customWidth="1" min="4" max="4" width="29.71"/>
    <col customWidth="1" min="5" max="5" width="39.0"/>
    <col customWidth="1" min="6" max="6" width="37.71"/>
    <col customWidth="1" min="7" max="8" width="29.29"/>
    <col customWidth="1" min="9" max="9" width="55.57"/>
    <col customWidth="1" min="10" max="13" width="29.29"/>
    <col customWidth="1" min="14" max="14" width="47.14"/>
    <col customWidth="1" min="15" max="17" width="28.86"/>
    <col customWidth="1" min="18" max="19" width="29.14"/>
    <col customWidth="1" min="20" max="21" width="29.57"/>
    <col customWidth="1" min="22" max="22" width="47.14"/>
    <col customWidth="1" min="23" max="24" width="104.0"/>
    <col customWidth="1" min="28" max="28" width="20.0"/>
    <col customWidth="1" min="29" max="29" width="21.14"/>
    <col customWidth="1" min="34" max="34" width="21.57"/>
    <col customWidth="1" min="40" max="50" width="24.71"/>
  </cols>
  <sheetData>
    <row r="1" ht="33.0" customHeight="1">
      <c r="A1" s="1" t="s">
        <v>385</v>
      </c>
      <c r="B1" s="3" t="s">
        <v>1</v>
      </c>
      <c r="C1" s="3" t="s">
        <v>2</v>
      </c>
      <c r="D1" s="3" t="s">
        <v>3</v>
      </c>
      <c r="E1" s="3" t="s">
        <v>4</v>
      </c>
      <c r="F1" s="3" t="s">
        <v>5</v>
      </c>
      <c r="G1" s="3" t="s">
        <v>6</v>
      </c>
      <c r="H1" s="3" t="s">
        <v>7</v>
      </c>
      <c r="I1" s="3" t="s">
        <v>8</v>
      </c>
      <c r="J1" s="3" t="s">
        <v>9</v>
      </c>
      <c r="K1" s="3" t="s">
        <v>10</v>
      </c>
      <c r="L1" s="3" t="s">
        <v>11</v>
      </c>
      <c r="M1" s="3" t="s">
        <v>12</v>
      </c>
      <c r="N1" s="3" t="s">
        <v>13</v>
      </c>
      <c r="O1" s="4" t="s">
        <v>14</v>
      </c>
      <c r="P1" s="5" t="s">
        <v>15</v>
      </c>
      <c r="Q1" s="5" t="s">
        <v>16</v>
      </c>
      <c r="R1" s="5" t="s">
        <v>17</v>
      </c>
      <c r="S1" s="5" t="s">
        <v>18</v>
      </c>
      <c r="T1" s="5" t="s">
        <v>19</v>
      </c>
      <c r="U1" s="5" t="s">
        <v>20</v>
      </c>
      <c r="V1" s="5" t="s">
        <v>21</v>
      </c>
      <c r="W1" s="5" t="s">
        <v>22</v>
      </c>
      <c r="X1" s="5" t="s">
        <v>23</v>
      </c>
      <c r="Y1" s="5" t="s">
        <v>0</v>
      </c>
      <c r="Z1" s="5" t="s">
        <v>0</v>
      </c>
      <c r="AA1" s="5" t="s">
        <v>0</v>
      </c>
      <c r="AB1" s="6" t="s">
        <v>24</v>
      </c>
      <c r="AC1" s="6" t="s">
        <v>25</v>
      </c>
      <c r="AG1" s="6" t="s">
        <v>26</v>
      </c>
      <c r="AH1" s="6" t="s">
        <v>27</v>
      </c>
      <c r="AI1" s="6" t="s">
        <v>28</v>
      </c>
    </row>
    <row r="2" ht="15.0" customHeight="1">
      <c r="A2" s="8" t="s">
        <v>30</v>
      </c>
      <c r="B2" s="9" t="s">
        <v>31</v>
      </c>
      <c r="C2" s="10" t="s">
        <v>32</v>
      </c>
      <c r="D2" s="10" t="s">
        <v>33</v>
      </c>
      <c r="E2" s="11" t="s">
        <v>34</v>
      </c>
      <c r="F2" s="12" t="s">
        <v>35</v>
      </c>
      <c r="G2" s="13" t="s">
        <v>36</v>
      </c>
      <c r="H2" s="14" t="s">
        <v>37</v>
      </c>
      <c r="I2" s="15" t="s">
        <v>38</v>
      </c>
      <c r="J2" s="12" t="s">
        <v>39</v>
      </c>
      <c r="K2" s="16" t="s">
        <v>40</v>
      </c>
      <c r="L2" s="16" t="s">
        <v>41</v>
      </c>
      <c r="M2" s="12" t="s">
        <v>42</v>
      </c>
      <c r="N2" s="17" t="s">
        <v>43</v>
      </c>
      <c r="O2" s="18" t="s">
        <v>0</v>
      </c>
      <c r="P2" s="11" t="s">
        <v>44</v>
      </c>
      <c r="Q2" s="19" t="s">
        <v>45</v>
      </c>
      <c r="R2" s="12" t="s">
        <v>41</v>
      </c>
      <c r="S2" s="19" t="s">
        <v>41</v>
      </c>
      <c r="T2" s="11" t="s">
        <v>46</v>
      </c>
      <c r="U2" s="19" t="s">
        <v>47</v>
      </c>
      <c r="V2" s="20" t="s">
        <v>48</v>
      </c>
      <c r="W2" s="21" t="s">
        <v>0</v>
      </c>
      <c r="X2" s="22" t="s">
        <v>49</v>
      </c>
      <c r="Y2" s="20" t="s">
        <v>50</v>
      </c>
      <c r="Z2" s="23" t="s">
        <v>0</v>
      </c>
      <c r="AA2" s="7" t="s">
        <v>0</v>
      </c>
      <c r="AB2" s="24" t="s">
        <v>51</v>
      </c>
      <c r="AC2" s="24" t="s">
        <v>52</v>
      </c>
      <c r="AD2" s="7" t="s">
        <v>0</v>
      </c>
      <c r="AE2" s="25" t="s">
        <v>53</v>
      </c>
      <c r="AF2" s="7" t="s">
        <v>0</v>
      </c>
      <c r="AG2" s="25" t="s">
        <v>54</v>
      </c>
      <c r="AH2" s="25" t="s">
        <v>55</v>
      </c>
      <c r="AI2" s="25" t="s">
        <v>56</v>
      </c>
      <c r="AJ2" s="7" t="s">
        <v>0</v>
      </c>
      <c r="AK2" s="7" t="s">
        <v>0</v>
      </c>
      <c r="AL2" s="7" t="s">
        <v>0</v>
      </c>
      <c r="AM2" s="7" t="s">
        <v>0</v>
      </c>
      <c r="AN2" s="7" t="s">
        <v>0</v>
      </c>
      <c r="AO2" s="7" t="s">
        <v>0</v>
      </c>
      <c r="AP2" s="7" t="s">
        <v>0</v>
      </c>
      <c r="AQ2" s="7" t="s">
        <v>0</v>
      </c>
      <c r="AR2" s="7" t="s">
        <v>0</v>
      </c>
      <c r="AS2" s="7" t="s">
        <v>0</v>
      </c>
      <c r="AT2" s="7" t="s">
        <v>0</v>
      </c>
      <c r="AU2" s="7" t="s">
        <v>0</v>
      </c>
      <c r="AV2" s="7" t="s">
        <v>0</v>
      </c>
      <c r="AW2" s="7" t="s">
        <v>0</v>
      </c>
      <c r="AX2" s="7" t="s">
        <v>0</v>
      </c>
    </row>
    <row r="3">
      <c r="A3" s="8" t="s">
        <v>58</v>
      </c>
      <c r="B3" s="9" t="s">
        <v>31</v>
      </c>
      <c r="C3" s="10" t="s">
        <v>59</v>
      </c>
      <c r="D3" s="10" t="s">
        <v>60</v>
      </c>
      <c r="E3" s="26" t="s">
        <v>0</v>
      </c>
      <c r="F3" s="27" t="s">
        <v>61</v>
      </c>
      <c r="G3" s="28" t="s">
        <v>62</v>
      </c>
      <c r="H3" s="14" t="s">
        <v>63</v>
      </c>
      <c r="I3" s="29" t="s">
        <v>64</v>
      </c>
      <c r="J3" s="27" t="s">
        <v>65</v>
      </c>
      <c r="K3" s="30" t="s">
        <v>0</v>
      </c>
      <c r="L3" s="30" t="s">
        <v>0</v>
      </c>
      <c r="M3" s="26" t="s">
        <v>0</v>
      </c>
      <c r="N3" s="17" t="s">
        <v>66</v>
      </c>
      <c r="O3" s="31" t="s">
        <v>0</v>
      </c>
      <c r="P3" s="32" t="s">
        <v>0</v>
      </c>
      <c r="Q3" s="33" t="s">
        <v>0</v>
      </c>
      <c r="R3" s="34" t="s">
        <v>0</v>
      </c>
      <c r="S3" s="33" t="s">
        <v>0</v>
      </c>
      <c r="T3" s="34" t="s">
        <v>0</v>
      </c>
      <c r="U3" s="35" t="s">
        <v>0</v>
      </c>
      <c r="V3" s="20" t="s">
        <v>48</v>
      </c>
      <c r="W3" s="22" t="s">
        <v>0</v>
      </c>
      <c r="X3" s="22" t="s">
        <v>67</v>
      </c>
      <c r="Y3" s="23" t="s">
        <v>0</v>
      </c>
      <c r="Z3" s="23" t="s">
        <v>0</v>
      </c>
      <c r="AA3" s="7" t="s">
        <v>0</v>
      </c>
      <c r="AB3" s="36" t="s">
        <v>0</v>
      </c>
      <c r="AC3" s="152"/>
      <c r="AE3" t="str">
        <f>AB3/AC3</f>
        <v>#DIV/0!</v>
      </c>
      <c r="AG3" s="7">
        <v>64.0</v>
      </c>
      <c r="AH3">
        <f>AI3/I3</f>
        <v>0</v>
      </c>
    </row>
    <row r="4">
      <c r="A4" s="8" t="s">
        <v>69</v>
      </c>
      <c r="B4" s="9" t="s">
        <v>31</v>
      </c>
      <c r="C4" s="10" t="s">
        <v>70</v>
      </c>
      <c r="D4" s="10" t="s">
        <v>33</v>
      </c>
      <c r="E4" s="38" t="s">
        <v>71</v>
      </c>
      <c r="F4" s="12" t="s">
        <v>72</v>
      </c>
      <c r="G4" s="39" t="s">
        <v>73</v>
      </c>
      <c r="H4" s="14" t="s">
        <v>74</v>
      </c>
      <c r="I4" s="15" t="s">
        <v>75</v>
      </c>
      <c r="J4" s="12" t="s">
        <v>76</v>
      </c>
      <c r="K4" s="16" t="s">
        <v>77</v>
      </c>
      <c r="L4" s="16" t="s">
        <v>41</v>
      </c>
      <c r="M4" s="12" t="s">
        <v>42</v>
      </c>
      <c r="N4" s="17" t="s">
        <v>66</v>
      </c>
      <c r="O4" s="18" t="s">
        <v>0</v>
      </c>
      <c r="P4" s="11" t="s">
        <v>78</v>
      </c>
      <c r="Q4" s="19" t="s">
        <v>79</v>
      </c>
      <c r="R4" s="11" t="s">
        <v>80</v>
      </c>
      <c r="S4" s="19" t="s">
        <v>81</v>
      </c>
      <c r="T4" s="11" t="s">
        <v>82</v>
      </c>
      <c r="U4" s="19" t="s">
        <v>83</v>
      </c>
      <c r="V4" s="20" t="s">
        <v>48</v>
      </c>
      <c r="W4" s="22" t="s">
        <v>0</v>
      </c>
      <c r="X4" s="22" t="s">
        <v>84</v>
      </c>
      <c r="Y4" s="23" t="s">
        <v>0</v>
      </c>
      <c r="Z4" s="23" t="s">
        <v>0</v>
      </c>
      <c r="AA4" s="7" t="s">
        <v>0</v>
      </c>
      <c r="AB4" s="24" t="s">
        <v>85</v>
      </c>
      <c r="AC4" s="24" t="s">
        <v>86</v>
      </c>
      <c r="AD4" s="7" t="s">
        <v>0</v>
      </c>
      <c r="AE4" s="25" t="s">
        <v>87</v>
      </c>
      <c r="AF4" s="7" t="s">
        <v>0</v>
      </c>
      <c r="AG4" s="25" t="s">
        <v>88</v>
      </c>
      <c r="AH4" s="25" t="s">
        <v>89</v>
      </c>
      <c r="AI4" s="25" t="s">
        <v>90</v>
      </c>
      <c r="AJ4" s="7" t="s">
        <v>0</v>
      </c>
      <c r="AK4" s="7" t="s">
        <v>0</v>
      </c>
      <c r="AL4" s="7" t="s">
        <v>0</v>
      </c>
      <c r="AM4" s="7" t="s">
        <v>0</v>
      </c>
      <c r="AN4" s="7" t="s">
        <v>0</v>
      </c>
      <c r="AO4" s="7" t="s">
        <v>0</v>
      </c>
      <c r="AP4" s="7" t="s">
        <v>0</v>
      </c>
      <c r="AQ4" s="7" t="s">
        <v>0</v>
      </c>
      <c r="AR4" s="7" t="s">
        <v>0</v>
      </c>
      <c r="AS4" s="7" t="s">
        <v>0</v>
      </c>
      <c r="AT4" s="7" t="s">
        <v>0</v>
      </c>
      <c r="AU4" s="7" t="s">
        <v>0</v>
      </c>
      <c r="AV4" s="7" t="s">
        <v>0</v>
      </c>
      <c r="AW4" s="7" t="s">
        <v>0</v>
      </c>
      <c r="AX4" s="7" t="s">
        <v>0</v>
      </c>
    </row>
    <row r="5">
      <c r="A5" s="8" t="s">
        <v>92</v>
      </c>
      <c r="B5" s="9" t="s">
        <v>93</v>
      </c>
      <c r="C5" s="9" t="s">
        <v>94</v>
      </c>
      <c r="D5" s="9" t="s">
        <v>95</v>
      </c>
      <c r="E5" s="40" t="s">
        <v>96</v>
      </c>
      <c r="F5" s="41" t="s">
        <v>97</v>
      </c>
      <c r="G5" s="42" t="s">
        <v>98</v>
      </c>
      <c r="H5" s="42" t="s">
        <v>99</v>
      </c>
      <c r="I5" s="29" t="s">
        <v>100</v>
      </c>
      <c r="J5" s="41" t="s">
        <v>101</v>
      </c>
      <c r="K5" s="30" t="s">
        <v>0</v>
      </c>
      <c r="L5" s="30" t="s">
        <v>0</v>
      </c>
      <c r="M5" s="41" t="s">
        <v>102</v>
      </c>
      <c r="N5" s="17" t="s">
        <v>43</v>
      </c>
      <c r="O5" s="31" t="s">
        <v>0</v>
      </c>
      <c r="P5" s="41" t="s">
        <v>103</v>
      </c>
      <c r="Q5" s="41" t="s">
        <v>104</v>
      </c>
      <c r="R5" s="41" t="s">
        <v>41</v>
      </c>
      <c r="S5" s="41" t="s">
        <v>105</v>
      </c>
      <c r="T5" s="41" t="s">
        <v>106</v>
      </c>
      <c r="U5" s="41" t="s">
        <v>107</v>
      </c>
      <c r="V5" s="22" t="s">
        <v>108</v>
      </c>
      <c r="W5" s="20" t="s">
        <v>0</v>
      </c>
      <c r="X5" s="20" t="s">
        <v>109</v>
      </c>
      <c r="Y5" s="23" t="s">
        <v>0</v>
      </c>
      <c r="Z5" s="23" t="s">
        <v>0</v>
      </c>
      <c r="AA5" s="7" t="s">
        <v>0</v>
      </c>
      <c r="AB5" s="24" t="s">
        <v>110</v>
      </c>
      <c r="AC5" s="36">
        <v>472.275</v>
      </c>
      <c r="AE5">
        <f t="shared" ref="AE5:AE13" si="1">AB5/AC5</f>
        <v>0.6312402731</v>
      </c>
      <c r="AG5" s="7">
        <v>288.0</v>
      </c>
      <c r="AH5">
        <f t="shared" ref="AH5:AH13" si="2">AI5/I5</f>
        <v>136.4459747</v>
      </c>
      <c r="AI5" s="7">
        <v>55260.0</v>
      </c>
    </row>
    <row r="6">
      <c r="A6" s="8" t="s">
        <v>117</v>
      </c>
      <c r="B6" s="9" t="s">
        <v>93</v>
      </c>
      <c r="C6" s="9" t="s">
        <v>118</v>
      </c>
      <c r="D6" s="9" t="s">
        <v>33</v>
      </c>
      <c r="E6" s="42" t="s">
        <v>119</v>
      </c>
      <c r="F6" s="41" t="s">
        <v>120</v>
      </c>
      <c r="G6" s="42" t="s">
        <v>121</v>
      </c>
      <c r="H6" s="42" t="s">
        <v>122</v>
      </c>
      <c r="I6" s="15" t="s">
        <v>123</v>
      </c>
      <c r="J6" s="41" t="s">
        <v>124</v>
      </c>
      <c r="K6" s="30" t="s">
        <v>0</v>
      </c>
      <c r="L6" s="30" t="s">
        <v>0</v>
      </c>
      <c r="M6" s="41" t="s">
        <v>125</v>
      </c>
      <c r="N6" s="17" t="s">
        <v>126</v>
      </c>
      <c r="O6" s="31" t="s">
        <v>0</v>
      </c>
      <c r="P6" s="41" t="s">
        <v>127</v>
      </c>
      <c r="Q6" s="41" t="s">
        <v>128</v>
      </c>
      <c r="R6" s="41" t="s">
        <v>129</v>
      </c>
      <c r="S6" s="41" t="s">
        <v>130</v>
      </c>
      <c r="T6" s="41" t="s">
        <v>131</v>
      </c>
      <c r="U6" s="41" t="s">
        <v>132</v>
      </c>
      <c r="V6" s="22" t="s">
        <v>108</v>
      </c>
      <c r="W6" s="20" t="s">
        <v>0</v>
      </c>
      <c r="X6" s="20" t="s">
        <v>109</v>
      </c>
      <c r="Y6" s="23" t="s">
        <v>0</v>
      </c>
      <c r="Z6" s="23" t="s">
        <v>0</v>
      </c>
      <c r="AA6" s="7" t="s">
        <v>0</v>
      </c>
      <c r="AB6" s="24" t="s">
        <v>133</v>
      </c>
      <c r="AC6" s="36">
        <v>18.598</v>
      </c>
      <c r="AE6">
        <f t="shared" si="1"/>
        <v>0.6496773847</v>
      </c>
      <c r="AG6" s="7">
        <v>288.0</v>
      </c>
      <c r="AH6" s="165">
        <f t="shared" si="2"/>
        <v>1593.253857</v>
      </c>
      <c r="AI6" s="7">
        <v>2135.0</v>
      </c>
    </row>
    <row r="7">
      <c r="A7" s="8" t="s">
        <v>139</v>
      </c>
      <c r="B7" s="9" t="s">
        <v>93</v>
      </c>
      <c r="C7" s="9" t="s">
        <v>140</v>
      </c>
      <c r="D7" s="9" t="s">
        <v>33</v>
      </c>
      <c r="E7" s="42" t="s">
        <v>141</v>
      </c>
      <c r="F7" s="41" t="s">
        <v>142</v>
      </c>
      <c r="G7" s="42" t="s">
        <v>143</v>
      </c>
      <c r="H7" s="42" t="s">
        <v>144</v>
      </c>
      <c r="I7" s="15" t="s">
        <v>145</v>
      </c>
      <c r="J7" s="41" t="s">
        <v>146</v>
      </c>
      <c r="K7" s="30" t="s">
        <v>0</v>
      </c>
      <c r="L7" s="30" t="s">
        <v>0</v>
      </c>
      <c r="M7" s="41" t="s">
        <v>147</v>
      </c>
      <c r="N7" s="17" t="s">
        <v>43</v>
      </c>
      <c r="O7" s="31" t="s">
        <v>0</v>
      </c>
      <c r="P7" s="41" t="s">
        <v>148</v>
      </c>
      <c r="Q7" s="41" t="s">
        <v>149</v>
      </c>
      <c r="R7" s="41" t="s">
        <v>41</v>
      </c>
      <c r="S7" s="41" t="s">
        <v>150</v>
      </c>
      <c r="T7" s="41" t="s">
        <v>151</v>
      </c>
      <c r="U7" s="41" t="s">
        <v>152</v>
      </c>
      <c r="V7" s="22" t="s">
        <v>108</v>
      </c>
      <c r="W7" s="20" t="s">
        <v>0</v>
      </c>
      <c r="X7" s="20" t="s">
        <v>109</v>
      </c>
      <c r="Y7" s="23" t="s">
        <v>0</v>
      </c>
      <c r="Z7" s="23" t="s">
        <v>0</v>
      </c>
      <c r="AA7" s="7" t="s">
        <v>0</v>
      </c>
      <c r="AB7" s="24" t="s">
        <v>153</v>
      </c>
      <c r="AC7" s="36">
        <v>295.22292</v>
      </c>
      <c r="AE7">
        <f t="shared" si="1"/>
        <v>0.7024861078</v>
      </c>
      <c r="AG7" s="7">
        <v>288.0</v>
      </c>
      <c r="AH7" s="165">
        <f t="shared" si="2"/>
        <v>6957.480507</v>
      </c>
      <c r="AI7" s="7">
        <v>43212.0</v>
      </c>
    </row>
    <row r="8">
      <c r="A8" s="8" t="s">
        <v>159</v>
      </c>
      <c r="B8" s="9" t="s">
        <v>160</v>
      </c>
      <c r="C8" s="44" t="s">
        <v>161</v>
      </c>
      <c r="D8" s="9" t="s">
        <v>95</v>
      </c>
      <c r="E8" s="42" t="s">
        <v>1070</v>
      </c>
      <c r="F8" s="41" t="s">
        <v>1071</v>
      </c>
      <c r="G8" s="42" t="s">
        <v>1072</v>
      </c>
      <c r="H8" s="42" t="s">
        <v>1073</v>
      </c>
      <c r="I8" s="15" t="s">
        <v>1074</v>
      </c>
      <c r="J8" s="60" t="s">
        <v>1075</v>
      </c>
      <c r="K8" s="30" t="s">
        <v>0</v>
      </c>
      <c r="L8" s="30" t="s">
        <v>0</v>
      </c>
      <c r="M8" s="41" t="s">
        <v>1076</v>
      </c>
      <c r="N8" s="17" t="s">
        <v>43</v>
      </c>
      <c r="O8" s="31" t="s">
        <v>0</v>
      </c>
      <c r="P8" s="41" t="s">
        <v>1077</v>
      </c>
      <c r="Q8" s="41" t="s">
        <v>1078</v>
      </c>
      <c r="R8" s="41" t="s">
        <v>1079</v>
      </c>
      <c r="S8" s="41" t="s">
        <v>1080</v>
      </c>
      <c r="T8" s="41" t="s">
        <v>1081</v>
      </c>
      <c r="U8" s="41" t="s">
        <v>1082</v>
      </c>
      <c r="V8" s="20" t="s">
        <v>108</v>
      </c>
      <c r="W8" s="20" t="s">
        <v>0</v>
      </c>
      <c r="X8" s="20" t="s">
        <v>1083</v>
      </c>
      <c r="Y8" s="47" t="s">
        <v>178</v>
      </c>
      <c r="Z8" s="23" t="s">
        <v>0</v>
      </c>
      <c r="AA8" s="7" t="s">
        <v>0</v>
      </c>
      <c r="AB8" s="24" t="s">
        <v>179</v>
      </c>
      <c r="AC8" s="36">
        <v>2.493</v>
      </c>
      <c r="AE8">
        <f t="shared" si="1"/>
        <v>0.6654632972</v>
      </c>
      <c r="AG8" s="7">
        <v>288.0</v>
      </c>
      <c r="AH8">
        <f t="shared" si="2"/>
        <v>118.3719021</v>
      </c>
      <c r="AI8" s="7">
        <v>264.0</v>
      </c>
    </row>
    <row r="9">
      <c r="A9" s="8" t="s">
        <v>185</v>
      </c>
      <c r="B9" s="9" t="s">
        <v>160</v>
      </c>
      <c r="C9" s="48" t="s">
        <v>186</v>
      </c>
      <c r="D9" s="9" t="s">
        <v>95</v>
      </c>
      <c r="E9" s="42" t="s">
        <v>1084</v>
      </c>
      <c r="F9" s="41" t="s">
        <v>1085</v>
      </c>
      <c r="G9" s="42" t="s">
        <v>1086</v>
      </c>
      <c r="H9" s="42" t="s">
        <v>190</v>
      </c>
      <c r="I9" s="15" t="s">
        <v>1087</v>
      </c>
      <c r="J9" s="41" t="s">
        <v>1088</v>
      </c>
      <c r="K9" s="172" t="s">
        <v>0</v>
      </c>
      <c r="L9" s="172" t="s">
        <v>0</v>
      </c>
      <c r="M9" s="41" t="s">
        <v>1089</v>
      </c>
      <c r="N9" s="17" t="s">
        <v>43</v>
      </c>
      <c r="O9" s="31" t="s">
        <v>0</v>
      </c>
      <c r="P9" s="45" t="s">
        <v>196</v>
      </c>
      <c r="Q9" s="45" t="s">
        <v>1090</v>
      </c>
      <c r="R9" s="41" t="s">
        <v>196</v>
      </c>
      <c r="S9" s="41" t="s">
        <v>198</v>
      </c>
      <c r="T9" s="45" t="s">
        <v>1091</v>
      </c>
      <c r="U9" s="41" t="s">
        <v>1092</v>
      </c>
      <c r="V9" s="20" t="s">
        <v>108</v>
      </c>
      <c r="W9" s="20" t="s">
        <v>0</v>
      </c>
      <c r="X9" s="21" t="s">
        <v>201</v>
      </c>
      <c r="Y9" s="23" t="s">
        <v>202</v>
      </c>
      <c r="Z9" s="23" t="s">
        <v>0</v>
      </c>
      <c r="AA9" s="7" t="s">
        <v>0</v>
      </c>
      <c r="AB9" s="24" t="s">
        <v>203</v>
      </c>
      <c r="AC9" s="36">
        <v>0.169</v>
      </c>
      <c r="AE9">
        <f t="shared" si="1"/>
        <v>0.7159763314</v>
      </c>
      <c r="AG9" s="7">
        <v>288.0</v>
      </c>
      <c r="AH9" s="165">
        <f t="shared" si="2"/>
        <v>0.4599418266</v>
      </c>
      <c r="AI9" s="7">
        <v>13.0</v>
      </c>
    </row>
    <row r="10">
      <c r="A10" s="8" t="s">
        <v>209</v>
      </c>
      <c r="B10" s="9" t="s">
        <v>160</v>
      </c>
      <c r="C10" s="9" t="s">
        <v>210</v>
      </c>
      <c r="D10" s="22" t="s">
        <v>211</v>
      </c>
      <c r="E10" s="42" t="s">
        <v>1093</v>
      </c>
      <c r="F10" s="41" t="s">
        <v>1094</v>
      </c>
      <c r="G10" s="42" t="s">
        <v>1095</v>
      </c>
      <c r="H10" s="42" t="s">
        <v>993</v>
      </c>
      <c r="I10" s="15" t="s">
        <v>1096</v>
      </c>
      <c r="J10" s="41" t="s">
        <v>1097</v>
      </c>
      <c r="K10" s="30" t="s">
        <v>0</v>
      </c>
      <c r="L10" s="30" t="s">
        <v>0</v>
      </c>
      <c r="M10" s="41" t="s">
        <v>1098</v>
      </c>
      <c r="N10" s="17" t="s">
        <v>43</v>
      </c>
      <c r="O10" s="31" t="s">
        <v>0</v>
      </c>
      <c r="P10" s="41" t="s">
        <v>1099</v>
      </c>
      <c r="Q10" s="41" t="s">
        <v>1100</v>
      </c>
      <c r="R10" s="41" t="s">
        <v>41</v>
      </c>
      <c r="S10" s="41" t="s">
        <v>198</v>
      </c>
      <c r="T10" s="41" t="s">
        <v>1101</v>
      </c>
      <c r="U10" s="41" t="s">
        <v>1102</v>
      </c>
      <c r="V10" s="20" t="s">
        <v>108</v>
      </c>
      <c r="W10" s="20" t="s">
        <v>0</v>
      </c>
      <c r="X10" s="20" t="s">
        <v>1103</v>
      </c>
      <c r="Y10" s="23" t="s">
        <v>0</v>
      </c>
      <c r="Z10" s="23" t="s">
        <v>0</v>
      </c>
      <c r="AA10" s="7" t="s">
        <v>0</v>
      </c>
      <c r="AB10" s="24" t="s">
        <v>225</v>
      </c>
      <c r="AC10" s="36">
        <v>65.259</v>
      </c>
      <c r="AE10">
        <f t="shared" si="1"/>
        <v>0.7431312156</v>
      </c>
      <c r="AG10" s="7">
        <v>8.0</v>
      </c>
      <c r="AH10">
        <f t="shared" si="2"/>
        <v>95.47570351</v>
      </c>
      <c r="AI10" s="7">
        <v>4393.0</v>
      </c>
    </row>
    <row r="11">
      <c r="A11" s="8" t="s">
        <v>232</v>
      </c>
      <c r="B11" s="9" t="s">
        <v>233</v>
      </c>
      <c r="C11" s="9" t="s">
        <v>234</v>
      </c>
      <c r="D11" s="9" t="s">
        <v>211</v>
      </c>
      <c r="E11" s="40" t="s">
        <v>1104</v>
      </c>
      <c r="F11" s="41" t="s">
        <v>1105</v>
      </c>
      <c r="G11" s="14" t="s">
        <v>1000</v>
      </c>
      <c r="H11" s="14" t="s">
        <v>1106</v>
      </c>
      <c r="I11" s="51" t="s">
        <v>1107</v>
      </c>
      <c r="J11" s="52" t="s">
        <v>1108</v>
      </c>
      <c r="K11" s="71" t="s">
        <v>0</v>
      </c>
      <c r="L11" s="71" t="s">
        <v>0</v>
      </c>
      <c r="M11" s="52" t="s">
        <v>242</v>
      </c>
      <c r="N11" s="54" t="s">
        <v>43</v>
      </c>
      <c r="O11" s="55" t="s">
        <v>0</v>
      </c>
      <c r="P11" s="52" t="s">
        <v>1004</v>
      </c>
      <c r="Q11" s="52" t="s">
        <v>1005</v>
      </c>
      <c r="R11" s="52" t="s">
        <v>41</v>
      </c>
      <c r="S11" s="52" t="s">
        <v>41</v>
      </c>
      <c r="T11" s="52" t="s">
        <v>1006</v>
      </c>
      <c r="U11" s="52" t="s">
        <v>1007</v>
      </c>
      <c r="V11" s="20" t="s">
        <v>249</v>
      </c>
      <c r="W11" s="20" t="s">
        <v>0</v>
      </c>
      <c r="X11" s="20" t="s">
        <v>250</v>
      </c>
      <c r="Y11" s="23" t="s">
        <v>0</v>
      </c>
      <c r="Z11" s="23" t="s">
        <v>0</v>
      </c>
      <c r="AA11" s="7" t="s">
        <v>0</v>
      </c>
      <c r="AB11" s="24" t="s">
        <v>251</v>
      </c>
      <c r="AC11" s="36">
        <v>4.44497</v>
      </c>
      <c r="AE11">
        <f t="shared" si="1"/>
        <v>0.7395078032</v>
      </c>
      <c r="AG11" s="7">
        <v>48.0</v>
      </c>
      <c r="AH11">
        <f t="shared" si="2"/>
        <v>149.734117</v>
      </c>
      <c r="AI11" s="7">
        <v>535.0</v>
      </c>
    </row>
    <row r="12">
      <c r="A12" s="57" t="s">
        <v>258</v>
      </c>
      <c r="B12" s="9" t="s">
        <v>233</v>
      </c>
      <c r="C12" s="9" t="s">
        <v>259</v>
      </c>
      <c r="D12" s="9" t="s">
        <v>211</v>
      </c>
      <c r="E12" s="42" t="s">
        <v>1109</v>
      </c>
      <c r="F12" s="58" t="s">
        <v>1110</v>
      </c>
      <c r="G12" s="42" t="s">
        <v>1111</v>
      </c>
      <c r="H12" s="42" t="s">
        <v>1112</v>
      </c>
      <c r="I12" s="51" t="s">
        <v>1113</v>
      </c>
      <c r="J12" s="41" t="s">
        <v>1114</v>
      </c>
      <c r="K12" s="30" t="s">
        <v>0</v>
      </c>
      <c r="L12" s="30" t="s">
        <v>0</v>
      </c>
      <c r="M12" s="41" t="s">
        <v>267</v>
      </c>
      <c r="N12" s="21" t="s">
        <v>43</v>
      </c>
      <c r="O12" s="31" t="s">
        <v>0</v>
      </c>
      <c r="P12" s="60" t="s">
        <v>1115</v>
      </c>
      <c r="Q12" s="41" t="s">
        <v>1116</v>
      </c>
      <c r="R12" s="41" t="s">
        <v>41</v>
      </c>
      <c r="S12" s="41" t="s">
        <v>41</v>
      </c>
      <c r="T12" s="41" t="s">
        <v>1117</v>
      </c>
      <c r="U12" s="41" t="s">
        <v>1118</v>
      </c>
      <c r="V12" s="20" t="s">
        <v>249</v>
      </c>
      <c r="W12" s="20" t="s">
        <v>0</v>
      </c>
      <c r="X12" s="20" t="s">
        <v>272</v>
      </c>
      <c r="Y12" s="23" t="s">
        <v>0</v>
      </c>
      <c r="Z12" s="23" t="s">
        <v>0</v>
      </c>
      <c r="AA12" s="7" t="s">
        <v>0</v>
      </c>
      <c r="AB12" s="24" t="s">
        <v>273</v>
      </c>
      <c r="AC12" s="36">
        <v>2.68167</v>
      </c>
      <c r="AE12">
        <f t="shared" si="1"/>
        <v>0.7335000205</v>
      </c>
      <c r="AG12" s="7">
        <v>256.0</v>
      </c>
      <c r="AH12">
        <f t="shared" si="2"/>
        <v>165.1270208</v>
      </c>
      <c r="AI12" s="7">
        <v>429.0</v>
      </c>
    </row>
    <row r="13">
      <c r="A13" s="57" t="s">
        <v>280</v>
      </c>
      <c r="B13" s="9" t="s">
        <v>233</v>
      </c>
      <c r="C13" s="9" t="s">
        <v>281</v>
      </c>
      <c r="D13" s="9" t="s">
        <v>33</v>
      </c>
      <c r="E13" s="42" t="s">
        <v>1119</v>
      </c>
      <c r="F13" s="58" t="s">
        <v>1120</v>
      </c>
      <c r="G13" s="42" t="s">
        <v>1121</v>
      </c>
      <c r="H13" s="42" t="s">
        <v>1122</v>
      </c>
      <c r="I13" s="15" t="s">
        <v>1123</v>
      </c>
      <c r="J13" s="41" t="s">
        <v>1124</v>
      </c>
      <c r="K13" s="30" t="s">
        <v>0</v>
      </c>
      <c r="L13" s="30" t="s">
        <v>0</v>
      </c>
      <c r="M13" s="41" t="s">
        <v>289</v>
      </c>
      <c r="N13" s="21" t="s">
        <v>43</v>
      </c>
      <c r="O13" s="31" t="s">
        <v>0</v>
      </c>
      <c r="P13" s="41" t="s">
        <v>1125</v>
      </c>
      <c r="Q13" s="41" t="s">
        <v>1025</v>
      </c>
      <c r="R13" s="41" t="s">
        <v>41</v>
      </c>
      <c r="S13" s="41" t="s">
        <v>41</v>
      </c>
      <c r="T13" s="41" t="s">
        <v>1126</v>
      </c>
      <c r="U13" s="41" t="s">
        <v>1027</v>
      </c>
      <c r="V13" s="20" t="s">
        <v>249</v>
      </c>
      <c r="W13" s="20" t="s">
        <v>0</v>
      </c>
      <c r="X13" s="20" t="s">
        <v>296</v>
      </c>
      <c r="Y13" s="23" t="s">
        <v>0</v>
      </c>
      <c r="Z13" s="23" t="s">
        <v>0</v>
      </c>
      <c r="AA13" s="7" t="s">
        <v>0</v>
      </c>
      <c r="AB13" s="24" t="s">
        <v>297</v>
      </c>
      <c r="AC13" s="36">
        <v>1.705231</v>
      </c>
      <c r="AE13">
        <f t="shared" si="1"/>
        <v>0.7406099232</v>
      </c>
      <c r="AG13" s="7">
        <v>288.0</v>
      </c>
      <c r="AH13">
        <f t="shared" si="2"/>
        <v>155.3998513</v>
      </c>
      <c r="AI13" s="7">
        <v>3970.0</v>
      </c>
    </row>
    <row r="14">
      <c r="A14" s="61" t="s">
        <v>0</v>
      </c>
      <c r="B14" s="61" t="s">
        <v>0</v>
      </c>
      <c r="C14" s="62" t="s">
        <v>0</v>
      </c>
      <c r="D14" s="62" t="s">
        <v>0</v>
      </c>
      <c r="E14" s="63" t="s">
        <v>0</v>
      </c>
      <c r="F14" s="63" t="s">
        <v>0</v>
      </c>
      <c r="G14" s="63" t="s">
        <v>0</v>
      </c>
      <c r="H14" s="63" t="s">
        <v>0</v>
      </c>
      <c r="I14" s="63" t="s">
        <v>0</v>
      </c>
      <c r="J14" s="63" t="s">
        <v>0</v>
      </c>
      <c r="K14" s="63" t="s">
        <v>0</v>
      </c>
      <c r="L14" s="63" t="s">
        <v>0</v>
      </c>
      <c r="M14" s="63" t="s">
        <v>0</v>
      </c>
      <c r="N14" s="63" t="s">
        <v>0</v>
      </c>
      <c r="O14" s="63" t="s">
        <v>0</v>
      </c>
      <c r="P14" s="63" t="s">
        <v>0</v>
      </c>
      <c r="Q14" s="63" t="s">
        <v>0</v>
      </c>
      <c r="R14" s="63" t="s">
        <v>0</v>
      </c>
      <c r="S14" s="63" t="s">
        <v>0</v>
      </c>
      <c r="T14" s="63" t="s">
        <v>0</v>
      </c>
      <c r="U14" s="63" t="s">
        <v>0</v>
      </c>
      <c r="V14" s="63" t="s">
        <v>0</v>
      </c>
      <c r="W14" s="63" t="s">
        <v>0</v>
      </c>
      <c r="X14" s="63" t="s">
        <v>0</v>
      </c>
      <c r="Y14" s="63" t="s">
        <v>0</v>
      </c>
      <c r="Z14" s="63" t="s">
        <v>0</v>
      </c>
      <c r="AA14" s="63" t="s">
        <v>0</v>
      </c>
      <c r="AB14" s="64" t="s">
        <v>0</v>
      </c>
      <c r="AC14" s="170"/>
      <c r="AD14" s="134"/>
      <c r="AE14" s="134"/>
      <c r="AF14" s="134"/>
      <c r="AG14" s="134"/>
      <c r="AH14" s="134"/>
      <c r="AI14" s="134"/>
      <c r="AJ14" s="134"/>
      <c r="AK14" s="134"/>
      <c r="AL14" s="134"/>
      <c r="AM14" s="134"/>
      <c r="AN14" s="134"/>
      <c r="AO14" s="134"/>
      <c r="AP14" s="134"/>
      <c r="AQ14" s="134"/>
      <c r="AR14" s="134"/>
      <c r="AS14" s="134"/>
      <c r="AT14" s="134"/>
      <c r="AU14" s="134"/>
      <c r="AV14" s="134"/>
      <c r="AW14" s="134"/>
      <c r="AX14" s="134"/>
    </row>
    <row r="15">
      <c r="A15" s="65" t="s">
        <v>303</v>
      </c>
      <c r="B15" s="3" t="s">
        <v>1</v>
      </c>
      <c r="C15" s="3" t="s">
        <v>304</v>
      </c>
      <c r="D15" s="3" t="s">
        <v>3</v>
      </c>
      <c r="E15" s="3" t="s">
        <v>4</v>
      </c>
      <c r="F15" s="3" t="s">
        <v>5</v>
      </c>
      <c r="G15" s="3" t="s">
        <v>6</v>
      </c>
      <c r="H15" s="3" t="s">
        <v>7</v>
      </c>
      <c r="I15" s="3" t="s">
        <v>305</v>
      </c>
      <c r="J15" s="3" t="s">
        <v>306</v>
      </c>
      <c r="K15" s="3" t="s">
        <v>0</v>
      </c>
      <c r="L15" s="3" t="s">
        <v>0</v>
      </c>
      <c r="M15" s="3" t="s">
        <v>12</v>
      </c>
      <c r="N15" s="3" t="s">
        <v>13</v>
      </c>
      <c r="O15" s="4" t="s">
        <v>0</v>
      </c>
      <c r="P15" s="5" t="s">
        <v>0</v>
      </c>
      <c r="Q15" s="5" t="s">
        <v>16</v>
      </c>
      <c r="R15" s="5" t="s">
        <v>0</v>
      </c>
      <c r="S15" s="5" t="s">
        <v>18</v>
      </c>
      <c r="T15" s="5" t="s">
        <v>0</v>
      </c>
      <c r="U15" s="5" t="s">
        <v>20</v>
      </c>
      <c r="V15" s="5" t="s">
        <v>21</v>
      </c>
      <c r="W15" s="5" t="s">
        <v>0</v>
      </c>
      <c r="X15" s="5" t="s">
        <v>23</v>
      </c>
      <c r="Y15" s="5" t="s">
        <v>0</v>
      </c>
      <c r="Z15" s="5" t="s">
        <v>0</v>
      </c>
      <c r="AA15" s="5" t="s">
        <v>0</v>
      </c>
      <c r="AB15" s="6" t="s">
        <v>24</v>
      </c>
      <c r="AC15" s="6" t="s">
        <v>25</v>
      </c>
      <c r="AG15" s="6" t="s">
        <v>26</v>
      </c>
      <c r="AH15" s="6" t="s">
        <v>27</v>
      </c>
      <c r="AI15" s="6" t="s">
        <v>28</v>
      </c>
    </row>
    <row r="16">
      <c r="A16" s="66" t="s">
        <v>307</v>
      </c>
      <c r="B16" s="67" t="s">
        <v>308</v>
      </c>
      <c r="C16" s="67" t="s">
        <v>309</v>
      </c>
      <c r="D16" s="67" t="s">
        <v>310</v>
      </c>
      <c r="E16" s="68" t="s">
        <v>1127</v>
      </c>
      <c r="F16" s="15" t="s">
        <v>1128</v>
      </c>
      <c r="G16" s="68" t="s">
        <v>313</v>
      </c>
      <c r="H16" s="68" t="s">
        <v>1030</v>
      </c>
      <c r="I16" s="15" t="s">
        <v>1129</v>
      </c>
      <c r="J16" s="15" t="s">
        <v>1130</v>
      </c>
      <c r="K16" s="71" t="s">
        <v>0</v>
      </c>
      <c r="L16" s="71" t="s">
        <v>0</v>
      </c>
      <c r="M16" s="171" t="s">
        <v>0</v>
      </c>
      <c r="N16" s="67" t="s">
        <v>43</v>
      </c>
      <c r="O16" s="69" t="s">
        <v>0</v>
      </c>
      <c r="P16" s="15" t="s">
        <v>319</v>
      </c>
      <c r="Q16" s="15" t="s">
        <v>320</v>
      </c>
      <c r="R16" s="29" t="s">
        <v>321</v>
      </c>
      <c r="S16" s="15" t="s">
        <v>322</v>
      </c>
      <c r="T16" s="15" t="s">
        <v>323</v>
      </c>
      <c r="U16" s="15" t="s">
        <v>324</v>
      </c>
      <c r="V16" s="70" t="s">
        <v>325</v>
      </c>
      <c r="W16" s="70" t="s">
        <v>326</v>
      </c>
      <c r="X16" s="70" t="s">
        <v>327</v>
      </c>
      <c r="Y16" s="36" t="s">
        <v>0</v>
      </c>
      <c r="Z16" s="36" t="s">
        <v>0</v>
      </c>
      <c r="AA16" s="36" t="s">
        <v>0</v>
      </c>
      <c r="AB16" s="24" t="s">
        <v>328</v>
      </c>
      <c r="AC16" s="36">
        <v>134.249904</v>
      </c>
      <c r="AE16">
        <f t="shared" ref="AE16:AE17" si="3">AB16/AC16</f>
        <v>0.6965731015</v>
      </c>
      <c r="AG16" s="7">
        <v>144.0</v>
      </c>
      <c r="AH16" s="165">
        <f t="shared" ref="AH16:AH17" si="4">AI16/I16</f>
        <v>1121.960155</v>
      </c>
      <c r="AI16" s="7">
        <v>27085.0</v>
      </c>
    </row>
    <row r="17">
      <c r="A17" s="66" t="s">
        <v>335</v>
      </c>
      <c r="B17" s="67" t="s">
        <v>93</v>
      </c>
      <c r="C17" s="67" t="s">
        <v>336</v>
      </c>
      <c r="D17" s="67" t="s">
        <v>337</v>
      </c>
      <c r="E17" s="14" t="s">
        <v>338</v>
      </c>
      <c r="F17" s="52" t="s">
        <v>339</v>
      </c>
      <c r="G17" s="14" t="s">
        <v>340</v>
      </c>
      <c r="H17" s="14" t="s">
        <v>341</v>
      </c>
      <c r="I17" s="52" t="s">
        <v>342</v>
      </c>
      <c r="J17" s="52" t="s">
        <v>343</v>
      </c>
      <c r="K17" s="71" t="s">
        <v>0</v>
      </c>
      <c r="L17" s="71" t="s">
        <v>0</v>
      </c>
      <c r="M17" s="52" t="s">
        <v>344</v>
      </c>
      <c r="N17" s="72" t="s">
        <v>0</v>
      </c>
      <c r="O17" s="55" t="s">
        <v>0</v>
      </c>
      <c r="P17" s="52" t="s">
        <v>345</v>
      </c>
      <c r="Q17" s="52" t="s">
        <v>346</v>
      </c>
      <c r="R17" s="52" t="s">
        <v>347</v>
      </c>
      <c r="S17" s="52" t="s">
        <v>348</v>
      </c>
      <c r="T17" s="52" t="s">
        <v>349</v>
      </c>
      <c r="U17" s="52" t="s">
        <v>350</v>
      </c>
      <c r="V17" s="22" t="s">
        <v>108</v>
      </c>
      <c r="W17" s="7" t="s">
        <v>0</v>
      </c>
      <c r="X17" s="36" t="s">
        <v>351</v>
      </c>
      <c r="Y17" s="36" t="s">
        <v>0</v>
      </c>
      <c r="Z17" s="36" t="s">
        <v>0</v>
      </c>
      <c r="AA17" s="36" t="s">
        <v>0</v>
      </c>
      <c r="AB17" s="24" t="s">
        <v>352</v>
      </c>
      <c r="AC17" s="36">
        <v>19.903</v>
      </c>
      <c r="AE17">
        <f t="shared" si="3"/>
        <v>0.7375772497</v>
      </c>
      <c r="AG17" s="7">
        <v>288.0</v>
      </c>
      <c r="AH17">
        <f t="shared" si="4"/>
        <v>170.5153665</v>
      </c>
      <c r="AI17" s="7">
        <v>2794.0</v>
      </c>
    </row>
    <row r="18">
      <c r="A18" s="66" t="s">
        <v>358</v>
      </c>
      <c r="B18" s="67" t="s">
        <v>31</v>
      </c>
      <c r="C18" s="67" t="s">
        <v>359</v>
      </c>
      <c r="D18" s="67" t="s">
        <v>211</v>
      </c>
      <c r="E18" s="11" t="s">
        <v>360</v>
      </c>
      <c r="F18" s="12" t="s">
        <v>361</v>
      </c>
      <c r="G18" s="38" t="s">
        <v>362</v>
      </c>
      <c r="H18" s="14" t="s">
        <v>363</v>
      </c>
      <c r="I18" s="16" t="s">
        <v>364</v>
      </c>
      <c r="J18" s="16" t="s">
        <v>365</v>
      </c>
      <c r="K18" s="16" t="s">
        <v>366</v>
      </c>
      <c r="L18" s="16" t="s">
        <v>367</v>
      </c>
      <c r="M18" s="12" t="s">
        <v>368</v>
      </c>
      <c r="N18" s="73" t="s">
        <v>43</v>
      </c>
      <c r="O18" s="18" t="s">
        <v>0</v>
      </c>
      <c r="P18" s="11" t="s">
        <v>369</v>
      </c>
      <c r="Q18" s="19" t="s">
        <v>370</v>
      </c>
      <c r="R18" s="38" t="s">
        <v>371</v>
      </c>
      <c r="S18" s="19" t="s">
        <v>372</v>
      </c>
      <c r="T18" s="11" t="s">
        <v>373</v>
      </c>
      <c r="U18" s="19" t="s">
        <v>374</v>
      </c>
      <c r="V18" s="20" t="s">
        <v>48</v>
      </c>
      <c r="W18" s="36" t="s">
        <v>0</v>
      </c>
      <c r="X18" s="36" t="s">
        <v>375</v>
      </c>
      <c r="Y18" s="36" t="s">
        <v>0</v>
      </c>
      <c r="Z18" s="36" t="s">
        <v>0</v>
      </c>
      <c r="AA18" s="36" t="s">
        <v>0</v>
      </c>
      <c r="AB18" s="24" t="s">
        <v>376</v>
      </c>
      <c r="AC18" s="24" t="s">
        <v>377</v>
      </c>
      <c r="AD18" s="7" t="s">
        <v>0</v>
      </c>
      <c r="AE18" s="25" t="s">
        <v>378</v>
      </c>
      <c r="AF18" s="7" t="s">
        <v>0</v>
      </c>
      <c r="AG18" s="25" t="s">
        <v>379</v>
      </c>
      <c r="AH18" s="25" t="s">
        <v>380</v>
      </c>
      <c r="AI18" s="25" t="s">
        <v>381</v>
      </c>
      <c r="AJ18" s="7" t="s">
        <v>0</v>
      </c>
      <c r="AK18" s="7" t="s">
        <v>0</v>
      </c>
      <c r="AL18" s="7" t="s">
        <v>0</v>
      </c>
      <c r="AM18" s="7" t="s">
        <v>0</v>
      </c>
      <c r="AN18" s="7" t="s">
        <v>0</v>
      </c>
      <c r="AO18" s="7" t="s">
        <v>0</v>
      </c>
      <c r="AP18" s="7" t="s">
        <v>0</v>
      </c>
      <c r="AQ18" s="7" t="s">
        <v>0</v>
      </c>
      <c r="AR18" s="7" t="s">
        <v>0</v>
      </c>
      <c r="AS18" s="7" t="s">
        <v>0</v>
      </c>
      <c r="AT18" s="7" t="s">
        <v>0</v>
      </c>
      <c r="AU18" s="7" t="s">
        <v>0</v>
      </c>
      <c r="AV18" s="7" t="s">
        <v>0</v>
      </c>
      <c r="AW18" s="7" t="s">
        <v>0</v>
      </c>
      <c r="AX18" s="7" t="s">
        <v>0</v>
      </c>
    </row>
    <row r="19">
      <c r="A19" s="66" t="s">
        <v>382</v>
      </c>
      <c r="B19" s="67" t="s">
        <v>308</v>
      </c>
      <c r="C19" s="67" t="s">
        <v>383</v>
      </c>
      <c r="D19" s="67" t="s">
        <v>33</v>
      </c>
      <c r="E19" s="77" t="s">
        <v>1131</v>
      </c>
      <c r="F19" s="52" t="s">
        <v>1132</v>
      </c>
      <c r="G19" s="77" t="s">
        <v>1133</v>
      </c>
      <c r="H19" s="14" t="s">
        <v>1134</v>
      </c>
      <c r="I19" s="78" t="s">
        <v>1135</v>
      </c>
      <c r="J19" s="79" t="s">
        <v>1136</v>
      </c>
      <c r="K19" s="71" t="s">
        <v>0</v>
      </c>
      <c r="L19" s="71" t="s">
        <v>0</v>
      </c>
      <c r="M19" s="103" t="s">
        <v>0</v>
      </c>
      <c r="N19" s="21" t="s">
        <v>43</v>
      </c>
      <c r="O19" s="69" t="s">
        <v>0</v>
      </c>
      <c r="P19" s="15" t="s">
        <v>1137</v>
      </c>
      <c r="Q19" s="52" t="s">
        <v>1138</v>
      </c>
      <c r="R19" s="15" t="s">
        <v>1139</v>
      </c>
      <c r="S19" s="52" t="s">
        <v>1140</v>
      </c>
      <c r="T19" s="15" t="s">
        <v>1141</v>
      </c>
      <c r="U19" s="52" t="s">
        <v>1142</v>
      </c>
      <c r="V19" s="70" t="s">
        <v>325</v>
      </c>
      <c r="W19" s="70" t="s">
        <v>326</v>
      </c>
      <c r="X19" s="36" t="s">
        <v>445</v>
      </c>
      <c r="Y19" s="21" t="s">
        <v>446</v>
      </c>
      <c r="Z19" s="36" t="s">
        <v>0</v>
      </c>
      <c r="AA19" s="36" t="s">
        <v>0</v>
      </c>
      <c r="AB19" s="24" t="s">
        <v>447</v>
      </c>
      <c r="AC19" s="36">
        <v>304.829312</v>
      </c>
      <c r="AE19">
        <f t="shared" ref="AE19:AE22" si="5">AB19/AC19</f>
        <v>0.6508749165</v>
      </c>
      <c r="AG19" s="7">
        <v>288.0</v>
      </c>
      <c r="AH19">
        <f t="shared" ref="AH19:AH22" si="6">AI19/I19</f>
        <v>135.5849519</v>
      </c>
      <c r="AI19" s="7">
        <v>48351.0</v>
      </c>
    </row>
    <row r="20">
      <c r="A20" s="66" t="s">
        <v>457</v>
      </c>
      <c r="B20" s="67" t="s">
        <v>233</v>
      </c>
      <c r="C20" s="67" t="s">
        <v>460</v>
      </c>
      <c r="D20" s="67" t="s">
        <v>33</v>
      </c>
      <c r="E20" s="77" t="s">
        <v>462</v>
      </c>
      <c r="F20" s="79" t="s">
        <v>463</v>
      </c>
      <c r="G20" s="77" t="s">
        <v>464</v>
      </c>
      <c r="H20" s="14" t="s">
        <v>465</v>
      </c>
      <c r="I20" s="79" t="s">
        <v>466</v>
      </c>
      <c r="J20" s="78" t="s">
        <v>467</v>
      </c>
      <c r="K20" s="71" t="s">
        <v>0</v>
      </c>
      <c r="L20" s="71" t="s">
        <v>0</v>
      </c>
      <c r="M20" s="79" t="s">
        <v>470</v>
      </c>
      <c r="N20" s="72" t="s">
        <v>0</v>
      </c>
      <c r="O20" s="82" t="s">
        <v>0</v>
      </c>
      <c r="P20" s="79" t="s">
        <v>476</v>
      </c>
      <c r="Q20" s="79" t="s">
        <v>478</v>
      </c>
      <c r="R20" s="83" t="s">
        <v>480</v>
      </c>
      <c r="S20" s="52" t="s">
        <v>352</v>
      </c>
      <c r="T20" s="52" t="s">
        <v>489</v>
      </c>
      <c r="U20" s="52" t="s">
        <v>491</v>
      </c>
      <c r="V20" s="20" t="s">
        <v>249</v>
      </c>
      <c r="W20" s="36" t="s">
        <v>0</v>
      </c>
      <c r="X20" s="20" t="s">
        <v>493</v>
      </c>
      <c r="Y20" s="36" t="s">
        <v>0</v>
      </c>
      <c r="Z20" s="36" t="s">
        <v>0</v>
      </c>
      <c r="AA20" s="36" t="s">
        <v>0</v>
      </c>
      <c r="AB20" s="24" t="s">
        <v>495</v>
      </c>
      <c r="AC20" s="36">
        <v>4417.543792</v>
      </c>
      <c r="AE20">
        <f t="shared" si="5"/>
        <v>0.7608410423</v>
      </c>
      <c r="AG20" s="7">
        <v>64.0</v>
      </c>
      <c r="AH20">
        <f t="shared" si="6"/>
        <v>92.76367806</v>
      </c>
      <c r="AI20" s="7">
        <v>315253.0</v>
      </c>
    </row>
    <row r="21">
      <c r="A21" s="66" t="s">
        <v>503</v>
      </c>
      <c r="B21" s="67" t="s">
        <v>308</v>
      </c>
      <c r="C21" s="67" t="s">
        <v>506</v>
      </c>
      <c r="D21" s="67" t="s">
        <v>211</v>
      </c>
      <c r="E21" s="84" t="s">
        <v>1143</v>
      </c>
      <c r="F21" s="79" t="s">
        <v>1144</v>
      </c>
      <c r="G21" s="14" t="s">
        <v>1145</v>
      </c>
      <c r="H21" s="14" t="s">
        <v>1052</v>
      </c>
      <c r="I21" s="86" t="s">
        <v>1146</v>
      </c>
      <c r="J21" s="52" t="s">
        <v>1147</v>
      </c>
      <c r="K21" s="71" t="s">
        <v>0</v>
      </c>
      <c r="L21" s="71" t="s">
        <v>0</v>
      </c>
      <c r="M21" s="100" t="s">
        <v>0</v>
      </c>
      <c r="N21" s="73" t="s">
        <v>66</v>
      </c>
      <c r="O21" s="69" t="s">
        <v>0</v>
      </c>
      <c r="P21" s="15" t="s">
        <v>1148</v>
      </c>
      <c r="Q21" s="79" t="s">
        <v>522</v>
      </c>
      <c r="R21" s="15" t="s">
        <v>523</v>
      </c>
      <c r="S21" s="52" t="s">
        <v>524</v>
      </c>
      <c r="T21" s="15" t="s">
        <v>525</v>
      </c>
      <c r="U21" s="52" t="s">
        <v>526</v>
      </c>
      <c r="V21" s="70" t="s">
        <v>325</v>
      </c>
      <c r="W21" s="36" t="s">
        <v>326</v>
      </c>
      <c r="X21" s="36" t="s">
        <v>527</v>
      </c>
      <c r="Y21" s="21" t="s">
        <v>0</v>
      </c>
      <c r="Z21" s="36" t="s">
        <v>0</v>
      </c>
      <c r="AA21" s="36" t="s">
        <v>0</v>
      </c>
      <c r="AB21" s="24" t="s">
        <v>533</v>
      </c>
      <c r="AC21" s="36">
        <v>37.492287</v>
      </c>
      <c r="AE21">
        <f t="shared" si="5"/>
        <v>0.6369297237</v>
      </c>
      <c r="AG21" s="7">
        <v>256.0</v>
      </c>
      <c r="AH21">
        <f t="shared" si="6"/>
        <v>230.8377746</v>
      </c>
      <c r="AI21" s="7">
        <v>6264.0</v>
      </c>
    </row>
    <row r="22">
      <c r="A22" s="66" t="s">
        <v>562</v>
      </c>
      <c r="B22" s="67" t="s">
        <v>308</v>
      </c>
      <c r="C22" s="21" t="s">
        <v>565</v>
      </c>
      <c r="D22" s="67" t="s">
        <v>211</v>
      </c>
      <c r="E22" s="84" t="s">
        <v>1149</v>
      </c>
      <c r="F22" s="79" t="s">
        <v>1150</v>
      </c>
      <c r="G22" s="84" t="s">
        <v>570</v>
      </c>
      <c r="H22" s="173" t="s">
        <v>1151</v>
      </c>
      <c r="I22" s="89" t="s">
        <v>1152</v>
      </c>
      <c r="J22" s="79" t="s">
        <v>1153</v>
      </c>
      <c r="K22" s="71" t="s">
        <v>0</v>
      </c>
      <c r="L22" s="71" t="s">
        <v>0</v>
      </c>
      <c r="M22" s="26" t="s">
        <v>0</v>
      </c>
      <c r="N22" s="90" t="s">
        <v>66</v>
      </c>
      <c r="O22" s="69" t="s">
        <v>0</v>
      </c>
      <c r="P22" s="15" t="s">
        <v>591</v>
      </c>
      <c r="Q22" s="79" t="s">
        <v>592</v>
      </c>
      <c r="R22" s="15" t="s">
        <v>593</v>
      </c>
      <c r="S22" s="52" t="s">
        <v>595</v>
      </c>
      <c r="T22" s="15" t="s">
        <v>1154</v>
      </c>
      <c r="U22" s="52" t="s">
        <v>1155</v>
      </c>
      <c r="V22" s="70" t="s">
        <v>325</v>
      </c>
      <c r="W22" s="21" t="s">
        <v>326</v>
      </c>
      <c r="X22" s="21" t="s">
        <v>601</v>
      </c>
      <c r="Y22" s="36" t="s">
        <v>602</v>
      </c>
      <c r="Z22" s="36" t="s">
        <v>0</v>
      </c>
      <c r="AA22" s="36" t="s">
        <v>0</v>
      </c>
      <c r="AB22" s="24" t="s">
        <v>603</v>
      </c>
      <c r="AC22" s="36">
        <v>406.437641</v>
      </c>
      <c r="AE22">
        <f t="shared" si="5"/>
        <v>0.6840974677</v>
      </c>
      <c r="AG22" s="7">
        <v>288.0</v>
      </c>
      <c r="AH22" s="165">
        <f t="shared" si="6"/>
        <v>3229.544007</v>
      </c>
      <c r="AI22" s="7">
        <v>79381.0</v>
      </c>
    </row>
    <row r="23">
      <c r="A23" s="66" t="s">
        <v>614</v>
      </c>
      <c r="B23" s="67" t="s">
        <v>31</v>
      </c>
      <c r="C23" s="67" t="s">
        <v>616</v>
      </c>
      <c r="D23" s="67" t="s">
        <v>211</v>
      </c>
      <c r="E23" s="11" t="s">
        <v>620</v>
      </c>
      <c r="F23" s="12" t="s">
        <v>621</v>
      </c>
      <c r="G23" s="14" t="s">
        <v>622</v>
      </c>
      <c r="H23" s="14" t="s">
        <v>624</v>
      </c>
      <c r="I23" s="12" t="s">
        <v>625</v>
      </c>
      <c r="J23" s="12" t="s">
        <v>626</v>
      </c>
      <c r="K23" s="92" t="s">
        <v>627</v>
      </c>
      <c r="L23" s="92" t="s">
        <v>41</v>
      </c>
      <c r="M23" s="12" t="s">
        <v>42</v>
      </c>
      <c r="N23" s="73" t="s">
        <v>43</v>
      </c>
      <c r="O23" s="18" t="s">
        <v>0</v>
      </c>
      <c r="P23" s="11" t="s">
        <v>633</v>
      </c>
      <c r="Q23" s="19" t="s">
        <v>634</v>
      </c>
      <c r="R23" s="12" t="s">
        <v>635</v>
      </c>
      <c r="S23" s="19" t="s">
        <v>637</v>
      </c>
      <c r="T23" s="12" t="s">
        <v>639</v>
      </c>
      <c r="U23" s="19" t="s">
        <v>641</v>
      </c>
      <c r="V23" s="20" t="s">
        <v>48</v>
      </c>
      <c r="W23" s="36" t="s">
        <v>0</v>
      </c>
      <c r="X23" s="36" t="s">
        <v>642</v>
      </c>
      <c r="Y23" s="36" t="s">
        <v>0</v>
      </c>
      <c r="Z23" s="36" t="s">
        <v>0</v>
      </c>
      <c r="AA23" s="36" t="s">
        <v>0</v>
      </c>
      <c r="AB23" s="24" t="s">
        <v>643</v>
      </c>
      <c r="AC23" s="24" t="s">
        <v>644</v>
      </c>
      <c r="AD23" s="7" t="s">
        <v>0</v>
      </c>
      <c r="AE23" s="25" t="s">
        <v>645</v>
      </c>
      <c r="AF23" s="7" t="s">
        <v>0</v>
      </c>
      <c r="AG23" s="25" t="s">
        <v>88</v>
      </c>
      <c r="AH23" s="25" t="s">
        <v>646</v>
      </c>
      <c r="AI23" s="25" t="s">
        <v>647</v>
      </c>
      <c r="AJ23" s="7" t="s">
        <v>0</v>
      </c>
      <c r="AK23" s="7" t="s">
        <v>0</v>
      </c>
      <c r="AL23" s="7" t="s">
        <v>0</v>
      </c>
      <c r="AM23" s="7" t="s">
        <v>0</v>
      </c>
      <c r="AN23" s="7" t="s">
        <v>0</v>
      </c>
      <c r="AO23" s="7" t="s">
        <v>0</v>
      </c>
      <c r="AP23" s="7" t="s">
        <v>0</v>
      </c>
      <c r="AQ23" s="7" t="s">
        <v>0</v>
      </c>
      <c r="AR23" s="7" t="s">
        <v>0</v>
      </c>
      <c r="AS23" s="7" t="s">
        <v>0</v>
      </c>
      <c r="AT23" s="7" t="s">
        <v>0</v>
      </c>
      <c r="AU23" s="7" t="s">
        <v>0</v>
      </c>
      <c r="AV23" s="7" t="s">
        <v>0</v>
      </c>
      <c r="AW23" s="7" t="s">
        <v>0</v>
      </c>
      <c r="AX23" s="7" t="s">
        <v>0</v>
      </c>
    </row>
    <row r="24">
      <c r="A24" s="63" t="s">
        <v>0</v>
      </c>
      <c r="B24" s="63" t="s">
        <v>0</v>
      </c>
      <c r="C24" s="63" t="s">
        <v>0</v>
      </c>
      <c r="D24" s="63" t="s">
        <v>0</v>
      </c>
      <c r="E24" s="63" t="s">
        <v>0</v>
      </c>
      <c r="F24" s="63" t="s">
        <v>0</v>
      </c>
      <c r="G24" s="63" t="s">
        <v>0</v>
      </c>
      <c r="H24" s="63" t="s">
        <v>0</v>
      </c>
      <c r="I24" s="63" t="s">
        <v>0</v>
      </c>
      <c r="J24" s="63" t="s">
        <v>0</v>
      </c>
      <c r="K24" s="63" t="s">
        <v>0</v>
      </c>
      <c r="L24" s="63" t="s">
        <v>0</v>
      </c>
      <c r="M24" s="63" t="s">
        <v>0</v>
      </c>
      <c r="N24" s="63" t="s">
        <v>0</v>
      </c>
      <c r="O24" s="63" t="s">
        <v>0</v>
      </c>
      <c r="P24" s="63" t="s">
        <v>0</v>
      </c>
      <c r="Q24" s="63" t="s">
        <v>0</v>
      </c>
      <c r="R24" s="63" t="s">
        <v>0</v>
      </c>
      <c r="S24" s="63" t="s">
        <v>0</v>
      </c>
      <c r="T24" s="63" t="s">
        <v>0</v>
      </c>
      <c r="U24" s="63" t="s">
        <v>0</v>
      </c>
      <c r="V24" s="63" t="s">
        <v>0</v>
      </c>
      <c r="W24" s="63" t="s">
        <v>0</v>
      </c>
      <c r="X24" s="63" t="s">
        <v>0</v>
      </c>
      <c r="Y24" s="63" t="s">
        <v>0</v>
      </c>
      <c r="Z24" s="63" t="s">
        <v>0</v>
      </c>
      <c r="AA24" s="63" t="s">
        <v>0</v>
      </c>
      <c r="AB24" s="63" t="s">
        <v>0</v>
      </c>
      <c r="AC24" s="134"/>
      <c r="AD24" s="134"/>
      <c r="AE24" s="134"/>
      <c r="AF24" s="134"/>
      <c r="AG24" s="134"/>
      <c r="AH24" s="134"/>
      <c r="AI24" s="134"/>
      <c r="AJ24" s="134"/>
      <c r="AK24" s="134"/>
      <c r="AL24" s="134"/>
      <c r="AM24" s="134"/>
      <c r="AN24" s="134"/>
      <c r="AO24" s="134"/>
      <c r="AP24" s="134"/>
      <c r="AQ24" s="134"/>
      <c r="AR24" s="134"/>
      <c r="AS24" s="134"/>
      <c r="AT24" s="134"/>
      <c r="AU24" s="134"/>
      <c r="AV24" s="134"/>
      <c r="AW24" s="134"/>
      <c r="AX24" s="134"/>
    </row>
    <row r="25">
      <c r="A25" s="95" t="s">
        <v>681</v>
      </c>
      <c r="B25" s="7" t="s">
        <v>683</v>
      </c>
      <c r="E25" s="97"/>
      <c r="F25" s="7"/>
    </row>
    <row r="26">
      <c r="A26" s="95" t="s">
        <v>684</v>
      </c>
      <c r="B26" s="7" t="s">
        <v>683</v>
      </c>
      <c r="E26" s="97"/>
      <c r="F26" s="7"/>
    </row>
    <row r="27">
      <c r="A27" s="95" t="s">
        <v>685</v>
      </c>
      <c r="B27" s="7" t="s">
        <v>683</v>
      </c>
      <c r="E27" s="97"/>
      <c r="F27" s="7"/>
    </row>
    <row r="28">
      <c r="A28" s="95" t="s">
        <v>686</v>
      </c>
      <c r="B28" s="7" t="s">
        <v>683</v>
      </c>
      <c r="E28" s="97"/>
      <c r="F28" s="7"/>
    </row>
    <row r="29">
      <c r="E29" s="97" t="s">
        <v>687</v>
      </c>
      <c r="F29" s="7" t="s">
        <v>688</v>
      </c>
    </row>
    <row r="30">
      <c r="F30" s="7"/>
      <c r="AA30" s="7" t="s">
        <v>681</v>
      </c>
      <c r="AB30" s="7">
        <v>173.528104</v>
      </c>
      <c r="AC30" s="7">
        <v>243.424285</v>
      </c>
      <c r="AE30">
        <f t="shared" ref="AE30:AE31" si="7">AB30/AC30</f>
        <v>0.712862745</v>
      </c>
    </row>
    <row r="31">
      <c r="F31" s="7"/>
      <c r="AA31" s="7" t="s">
        <v>684</v>
      </c>
      <c r="AB31" s="7">
        <v>42.772161</v>
      </c>
      <c r="AC31" s="7">
        <v>42.955747</v>
      </c>
      <c r="AE31">
        <f t="shared" si="7"/>
        <v>0.9957261598</v>
      </c>
    </row>
    <row r="34">
      <c r="F34" s="7" t="s">
        <v>707</v>
      </c>
    </row>
    <row r="35">
      <c r="F35" s="101" t="s">
        <v>710</v>
      </c>
    </row>
  </sheetData>
  <hyperlinks>
    <hyperlink r:id="rId1" ref="F35"/>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2" width="24.29"/>
    <col customWidth="1" min="3" max="3" width="80.86"/>
    <col customWidth="1" min="4" max="4" width="31.43"/>
    <col customWidth="1" min="5" max="6" width="45.29"/>
    <col customWidth="1" min="7" max="9" width="36.71"/>
    <col customWidth="1" min="10" max="13" width="28.86"/>
    <col customWidth="1" min="14" max="14" width="43.57"/>
    <col customWidth="1" min="15" max="16" width="28.86"/>
    <col customWidth="1" min="17" max="18" width="28.43"/>
    <col customWidth="1" min="19" max="25" width="28.86"/>
    <col customWidth="1" min="26" max="27" width="45.57"/>
    <col customWidth="1" min="28" max="29" width="35.57"/>
    <col customWidth="1" min="30" max="31" width="29.14"/>
    <col customWidth="1" min="32" max="33" width="29.57"/>
    <col customWidth="1" min="34" max="39" width="45.0"/>
    <col customWidth="1" min="40" max="40" width="165.57"/>
    <col customWidth="1" min="41" max="41" width="155.29"/>
    <col customWidth="1" min="42" max="42" width="32.86"/>
  </cols>
  <sheetData>
    <row r="1" ht="33.0" customHeight="1">
      <c r="A1" s="1" t="s">
        <v>385</v>
      </c>
      <c r="B1" s="3" t="s">
        <v>1156</v>
      </c>
      <c r="C1" s="3" t="s">
        <v>2</v>
      </c>
      <c r="D1" s="3" t="s">
        <v>3</v>
      </c>
      <c r="E1" s="3" t="s">
        <v>1157</v>
      </c>
      <c r="F1" s="3" t="s">
        <v>1649</v>
      </c>
      <c r="G1" s="3" t="s">
        <v>1650</v>
      </c>
      <c r="H1" s="190" t="s">
        <v>1651</v>
      </c>
      <c r="I1" s="3" t="s">
        <v>1652</v>
      </c>
      <c r="J1" s="3" t="s">
        <v>6</v>
      </c>
      <c r="K1" s="3" t="s">
        <v>7</v>
      </c>
      <c r="L1" s="3" t="s">
        <v>1158</v>
      </c>
      <c r="M1" s="3" t="s">
        <v>1159</v>
      </c>
      <c r="N1" s="3" t="s">
        <v>8</v>
      </c>
      <c r="O1" s="3" t="s">
        <v>1653</v>
      </c>
      <c r="P1" s="3" t="s">
        <v>9</v>
      </c>
      <c r="Q1" s="3" t="s">
        <v>1654</v>
      </c>
      <c r="R1" s="3" t="s">
        <v>1655</v>
      </c>
      <c r="S1" s="3" t="s">
        <v>12</v>
      </c>
      <c r="T1" s="3" t="s">
        <v>1656</v>
      </c>
      <c r="U1" s="3" t="s">
        <v>1657</v>
      </c>
      <c r="V1" s="3" t="s">
        <v>1658</v>
      </c>
      <c r="W1" s="3" t="s">
        <v>1659</v>
      </c>
      <c r="X1" s="3" t="s">
        <v>1660</v>
      </c>
      <c r="Y1" s="3" t="s">
        <v>1661</v>
      </c>
      <c r="Z1" s="3" t="s">
        <v>1161</v>
      </c>
      <c r="AA1" s="3" t="s">
        <v>1162</v>
      </c>
      <c r="AB1" s="5" t="s">
        <v>1662</v>
      </c>
      <c r="AC1" s="5" t="s">
        <v>1163</v>
      </c>
      <c r="AD1" s="5" t="s">
        <v>1663</v>
      </c>
      <c r="AE1" s="5" t="s">
        <v>18</v>
      </c>
      <c r="AF1" s="5" t="s">
        <v>1664</v>
      </c>
      <c r="AG1" s="5" t="s">
        <v>20</v>
      </c>
      <c r="AH1" s="5" t="s">
        <v>1665</v>
      </c>
      <c r="AI1" s="5" t="s">
        <v>1666</v>
      </c>
      <c r="AJ1" s="5" t="s">
        <v>1667</v>
      </c>
      <c r="AK1" s="5" t="s">
        <v>1668</v>
      </c>
      <c r="AL1" s="5" t="s">
        <v>1669</v>
      </c>
      <c r="AM1" s="5" t="s">
        <v>21</v>
      </c>
      <c r="AN1" s="5" t="s">
        <v>1164</v>
      </c>
      <c r="AO1" s="5" t="s">
        <v>1165</v>
      </c>
      <c r="AP1" s="23" t="s">
        <v>0</v>
      </c>
      <c r="AQ1" s="7" t="s">
        <v>0</v>
      </c>
      <c r="AR1" s="7" t="s">
        <v>0</v>
      </c>
      <c r="AS1" s="141" t="s">
        <v>1173</v>
      </c>
      <c r="AT1" s="141" t="s">
        <v>1670</v>
      </c>
      <c r="AU1" s="141" t="s">
        <v>1174</v>
      </c>
      <c r="AV1" s="141" t="s">
        <v>1671</v>
      </c>
      <c r="AW1" s="141" t="s">
        <v>1175</v>
      </c>
      <c r="AX1" s="141" t="s">
        <v>1672</v>
      </c>
      <c r="AY1" s="141" t="s">
        <v>1176</v>
      </c>
      <c r="AZ1" s="141" t="s">
        <v>1673</v>
      </c>
      <c r="BA1" s="141" t="s">
        <v>1674</v>
      </c>
      <c r="BB1" s="141" t="s">
        <v>1177</v>
      </c>
      <c r="BC1" s="141" t="s">
        <v>1675</v>
      </c>
      <c r="BD1" s="141" t="s">
        <v>1676</v>
      </c>
      <c r="BE1" s="191"/>
      <c r="BF1" s="7" t="s">
        <v>1166</v>
      </c>
      <c r="BG1" s="192" t="s">
        <v>1167</v>
      </c>
      <c r="BH1" s="192" t="s">
        <v>1677</v>
      </c>
      <c r="BI1" s="192" t="s">
        <v>1168</v>
      </c>
      <c r="BJ1" s="192" t="s">
        <v>1678</v>
      </c>
      <c r="BK1" s="192" t="s">
        <v>1169</v>
      </c>
      <c r="BL1" s="192" t="s">
        <v>1679</v>
      </c>
      <c r="BM1" s="192" t="s">
        <v>1170</v>
      </c>
      <c r="BN1" s="192" t="s">
        <v>1680</v>
      </c>
      <c r="BO1" s="192" t="s">
        <v>1681</v>
      </c>
      <c r="BP1" s="192" t="s">
        <v>1171</v>
      </c>
      <c r="BQ1" s="192" t="s">
        <v>1682</v>
      </c>
      <c r="BR1" s="192" t="s">
        <v>1683</v>
      </c>
    </row>
    <row r="2" ht="21.75" customHeight="1">
      <c r="A2" s="8" t="s">
        <v>30</v>
      </c>
      <c r="B2" s="193" t="s">
        <v>31</v>
      </c>
      <c r="C2" s="21" t="s">
        <v>1179</v>
      </c>
      <c r="D2" s="147" t="s">
        <v>33</v>
      </c>
      <c r="E2" s="194">
        <f t="shared" ref="E2:E13" si="2">J2/O2</f>
        <v>10.27888935</v>
      </c>
      <c r="F2" s="194">
        <f t="shared" ref="F2:F13" si="3">AF2/O2</f>
        <v>33.59918177</v>
      </c>
      <c r="G2" s="194">
        <f>123689.44/1000</f>
        <v>123.68944</v>
      </c>
      <c r="H2" s="194"/>
      <c r="I2" s="194">
        <f t="shared" ref="I2:I13" si="4">G2</f>
        <v>123.68944</v>
      </c>
      <c r="J2" s="194">
        <f t="shared" ref="J2:J13" si="5">AB2+AD2
</f>
        <v>110.8095109</v>
      </c>
      <c r="K2" s="194"/>
      <c r="L2" s="194"/>
      <c r="M2" s="194"/>
      <c r="N2" s="194">
        <v>14.539049462</v>
      </c>
      <c r="O2" s="194">
        <v>10.7803</v>
      </c>
      <c r="P2" s="194">
        <f t="shared" ref="P2:P13" si="6">O2/N2*100</f>
        <v>74.14721319</v>
      </c>
      <c r="Q2" s="194">
        <f t="shared" ref="Q2:Q13" si="7">((100*R2)-((100-S2)*R2))/(100-S2)</f>
        <v>1772.506024</v>
      </c>
      <c r="R2" s="194" t="s">
        <v>1684</v>
      </c>
      <c r="S2" s="194">
        <f>100*0.17</f>
        <v>17</v>
      </c>
      <c r="T2" s="194">
        <f t="shared" ref="T2:T13" si="8">((100*U2)-((100-V2)*U2))/(100-V2)</f>
        <v>2658.227848</v>
      </c>
      <c r="U2" s="194" t="s">
        <v>1685</v>
      </c>
      <c r="V2" s="194">
        <f>100*0.21</f>
        <v>21</v>
      </c>
      <c r="W2" s="194" t="s">
        <v>1686</v>
      </c>
      <c r="X2" s="194" t="s">
        <v>1687</v>
      </c>
      <c r="Y2" s="194" t="s">
        <v>1688</v>
      </c>
      <c r="Z2" s="194"/>
      <c r="AA2" s="194"/>
      <c r="AB2" s="194" t="s">
        <v>1689</v>
      </c>
      <c r="AC2" s="194">
        <f t="shared" ref="AC2:AC13" si="9">AB2*100/(AB2+AD2+AF2)</f>
        <v>23.42602816</v>
      </c>
      <c r="AD2" s="194" t="s">
        <v>1690</v>
      </c>
      <c r="AE2" s="194">
        <f t="shared" ref="AE2:AE13" si="10">AD2*100/(AB2+AD2+AF2)</f>
        <v>0.0000001234623311</v>
      </c>
      <c r="AF2" s="194">
        <v>362.209259266</v>
      </c>
      <c r="AG2" s="194">
        <f t="shared" ref="AG2:AG13" si="11">AF2*100/(AB2+AD2+AF2)</f>
        <v>76.57397172</v>
      </c>
      <c r="AH2" s="194">
        <v>46.941485061</v>
      </c>
      <c r="AI2" s="194">
        <f t="shared" ref="AI2:AI13" si="12">AH2/O2</f>
        <v>4.354376507</v>
      </c>
      <c r="AJ2" s="194" t="s">
        <v>1691</v>
      </c>
      <c r="AK2" s="194">
        <f>73.22+78.99</f>
        <v>152.21</v>
      </c>
      <c r="AL2" s="194" t="s">
        <v>1220</v>
      </c>
      <c r="AM2" s="194"/>
      <c r="AN2" s="194"/>
      <c r="AO2" s="21"/>
      <c r="AP2" s="7" t="s">
        <v>0</v>
      </c>
      <c r="AQ2" s="7" t="s">
        <v>0</v>
      </c>
      <c r="AR2" s="7" t="s">
        <v>0</v>
      </c>
      <c r="AS2" s="192">
        <v>11.170768</v>
      </c>
      <c r="AT2" s="192">
        <v>11.085745</v>
      </c>
      <c r="AU2" s="192">
        <v>11.014361</v>
      </c>
      <c r="AV2" s="192">
        <v>10.960546</v>
      </c>
      <c r="AW2" s="192">
        <v>10.917651</v>
      </c>
      <c r="AX2" s="192">
        <v>10.902614</v>
      </c>
      <c r="AY2" s="192">
        <v>10.920916</v>
      </c>
      <c r="AZ2" s="192">
        <v>10.866734</v>
      </c>
      <c r="BA2" s="192">
        <v>10.825899</v>
      </c>
      <c r="BB2" s="192">
        <v>10.81051</v>
      </c>
      <c r="BC2" s="192">
        <v>10.793746</v>
      </c>
      <c r="BD2" s="192">
        <f t="shared" ref="BD2:BD13" si="13">O2</f>
        <v>10.7803</v>
      </c>
      <c r="BE2" s="111"/>
      <c r="BF2" s="8" t="s">
        <v>30</v>
      </c>
      <c r="BG2" s="192">
        <f t="shared" ref="BG2:BG13" si="14">$AS2/AS2</f>
        <v>1</v>
      </c>
      <c r="BH2" s="192">
        <f t="shared" ref="BH2:BH13" si="15">($AS2/AT2)-SUM($BG2)</f>
        <v>0.007669579266</v>
      </c>
      <c r="BI2" s="192">
        <f t="shared" ref="BI2:BR2" si="1">($AS2/AU2)-SUM($BG2:BH2)</f>
        <v>0.006530699806</v>
      </c>
      <c r="BJ2" s="192">
        <f t="shared" si="1"/>
        <v>0.00497960485</v>
      </c>
      <c r="BK2" s="192">
        <f t="shared" si="1"/>
        <v>0.004004315683</v>
      </c>
      <c r="BL2" s="192">
        <f t="shared" si="1"/>
        <v>0.001411186419</v>
      </c>
      <c r="BM2" s="192">
        <f t="shared" si="1"/>
        <v>-0.001717085339</v>
      </c>
      <c r="BN2" s="192">
        <f t="shared" si="1"/>
        <v>0.005100114909</v>
      </c>
      <c r="BO2" s="192">
        <f t="shared" si="1"/>
        <v>0.003877506949</v>
      </c>
      <c r="BP2" s="192">
        <f t="shared" si="1"/>
        <v>0.00146886972</v>
      </c>
      <c r="BQ2" s="192">
        <f t="shared" si="1"/>
        <v>0.001604879049</v>
      </c>
      <c r="BR2" s="192">
        <f t="shared" si="1"/>
        <v>0.001290842032</v>
      </c>
    </row>
    <row r="3">
      <c r="A3" s="8" t="s">
        <v>58</v>
      </c>
      <c r="B3" s="193" t="s">
        <v>31</v>
      </c>
      <c r="C3" s="21" t="s">
        <v>59</v>
      </c>
      <c r="D3" s="147" t="s">
        <v>60</v>
      </c>
      <c r="E3" s="194">
        <f t="shared" si="2"/>
        <v>88.42498228</v>
      </c>
      <c r="F3" s="194">
        <f t="shared" si="3"/>
        <v>35.57693606</v>
      </c>
      <c r="G3" s="194">
        <f>67477.37/1000</f>
        <v>67.47737</v>
      </c>
      <c r="H3" s="194"/>
      <c r="I3" s="194">
        <f t="shared" si="4"/>
        <v>67.47737</v>
      </c>
      <c r="J3" s="194">
        <f t="shared" si="5"/>
        <v>6918.351514</v>
      </c>
      <c r="K3" s="194"/>
      <c r="L3" s="194"/>
      <c r="M3" s="194"/>
      <c r="N3" s="194">
        <v>297.282400146</v>
      </c>
      <c r="O3" s="194">
        <v>78.2397840023</v>
      </c>
      <c r="P3" s="194">
        <f t="shared" si="6"/>
        <v>26.31833703</v>
      </c>
      <c r="Q3" s="194">
        <f t="shared" si="7"/>
        <v>3089.88764</v>
      </c>
      <c r="R3" s="194" t="s">
        <v>1693</v>
      </c>
      <c r="S3" s="194">
        <f>100*0.11</f>
        <v>11</v>
      </c>
      <c r="T3" s="194">
        <f t="shared" si="8"/>
        <v>8363.636364</v>
      </c>
      <c r="U3" s="194" t="s">
        <v>1694</v>
      </c>
      <c r="V3" s="194">
        <f>100*0.23</f>
        <v>23</v>
      </c>
      <c r="W3" s="194" t="s">
        <v>1695</v>
      </c>
      <c r="X3" s="194" t="s">
        <v>1696</v>
      </c>
      <c r="Y3" s="194" t="s">
        <v>1697</v>
      </c>
      <c r="Z3" s="194"/>
      <c r="AA3" s="194"/>
      <c r="AB3" s="194" t="s">
        <v>1698</v>
      </c>
      <c r="AC3" s="194">
        <f t="shared" si="9"/>
        <v>0.0001192184407</v>
      </c>
      <c r="AD3" s="194" t="s">
        <v>1699</v>
      </c>
      <c r="AE3" s="194">
        <f t="shared" si="10"/>
        <v>71.30924717</v>
      </c>
      <c r="AF3" s="194">
        <v>2783.531793181</v>
      </c>
      <c r="AG3" s="194">
        <f t="shared" si="11"/>
        <v>28.69063361</v>
      </c>
      <c r="AH3" s="194">
        <v>97.178527726</v>
      </c>
      <c r="AI3" s="194">
        <f t="shared" si="12"/>
        <v>1.242060276</v>
      </c>
      <c r="AJ3" s="194" t="s">
        <v>1691</v>
      </c>
      <c r="AK3" s="194">
        <f>64.48+67.9</f>
        <v>132.38</v>
      </c>
      <c r="AL3" s="194" t="s">
        <v>1220</v>
      </c>
      <c r="AM3" s="194" t="s">
        <v>1700</v>
      </c>
      <c r="AN3" s="194"/>
      <c r="AO3" s="22"/>
      <c r="AP3" s="150" t="s">
        <v>0</v>
      </c>
      <c r="AQ3" s="150" t="s">
        <v>0</v>
      </c>
      <c r="AR3" s="7" t="s">
        <v>0</v>
      </c>
      <c r="AS3" s="192">
        <v>84.3788619041</v>
      </c>
      <c r="AT3" s="192">
        <v>82.9056220055</v>
      </c>
      <c r="AU3" s="192">
        <v>79.8787868023</v>
      </c>
      <c r="AV3" s="192">
        <v>78.1418550014</v>
      </c>
      <c r="AW3" s="192">
        <v>76.7025361061</v>
      </c>
      <c r="AX3" s="192">
        <v>75.3763518333</v>
      </c>
      <c r="AY3" s="192">
        <v>73.6912240982</v>
      </c>
      <c r="AZ3" s="192">
        <v>73.4858047962</v>
      </c>
      <c r="BA3" s="192">
        <v>72.1962389946</v>
      </c>
      <c r="BB3" s="192">
        <v>72.0481610298</v>
      </c>
      <c r="BC3" s="192">
        <v>70.8244318962</v>
      </c>
      <c r="BD3" s="192">
        <f t="shared" si="13"/>
        <v>78.239784</v>
      </c>
      <c r="BE3" s="144"/>
      <c r="BF3" s="8" t="s">
        <v>1701</v>
      </c>
      <c r="BG3" s="192">
        <f t="shared" si="14"/>
        <v>1</v>
      </c>
      <c r="BH3" s="192">
        <f t="shared" si="15"/>
        <v>0.01777008438</v>
      </c>
      <c r="BI3" s="192">
        <f t="shared" ref="BI3:BR3" si="16">($AS3/AU3)-SUM($BG3:BH3)</f>
        <v>0.03856621318</v>
      </c>
      <c r="BJ3" s="192">
        <f t="shared" si="16"/>
        <v>0.02348017087</v>
      </c>
      <c r="BK3" s="192">
        <f t="shared" si="16"/>
        <v>0.02026269698</v>
      </c>
      <c r="BL3" s="192">
        <f t="shared" si="16"/>
        <v>0.01935497875</v>
      </c>
      <c r="BM3" s="192">
        <f t="shared" si="16"/>
        <v>0.0255985641</v>
      </c>
      <c r="BN3" s="192">
        <f t="shared" si="16"/>
        <v>0.003200778985</v>
      </c>
      <c r="BO3" s="192">
        <f t="shared" si="16"/>
        <v>0.02050969217</v>
      </c>
      <c r="BP3" s="192">
        <f t="shared" si="16"/>
        <v>0.002402075347</v>
      </c>
      <c r="BQ3" s="192">
        <f t="shared" si="16"/>
        <v>0.02023545448</v>
      </c>
      <c r="BR3" s="192">
        <f t="shared" si="16"/>
        <v>-0.1129157955</v>
      </c>
    </row>
    <row r="4">
      <c r="A4" s="8" t="s">
        <v>69</v>
      </c>
      <c r="B4" s="193" t="s">
        <v>31</v>
      </c>
      <c r="C4" s="21" t="s">
        <v>1221</v>
      </c>
      <c r="D4" s="147" t="s">
        <v>33</v>
      </c>
      <c r="E4" s="194">
        <f t="shared" si="2"/>
        <v>52.0477441</v>
      </c>
      <c r="F4" s="194">
        <f t="shared" si="3"/>
        <v>0.07012831452</v>
      </c>
      <c r="G4" s="194">
        <f>15599.81/1000</f>
        <v>15.59981</v>
      </c>
      <c r="H4" s="194"/>
      <c r="I4" s="194">
        <f t="shared" si="4"/>
        <v>15.59981</v>
      </c>
      <c r="J4" s="194">
        <f t="shared" si="5"/>
        <v>152.0222481</v>
      </c>
      <c r="K4" s="194"/>
      <c r="L4" s="194"/>
      <c r="M4" s="194"/>
      <c r="N4" s="194">
        <v>3.056249799</v>
      </c>
      <c r="O4" s="194">
        <v>2.920823</v>
      </c>
      <c r="P4" s="194">
        <f t="shared" si="6"/>
        <v>95.568857</v>
      </c>
      <c r="Q4" s="194">
        <f t="shared" si="7"/>
        <v>62.82352941</v>
      </c>
      <c r="R4" s="194" t="s">
        <v>1702</v>
      </c>
      <c r="S4" s="194">
        <f>100*0.15</f>
        <v>15</v>
      </c>
      <c r="T4" s="194">
        <f t="shared" si="8"/>
        <v>74.29411765</v>
      </c>
      <c r="U4" s="194" t="s">
        <v>1703</v>
      </c>
      <c r="V4" s="194">
        <f>100*0.15</f>
        <v>15</v>
      </c>
      <c r="W4" s="194" t="s">
        <v>1704</v>
      </c>
      <c r="X4" s="194" t="s">
        <v>1705</v>
      </c>
      <c r="Y4" s="194" t="s">
        <v>1706</v>
      </c>
      <c r="Z4" s="194"/>
      <c r="AA4" s="194"/>
      <c r="AB4" s="194" t="s">
        <v>1707</v>
      </c>
      <c r="AC4" s="194">
        <f t="shared" si="9"/>
        <v>99.86544287</v>
      </c>
      <c r="AD4" s="194" t="s">
        <v>196</v>
      </c>
      <c r="AE4" s="194">
        <f t="shared" si="10"/>
        <v>0</v>
      </c>
      <c r="AF4" s="194">
        <v>0.204832394</v>
      </c>
      <c r="AG4" s="194">
        <f t="shared" si="11"/>
        <v>0.1345571323</v>
      </c>
      <c r="AH4" s="194">
        <v>33.271862631</v>
      </c>
      <c r="AI4" s="194">
        <f t="shared" si="12"/>
        <v>11.39126288</v>
      </c>
      <c r="AJ4" s="194" t="s">
        <v>1691</v>
      </c>
      <c r="AK4" s="194">
        <f>63.78+69.39</f>
        <v>133.17</v>
      </c>
      <c r="AL4" s="194" t="s">
        <v>1220</v>
      </c>
      <c r="AM4" s="194"/>
      <c r="AN4" s="194"/>
      <c r="AO4" s="22"/>
      <c r="AP4" s="7" t="s">
        <v>0</v>
      </c>
      <c r="AQ4" s="7" t="s">
        <v>0</v>
      </c>
      <c r="AR4" s="7" t="s">
        <v>0</v>
      </c>
      <c r="AS4" s="192">
        <v>5.191661</v>
      </c>
      <c r="AT4" s="192">
        <v>4.816568</v>
      </c>
      <c r="AU4" s="192">
        <v>4.517201</v>
      </c>
      <c r="AV4" s="192">
        <v>4.194066</v>
      </c>
      <c r="AW4" s="192">
        <v>3.954372</v>
      </c>
      <c r="AX4" s="192">
        <v>3.718239</v>
      </c>
      <c r="AY4" s="192">
        <v>3.522953</v>
      </c>
      <c r="AZ4" s="192">
        <v>3.348921</v>
      </c>
      <c r="BA4" s="192">
        <v>3.19138</v>
      </c>
      <c r="BB4" s="192">
        <v>3.052663</v>
      </c>
      <c r="BC4" s="192">
        <v>2.921419</v>
      </c>
      <c r="BD4" s="192">
        <f t="shared" si="13"/>
        <v>2.920823</v>
      </c>
      <c r="BE4" s="111"/>
      <c r="BF4" s="8" t="s">
        <v>69</v>
      </c>
      <c r="BG4" s="192">
        <f t="shared" si="14"/>
        <v>1</v>
      </c>
      <c r="BH4" s="192">
        <f t="shared" si="15"/>
        <v>0.07787557448</v>
      </c>
      <c r="BI4" s="192">
        <f t="shared" ref="BI4:BR4" si="17">($AS4/AU4)-SUM($BG4:BH4)</f>
        <v>0.07143369912</v>
      </c>
      <c r="BJ4" s="192">
        <f t="shared" si="17"/>
        <v>0.08854940579</v>
      </c>
      <c r="BK4" s="192">
        <f t="shared" si="17"/>
        <v>0.07503272284</v>
      </c>
      <c r="BL4" s="192">
        <f t="shared" si="17"/>
        <v>0.08337736909</v>
      </c>
      <c r="BM4" s="192">
        <f t="shared" si="17"/>
        <v>0.07739863213</v>
      </c>
      <c r="BN4" s="192">
        <f t="shared" si="17"/>
        <v>0.07658146775</v>
      </c>
      <c r="BO4" s="192">
        <f t="shared" si="17"/>
        <v>0.07652731966</v>
      </c>
      <c r="BP4" s="192">
        <f t="shared" si="17"/>
        <v>0.07392283815</v>
      </c>
      <c r="BQ4" s="192">
        <f t="shared" si="17"/>
        <v>0.0764034681</v>
      </c>
      <c r="BR4" s="192">
        <f t="shared" si="17"/>
        <v>0.0003626214558</v>
      </c>
    </row>
    <row r="5">
      <c r="A5" s="8" t="s">
        <v>92</v>
      </c>
      <c r="B5" s="195" t="s">
        <v>93</v>
      </c>
      <c r="C5" s="9" t="s">
        <v>94</v>
      </c>
      <c r="D5" s="113" t="s">
        <v>95</v>
      </c>
      <c r="E5" s="194">
        <f t="shared" si="2"/>
        <v>8.028259304</v>
      </c>
      <c r="F5" s="194">
        <f t="shared" si="3"/>
        <v>75.97802274</v>
      </c>
      <c r="G5" s="194">
        <f>1589.3/1000</f>
        <v>1.5893</v>
      </c>
      <c r="H5" s="194"/>
      <c r="I5" s="194">
        <f t="shared" si="4"/>
        <v>1.5893</v>
      </c>
      <c r="J5" s="194">
        <f t="shared" si="5"/>
        <v>44.53430254</v>
      </c>
      <c r="K5" s="194"/>
      <c r="L5" s="194"/>
      <c r="M5" s="194"/>
      <c r="N5" s="194">
        <v>6.250436982</v>
      </c>
      <c r="O5" s="194">
        <v>5.547192842</v>
      </c>
      <c r="P5" s="194">
        <f t="shared" si="6"/>
        <v>88.74888041</v>
      </c>
      <c r="Q5" s="194">
        <f t="shared" si="7"/>
        <v>94.18181818</v>
      </c>
      <c r="R5" s="194" t="s">
        <v>1708</v>
      </c>
      <c r="S5" s="194">
        <f>100*0.56</f>
        <v>56</v>
      </c>
      <c r="T5" s="194">
        <f t="shared" si="8"/>
        <v>716.2105263</v>
      </c>
      <c r="U5" s="194" t="s">
        <v>1709</v>
      </c>
      <c r="V5" s="194">
        <f>100*0.81</f>
        <v>81</v>
      </c>
      <c r="W5" s="194" t="s">
        <v>1710</v>
      </c>
      <c r="X5" s="194" t="s">
        <v>1711</v>
      </c>
      <c r="Y5" s="194" t="s">
        <v>1712</v>
      </c>
      <c r="Z5" s="194"/>
      <c r="AA5" s="194"/>
      <c r="AB5" s="194" t="s">
        <v>1713</v>
      </c>
      <c r="AC5" s="194">
        <f t="shared" si="9"/>
        <v>9.55673684</v>
      </c>
      <c r="AD5" s="194" t="s">
        <v>196</v>
      </c>
      <c r="AE5" s="194">
        <f t="shared" si="10"/>
        <v>0</v>
      </c>
      <c r="AF5" s="194">
        <v>421.464743877</v>
      </c>
      <c r="AG5" s="194">
        <f t="shared" si="11"/>
        <v>90.44326316</v>
      </c>
      <c r="AH5" s="194">
        <v>93.235405011</v>
      </c>
      <c r="AI5" s="194">
        <f t="shared" si="12"/>
        <v>16.8076733</v>
      </c>
      <c r="AJ5" s="194" t="s">
        <v>1691</v>
      </c>
      <c r="AK5" s="194">
        <f>60.96+65.55</f>
        <v>126.51</v>
      </c>
      <c r="AL5" s="194" t="s">
        <v>1220</v>
      </c>
      <c r="AM5" s="194"/>
      <c r="AN5" s="194"/>
      <c r="AO5" s="22"/>
      <c r="AP5" s="150" t="s">
        <v>0</v>
      </c>
      <c r="AQ5" s="150" t="s">
        <v>0</v>
      </c>
      <c r="AR5" s="7" t="s">
        <v>0</v>
      </c>
      <c r="AS5" s="192">
        <v>9.714485569</v>
      </c>
      <c r="AT5" s="192">
        <v>9.026749088</v>
      </c>
      <c r="AU5" s="192">
        <v>8.468570547</v>
      </c>
      <c r="AV5" s="192">
        <v>7.936882897</v>
      </c>
      <c r="AW5" s="192">
        <v>7.49226088</v>
      </c>
      <c r="AX5" s="192">
        <v>7.035977433</v>
      </c>
      <c r="AY5" s="192">
        <v>6.67287414</v>
      </c>
      <c r="AZ5" s="192">
        <v>6.391050803</v>
      </c>
      <c r="BA5" s="192">
        <v>6.119146503</v>
      </c>
      <c r="BB5" s="192">
        <v>5.846225709</v>
      </c>
      <c r="BC5" s="192">
        <v>5.580989624</v>
      </c>
      <c r="BD5" s="192">
        <f t="shared" si="13"/>
        <v>5.547192842</v>
      </c>
      <c r="BE5" s="147"/>
      <c r="BF5" s="8" t="s">
        <v>92</v>
      </c>
      <c r="BG5" s="192">
        <f t="shared" si="14"/>
        <v>1</v>
      </c>
      <c r="BH5" s="192">
        <f t="shared" si="15"/>
        <v>0.07618872246</v>
      </c>
      <c r="BI5" s="192">
        <f t="shared" ref="BI5:BR5" si="18">($AS5/AU5)-SUM($BG5:BH5)</f>
        <v>0.07093351205</v>
      </c>
      <c r="BJ5" s="192">
        <f t="shared" si="18"/>
        <v>0.07684512082</v>
      </c>
      <c r="BK5" s="192">
        <f t="shared" si="18"/>
        <v>0.07263532904</v>
      </c>
      <c r="BL5" s="192">
        <f t="shared" si="18"/>
        <v>0.0840847413</v>
      </c>
      <c r="BM5" s="192">
        <f t="shared" si="18"/>
        <v>0.07512986763</v>
      </c>
      <c r="BN5" s="192">
        <f t="shared" si="18"/>
        <v>0.06419653048</v>
      </c>
      <c r="BO5" s="192">
        <f t="shared" si="18"/>
        <v>0.0675418205</v>
      </c>
      <c r="BP5" s="192">
        <f t="shared" si="18"/>
        <v>0.07411225097</v>
      </c>
      <c r="BQ5" s="192">
        <f t="shared" si="18"/>
        <v>0.07897063367</v>
      </c>
      <c r="BR5" s="192">
        <f t="shared" si="18"/>
        <v>0.01060500015</v>
      </c>
    </row>
    <row r="6">
      <c r="A6" s="8" t="s">
        <v>117</v>
      </c>
      <c r="B6" s="195" t="s">
        <v>93</v>
      </c>
      <c r="C6" s="9" t="s">
        <v>118</v>
      </c>
      <c r="D6" s="113" t="s">
        <v>33</v>
      </c>
      <c r="E6" s="194">
        <f t="shared" si="2"/>
        <v>0.006674977478</v>
      </c>
      <c r="F6" s="194">
        <f t="shared" si="3"/>
        <v>6.914162504</v>
      </c>
      <c r="G6" s="194">
        <f>316.6/1000</f>
        <v>0.3166</v>
      </c>
      <c r="H6" s="194"/>
      <c r="I6" s="194">
        <f t="shared" si="4"/>
        <v>0.3166</v>
      </c>
      <c r="J6" s="194">
        <f t="shared" si="5"/>
        <v>0.070070783</v>
      </c>
      <c r="K6" s="194"/>
      <c r="L6" s="194"/>
      <c r="M6" s="194"/>
      <c r="N6" s="194">
        <v>10.53907409</v>
      </c>
      <c r="O6" s="194">
        <v>10.497531</v>
      </c>
      <c r="P6" s="194">
        <f t="shared" si="6"/>
        <v>99.60581841</v>
      </c>
      <c r="Q6" s="194">
        <f t="shared" si="7"/>
        <v>13.86068293</v>
      </c>
      <c r="R6" s="194" t="s">
        <v>1714</v>
      </c>
      <c r="S6" s="194">
        <f>100*0.59</f>
        <v>59</v>
      </c>
      <c r="T6" s="194">
        <f t="shared" si="8"/>
        <v>21.23076923</v>
      </c>
      <c r="U6" s="194" t="s">
        <v>1715</v>
      </c>
      <c r="V6" s="194">
        <f>100*0.48</f>
        <v>48</v>
      </c>
      <c r="W6" s="194" t="s">
        <v>1716</v>
      </c>
      <c r="X6" s="194" t="s">
        <v>1716</v>
      </c>
      <c r="Y6" s="194" t="s">
        <v>1469</v>
      </c>
      <c r="Z6" s="194"/>
      <c r="AA6" s="194"/>
      <c r="AB6" s="194" t="s">
        <v>1717</v>
      </c>
      <c r="AC6" s="194">
        <f t="shared" si="9"/>
        <v>0.0964471433</v>
      </c>
      <c r="AD6" s="194" t="s">
        <v>1718</v>
      </c>
      <c r="AE6" s="194">
        <f t="shared" si="10"/>
        <v>0.0000003964118888</v>
      </c>
      <c r="AF6" s="194">
        <v>72.581635221</v>
      </c>
      <c r="AG6" s="194">
        <f t="shared" si="11"/>
        <v>99.90355246</v>
      </c>
      <c r="AH6" s="194">
        <v>34.372854466</v>
      </c>
      <c r="AI6" s="194">
        <f t="shared" si="12"/>
        <v>3.274375133</v>
      </c>
      <c r="AJ6" s="194" t="s">
        <v>1691</v>
      </c>
      <c r="AK6" s="194">
        <f>42.62+46.68</f>
        <v>89.3</v>
      </c>
      <c r="AL6" s="194" t="s">
        <v>1360</v>
      </c>
      <c r="AM6" s="194"/>
      <c r="AN6" s="194"/>
      <c r="AO6" s="22"/>
      <c r="AP6" s="150" t="s">
        <v>0</v>
      </c>
      <c r="AQ6" s="150" t="s">
        <v>0</v>
      </c>
      <c r="AR6" s="7" t="s">
        <v>0</v>
      </c>
      <c r="AS6" s="192">
        <v>19.194256</v>
      </c>
      <c r="AT6" s="192">
        <v>17.901085</v>
      </c>
      <c r="AU6" s="192">
        <v>16.479971</v>
      </c>
      <c r="AV6" s="192">
        <v>15.395041</v>
      </c>
      <c r="AW6" s="192">
        <v>14.419392</v>
      </c>
      <c r="AX6" s="192">
        <v>13.566362</v>
      </c>
      <c r="AY6" s="192">
        <v>12.817925</v>
      </c>
      <c r="AZ6" s="192">
        <v>12.253727</v>
      </c>
      <c r="BA6" s="192">
        <v>11.539932</v>
      </c>
      <c r="BB6" s="192">
        <v>11.00215</v>
      </c>
      <c r="BC6" s="192">
        <v>10.565279</v>
      </c>
      <c r="BD6" s="192">
        <f t="shared" si="13"/>
        <v>10.497531</v>
      </c>
      <c r="BE6" s="144"/>
      <c r="BF6" s="8" t="s">
        <v>117</v>
      </c>
      <c r="BG6" s="192">
        <f t="shared" si="14"/>
        <v>1</v>
      </c>
      <c r="BH6" s="192">
        <f t="shared" si="15"/>
        <v>0.07223981116</v>
      </c>
      <c r="BI6" s="192">
        <f t="shared" ref="BI6:BR6" si="19">($AS6/AU6)-SUM($BG6:BH6)</f>
        <v>0.09246223837</v>
      </c>
      <c r="BJ6" s="192">
        <f t="shared" si="19"/>
        <v>0.08207969012</v>
      </c>
      <c r="BK6" s="192">
        <f t="shared" si="19"/>
        <v>0.08436010045</v>
      </c>
      <c r="BL6" s="192">
        <f t="shared" si="19"/>
        <v>0.08369995758</v>
      </c>
      <c r="BM6" s="192">
        <f t="shared" si="19"/>
        <v>0.08261243146</v>
      </c>
      <c r="BN6" s="192">
        <f t="shared" si="19"/>
        <v>0.06894724202</v>
      </c>
      <c r="BO6" s="192">
        <f t="shared" si="19"/>
        <v>0.0968887458</v>
      </c>
      <c r="BP6" s="192">
        <f t="shared" si="19"/>
        <v>0.08130115836</v>
      </c>
      <c r="BQ6" s="192">
        <f t="shared" si="19"/>
        <v>0.07213831066</v>
      </c>
      <c r="BR6" s="192">
        <f t="shared" si="19"/>
        <v>0.01172464294</v>
      </c>
    </row>
    <row r="7">
      <c r="A7" s="8" t="s">
        <v>139</v>
      </c>
      <c r="B7" s="195" t="s">
        <v>93</v>
      </c>
      <c r="C7" s="9" t="s">
        <v>140</v>
      </c>
      <c r="D7" s="113" t="s">
        <v>33</v>
      </c>
      <c r="E7" s="194">
        <f t="shared" si="2"/>
        <v>0.7369336176</v>
      </c>
      <c r="F7" s="194">
        <f t="shared" si="3"/>
        <v>3.111178389</v>
      </c>
      <c r="G7" s="194">
        <f>78367.78/1000</f>
        <v>78.36778</v>
      </c>
      <c r="H7" s="194"/>
      <c r="I7" s="194">
        <f t="shared" si="4"/>
        <v>78.36778</v>
      </c>
      <c r="J7" s="194">
        <f t="shared" si="5"/>
        <v>40.81604927</v>
      </c>
      <c r="K7" s="194"/>
      <c r="L7" s="194"/>
      <c r="M7" s="194"/>
      <c r="N7" s="194">
        <v>59.101548018</v>
      </c>
      <c r="O7" s="194">
        <v>55.386331</v>
      </c>
      <c r="P7" s="194">
        <f t="shared" si="6"/>
        <v>93.71384144</v>
      </c>
      <c r="Q7" s="194">
        <f t="shared" si="7"/>
        <v>12844.15584</v>
      </c>
      <c r="R7" s="194" t="s">
        <v>1719</v>
      </c>
      <c r="S7" s="194">
        <f>100*0.23</f>
        <v>23</v>
      </c>
      <c r="T7" s="194">
        <f t="shared" si="8"/>
        <v>17684.21053</v>
      </c>
      <c r="U7" s="194" t="s">
        <v>1720</v>
      </c>
      <c r="V7" s="194">
        <f>100*0.24</f>
        <v>24</v>
      </c>
      <c r="W7" s="194" t="s">
        <v>1721</v>
      </c>
      <c r="X7" s="194" t="s">
        <v>1722</v>
      </c>
      <c r="Y7" s="194" t="s">
        <v>1723</v>
      </c>
      <c r="Z7" s="194"/>
      <c r="AA7" s="194"/>
      <c r="AB7" s="194" t="s">
        <v>1724</v>
      </c>
      <c r="AC7" s="194">
        <f t="shared" si="9"/>
        <v>19.15052411</v>
      </c>
      <c r="AD7" s="194" t="s">
        <v>196</v>
      </c>
      <c r="AE7" s="194">
        <f t="shared" si="10"/>
        <v>0</v>
      </c>
      <c r="AF7" s="194">
        <v>172.316756067</v>
      </c>
      <c r="AG7" s="194">
        <f t="shared" si="11"/>
        <v>80.84947589</v>
      </c>
      <c r="AH7" s="194">
        <v>222.287242229</v>
      </c>
      <c r="AI7" s="194">
        <f t="shared" si="12"/>
        <v>4.013395331</v>
      </c>
      <c r="AJ7" s="194" t="s">
        <v>1691</v>
      </c>
      <c r="AK7" s="194">
        <f>64.02+69.27</f>
        <v>133.29</v>
      </c>
      <c r="AL7" s="194" t="s">
        <v>1220</v>
      </c>
      <c r="AM7" s="194"/>
      <c r="AN7" s="194"/>
      <c r="AO7" s="22"/>
      <c r="AP7" s="150" t="s">
        <v>0</v>
      </c>
      <c r="AQ7" s="150" t="s">
        <v>0</v>
      </c>
      <c r="AR7" s="7" t="s">
        <v>0</v>
      </c>
      <c r="AS7" s="192">
        <v>69.529425</v>
      </c>
      <c r="AT7" s="192">
        <v>66.646794</v>
      </c>
      <c r="AU7" s="192">
        <v>65.042319</v>
      </c>
      <c r="AV7" s="192">
        <v>63.441343</v>
      </c>
      <c r="AW7" s="192">
        <v>61.883563</v>
      </c>
      <c r="AX7" s="192">
        <v>60.286172</v>
      </c>
      <c r="AY7" s="192">
        <v>59.443227</v>
      </c>
      <c r="AZ7" s="192">
        <v>58.516381</v>
      </c>
      <c r="BA7" s="192">
        <v>57.680318</v>
      </c>
      <c r="BB7" s="192">
        <v>56.855098</v>
      </c>
      <c r="BC7" s="192">
        <v>55.955355</v>
      </c>
      <c r="BD7" s="192">
        <f t="shared" si="13"/>
        <v>55.386331</v>
      </c>
      <c r="BE7" s="144"/>
      <c r="BF7" s="8" t="s">
        <v>139</v>
      </c>
      <c r="BG7" s="192">
        <f t="shared" si="14"/>
        <v>1</v>
      </c>
      <c r="BH7" s="192">
        <f t="shared" si="15"/>
        <v>0.0432523581</v>
      </c>
      <c r="BI7" s="192">
        <f t="shared" ref="BI7:BR7" si="20">($AS7/AU7)-SUM($BG7:BH7)</f>
        <v>0.02573512681</v>
      </c>
      <c r="BJ7" s="192">
        <f t="shared" si="20"/>
        <v>0.02697646719</v>
      </c>
      <c r="BK7" s="192">
        <f t="shared" si="20"/>
        <v>0.02758843613</v>
      </c>
      <c r="BL7" s="192">
        <f t="shared" si="20"/>
        <v>0.02977054959</v>
      </c>
      <c r="BM7" s="192">
        <f t="shared" si="20"/>
        <v>0.01635489614</v>
      </c>
      <c r="BN7" s="192">
        <f t="shared" si="20"/>
        <v>0.01852662798</v>
      </c>
      <c r="BO7" s="192">
        <f t="shared" si="20"/>
        <v>0.01722275156</v>
      </c>
      <c r="BP7" s="192">
        <f t="shared" si="20"/>
        <v>0.0174961029</v>
      </c>
      <c r="BQ7" s="192">
        <f t="shared" si="20"/>
        <v>0.01966418931</v>
      </c>
      <c r="BR7" s="192">
        <f t="shared" si="20"/>
        <v>0.01276600381</v>
      </c>
    </row>
    <row r="8">
      <c r="A8" s="8" t="s">
        <v>159</v>
      </c>
      <c r="B8" s="195" t="s">
        <v>160</v>
      </c>
      <c r="C8" s="44" t="s">
        <v>161</v>
      </c>
      <c r="D8" s="113" t="s">
        <v>95</v>
      </c>
      <c r="E8" s="194">
        <f t="shared" si="2"/>
        <v>20.80705991</v>
      </c>
      <c r="F8" s="194">
        <f t="shared" si="3"/>
        <v>81.83338431</v>
      </c>
      <c r="G8" s="194">
        <f>121513.31/1000</f>
        <v>121.51331</v>
      </c>
      <c r="H8" s="194"/>
      <c r="I8" s="194">
        <f t="shared" si="4"/>
        <v>121.51331</v>
      </c>
      <c r="J8" s="194">
        <f t="shared" si="5"/>
        <v>30.69326393</v>
      </c>
      <c r="K8" s="194"/>
      <c r="L8" s="194"/>
      <c r="M8" s="194"/>
      <c r="N8" s="194">
        <v>2.184791259</v>
      </c>
      <c r="O8" s="194">
        <v>1.475137</v>
      </c>
      <c r="P8" s="194">
        <f t="shared" si="6"/>
        <v>67.51844113</v>
      </c>
      <c r="Q8" s="194">
        <f t="shared" si="7"/>
        <v>210.6818182</v>
      </c>
      <c r="R8" s="194" t="s">
        <v>1725</v>
      </c>
      <c r="S8" s="194">
        <f>100*0.12</f>
        <v>12</v>
      </c>
      <c r="T8" s="194">
        <f t="shared" si="8"/>
        <v>308.2941176</v>
      </c>
      <c r="U8" s="194" t="s">
        <v>1726</v>
      </c>
      <c r="V8" s="194">
        <f>100*0.15</f>
        <v>15</v>
      </c>
      <c r="W8" s="194" t="s">
        <v>1722</v>
      </c>
      <c r="X8" s="194" t="s">
        <v>1727</v>
      </c>
      <c r="Y8" s="194" t="s">
        <v>1728</v>
      </c>
      <c r="Z8" s="194"/>
      <c r="AA8" s="194"/>
      <c r="AB8" s="194" t="s">
        <v>1729</v>
      </c>
      <c r="AC8" s="194">
        <f t="shared" si="9"/>
        <v>20.27179448</v>
      </c>
      <c r="AD8" s="194" t="s">
        <v>196</v>
      </c>
      <c r="AE8" s="194">
        <f t="shared" si="10"/>
        <v>0</v>
      </c>
      <c r="AF8" s="194">
        <v>120.715453024</v>
      </c>
      <c r="AG8" s="194">
        <f t="shared" si="11"/>
        <v>79.72820552</v>
      </c>
      <c r="AH8" s="194">
        <v>6.931914814</v>
      </c>
      <c r="AI8" s="194">
        <f t="shared" si="12"/>
        <v>4.699166799</v>
      </c>
      <c r="AJ8" s="194" t="s">
        <v>1691</v>
      </c>
      <c r="AK8" s="194">
        <f>73.48+79.29</f>
        <v>152.77</v>
      </c>
      <c r="AL8" s="194" t="s">
        <v>1220</v>
      </c>
      <c r="AM8" s="194"/>
      <c r="AN8" s="194"/>
      <c r="AO8" s="150"/>
      <c r="AP8" s="150" t="s">
        <v>0</v>
      </c>
      <c r="AQ8" s="150" t="s">
        <v>0</v>
      </c>
      <c r="AR8" s="7" t="s">
        <v>0</v>
      </c>
      <c r="AS8" s="192">
        <v>1.560024</v>
      </c>
      <c r="AT8" s="192">
        <v>1.542575</v>
      </c>
      <c r="AU8" s="192">
        <v>1.527114</v>
      </c>
      <c r="AV8" s="192">
        <v>1.523787</v>
      </c>
      <c r="AW8" s="192">
        <v>1.519988</v>
      </c>
      <c r="AX8" s="192">
        <v>1.504708</v>
      </c>
      <c r="AY8" s="192">
        <v>1.502794</v>
      </c>
      <c r="AZ8" s="192">
        <v>1.49362</v>
      </c>
      <c r="BA8" s="192">
        <v>1.489079</v>
      </c>
      <c r="BB8" s="192">
        <v>1.49023</v>
      </c>
      <c r="BC8" s="192">
        <v>1.486521</v>
      </c>
      <c r="BD8" s="192">
        <f t="shared" si="13"/>
        <v>1.475137</v>
      </c>
      <c r="BE8" s="144"/>
      <c r="BF8" s="8" t="s">
        <v>159</v>
      </c>
      <c r="BG8" s="192">
        <f t="shared" si="14"/>
        <v>1</v>
      </c>
      <c r="BH8" s="192">
        <f t="shared" si="15"/>
        <v>0.01131160559</v>
      </c>
      <c r="BI8" s="192">
        <f t="shared" ref="BI8:BR8" si="21">($AS8/AU8)-SUM($BG8:BH8)</f>
        <v>0.0102388484</v>
      </c>
      <c r="BJ8" s="192">
        <f t="shared" si="21"/>
        <v>0.002230428768</v>
      </c>
      <c r="BK8" s="192">
        <f t="shared" si="21"/>
        <v>0.002558798868</v>
      </c>
      <c r="BL8" s="192">
        <f t="shared" si="21"/>
        <v>0.0104222682</v>
      </c>
      <c r="BM8" s="192">
        <f t="shared" si="21"/>
        <v>0.001320448692</v>
      </c>
      <c r="BN8" s="192">
        <f t="shared" si="21"/>
        <v>0.006376031336</v>
      </c>
      <c r="BO8" s="192">
        <f t="shared" si="21"/>
        <v>0.00318511357</v>
      </c>
      <c r="BP8" s="192">
        <f t="shared" si="21"/>
        <v>-0.0008091621552</v>
      </c>
      <c r="BQ8" s="192">
        <f t="shared" si="21"/>
        <v>0.002611943404</v>
      </c>
      <c r="BR8" s="192">
        <f t="shared" si="21"/>
        <v>0.008098838928</v>
      </c>
    </row>
    <row r="9">
      <c r="A9" s="8" t="s">
        <v>185</v>
      </c>
      <c r="B9" s="195" t="s">
        <v>160</v>
      </c>
      <c r="C9" s="129" t="s">
        <v>186</v>
      </c>
      <c r="D9" s="113" t="s">
        <v>95</v>
      </c>
      <c r="E9" s="194">
        <f t="shared" si="2"/>
        <v>0.00000001588075198</v>
      </c>
      <c r="F9" s="194">
        <f t="shared" si="3"/>
        <v>21.57186184</v>
      </c>
      <c r="G9" s="194">
        <f>2496.07/1000</f>
        <v>2.49607</v>
      </c>
      <c r="H9" s="194"/>
      <c r="I9" s="194">
        <f t="shared" si="4"/>
        <v>2.49607</v>
      </c>
      <c r="J9" s="194">
        <f t="shared" si="5"/>
        <v>0.000000087</v>
      </c>
      <c r="K9" s="194"/>
      <c r="L9" s="194"/>
      <c r="M9" s="194"/>
      <c r="N9" s="194">
        <v>6.465287096</v>
      </c>
      <c r="O9" s="194">
        <v>5.47833</v>
      </c>
      <c r="P9" s="194">
        <f t="shared" si="6"/>
        <v>84.73452019</v>
      </c>
      <c r="Q9" s="194">
        <f t="shared" si="7"/>
        <v>1017</v>
      </c>
      <c r="R9" s="194" t="s">
        <v>1730</v>
      </c>
      <c r="S9" s="194">
        <f>100*0.9</f>
        <v>90</v>
      </c>
      <c r="T9" s="194">
        <f t="shared" si="8"/>
        <v>1016.264151</v>
      </c>
      <c r="U9" s="194" t="s">
        <v>1731</v>
      </c>
      <c r="V9" s="194">
        <f>100*0.47</f>
        <v>47</v>
      </c>
      <c r="W9" s="194" t="s">
        <v>1716</v>
      </c>
      <c r="X9" s="194" t="s">
        <v>1716</v>
      </c>
      <c r="Y9" s="194" t="s">
        <v>1732</v>
      </c>
      <c r="Z9" s="194"/>
      <c r="AA9" s="194"/>
      <c r="AB9" s="194" t="s">
        <v>1733</v>
      </c>
      <c r="AC9" s="194">
        <f t="shared" si="9"/>
        <v>0.000000006769462193</v>
      </c>
      <c r="AD9" s="194" t="s">
        <v>1734</v>
      </c>
      <c r="AE9" s="194">
        <f t="shared" si="10"/>
        <v>0.00000006684843916</v>
      </c>
      <c r="AF9" s="194">
        <v>118.177777879</v>
      </c>
      <c r="AG9" s="194">
        <f t="shared" si="11"/>
        <v>99.99999993</v>
      </c>
      <c r="AH9" s="194">
        <v>38.930016508</v>
      </c>
      <c r="AI9" s="194">
        <f t="shared" si="12"/>
        <v>7.106183181</v>
      </c>
      <c r="AJ9" s="194" t="s">
        <v>1691</v>
      </c>
      <c r="AK9" s="194">
        <f>54.67+57.94</f>
        <v>112.61</v>
      </c>
      <c r="AL9" s="194" t="s">
        <v>1220</v>
      </c>
      <c r="AM9" s="194"/>
      <c r="AN9" s="194"/>
      <c r="AO9" s="150"/>
      <c r="AP9" s="150" t="s">
        <v>0</v>
      </c>
      <c r="AQ9" s="150" t="s">
        <v>0</v>
      </c>
      <c r="AR9" s="7" t="s">
        <v>0</v>
      </c>
      <c r="AS9" s="192">
        <v>8.153776</v>
      </c>
      <c r="AT9" s="192">
        <v>7.574976</v>
      </c>
      <c r="AU9" s="192">
        <v>7.120027</v>
      </c>
      <c r="AV9" s="192">
        <v>6.924851</v>
      </c>
      <c r="AW9" s="192">
        <v>6.722006</v>
      </c>
      <c r="AX9" s="192">
        <v>6.507754</v>
      </c>
      <c r="AY9" s="192">
        <v>6.30817</v>
      </c>
      <c r="AZ9" s="192">
        <v>6.067918</v>
      </c>
      <c r="BA9" s="192">
        <v>5.909651</v>
      </c>
      <c r="BB9" s="192">
        <v>5.853317</v>
      </c>
      <c r="BC9" s="192">
        <v>5.753746</v>
      </c>
      <c r="BD9" s="192">
        <f t="shared" si="13"/>
        <v>5.47833</v>
      </c>
      <c r="BE9" s="144"/>
      <c r="BF9" s="8" t="s">
        <v>185</v>
      </c>
      <c r="BG9" s="192">
        <f t="shared" si="14"/>
        <v>1</v>
      </c>
      <c r="BH9" s="192">
        <f t="shared" si="15"/>
        <v>0.07640948301</v>
      </c>
      <c r="BI9" s="192">
        <f t="shared" ref="BI9:BR9" si="22">($AS9/AU9)-SUM($BG9:BH9)</f>
        <v>0.0687794327</v>
      </c>
      <c r="BJ9" s="192">
        <f t="shared" si="22"/>
        <v>0.03227699655</v>
      </c>
      <c r="BK9" s="192">
        <f t="shared" si="22"/>
        <v>0.03553151737</v>
      </c>
      <c r="BL9" s="192">
        <f t="shared" si="22"/>
        <v>0.03993499528</v>
      </c>
      <c r="BM9" s="192">
        <f t="shared" si="22"/>
        <v>0.03964149113</v>
      </c>
      <c r="BN9" s="192">
        <f t="shared" si="22"/>
        <v>0.05117792766</v>
      </c>
      <c r="BO9" s="192">
        <f t="shared" si="22"/>
        <v>0.03598716287</v>
      </c>
      <c r="BP9" s="192">
        <f t="shared" si="22"/>
        <v>0.01327900355</v>
      </c>
      <c r="BQ9" s="192">
        <f t="shared" si="22"/>
        <v>0.02410676389</v>
      </c>
      <c r="BR9" s="192">
        <f t="shared" si="22"/>
        <v>0.07124412672</v>
      </c>
    </row>
    <row r="10">
      <c r="A10" s="8" t="s">
        <v>209</v>
      </c>
      <c r="B10" s="195" t="s">
        <v>160</v>
      </c>
      <c r="C10" s="21" t="s">
        <v>210</v>
      </c>
      <c r="D10" s="113" t="s">
        <v>211</v>
      </c>
      <c r="E10" s="194">
        <f t="shared" si="2"/>
        <v>53.17384438</v>
      </c>
      <c r="F10" s="194">
        <f t="shared" si="3"/>
        <v>1.78777025</v>
      </c>
      <c r="G10" s="194">
        <f>102277.3/1000</f>
        <v>102.2773</v>
      </c>
      <c r="H10" s="194"/>
      <c r="I10" s="194">
        <f t="shared" si="4"/>
        <v>102.2773</v>
      </c>
      <c r="J10" s="194">
        <f t="shared" si="5"/>
        <v>301.5589745</v>
      </c>
      <c r="K10" s="194"/>
      <c r="L10" s="194"/>
      <c r="M10" s="194"/>
      <c r="N10" s="194" t="s">
        <v>1735</v>
      </c>
      <c r="O10" s="194" t="s">
        <v>1736</v>
      </c>
      <c r="P10" s="194">
        <f t="shared" si="6"/>
        <v>43.13798945</v>
      </c>
      <c r="Q10" s="194">
        <f t="shared" si="7"/>
        <v>1448.210526</v>
      </c>
      <c r="R10" s="194" t="s">
        <v>1737</v>
      </c>
      <c r="S10" s="194">
        <f>100*0.24</f>
        <v>24</v>
      </c>
      <c r="T10" s="194">
        <f t="shared" si="8"/>
        <v>3378.375</v>
      </c>
      <c r="U10" s="194" t="s">
        <v>1738</v>
      </c>
      <c r="V10" s="194">
        <f>100*0.36</f>
        <v>36</v>
      </c>
      <c r="W10" s="194" t="s">
        <v>1739</v>
      </c>
      <c r="X10" s="194" t="s">
        <v>1740</v>
      </c>
      <c r="Y10" s="194" t="s">
        <v>1741</v>
      </c>
      <c r="Z10" s="194"/>
      <c r="AA10" s="194"/>
      <c r="AB10" s="194" t="s">
        <v>1742</v>
      </c>
      <c r="AC10" s="194">
        <f t="shared" si="9"/>
        <v>96.74723848</v>
      </c>
      <c r="AD10" s="194" t="s">
        <v>196</v>
      </c>
      <c r="AE10" s="194">
        <f t="shared" si="10"/>
        <v>0</v>
      </c>
      <c r="AF10" s="194" t="s">
        <v>1743</v>
      </c>
      <c r="AG10" s="194">
        <f t="shared" si="11"/>
        <v>3.252761517</v>
      </c>
      <c r="AH10" s="194" t="s">
        <v>1744</v>
      </c>
      <c r="AI10" s="194">
        <f t="shared" si="12"/>
        <v>3.915308941</v>
      </c>
      <c r="AJ10" s="194" t="s">
        <v>1691</v>
      </c>
      <c r="AK10" s="194">
        <f>74.37+80.37</f>
        <v>154.74</v>
      </c>
      <c r="AL10" s="194" t="s">
        <v>1220</v>
      </c>
      <c r="AM10" s="194"/>
      <c r="AN10" s="194"/>
      <c r="AO10" s="22"/>
      <c r="AP10" s="150" t="s">
        <v>0</v>
      </c>
      <c r="AQ10" s="150" t="s">
        <v>0</v>
      </c>
      <c r="AR10" s="7" t="s">
        <v>0</v>
      </c>
      <c r="AS10" s="192">
        <v>7.019082</v>
      </c>
      <c r="AT10" s="192">
        <v>6.769678</v>
      </c>
      <c r="AU10" s="192">
        <v>6.578959</v>
      </c>
      <c r="AV10" s="192">
        <v>6.400217</v>
      </c>
      <c r="AW10" s="192">
        <v>6.28012</v>
      </c>
      <c r="AX10" s="192">
        <v>6.125994</v>
      </c>
      <c r="AY10" s="192">
        <v>6.033386</v>
      </c>
      <c r="AZ10" s="192">
        <v>5.911947</v>
      </c>
      <c r="BA10" s="192">
        <v>5.846997</v>
      </c>
      <c r="BB10" s="192">
        <v>5.780745</v>
      </c>
      <c r="BC10" s="192">
        <v>5.701219</v>
      </c>
      <c r="BD10" s="192" t="str">
        <f t="shared" si="13"/>
        <v>5.67119</v>
      </c>
      <c r="BE10" s="144"/>
      <c r="BF10" s="8" t="s">
        <v>209</v>
      </c>
      <c r="BG10" s="192">
        <f t="shared" si="14"/>
        <v>1</v>
      </c>
      <c r="BH10" s="192">
        <f t="shared" si="15"/>
        <v>0.03684133869</v>
      </c>
      <c r="BI10" s="192">
        <f t="shared" ref="BI10:BR10" si="23">($AS10/AU10)-SUM($BG10:BH10)</f>
        <v>0.03005723904</v>
      </c>
      <c r="BJ10" s="192">
        <f t="shared" si="23"/>
        <v>0.02979579998</v>
      </c>
      <c r="BK10" s="192">
        <f t="shared" si="23"/>
        <v>0.02097248216</v>
      </c>
      <c r="BL10" s="192">
        <f t="shared" si="23"/>
        <v>0.02811976676</v>
      </c>
      <c r="BM10" s="192">
        <f t="shared" si="23"/>
        <v>0.01758697486</v>
      </c>
      <c r="BN10" s="192">
        <f t="shared" si="23"/>
        <v>0.02389719103</v>
      </c>
      <c r="BO10" s="192">
        <f t="shared" si="23"/>
        <v>0.01318852019</v>
      </c>
      <c r="BP10" s="192">
        <f t="shared" si="23"/>
        <v>0.01375823192</v>
      </c>
      <c r="BQ10" s="192">
        <f t="shared" si="23"/>
        <v>0.01693705582</v>
      </c>
      <c r="BR10" s="192">
        <f t="shared" si="23"/>
        <v>0.006518974236</v>
      </c>
    </row>
    <row r="11">
      <c r="A11" s="8" t="s">
        <v>232</v>
      </c>
      <c r="B11" s="195" t="s">
        <v>233</v>
      </c>
      <c r="C11" s="22" t="s">
        <v>234</v>
      </c>
      <c r="D11" s="113" t="s">
        <v>211</v>
      </c>
      <c r="E11" s="194">
        <f t="shared" si="2"/>
        <v>66.56981141</v>
      </c>
      <c r="F11" s="194">
        <f t="shared" si="3"/>
        <v>0.7712548651</v>
      </c>
      <c r="G11" s="194">
        <f>44169.33/1000</f>
        <v>44.16933</v>
      </c>
      <c r="H11" s="194"/>
      <c r="I11" s="194">
        <f t="shared" si="4"/>
        <v>44.16933</v>
      </c>
      <c r="J11" s="194">
        <f t="shared" si="5"/>
        <v>136.8349796</v>
      </c>
      <c r="K11" s="194"/>
      <c r="L11" s="194"/>
      <c r="M11" s="194"/>
      <c r="N11" s="194">
        <v>2.181140937</v>
      </c>
      <c r="O11" s="194">
        <v>2.055511</v>
      </c>
      <c r="P11" s="194">
        <f t="shared" si="6"/>
        <v>94.24017335</v>
      </c>
      <c r="Q11" s="194">
        <f t="shared" si="7"/>
        <v>159.3658537</v>
      </c>
      <c r="R11" s="194" t="s">
        <v>1745</v>
      </c>
      <c r="S11" s="194">
        <f>100*0.18</f>
        <v>18</v>
      </c>
      <c r="T11" s="194">
        <f t="shared" si="8"/>
        <v>2664</v>
      </c>
      <c r="U11" s="194" t="s">
        <v>1746</v>
      </c>
      <c r="V11" s="194">
        <f>100*0.75</f>
        <v>75</v>
      </c>
      <c r="W11" s="194" t="s">
        <v>1747</v>
      </c>
      <c r="X11" s="194" t="s">
        <v>1748</v>
      </c>
      <c r="Y11" s="194" t="s">
        <v>1749</v>
      </c>
      <c r="Z11" s="194"/>
      <c r="AA11" s="194"/>
      <c r="AB11" s="194" t="s">
        <v>1750</v>
      </c>
      <c r="AC11" s="194">
        <f t="shared" si="9"/>
        <v>98.85470351</v>
      </c>
      <c r="AD11" s="194" t="s">
        <v>196</v>
      </c>
      <c r="AE11" s="194">
        <f t="shared" si="10"/>
        <v>0</v>
      </c>
      <c r="AF11" s="194" t="s">
        <v>1751</v>
      </c>
      <c r="AG11" s="194">
        <f t="shared" si="11"/>
        <v>1.145296485</v>
      </c>
      <c r="AH11" s="194" t="s">
        <v>1752</v>
      </c>
      <c r="AI11" s="194">
        <f t="shared" si="12"/>
        <v>1.112403211</v>
      </c>
      <c r="AJ11" s="194" t="s">
        <v>1691</v>
      </c>
      <c r="AK11" s="194">
        <f>70.47+76.18</f>
        <v>146.65</v>
      </c>
      <c r="AL11" s="194" t="s">
        <v>1220</v>
      </c>
      <c r="AM11" s="194"/>
      <c r="AN11" s="194"/>
      <c r="AO11" s="22"/>
      <c r="AP11" s="150" t="s">
        <v>0</v>
      </c>
      <c r="AQ11" s="150" t="s">
        <v>0</v>
      </c>
      <c r="AR11" s="7" t="s">
        <v>0</v>
      </c>
      <c r="AS11" s="192">
        <v>3.384826</v>
      </c>
      <c r="AT11" s="192">
        <v>3.133048</v>
      </c>
      <c r="AU11" s="192">
        <v>2.938738</v>
      </c>
      <c r="AV11" s="192">
        <v>2.775514</v>
      </c>
      <c r="AW11" s="192">
        <v>2.650286</v>
      </c>
      <c r="AX11" s="192">
        <v>2.50993</v>
      </c>
      <c r="AY11" s="192">
        <v>2.399313</v>
      </c>
      <c r="AZ11" s="192">
        <v>2.319519</v>
      </c>
      <c r="BA11" s="192">
        <v>2.210786</v>
      </c>
      <c r="BB11" s="192">
        <v>2.127666</v>
      </c>
      <c r="BC11" s="192">
        <v>2.052092</v>
      </c>
      <c r="BD11" s="192">
        <f t="shared" si="13"/>
        <v>2.055511</v>
      </c>
      <c r="BE11" s="144"/>
      <c r="BF11" s="8" t="s">
        <v>232</v>
      </c>
      <c r="BG11" s="192">
        <f t="shared" si="14"/>
        <v>1</v>
      </c>
      <c r="BH11" s="192">
        <f t="shared" si="15"/>
        <v>0.08036199892</v>
      </c>
      <c r="BI11" s="192">
        <f t="shared" ref="BI11:BR11" si="24">($AS11/AU11)-SUM($BG11:BH11)</f>
        <v>0.07143377192</v>
      </c>
      <c r="BJ11" s="192">
        <f t="shared" si="24"/>
        <v>0.06773545833</v>
      </c>
      <c r="BK11" s="192">
        <f t="shared" si="24"/>
        <v>0.05762376467</v>
      </c>
      <c r="BL11" s="192">
        <f t="shared" si="24"/>
        <v>0.07141887077</v>
      </c>
      <c r="BM11" s="192">
        <f t="shared" si="24"/>
        <v>0.06217412867</v>
      </c>
      <c r="BN11" s="192">
        <f t="shared" si="24"/>
        <v>0.04853127971</v>
      </c>
      <c r="BO11" s="192">
        <f t="shared" si="24"/>
        <v>0.0717716745</v>
      </c>
      <c r="BP11" s="192">
        <f t="shared" si="24"/>
        <v>0.0598124681</v>
      </c>
      <c r="BQ11" s="192">
        <f t="shared" si="24"/>
        <v>0.05858797353</v>
      </c>
      <c r="BR11" s="192">
        <f t="shared" si="24"/>
        <v>-0.002743587507</v>
      </c>
    </row>
    <row r="12">
      <c r="A12" s="57" t="s">
        <v>258</v>
      </c>
      <c r="B12" s="195" t="s">
        <v>233</v>
      </c>
      <c r="C12" s="22" t="s">
        <v>259</v>
      </c>
      <c r="D12" s="113" t="s">
        <v>211</v>
      </c>
      <c r="E12" s="194">
        <f t="shared" si="2"/>
        <v>11.24502865</v>
      </c>
      <c r="F12" s="194">
        <f t="shared" si="3"/>
        <v>35.63225786</v>
      </c>
      <c r="G12" s="194">
        <f>55983.01/1000</f>
        <v>55.98301</v>
      </c>
      <c r="H12" s="194"/>
      <c r="I12" s="194">
        <f t="shared" si="4"/>
        <v>55.98301</v>
      </c>
      <c r="J12" s="194">
        <f t="shared" si="5"/>
        <v>12.2391679</v>
      </c>
      <c r="K12" s="194"/>
      <c r="L12" s="194"/>
      <c r="M12" s="194"/>
      <c r="N12" s="194">
        <v>1.14915848</v>
      </c>
      <c r="O12" s="194">
        <v>1.088407</v>
      </c>
      <c r="P12" s="194">
        <f t="shared" si="6"/>
        <v>94.7133941</v>
      </c>
      <c r="Q12" s="194">
        <f t="shared" si="7"/>
        <v>227.2941176</v>
      </c>
      <c r="R12" s="194" t="s">
        <v>1753</v>
      </c>
      <c r="S12" s="194">
        <f>100*0.32</f>
        <v>32</v>
      </c>
      <c r="T12" s="194">
        <f t="shared" si="8"/>
        <v>212.3766234</v>
      </c>
      <c r="U12" s="194" t="s">
        <v>1754</v>
      </c>
      <c r="V12" s="194">
        <f>100*0.23</f>
        <v>23</v>
      </c>
      <c r="W12" s="194" t="s">
        <v>1755</v>
      </c>
      <c r="X12" s="194" t="s">
        <v>1756</v>
      </c>
      <c r="Y12" s="194" t="s">
        <v>1757</v>
      </c>
      <c r="Z12" s="194"/>
      <c r="AA12" s="194"/>
      <c r="AB12" s="194" t="s">
        <v>1758</v>
      </c>
      <c r="AC12" s="194">
        <f t="shared" si="9"/>
        <v>23.98822434</v>
      </c>
      <c r="AD12" s="194" t="s">
        <v>1759</v>
      </c>
      <c r="AE12" s="194">
        <f t="shared" si="10"/>
        <v>0.000000003919910983</v>
      </c>
      <c r="AF12" s="194">
        <v>38.782398878</v>
      </c>
      <c r="AG12" s="194">
        <f t="shared" si="11"/>
        <v>76.01177566</v>
      </c>
      <c r="AH12" s="194">
        <v>22.782951938</v>
      </c>
      <c r="AI12" s="194">
        <f t="shared" si="12"/>
        <v>20.93238277</v>
      </c>
      <c r="AJ12" s="194" t="s">
        <v>1691</v>
      </c>
      <c r="AK12" s="194">
        <f>64.23+70.32</f>
        <v>134.55</v>
      </c>
      <c r="AL12" s="194" t="s">
        <v>1220</v>
      </c>
      <c r="AM12" s="194"/>
      <c r="AN12" s="194"/>
      <c r="AO12" s="22"/>
      <c r="AP12" s="150" t="s">
        <v>0</v>
      </c>
      <c r="AQ12" s="150" t="s">
        <v>0</v>
      </c>
      <c r="AR12" s="7" t="s">
        <v>0</v>
      </c>
      <c r="AS12" s="192">
        <v>1.435742</v>
      </c>
      <c r="AT12" s="192">
        <v>1.375635</v>
      </c>
      <c r="AU12" s="192">
        <v>1.323228</v>
      </c>
      <c r="AV12" s="192">
        <v>1.278783</v>
      </c>
      <c r="AW12" s="192">
        <v>1.240161</v>
      </c>
      <c r="AX12" s="192">
        <v>1.204609</v>
      </c>
      <c r="AY12" s="192">
        <v>1.178088</v>
      </c>
      <c r="AZ12" s="192">
        <v>1.152222</v>
      </c>
      <c r="BA12" s="192">
        <v>1.129662</v>
      </c>
      <c r="BB12" s="192">
        <v>1.111493</v>
      </c>
      <c r="BC12" s="192">
        <v>1.092726</v>
      </c>
      <c r="BD12" s="192">
        <f t="shared" si="13"/>
        <v>1.088407</v>
      </c>
      <c r="BE12" s="144"/>
      <c r="BF12" s="57" t="s">
        <v>258</v>
      </c>
      <c r="BG12" s="192">
        <f t="shared" si="14"/>
        <v>1</v>
      </c>
      <c r="BH12" s="192">
        <f t="shared" si="15"/>
        <v>0.04369400313</v>
      </c>
      <c r="BI12" s="192">
        <f t="shared" ref="BI12:BR12" si="25">($AS12/AU12)-SUM($BG12:BH12)</f>
        <v>0.0413359388</v>
      </c>
      <c r="BJ12" s="192">
        <f t="shared" si="25"/>
        <v>0.03771097658</v>
      </c>
      <c r="BK12" s="192">
        <f t="shared" si="25"/>
        <v>0.03496521803</v>
      </c>
      <c r="BL12" s="192">
        <f t="shared" si="25"/>
        <v>0.03416774121</v>
      </c>
      <c r="BM12" s="192">
        <f t="shared" si="25"/>
        <v>0.02683134631</v>
      </c>
      <c r="BN12" s="192">
        <f t="shared" si="25"/>
        <v>0.02735846853</v>
      </c>
      <c r="BO12" s="192">
        <f t="shared" si="25"/>
        <v>0.02488460876</v>
      </c>
      <c r="BP12" s="192">
        <f t="shared" si="25"/>
        <v>0.02077553317</v>
      </c>
      <c r="BQ12" s="192">
        <f t="shared" si="25"/>
        <v>0.02218468418</v>
      </c>
      <c r="BR12" s="192">
        <f t="shared" si="25"/>
        <v>0.005213831675</v>
      </c>
    </row>
    <row r="13">
      <c r="A13" s="57" t="s">
        <v>280</v>
      </c>
      <c r="B13" s="195" t="s">
        <v>233</v>
      </c>
      <c r="C13" s="22" t="s">
        <v>281</v>
      </c>
      <c r="D13" s="113" t="s">
        <v>33</v>
      </c>
      <c r="E13" s="194">
        <f t="shared" si="2"/>
        <v>9.853574266</v>
      </c>
      <c r="F13" s="194">
        <f t="shared" si="3"/>
        <v>10.03097338</v>
      </c>
      <c r="G13" s="194">
        <f>63977.93/1000</f>
        <v>63.97793</v>
      </c>
      <c r="H13" s="194"/>
      <c r="I13" s="194">
        <f t="shared" si="4"/>
        <v>63.97793</v>
      </c>
      <c r="J13" s="194">
        <f t="shared" si="5"/>
        <v>19.92121743</v>
      </c>
      <c r="K13" s="194"/>
      <c r="L13" s="194"/>
      <c r="M13" s="194"/>
      <c r="N13" s="194">
        <v>12.934622149</v>
      </c>
      <c r="O13" s="194">
        <v>2.021725</v>
      </c>
      <c r="P13" s="194">
        <f t="shared" si="6"/>
        <v>15.63033676</v>
      </c>
      <c r="Q13" s="194">
        <f t="shared" si="7"/>
        <v>457.0243902</v>
      </c>
      <c r="R13" s="194" t="s">
        <v>1760</v>
      </c>
      <c r="S13" s="194">
        <f>100*0.18</f>
        <v>18</v>
      </c>
      <c r="T13" s="194">
        <f t="shared" si="8"/>
        <v>132.9473684</v>
      </c>
      <c r="U13" s="194" t="s">
        <v>1761</v>
      </c>
      <c r="V13" s="194">
        <f>100*0.05</f>
        <v>5</v>
      </c>
      <c r="W13" s="194" t="s">
        <v>1762</v>
      </c>
      <c r="X13" s="194" t="s">
        <v>1763</v>
      </c>
      <c r="Y13" s="194" t="s">
        <v>1764</v>
      </c>
      <c r="Z13" s="194"/>
      <c r="AA13" s="194"/>
      <c r="AB13" s="194" t="s">
        <v>1765</v>
      </c>
      <c r="AC13" s="194">
        <f t="shared" si="9"/>
        <v>49.55392658</v>
      </c>
      <c r="AD13" s="194" t="s">
        <v>1766</v>
      </c>
      <c r="AE13" s="194">
        <f t="shared" si="10"/>
        <v>0.0000006218737304</v>
      </c>
      <c r="AF13" s="194">
        <v>20.279869665</v>
      </c>
      <c r="AG13" s="194">
        <f t="shared" si="11"/>
        <v>50.4460728</v>
      </c>
      <c r="AH13" s="194">
        <v>3.341562882</v>
      </c>
      <c r="AI13" s="194">
        <f t="shared" si="12"/>
        <v>1.652827601</v>
      </c>
      <c r="AJ13" s="194" t="s">
        <v>1691</v>
      </c>
      <c r="AK13" s="194">
        <f>58.99+73.26</f>
        <v>132.25</v>
      </c>
      <c r="AL13" s="194" t="s">
        <v>1220</v>
      </c>
      <c r="AM13" s="194"/>
      <c r="AN13" s="194"/>
      <c r="AO13" s="22"/>
      <c r="AP13" s="150" t="s">
        <v>0</v>
      </c>
      <c r="AQ13" s="150" t="s">
        <v>0</v>
      </c>
      <c r="AR13" s="7" t="s">
        <v>0</v>
      </c>
      <c r="AS13" s="192">
        <v>2.141197</v>
      </c>
      <c r="AT13" s="192">
        <v>2.102686</v>
      </c>
      <c r="AU13" s="192">
        <v>2.041394</v>
      </c>
      <c r="AV13" s="192">
        <v>1.995617</v>
      </c>
      <c r="AW13" s="192">
        <v>1.976752</v>
      </c>
      <c r="AX13" s="192">
        <v>1.932528</v>
      </c>
      <c r="AY13" s="192">
        <v>1.895208</v>
      </c>
      <c r="AZ13" s="192">
        <v>2.043423</v>
      </c>
      <c r="BA13" s="192">
        <v>2.093327</v>
      </c>
      <c r="BB13" s="192">
        <v>2.095861</v>
      </c>
      <c r="BC13" s="192">
        <v>2.006388</v>
      </c>
      <c r="BD13" s="192">
        <f t="shared" si="13"/>
        <v>2.021725</v>
      </c>
      <c r="BE13" s="144"/>
      <c r="BF13" s="57" t="s">
        <v>280</v>
      </c>
      <c r="BG13" s="192">
        <f t="shared" si="14"/>
        <v>1</v>
      </c>
      <c r="BH13" s="192">
        <f t="shared" si="15"/>
        <v>0.01831514549</v>
      </c>
      <c r="BI13" s="192">
        <f t="shared" ref="BI13:BR13" si="26">($AS13/AU13)-SUM($BG13:BH13)</f>
        <v>0.03057448582</v>
      </c>
      <c r="BJ13" s="192">
        <f t="shared" si="26"/>
        <v>0.02406023834</v>
      </c>
      <c r="BK13" s="192">
        <f t="shared" si="26"/>
        <v>0.01023962505</v>
      </c>
      <c r="BL13" s="192">
        <f t="shared" si="26"/>
        <v>0.02478772479</v>
      </c>
      <c r="BM13" s="192">
        <f t="shared" si="26"/>
        <v>0.02181803255</v>
      </c>
      <c r="BN13" s="192">
        <f t="shared" si="26"/>
        <v>-0.08194710703</v>
      </c>
      <c r="BO13" s="192">
        <f t="shared" si="26"/>
        <v>-0.02498024142</v>
      </c>
      <c r="BP13" s="192">
        <f t="shared" si="26"/>
        <v>-0.001236698077</v>
      </c>
      <c r="BQ13" s="192">
        <f t="shared" si="26"/>
        <v>0.04555868997</v>
      </c>
      <c r="BR13" s="192">
        <f t="shared" si="26"/>
        <v>-0.008095805031</v>
      </c>
    </row>
    <row r="14">
      <c r="A14" s="63" t="s">
        <v>0</v>
      </c>
      <c r="B14" s="62" t="s">
        <v>0</v>
      </c>
      <c r="C14" s="62" t="s">
        <v>0</v>
      </c>
      <c r="D14" s="62" t="s">
        <v>0</v>
      </c>
      <c r="E14" s="63" t="s">
        <v>0</v>
      </c>
      <c r="F14" s="63"/>
      <c r="G14" s="63" t="s">
        <v>0</v>
      </c>
      <c r="H14" s="63"/>
      <c r="I14" s="63"/>
      <c r="J14" s="63" t="s">
        <v>0</v>
      </c>
      <c r="K14" s="63" t="s">
        <v>0</v>
      </c>
      <c r="L14" s="63" t="s">
        <v>0</v>
      </c>
      <c r="M14" s="63" t="s">
        <v>0</v>
      </c>
      <c r="N14" s="63" t="s">
        <v>0</v>
      </c>
      <c r="O14" s="63"/>
      <c r="P14" s="63" t="s">
        <v>0</v>
      </c>
      <c r="Q14" s="63" t="s">
        <v>0</v>
      </c>
      <c r="R14" s="63" t="s">
        <v>0</v>
      </c>
      <c r="S14" s="63" t="s">
        <v>0</v>
      </c>
      <c r="T14" s="63"/>
      <c r="U14" s="63"/>
      <c r="V14" s="63"/>
      <c r="W14" s="63"/>
      <c r="X14" s="63"/>
      <c r="Y14" s="63"/>
      <c r="Z14" s="63" t="s">
        <v>0</v>
      </c>
      <c r="AA14" s="63" t="s">
        <v>0</v>
      </c>
      <c r="AB14" s="63" t="s">
        <v>0</v>
      </c>
      <c r="AC14" s="63" t="s">
        <v>0</v>
      </c>
      <c r="AD14" s="63" t="s">
        <v>0</v>
      </c>
      <c r="AE14" s="63" t="s">
        <v>0</v>
      </c>
      <c r="AF14" s="63"/>
      <c r="AG14" s="63" t="s">
        <v>0</v>
      </c>
      <c r="AH14" s="63"/>
      <c r="AI14" s="63"/>
      <c r="AJ14" s="63"/>
      <c r="AK14" s="63"/>
      <c r="AL14" s="63"/>
      <c r="AM14" s="63" t="s">
        <v>0</v>
      </c>
      <c r="AN14" s="63" t="s">
        <v>0</v>
      </c>
      <c r="AO14" s="63" t="s">
        <v>0</v>
      </c>
      <c r="AP14" s="63" t="s">
        <v>0</v>
      </c>
      <c r="AQ14" s="63" t="s">
        <v>0</v>
      </c>
      <c r="AR14" s="63" t="s">
        <v>0</v>
      </c>
      <c r="AS14" s="63" t="s">
        <v>0</v>
      </c>
      <c r="AT14" s="63"/>
      <c r="AU14" s="63" t="s">
        <v>0</v>
      </c>
      <c r="AV14" s="63"/>
      <c r="AW14" s="63" t="s">
        <v>0</v>
      </c>
      <c r="AX14" s="63"/>
      <c r="AY14" s="63" t="s">
        <v>0</v>
      </c>
      <c r="AZ14" s="63"/>
      <c r="BA14" s="63"/>
      <c r="BB14" s="63" t="s">
        <v>0</v>
      </c>
      <c r="BC14" s="63"/>
      <c r="BD14" s="63" t="s">
        <v>0</v>
      </c>
      <c r="BE14" s="63"/>
      <c r="BF14" s="63"/>
      <c r="BG14" s="63" t="s">
        <v>0</v>
      </c>
      <c r="BH14" s="63" t="s">
        <v>0</v>
      </c>
      <c r="BI14" s="63" t="s">
        <v>0</v>
      </c>
      <c r="BJ14" s="63" t="s">
        <v>0</v>
      </c>
      <c r="BK14" s="63" t="s">
        <v>0</v>
      </c>
      <c r="BL14" s="63" t="s">
        <v>0</v>
      </c>
      <c r="BM14" s="63" t="s">
        <v>0</v>
      </c>
      <c r="BN14" s="63" t="s">
        <v>0</v>
      </c>
      <c r="BO14" s="63" t="s">
        <v>0</v>
      </c>
      <c r="BP14" s="63" t="s">
        <v>0</v>
      </c>
      <c r="BQ14" s="63" t="s">
        <v>0</v>
      </c>
      <c r="BR14" s="63" t="s">
        <v>0</v>
      </c>
    </row>
    <row r="15">
      <c r="A15" s="65" t="s">
        <v>303</v>
      </c>
      <c r="B15" s="136" t="s">
        <v>1</v>
      </c>
      <c r="C15" s="3" t="s">
        <v>304</v>
      </c>
      <c r="D15" s="3" t="s">
        <v>3</v>
      </c>
      <c r="E15" s="3" t="s">
        <v>4</v>
      </c>
      <c r="F15" s="3" t="s">
        <v>1649</v>
      </c>
      <c r="G15" s="3" t="s">
        <v>1650</v>
      </c>
      <c r="H15" s="3"/>
      <c r="I15" s="3" t="s">
        <v>1652</v>
      </c>
      <c r="J15" s="3" t="s">
        <v>6</v>
      </c>
      <c r="K15" s="3" t="s">
        <v>7</v>
      </c>
      <c r="L15" s="3" t="s">
        <v>1158</v>
      </c>
      <c r="M15" s="3" t="s">
        <v>1436</v>
      </c>
      <c r="N15" s="3" t="s">
        <v>305</v>
      </c>
      <c r="O15" s="3"/>
      <c r="P15" s="3" t="s">
        <v>306</v>
      </c>
      <c r="Q15" s="3" t="s">
        <v>0</v>
      </c>
      <c r="R15" s="3" t="s">
        <v>0</v>
      </c>
      <c r="S15" s="3" t="s">
        <v>12</v>
      </c>
      <c r="T15" s="3"/>
      <c r="U15" s="3"/>
      <c r="V15" s="3"/>
      <c r="W15" s="3" t="s">
        <v>1659</v>
      </c>
      <c r="X15" s="3" t="s">
        <v>1660</v>
      </c>
      <c r="Y15" s="3" t="s">
        <v>1661</v>
      </c>
      <c r="Z15" s="3" t="s">
        <v>1161</v>
      </c>
      <c r="AA15" s="3" t="s">
        <v>1162</v>
      </c>
      <c r="AB15" s="5" t="s">
        <v>15</v>
      </c>
      <c r="AC15" s="5" t="s">
        <v>16</v>
      </c>
      <c r="AD15" s="5" t="s">
        <v>17</v>
      </c>
      <c r="AE15" s="5" t="s">
        <v>18</v>
      </c>
      <c r="AF15" s="5" t="s">
        <v>1664</v>
      </c>
      <c r="AG15" s="5" t="s">
        <v>20</v>
      </c>
      <c r="AH15" s="5"/>
      <c r="AI15" s="5"/>
      <c r="AJ15" s="5"/>
      <c r="AK15" s="5"/>
      <c r="AL15" s="5"/>
      <c r="AM15" s="5" t="s">
        <v>21</v>
      </c>
      <c r="AN15" s="5" t="s">
        <v>1164</v>
      </c>
      <c r="AO15" s="5" t="s">
        <v>1165</v>
      </c>
      <c r="AP15" s="7" t="s">
        <v>0</v>
      </c>
      <c r="AQ15" s="7" t="s">
        <v>0</v>
      </c>
      <c r="AR15" s="7" t="s">
        <v>0</v>
      </c>
      <c r="AS15" s="141" t="s">
        <v>1173</v>
      </c>
      <c r="AT15" s="141" t="s">
        <v>1670</v>
      </c>
      <c r="AU15" s="141" t="s">
        <v>1174</v>
      </c>
      <c r="AV15" s="141" t="s">
        <v>1671</v>
      </c>
      <c r="AW15" s="141" t="s">
        <v>1175</v>
      </c>
      <c r="AX15" s="141" t="s">
        <v>1672</v>
      </c>
      <c r="AY15" s="141" t="s">
        <v>1176</v>
      </c>
      <c r="AZ15" s="141" t="s">
        <v>1673</v>
      </c>
      <c r="BA15" s="141" t="s">
        <v>1674</v>
      </c>
      <c r="BB15" s="141" t="s">
        <v>1177</v>
      </c>
      <c r="BC15" s="141" t="s">
        <v>1675</v>
      </c>
      <c r="BD15" s="141" t="s">
        <v>1676</v>
      </c>
      <c r="BE15" s="191"/>
      <c r="BF15" s="65"/>
      <c r="BG15" s="192"/>
      <c r="BH15" s="192"/>
      <c r="BI15" s="192"/>
      <c r="BJ15" s="192"/>
      <c r="BK15" s="192"/>
      <c r="BL15" s="192"/>
      <c r="BM15" s="192"/>
      <c r="BN15" s="192"/>
      <c r="BO15" s="192"/>
      <c r="BP15" s="192"/>
      <c r="BQ15" s="192"/>
      <c r="BR15" s="192"/>
    </row>
    <row r="16">
      <c r="A16" s="66" t="s">
        <v>307</v>
      </c>
      <c r="B16" s="196" t="s">
        <v>308</v>
      </c>
      <c r="C16" s="67" t="s">
        <v>309</v>
      </c>
      <c r="D16" s="68" t="s">
        <v>310</v>
      </c>
      <c r="E16" s="194">
        <f t="shared" ref="E16:E23" si="28">J16/O16</f>
        <v>46.7329452</v>
      </c>
      <c r="F16" s="194">
        <f t="shared" ref="F16:F23" si="29">AF16/O16</f>
        <v>291.3976591</v>
      </c>
      <c r="G16" s="194">
        <f>111500.02/1000</f>
        <v>111.50002</v>
      </c>
      <c r="H16" s="194"/>
      <c r="I16" s="194">
        <f t="shared" ref="I16:I23" si="30">G16</f>
        <v>111.50002</v>
      </c>
      <c r="J16" s="194">
        <f t="shared" ref="J16:J20" si="31">AB16+AD16
</f>
        <v>612.3034132</v>
      </c>
      <c r="K16" s="194"/>
      <c r="L16" s="194"/>
      <c r="M16" s="194"/>
      <c r="N16" s="194">
        <v>15.260543168</v>
      </c>
      <c r="O16" s="194">
        <v>13.102179</v>
      </c>
      <c r="P16" s="194">
        <f t="shared" ref="P16:P23" si="32">O16/N16*100</f>
        <v>85.85657048</v>
      </c>
      <c r="Q16" s="194">
        <f t="shared" ref="Q16:Q23" si="33">((100*R16)-((100-S16)*R16))/(100-S16)</f>
        <v>3113.052632</v>
      </c>
      <c r="R16" s="194" t="s">
        <v>1767</v>
      </c>
      <c r="S16" s="194">
        <f>100*0.24</f>
        <v>24</v>
      </c>
      <c r="T16" s="194">
        <f t="shared" ref="T16:T23" si="34">((100*U16)-((100-V16)*U16))/(100-V16)</f>
        <v>4438.356164</v>
      </c>
      <c r="U16" s="194" t="s">
        <v>1768</v>
      </c>
      <c r="V16" s="194">
        <f>100*0.27</f>
        <v>27</v>
      </c>
      <c r="W16" s="194" t="s">
        <v>1769</v>
      </c>
      <c r="X16" s="194" t="s">
        <v>1770</v>
      </c>
      <c r="Y16" s="194" t="s">
        <v>1771</v>
      </c>
      <c r="Z16" s="194"/>
      <c r="AA16" s="194"/>
      <c r="AB16" s="194" t="s">
        <v>1772</v>
      </c>
      <c r="AC16" s="194">
        <f t="shared" ref="AC16:AC20" si="35">AB16*100/(AB16+AD16+AF16)</f>
        <v>13.82097465</v>
      </c>
      <c r="AD16" s="194" t="s">
        <v>1773</v>
      </c>
      <c r="AE16" s="194">
        <f t="shared" ref="AE16:AE20" si="36">AD16*100/(AB16+AD16+AF16)</f>
        <v>0.00000002532589767</v>
      </c>
      <c r="AF16" s="194">
        <v>3817.944290347</v>
      </c>
      <c r="AG16" s="194">
        <f t="shared" ref="AG16:AG20" si="37">AF16*100/(AB16+AD16+AF16)</f>
        <v>86.17902532</v>
      </c>
      <c r="AH16" s="194">
        <v>4.82602772</v>
      </c>
      <c r="AI16" s="194">
        <f t="shared" ref="AI16:AI23" si="38">AH16/O16</f>
        <v>0.3683377948</v>
      </c>
      <c r="AJ16" s="194" t="s">
        <v>1691</v>
      </c>
      <c r="AK16" s="194">
        <f>73.65+79.55</f>
        <v>153.2</v>
      </c>
      <c r="AL16" s="194" t="s">
        <v>1220</v>
      </c>
      <c r="AM16" s="194"/>
      <c r="AN16" s="194"/>
      <c r="AO16" s="70"/>
      <c r="AP16" s="36" t="s">
        <v>0</v>
      </c>
      <c r="AQ16" s="36" t="s">
        <v>0</v>
      </c>
      <c r="AR16" s="7" t="s">
        <v>0</v>
      </c>
      <c r="AS16" s="192">
        <v>14.714174</v>
      </c>
      <c r="AT16" s="192">
        <v>14.59062</v>
      </c>
      <c r="AU16" s="192">
        <v>14.167655</v>
      </c>
      <c r="AV16" s="192">
        <v>13.567053</v>
      </c>
      <c r="AW16" s="192">
        <v>13.673806</v>
      </c>
      <c r="AX16" s="192">
        <v>13.769191</v>
      </c>
      <c r="AY16" s="192">
        <v>13.730482</v>
      </c>
      <c r="AZ16" s="192">
        <v>13.655122</v>
      </c>
      <c r="BA16" s="192">
        <v>13.703242</v>
      </c>
      <c r="BB16" s="192">
        <v>13.324095</v>
      </c>
      <c r="BC16" s="192">
        <v>13.423275</v>
      </c>
      <c r="BD16" s="192">
        <f t="shared" ref="BD16:BD23" si="39">O16</f>
        <v>13.102179</v>
      </c>
      <c r="BE16" s="144"/>
      <c r="BF16" s="66" t="s">
        <v>307</v>
      </c>
      <c r="BG16" s="192">
        <f t="shared" ref="BG16:BG23" si="40">$AS16/AS16</f>
        <v>1</v>
      </c>
      <c r="BH16" s="192">
        <f t="shared" ref="BH16:BH23" si="41">($AS16/AT16)-SUM($BG16)</f>
        <v>0.008468043167</v>
      </c>
      <c r="BI16" s="192">
        <f t="shared" ref="BI16:BR16" si="27">($AS16/AU16)-SUM($BG16:BH16)</f>
        <v>0.03010707742</v>
      </c>
      <c r="BJ16" s="192">
        <f t="shared" si="27"/>
        <v>0.04597684512</v>
      </c>
      <c r="BK16" s="192">
        <f t="shared" si="27"/>
        <v>-0.008467223829</v>
      </c>
      <c r="BL16" s="192">
        <f t="shared" si="27"/>
        <v>-0.007454493376</v>
      </c>
      <c r="BM16" s="192">
        <f t="shared" si="27"/>
        <v>0.003012684354</v>
      </c>
      <c r="BN16" s="192">
        <f t="shared" si="27"/>
        <v>0.005914191863</v>
      </c>
      <c r="BO16" s="192">
        <f t="shared" si="27"/>
        <v>-0.003783925646</v>
      </c>
      <c r="BP16" s="192">
        <f t="shared" si="27"/>
        <v>0.03055501234</v>
      </c>
      <c r="BQ16" s="192">
        <f t="shared" si="27"/>
        <v>-0.008159504443</v>
      </c>
      <c r="BR16" s="192">
        <f t="shared" si="27"/>
        <v>0.02686388174</v>
      </c>
    </row>
    <row r="17">
      <c r="A17" s="66" t="s">
        <v>335</v>
      </c>
      <c r="B17" s="196" t="s">
        <v>93</v>
      </c>
      <c r="C17" s="67" t="s">
        <v>336</v>
      </c>
      <c r="D17" s="68" t="s">
        <v>337</v>
      </c>
      <c r="E17" s="194">
        <f t="shared" si="28"/>
        <v>134.0382493</v>
      </c>
      <c r="F17" s="194">
        <f t="shared" si="29"/>
        <v>2195.018265</v>
      </c>
      <c r="G17" s="194">
        <f>12394.99/1000</f>
        <v>12.39499</v>
      </c>
      <c r="H17" s="194"/>
      <c r="I17" s="194">
        <f t="shared" si="30"/>
        <v>12.39499</v>
      </c>
      <c r="J17" s="194">
        <f t="shared" si="31"/>
        <v>1701.103817</v>
      </c>
      <c r="K17" s="194"/>
      <c r="L17" s="194"/>
      <c r="M17" s="194"/>
      <c r="N17" s="194">
        <v>12.775440806</v>
      </c>
      <c r="O17" s="194">
        <v>12.691182</v>
      </c>
      <c r="P17" s="194">
        <f t="shared" si="32"/>
        <v>99.34046263</v>
      </c>
      <c r="Q17" s="194">
        <f t="shared" si="33"/>
        <v>1729.883721</v>
      </c>
      <c r="R17" s="194" t="s">
        <v>1774</v>
      </c>
      <c r="S17" s="194">
        <f>100*0.57</f>
        <v>57</v>
      </c>
      <c r="T17" s="194">
        <f t="shared" si="34"/>
        <v>15839.25</v>
      </c>
      <c r="U17" s="194" t="s">
        <v>1775</v>
      </c>
      <c r="V17" s="194">
        <f>100*0.84</f>
        <v>84</v>
      </c>
      <c r="W17" s="194" t="s">
        <v>1776</v>
      </c>
      <c r="X17" s="194" t="s">
        <v>1777</v>
      </c>
      <c r="Y17" s="194" t="s">
        <v>1778</v>
      </c>
      <c r="Z17" s="194"/>
      <c r="AA17" s="194"/>
      <c r="AB17" s="194" t="s">
        <v>1779</v>
      </c>
      <c r="AC17" s="194">
        <f t="shared" si="35"/>
        <v>0.430745839</v>
      </c>
      <c r="AD17" s="194" t="s">
        <v>1780</v>
      </c>
      <c r="AE17" s="194">
        <f t="shared" si="36"/>
        <v>5.324299112</v>
      </c>
      <c r="AF17" s="194">
        <v>27857.376289142</v>
      </c>
      <c r="AG17" s="194">
        <f t="shared" si="37"/>
        <v>94.24495505</v>
      </c>
      <c r="AH17" s="194">
        <v>114.787488624</v>
      </c>
      <c r="AI17" s="194">
        <f t="shared" si="38"/>
        <v>9.04466492</v>
      </c>
      <c r="AJ17" s="194" t="s">
        <v>1691</v>
      </c>
      <c r="AK17" s="194">
        <f>72.13+79.72</f>
        <v>151.85</v>
      </c>
      <c r="AL17" s="194" t="s">
        <v>1220</v>
      </c>
      <c r="AM17" s="194"/>
      <c r="AN17" s="194"/>
      <c r="AO17" s="70"/>
      <c r="AP17" s="36" t="s">
        <v>0</v>
      </c>
      <c r="AQ17" s="36" t="s">
        <v>0</v>
      </c>
      <c r="AR17" s="7" t="s">
        <v>0</v>
      </c>
      <c r="AS17" s="192">
        <v>22.612218</v>
      </c>
      <c r="AT17" s="192">
        <v>20.907993</v>
      </c>
      <c r="AU17" s="192">
        <v>19.447558</v>
      </c>
      <c r="AV17" s="192">
        <v>18.238785</v>
      </c>
      <c r="AW17" s="192">
        <v>17.15959</v>
      </c>
      <c r="AX17" s="192">
        <v>16.215792</v>
      </c>
      <c r="AY17" s="192">
        <v>15.394128</v>
      </c>
      <c r="AZ17" s="192">
        <v>14.444094</v>
      </c>
      <c r="BA17" s="192">
        <v>13.941067</v>
      </c>
      <c r="BB17" s="192">
        <v>13.243124</v>
      </c>
      <c r="BC17" s="192">
        <v>12.783968</v>
      </c>
      <c r="BD17" s="192">
        <f t="shared" si="39"/>
        <v>12.691182</v>
      </c>
      <c r="BE17" s="144"/>
      <c r="BF17" s="66" t="s">
        <v>1477</v>
      </c>
      <c r="BG17" s="192">
        <f t="shared" si="40"/>
        <v>1</v>
      </c>
      <c r="BH17" s="192">
        <f t="shared" si="41"/>
        <v>0.08151069306</v>
      </c>
      <c r="BI17" s="192">
        <f t="shared" ref="BI17:BR17" si="42">($AS17/AU17)-SUM($BG17:BH17)</f>
        <v>0.08121719287</v>
      </c>
      <c r="BJ17" s="192">
        <f t="shared" si="42"/>
        <v>0.0770596328</v>
      </c>
      <c r="BK17" s="192">
        <f t="shared" si="42"/>
        <v>0.07797228787</v>
      </c>
      <c r="BL17" s="192">
        <f t="shared" si="42"/>
        <v>0.07669678237</v>
      </c>
      <c r="BM17" s="192">
        <f t="shared" si="42"/>
        <v>0.07442933947</v>
      </c>
      <c r="BN17" s="192">
        <f t="shared" si="42"/>
        <v>0.09661329912</v>
      </c>
      <c r="BO17" s="192">
        <f t="shared" si="42"/>
        <v>0.05648695182</v>
      </c>
      <c r="BP17" s="192">
        <f t="shared" si="42"/>
        <v>0.08548239071</v>
      </c>
      <c r="BQ17" s="192">
        <f t="shared" si="42"/>
        <v>0.06132637682</v>
      </c>
      <c r="BR17" s="192">
        <f t="shared" si="42"/>
        <v>0.01293176695</v>
      </c>
    </row>
    <row r="18">
      <c r="A18" s="66" t="s">
        <v>358</v>
      </c>
      <c r="B18" s="196" t="s">
        <v>31</v>
      </c>
      <c r="C18" s="153" t="s">
        <v>725</v>
      </c>
      <c r="D18" s="68" t="s">
        <v>211</v>
      </c>
      <c r="E18" s="194">
        <f t="shared" si="28"/>
        <v>15.05463246</v>
      </c>
      <c r="F18" s="194">
        <f t="shared" si="29"/>
        <v>24.17868914</v>
      </c>
      <c r="G18" s="194">
        <f>62949.93/1000</f>
        <v>62.94993</v>
      </c>
      <c r="H18" s="194"/>
      <c r="I18" s="194">
        <f t="shared" si="30"/>
        <v>62.94993</v>
      </c>
      <c r="J18" s="194">
        <f t="shared" si="31"/>
        <v>428.2844064</v>
      </c>
      <c r="K18" s="194"/>
      <c r="L18" s="194"/>
      <c r="M18" s="194"/>
      <c r="N18" s="194">
        <v>28.690682356</v>
      </c>
      <c r="O18" s="194">
        <v>28.448679</v>
      </c>
      <c r="P18" s="194">
        <f t="shared" si="32"/>
        <v>99.15650889</v>
      </c>
      <c r="Q18" s="194">
        <f t="shared" si="33"/>
        <v>3283.950617</v>
      </c>
      <c r="R18" s="194" t="s">
        <v>1781</v>
      </c>
      <c r="S18" s="194">
        <f>100*0.19</f>
        <v>19</v>
      </c>
      <c r="T18" s="194">
        <f t="shared" si="34"/>
        <v>6287.671233</v>
      </c>
      <c r="U18" s="194" t="s">
        <v>1782</v>
      </c>
      <c r="V18" s="194">
        <f>100*0.27</f>
        <v>27</v>
      </c>
      <c r="W18" s="194" t="s">
        <v>1783</v>
      </c>
      <c r="X18" s="194" t="s">
        <v>1784</v>
      </c>
      <c r="Y18" s="194" t="s">
        <v>1785</v>
      </c>
      <c r="Z18" s="194"/>
      <c r="AA18" s="194"/>
      <c r="AB18" s="194" t="s">
        <v>1786</v>
      </c>
      <c r="AC18" s="194">
        <f t="shared" si="35"/>
        <v>38.37183275</v>
      </c>
      <c r="AD18" s="194" t="s">
        <v>1787</v>
      </c>
      <c r="AE18" s="194">
        <f t="shared" si="36"/>
        <v>0.0002240783931</v>
      </c>
      <c r="AF18" s="194">
        <v>687.851766125</v>
      </c>
      <c r="AG18" s="194">
        <f t="shared" si="37"/>
        <v>61.62794317</v>
      </c>
      <c r="AH18" s="194">
        <v>16.644963534</v>
      </c>
      <c r="AI18" s="194">
        <f t="shared" si="38"/>
        <v>0.5850873966</v>
      </c>
      <c r="AJ18" s="194" t="s">
        <v>1691</v>
      </c>
      <c r="AK18" s="194">
        <f>60.6+57.72</f>
        <v>118.32</v>
      </c>
      <c r="AL18" s="194" t="s">
        <v>1220</v>
      </c>
      <c r="AM18" s="194"/>
      <c r="AN18" s="194"/>
      <c r="AO18" s="36"/>
      <c r="AP18" s="7" t="s">
        <v>0</v>
      </c>
      <c r="AQ18" s="7" t="s">
        <v>0</v>
      </c>
      <c r="AR18" s="7" t="s">
        <v>0</v>
      </c>
      <c r="AS18" s="192">
        <v>38.045771</v>
      </c>
      <c r="AT18" s="192">
        <v>36.26964</v>
      </c>
      <c r="AU18" s="192">
        <v>34.806821</v>
      </c>
      <c r="AV18" s="192">
        <v>33.543336</v>
      </c>
      <c r="AW18" s="192">
        <v>32.45477</v>
      </c>
      <c r="AX18" s="192">
        <v>31.55175</v>
      </c>
      <c r="AY18" s="192">
        <v>30.769009</v>
      </c>
      <c r="AZ18" s="192">
        <v>30.114981</v>
      </c>
      <c r="BA18" s="192">
        <v>29.513269</v>
      </c>
      <c r="BB18" s="192">
        <v>28.9128</v>
      </c>
      <c r="BC18" s="192">
        <v>28.406611</v>
      </c>
      <c r="BD18" s="192">
        <f t="shared" si="39"/>
        <v>28.448679</v>
      </c>
      <c r="BE18" s="111"/>
      <c r="BF18" s="66" t="s">
        <v>1501</v>
      </c>
      <c r="BG18" s="192">
        <f t="shared" si="40"/>
        <v>1</v>
      </c>
      <c r="BH18" s="192">
        <f t="shared" si="41"/>
        <v>0.04897018553</v>
      </c>
      <c r="BI18" s="192">
        <f t="shared" ref="BI18:BR18" si="43">($AS18/AU18)-SUM($BG18:BH18)</f>
        <v>0.04408485101</v>
      </c>
      <c r="BJ18" s="192">
        <f t="shared" si="43"/>
        <v>0.04117237006</v>
      </c>
      <c r="BK18" s="192">
        <f t="shared" si="43"/>
        <v>0.038043141</v>
      </c>
      <c r="BL18" s="192">
        <f t="shared" si="43"/>
        <v>0.0335507143</v>
      </c>
      <c r="BM18" s="192">
        <f t="shared" si="43"/>
        <v>0.03067520765</v>
      </c>
      <c r="BN18" s="192">
        <f t="shared" si="43"/>
        <v>0.02685385433</v>
      </c>
      <c r="BO18" s="192">
        <f t="shared" si="43"/>
        <v>0.02575699256</v>
      </c>
      <c r="BP18" s="192">
        <f t="shared" si="43"/>
        <v>0.02677253608</v>
      </c>
      <c r="BQ18" s="192">
        <f t="shared" si="43"/>
        <v>0.02344820037</v>
      </c>
      <c r="BR18" s="192">
        <f t="shared" si="43"/>
        <v>-0.001980508569</v>
      </c>
    </row>
    <row r="19">
      <c r="A19" s="66" t="s">
        <v>382</v>
      </c>
      <c r="B19" s="196" t="s">
        <v>308</v>
      </c>
      <c r="C19" s="67" t="s">
        <v>383</v>
      </c>
      <c r="D19" s="68" t="s">
        <v>33</v>
      </c>
      <c r="E19" s="194">
        <f t="shared" si="28"/>
        <v>80.98397194</v>
      </c>
      <c r="F19" s="194">
        <f t="shared" si="29"/>
        <v>164.8817269</v>
      </c>
      <c r="G19" s="194">
        <f>30358.53/1000</f>
        <v>30.35853</v>
      </c>
      <c r="H19" s="194"/>
      <c r="I19" s="194">
        <f t="shared" si="30"/>
        <v>30.35853</v>
      </c>
      <c r="J19" s="194">
        <f t="shared" si="31"/>
        <v>1092.393769</v>
      </c>
      <c r="K19" s="194"/>
      <c r="L19" s="194"/>
      <c r="M19" s="194"/>
      <c r="N19" s="194">
        <v>13.570605419</v>
      </c>
      <c r="O19" s="194">
        <v>13.489012</v>
      </c>
      <c r="P19" s="194">
        <f t="shared" si="32"/>
        <v>99.39874887</v>
      </c>
      <c r="Q19" s="194">
        <f t="shared" si="33"/>
        <v>1442.526316</v>
      </c>
      <c r="R19" s="194" t="s">
        <v>1788</v>
      </c>
      <c r="S19" s="194">
        <f>100*0.24</f>
        <v>24</v>
      </c>
      <c r="T19" s="194">
        <f t="shared" si="34"/>
        <v>3390.1875</v>
      </c>
      <c r="U19" s="194" t="s">
        <v>1789</v>
      </c>
      <c r="V19" s="194">
        <f>100*0.36</f>
        <v>36</v>
      </c>
      <c r="W19" s="194" t="s">
        <v>1790</v>
      </c>
      <c r="X19" s="194" t="s">
        <v>1791</v>
      </c>
      <c r="Y19" s="194" t="s">
        <v>1792</v>
      </c>
      <c r="Z19" s="194"/>
      <c r="AA19" s="194"/>
      <c r="AB19" s="194" t="s">
        <v>1793</v>
      </c>
      <c r="AC19" s="194">
        <f t="shared" si="35"/>
        <v>32.93829612</v>
      </c>
      <c r="AD19" s="194" t="s">
        <v>1794</v>
      </c>
      <c r="AE19" s="194">
        <f t="shared" si="36"/>
        <v>0.000000002894630596</v>
      </c>
      <c r="AF19" s="194">
        <v>2224.091592824</v>
      </c>
      <c r="AG19" s="194">
        <f t="shared" si="37"/>
        <v>67.06170388</v>
      </c>
      <c r="AH19" s="194">
        <v>137.178130734</v>
      </c>
      <c r="AI19" s="194">
        <f t="shared" si="38"/>
        <v>10.16962033</v>
      </c>
      <c r="AJ19" s="194" t="s">
        <v>1691</v>
      </c>
      <c r="AK19" s="194">
        <f>73.33+78.95</f>
        <v>152.28</v>
      </c>
      <c r="AL19" s="194" t="s">
        <v>1220</v>
      </c>
      <c r="AM19" s="194"/>
      <c r="AN19" s="194"/>
      <c r="AO19" s="21"/>
      <c r="AP19" s="21" t="s">
        <v>0</v>
      </c>
      <c r="AQ19" s="36" t="s">
        <v>0</v>
      </c>
      <c r="AR19" s="7" t="s">
        <v>0</v>
      </c>
      <c r="AS19" s="192">
        <v>23.279645</v>
      </c>
      <c r="AT19" s="192">
        <v>21.593572</v>
      </c>
      <c r="AU19" s="192">
        <v>20.079871</v>
      </c>
      <c r="AV19" s="192">
        <v>18.933941</v>
      </c>
      <c r="AW19" s="192">
        <v>17.651446</v>
      </c>
      <c r="AX19" s="192">
        <v>16.850265</v>
      </c>
      <c r="AY19" s="192">
        <v>16.116934</v>
      </c>
      <c r="AZ19" s="192">
        <v>15.231505</v>
      </c>
      <c r="BA19" s="192">
        <v>14.568448</v>
      </c>
      <c r="BB19" s="192">
        <v>13.952826</v>
      </c>
      <c r="BC19" s="192">
        <v>13.346519</v>
      </c>
      <c r="BD19" s="192">
        <f t="shared" si="39"/>
        <v>13.489012</v>
      </c>
      <c r="BE19" s="144"/>
      <c r="BF19" s="66" t="s">
        <v>1525</v>
      </c>
      <c r="BG19" s="192">
        <f t="shared" si="40"/>
        <v>1</v>
      </c>
      <c r="BH19" s="192">
        <f t="shared" si="41"/>
        <v>0.07808217186</v>
      </c>
      <c r="BI19" s="192">
        <f t="shared" ref="BI19:BR19" si="44">($AS19/AU19)-SUM($BG19:BH19)</f>
        <v>0.08127014669</v>
      </c>
      <c r="BJ19" s="192">
        <f t="shared" si="44"/>
        <v>0.07016693473</v>
      </c>
      <c r="BK19" s="192">
        <f t="shared" si="44"/>
        <v>0.08933275465</v>
      </c>
      <c r="BL19" s="192">
        <f t="shared" si="44"/>
        <v>0.06270756991</v>
      </c>
      <c r="BM19" s="192">
        <f t="shared" si="44"/>
        <v>0.06286186112</v>
      </c>
      <c r="BN19" s="192">
        <f t="shared" si="44"/>
        <v>0.08396626796</v>
      </c>
      <c r="BO19" s="192">
        <f t="shared" si="44"/>
        <v>0.06956184817</v>
      </c>
      <c r="BP19" s="192">
        <f t="shared" si="44"/>
        <v>0.07050420474</v>
      </c>
      <c r="BQ19" s="192">
        <f t="shared" si="44"/>
        <v>0.07579468427</v>
      </c>
      <c r="BR19" s="192">
        <f t="shared" si="44"/>
        <v>-0.01842560401</v>
      </c>
    </row>
    <row r="20" ht="18.75" customHeight="1">
      <c r="A20" s="66" t="s">
        <v>457</v>
      </c>
      <c r="B20" s="196" t="s">
        <v>233</v>
      </c>
      <c r="C20" s="67" t="s">
        <v>460</v>
      </c>
      <c r="D20" s="68" t="s">
        <v>33</v>
      </c>
      <c r="E20" s="194">
        <f t="shared" si="28"/>
        <v>0.008015735216</v>
      </c>
      <c r="F20" s="194">
        <f t="shared" si="29"/>
        <v>0.6068094897</v>
      </c>
      <c r="G20" s="194">
        <f>6657.04/1000</f>
        <v>6.65704</v>
      </c>
      <c r="H20" s="194"/>
      <c r="I20" s="194">
        <f t="shared" si="30"/>
        <v>6.65704</v>
      </c>
      <c r="J20" s="194">
        <f t="shared" si="31"/>
        <v>0.848700081</v>
      </c>
      <c r="K20" s="194"/>
      <c r="L20" s="194"/>
      <c r="M20" s="194"/>
      <c r="N20" s="194">
        <v>105.916286252</v>
      </c>
      <c r="O20" s="194">
        <v>105.879256</v>
      </c>
      <c r="P20" s="194">
        <f t="shared" si="32"/>
        <v>99.96503819</v>
      </c>
      <c r="Q20" s="194">
        <f t="shared" si="33"/>
        <v>4793.0625</v>
      </c>
      <c r="R20" s="194" t="s">
        <v>1795</v>
      </c>
      <c r="S20" s="194">
        <f>100*0.36</f>
        <v>36</v>
      </c>
      <c r="T20" s="194">
        <f t="shared" si="34"/>
        <v>3455.696203</v>
      </c>
      <c r="U20" s="194" t="s">
        <v>1796</v>
      </c>
      <c r="V20" s="194">
        <f>100*0.21</f>
        <v>21</v>
      </c>
      <c r="W20" s="194" t="s">
        <v>1797</v>
      </c>
      <c r="X20" s="194" t="s">
        <v>1798</v>
      </c>
      <c r="Y20" s="194" t="s">
        <v>1799</v>
      </c>
      <c r="Z20" s="194"/>
      <c r="AA20" s="194"/>
      <c r="AB20" s="194" t="s">
        <v>1800</v>
      </c>
      <c r="AC20" s="194">
        <f t="shared" si="35"/>
        <v>1.26845548</v>
      </c>
      <c r="AD20" s="194" t="s">
        <v>1801</v>
      </c>
      <c r="AE20" s="194">
        <f t="shared" si="36"/>
        <v>0.0352866065</v>
      </c>
      <c r="AF20" s="194">
        <v>64.248537306</v>
      </c>
      <c r="AG20" s="194">
        <f t="shared" si="37"/>
        <v>98.69625791</v>
      </c>
      <c r="AH20" s="194">
        <v>906.985440499</v>
      </c>
      <c r="AI20" s="194">
        <f t="shared" si="38"/>
        <v>8.566224157</v>
      </c>
      <c r="AJ20" s="194" t="s">
        <v>1691</v>
      </c>
      <c r="AK20" s="194">
        <f>50.89+56.26</f>
        <v>107.15</v>
      </c>
      <c r="AL20" s="194" t="s">
        <v>1220</v>
      </c>
      <c r="AM20" s="194"/>
      <c r="AN20" s="194"/>
      <c r="AO20" s="22"/>
      <c r="AP20" s="36" t="s">
        <v>0</v>
      </c>
      <c r="AQ20" s="36" t="s">
        <v>0</v>
      </c>
      <c r="AR20" s="7" t="s">
        <v>0</v>
      </c>
      <c r="AS20" s="192">
        <v>186.204963</v>
      </c>
      <c r="AT20" s="192">
        <v>172.648085</v>
      </c>
      <c r="AU20" s="192">
        <v>161.027304</v>
      </c>
      <c r="AV20" s="192">
        <v>150.982595</v>
      </c>
      <c r="AW20" s="192">
        <v>142.178143</v>
      </c>
      <c r="AX20" s="192">
        <v>134.433247</v>
      </c>
      <c r="AY20" s="192">
        <v>127.610409</v>
      </c>
      <c r="AZ20" s="192">
        <v>121.476199</v>
      </c>
      <c r="BA20" s="192">
        <v>115.87241</v>
      </c>
      <c r="BB20" s="192">
        <v>110.900154</v>
      </c>
      <c r="BC20" s="192">
        <v>105.895821</v>
      </c>
      <c r="BD20" s="192">
        <f t="shared" si="39"/>
        <v>105.879256</v>
      </c>
      <c r="BE20" s="144"/>
      <c r="BF20" s="66" t="s">
        <v>1549</v>
      </c>
      <c r="BG20" s="192">
        <f t="shared" si="40"/>
        <v>1</v>
      </c>
      <c r="BH20" s="192">
        <f t="shared" si="41"/>
        <v>0.07852318779</v>
      </c>
      <c r="BI20" s="192">
        <f t="shared" ref="BI20:BR20" si="45">($AS20/AU20)-SUM($BG20:BH20)</f>
        <v>0.07783327086</v>
      </c>
      <c r="BJ20" s="192">
        <f t="shared" si="45"/>
        <v>0.07693114645</v>
      </c>
      <c r="BK20" s="192">
        <f t="shared" si="45"/>
        <v>0.07637194643</v>
      </c>
      <c r="BL20" s="192">
        <f t="shared" si="45"/>
        <v>0.07545140245</v>
      </c>
      <c r="BM20" s="192">
        <f t="shared" si="45"/>
        <v>0.07405655797</v>
      </c>
      <c r="BN20" s="192">
        <f t="shared" si="45"/>
        <v>0.07368389872</v>
      </c>
      <c r="BO20" s="192">
        <f t="shared" si="45"/>
        <v>0.07413133009</v>
      </c>
      <c r="BP20" s="192">
        <f t="shared" si="45"/>
        <v>0.07204976086</v>
      </c>
      <c r="BQ20" s="192">
        <f t="shared" si="45"/>
        <v>0.07934626387</v>
      </c>
      <c r="BR20" s="192">
        <f t="shared" si="45"/>
        <v>0.0002751015199</v>
      </c>
    </row>
    <row r="21">
      <c r="A21" s="66" t="s">
        <v>503</v>
      </c>
      <c r="B21" s="196" t="s">
        <v>308</v>
      </c>
      <c r="C21" s="67" t="s">
        <v>506</v>
      </c>
      <c r="D21" s="68" t="s">
        <v>211</v>
      </c>
      <c r="E21" s="194">
        <f t="shared" si="28"/>
        <v>148.5651039</v>
      </c>
      <c r="F21" s="194">
        <f t="shared" si="29"/>
        <v>301.6179846</v>
      </c>
      <c r="G21" s="194">
        <f>3489.93/1000</f>
        <v>3.48993</v>
      </c>
      <c r="H21" s="194"/>
      <c r="I21" s="194">
        <f t="shared" si="30"/>
        <v>3.48993</v>
      </c>
      <c r="J21" s="194">
        <f>AB21+AD20:AD22
</f>
        <v>5363.365751</v>
      </c>
      <c r="K21" s="194"/>
      <c r="L21" s="194"/>
      <c r="M21" s="194"/>
      <c r="N21" s="194">
        <v>36.928266037</v>
      </c>
      <c r="O21" s="194">
        <v>36.101114</v>
      </c>
      <c r="P21" s="194">
        <f t="shared" si="32"/>
        <v>97.76011136</v>
      </c>
      <c r="Q21" s="194">
        <f t="shared" si="33"/>
        <v>632.1304348</v>
      </c>
      <c r="R21" s="194" t="s">
        <v>1802</v>
      </c>
      <c r="S21" s="194">
        <f>100*0.31</f>
        <v>31</v>
      </c>
      <c r="T21" s="194">
        <f t="shared" si="34"/>
        <v>3046.5</v>
      </c>
      <c r="U21" s="194" t="s">
        <v>1803</v>
      </c>
      <c r="V21" s="194">
        <f>100*0.6</f>
        <v>60</v>
      </c>
      <c r="W21" s="194" t="s">
        <v>1804</v>
      </c>
      <c r="X21" s="194" t="s">
        <v>1805</v>
      </c>
      <c r="Y21" s="194" t="s">
        <v>1806</v>
      </c>
      <c r="Z21" s="194"/>
      <c r="AA21" s="194"/>
      <c r="AB21" s="194" t="s">
        <v>1807</v>
      </c>
      <c r="AC21" s="194">
        <f>AB21*100/(AB21+AD20:AD22+AF21)</f>
        <v>33.00104061</v>
      </c>
      <c r="AD21" s="194">
        <v>9.6E-8</v>
      </c>
      <c r="AE21" s="194">
        <f>AD20:AD22*100/(AB21+AD20:AD22+AF21)</f>
        <v>0.0000000005906924954</v>
      </c>
      <c r="AF21" s="194">
        <v>10888.745246371</v>
      </c>
      <c r="AG21" s="194">
        <f>AF21*100/(AB21+AD20:AD22+AF21)</f>
        <v>66.99895939</v>
      </c>
      <c r="AH21" s="194">
        <v>194.421610156</v>
      </c>
      <c r="AI21" s="194">
        <f t="shared" si="38"/>
        <v>5.385473982</v>
      </c>
      <c r="AJ21" s="194" t="s">
        <v>1691</v>
      </c>
      <c r="AK21" s="194">
        <f>65.09+70.66</f>
        <v>135.75</v>
      </c>
      <c r="AL21" s="194" t="s">
        <v>1220</v>
      </c>
      <c r="AM21" s="194"/>
      <c r="AN21" s="194"/>
      <c r="AO21" s="36"/>
      <c r="AP21" s="21" t="s">
        <v>0</v>
      </c>
      <c r="AQ21" s="36" t="s">
        <v>0</v>
      </c>
      <c r="AR21" s="7" t="s">
        <v>0</v>
      </c>
      <c r="AS21" s="192" t="s">
        <v>1808</v>
      </c>
      <c r="AT21" s="192" t="s">
        <v>1809</v>
      </c>
      <c r="AU21" s="192">
        <v>57.918332</v>
      </c>
      <c r="AV21" s="192">
        <v>54.061794</v>
      </c>
      <c r="AW21" s="192">
        <v>50.892483</v>
      </c>
      <c r="AX21" s="192">
        <v>46.864754</v>
      </c>
      <c r="AY21" s="192">
        <v>44.229577</v>
      </c>
      <c r="AZ21" s="192">
        <v>41.879126</v>
      </c>
      <c r="BA21" s="192">
        <v>39.758043</v>
      </c>
      <c r="BB21" s="192">
        <v>37.897982</v>
      </c>
      <c r="BC21" s="192">
        <v>36.209206</v>
      </c>
      <c r="BD21" s="192">
        <f t="shared" si="39"/>
        <v>36.101114</v>
      </c>
      <c r="BE21" s="144"/>
      <c r="BF21" s="66" t="s">
        <v>1572</v>
      </c>
      <c r="BG21" s="192">
        <f t="shared" si="40"/>
        <v>1</v>
      </c>
      <c r="BH21" s="192">
        <f t="shared" si="41"/>
        <v>0.08421702827</v>
      </c>
      <c r="BI21" s="192">
        <f t="shared" ref="BI21:BR21" si="46">($AS21/AU21)-SUM($BG21:BH21)</f>
        <v>0.07387633671</v>
      </c>
      <c r="BJ21" s="192">
        <f t="shared" si="46"/>
        <v>0.08261344545</v>
      </c>
      <c r="BK21" s="192">
        <f t="shared" si="46"/>
        <v>0.07726456856</v>
      </c>
      <c r="BL21" s="192">
        <f t="shared" si="46"/>
        <v>0.1132712986</v>
      </c>
      <c r="BM21" s="192">
        <f t="shared" si="46"/>
        <v>0.08527275279</v>
      </c>
      <c r="BN21" s="192">
        <f t="shared" si="46"/>
        <v>0.08511388728</v>
      </c>
      <c r="BO21" s="192">
        <f t="shared" si="46"/>
        <v>0.08544657789</v>
      </c>
      <c r="BP21" s="192">
        <f t="shared" si="46"/>
        <v>0.08280293334</v>
      </c>
      <c r="BQ21" s="192">
        <f t="shared" si="46"/>
        <v>0.08254610414</v>
      </c>
      <c r="BR21" s="192">
        <f t="shared" si="46"/>
        <v>0.005546430392</v>
      </c>
    </row>
    <row r="22">
      <c r="A22" s="66" t="s">
        <v>562</v>
      </c>
      <c r="B22" s="196" t="s">
        <v>308</v>
      </c>
      <c r="C22" s="67" t="s">
        <v>565</v>
      </c>
      <c r="D22" s="68" t="s">
        <v>211</v>
      </c>
      <c r="E22" s="194">
        <f t="shared" si="28"/>
        <v>146.7731198</v>
      </c>
      <c r="F22" s="194">
        <f t="shared" si="29"/>
        <v>86.89498638</v>
      </c>
      <c r="G22" s="194">
        <f>17518.66/1000</f>
        <v>17.51866</v>
      </c>
      <c r="H22" s="194"/>
      <c r="I22" s="194">
        <f t="shared" si="30"/>
        <v>17.51866</v>
      </c>
      <c r="J22" s="194">
        <f t="shared" ref="J22:J23" si="48">AB22+AD22:AD23
</f>
        <v>1315.508832</v>
      </c>
      <c r="K22" s="194"/>
      <c r="L22" s="194"/>
      <c r="M22" s="194"/>
      <c r="N22" s="194">
        <v>9.025552571</v>
      </c>
      <c r="O22" s="194">
        <v>8.962873</v>
      </c>
      <c r="P22" s="194">
        <f t="shared" si="32"/>
        <v>99.30553204</v>
      </c>
      <c r="Q22" s="194">
        <f t="shared" si="33"/>
        <v>956.4590164</v>
      </c>
      <c r="R22" s="194" t="s">
        <v>1810</v>
      </c>
      <c r="S22" s="194">
        <f>100*0.39</f>
        <v>39</v>
      </c>
      <c r="T22" s="194">
        <f t="shared" si="34"/>
        <v>3127.090909</v>
      </c>
      <c r="U22" s="194" t="s">
        <v>1811</v>
      </c>
      <c r="V22" s="194">
        <f>100*0.56</f>
        <v>56</v>
      </c>
      <c r="W22" s="194" t="s">
        <v>1812</v>
      </c>
      <c r="X22" s="194" t="s">
        <v>1813</v>
      </c>
      <c r="Y22" s="194" t="s">
        <v>1814</v>
      </c>
      <c r="Z22" s="194"/>
      <c r="AA22" s="194"/>
      <c r="AB22" s="194" t="s">
        <v>1815</v>
      </c>
      <c r="AC22" s="194">
        <f t="shared" ref="AC22:AC23" si="49">AB22*100/(AB22+AD22:AD23+AF22)</f>
        <v>62.81264574</v>
      </c>
      <c r="AD22" s="194" t="s">
        <v>1816</v>
      </c>
      <c r="AE22" s="194">
        <f t="shared" ref="AE22:AE23" si="50">AD22:AD23*100/(AB22+AD22:AD23+AF22)</f>
        <v>0.00000002177299442</v>
      </c>
      <c r="AF22" s="194">
        <v>778.828727292</v>
      </c>
      <c r="AG22" s="194">
        <f t="shared" ref="AG22:AG23" si="51">AF22*100/(AB22+AD22:AD23+AF22)</f>
        <v>37.18735424</v>
      </c>
      <c r="AH22" s="194">
        <v>91.183579067</v>
      </c>
      <c r="AI22" s="194">
        <f t="shared" si="38"/>
        <v>10.17347664</v>
      </c>
      <c r="AJ22" s="194" t="s">
        <v>1691</v>
      </c>
      <c r="AK22" s="194">
        <f>67.54+73.76</f>
        <v>141.3</v>
      </c>
      <c r="AL22" s="194" t="s">
        <v>1220</v>
      </c>
      <c r="AM22" s="194"/>
      <c r="AN22" s="194"/>
      <c r="AO22" s="36"/>
      <c r="AP22" s="7" t="s">
        <v>0</v>
      </c>
      <c r="AQ22" s="36" t="s">
        <v>0</v>
      </c>
      <c r="AR22" s="7" t="s">
        <v>0</v>
      </c>
      <c r="AS22" s="192">
        <v>15.556877</v>
      </c>
      <c r="AT22" s="192">
        <v>14.491267</v>
      </c>
      <c r="AU22" s="192">
        <v>13.441394</v>
      </c>
      <c r="AV22" s="192">
        <v>12.719527</v>
      </c>
      <c r="AW22" s="192">
        <v>11.94349</v>
      </c>
      <c r="AX22" s="192">
        <v>11.303899</v>
      </c>
      <c r="AY22" s="192">
        <v>10.760645</v>
      </c>
      <c r="AZ22" s="192">
        <v>10.3907</v>
      </c>
      <c r="BA22" s="192">
        <v>9.803268</v>
      </c>
      <c r="BB22" s="192">
        <v>9.367524</v>
      </c>
      <c r="BC22" s="192">
        <v>8.850549</v>
      </c>
      <c r="BD22" s="192">
        <f t="shared" si="39"/>
        <v>8.962873</v>
      </c>
      <c r="BE22" s="144"/>
      <c r="BF22" s="66" t="s">
        <v>1596</v>
      </c>
      <c r="BG22" s="192">
        <f t="shared" si="40"/>
        <v>1</v>
      </c>
      <c r="BH22" s="192">
        <f t="shared" si="41"/>
        <v>0.07353463296</v>
      </c>
      <c r="BI22" s="192">
        <f t="shared" ref="BI22:BR22" si="47">($AS22/AU22)-SUM($BG22:BH22)</f>
        <v>0.08385105189</v>
      </c>
      <c r="BJ22" s="192">
        <f t="shared" si="47"/>
        <v>0.06568471706</v>
      </c>
      <c r="BK22" s="192">
        <f t="shared" si="47"/>
        <v>0.0794698941</v>
      </c>
      <c r="BL22" s="192">
        <f t="shared" si="47"/>
        <v>0.07369961908</v>
      </c>
      <c r="BM22" s="192">
        <f t="shared" si="47"/>
        <v>0.06947983498</v>
      </c>
      <c r="BN22" s="192">
        <f t="shared" si="47"/>
        <v>0.05147264313</v>
      </c>
      <c r="BO22" s="192">
        <f t="shared" si="47"/>
        <v>0.08971485039</v>
      </c>
      <c r="BP22" s="192">
        <f t="shared" si="47"/>
        <v>0.07381729793</v>
      </c>
      <c r="BQ22" s="192">
        <f t="shared" si="47"/>
        <v>0.09700562867</v>
      </c>
      <c r="BR22" s="192">
        <f t="shared" si="47"/>
        <v>-0.02202812465</v>
      </c>
    </row>
    <row r="23">
      <c r="A23" s="66" t="s">
        <v>614</v>
      </c>
      <c r="B23" s="196" t="s">
        <v>31</v>
      </c>
      <c r="C23" s="67" t="s">
        <v>616</v>
      </c>
      <c r="D23" s="68" t="s">
        <v>211</v>
      </c>
      <c r="E23" s="194">
        <f t="shared" si="28"/>
        <v>44.10702815</v>
      </c>
      <c r="F23" s="194">
        <f t="shared" si="29"/>
        <v>397.3304901</v>
      </c>
      <c r="G23" s="194">
        <f>17961.14/1000</f>
        <v>17.96114</v>
      </c>
      <c r="H23" s="194"/>
      <c r="I23" s="194">
        <f t="shared" si="30"/>
        <v>17.96114</v>
      </c>
      <c r="J23" s="194">
        <f t="shared" si="48"/>
        <v>234.9405403</v>
      </c>
      <c r="K23" s="194"/>
      <c r="L23" s="194"/>
      <c r="M23" s="194"/>
      <c r="N23" s="194">
        <v>5.992110944</v>
      </c>
      <c r="O23" s="194">
        <v>5.326601</v>
      </c>
      <c r="P23" s="194">
        <f t="shared" si="32"/>
        <v>88.89356438</v>
      </c>
      <c r="Q23" s="194">
        <f t="shared" si="33"/>
        <v>497.4626866</v>
      </c>
      <c r="R23" s="194" t="s">
        <v>1817</v>
      </c>
      <c r="S23" s="194">
        <f>100*0.33</f>
        <v>33</v>
      </c>
      <c r="T23" s="194">
        <f t="shared" si="34"/>
        <v>5669.190476</v>
      </c>
      <c r="U23" s="194" t="s">
        <v>1818</v>
      </c>
      <c r="V23" s="194">
        <f>100*0.79</f>
        <v>79</v>
      </c>
      <c r="W23" s="194" t="s">
        <v>1819</v>
      </c>
      <c r="X23" s="194" t="s">
        <v>1820</v>
      </c>
      <c r="Y23" s="194" t="s">
        <v>1821</v>
      </c>
      <c r="Z23" s="194"/>
      <c r="AA23" s="194"/>
      <c r="AB23" s="194" t="s">
        <v>1822</v>
      </c>
      <c r="AC23" s="194">
        <f t="shared" si="49"/>
        <v>0.05529949689</v>
      </c>
      <c r="AD23" s="194" t="s">
        <v>1823</v>
      </c>
      <c r="AE23" s="194">
        <f t="shared" si="50"/>
        <v>9.936381393</v>
      </c>
      <c r="AF23" s="194">
        <v>2116.42098584</v>
      </c>
      <c r="AG23" s="194">
        <f t="shared" si="51"/>
        <v>90.00831911</v>
      </c>
      <c r="AH23" s="194">
        <v>19.830091994</v>
      </c>
      <c r="AI23" s="194">
        <f t="shared" si="38"/>
        <v>3.722841638</v>
      </c>
      <c r="AJ23" s="194" t="s">
        <v>1691</v>
      </c>
      <c r="AK23" s="194">
        <f>69.34+75.01</f>
        <v>144.35</v>
      </c>
      <c r="AL23" s="194" t="s">
        <v>1220</v>
      </c>
      <c r="AM23" s="194"/>
      <c r="AN23" s="194"/>
      <c r="AO23" s="36"/>
      <c r="AP23" s="7" t="s">
        <v>0</v>
      </c>
      <c r="AQ23" s="7" t="s">
        <v>0</v>
      </c>
      <c r="AR23" s="7" t="s">
        <v>0</v>
      </c>
      <c r="AS23" s="192">
        <v>9.332559</v>
      </c>
      <c r="AT23" s="192">
        <v>8.684501</v>
      </c>
      <c r="AU23" s="192">
        <v>8.110029</v>
      </c>
      <c r="AV23" s="192">
        <v>7.572621</v>
      </c>
      <c r="AW23" s="192">
        <v>7.143973</v>
      </c>
      <c r="AX23" s="192">
        <v>6.739291</v>
      </c>
      <c r="AY23" s="192">
        <v>6.401482</v>
      </c>
      <c r="AZ23" s="192">
        <v>6.120279</v>
      </c>
      <c r="BA23" s="192">
        <v>5.836015</v>
      </c>
      <c r="BB23" s="192">
        <v>5.598003</v>
      </c>
      <c r="BC23" s="192">
        <v>5.349435</v>
      </c>
      <c r="BD23" s="192">
        <f t="shared" si="39"/>
        <v>5.326601</v>
      </c>
      <c r="BE23" s="111"/>
      <c r="BF23" s="66" t="s">
        <v>1623</v>
      </c>
      <c r="BG23" s="192">
        <f t="shared" si="40"/>
        <v>1</v>
      </c>
      <c r="BH23" s="192">
        <f t="shared" si="41"/>
        <v>0.0746223646</v>
      </c>
      <c r="BI23" s="192">
        <f t="shared" ref="BI23:BR23" si="52">($AS23/AU23)-SUM($BG23:BH23)</f>
        <v>0.07612062288</v>
      </c>
      <c r="BJ23" s="192">
        <f t="shared" si="52"/>
        <v>0.08166505196</v>
      </c>
      <c r="BK23" s="192">
        <f t="shared" si="52"/>
        <v>0.07394614191</v>
      </c>
      <c r="BL23" s="192">
        <f t="shared" si="52"/>
        <v>0.0784441602</v>
      </c>
      <c r="BM23" s="192">
        <f t="shared" si="52"/>
        <v>0.07307641308</v>
      </c>
      <c r="BN23" s="192">
        <f t="shared" si="52"/>
        <v>0.06698367094</v>
      </c>
      <c r="BO23" s="192">
        <f t="shared" si="52"/>
        <v>0.07427368769</v>
      </c>
      <c r="BP23" s="192">
        <f t="shared" si="52"/>
        <v>0.06799078753</v>
      </c>
      <c r="BQ23" s="192">
        <f t="shared" si="52"/>
        <v>0.07746489212</v>
      </c>
      <c r="BR23" s="192">
        <f t="shared" si="52"/>
        <v>0.007478674987</v>
      </c>
    </row>
    <row r="24">
      <c r="A24" s="63" t="s">
        <v>0</v>
      </c>
      <c r="B24" s="63" t="s">
        <v>0</v>
      </c>
      <c r="C24" s="63" t="s">
        <v>0</v>
      </c>
      <c r="D24" s="63" t="s">
        <v>0</v>
      </c>
      <c r="E24" s="63" t="s">
        <v>0</v>
      </c>
      <c r="F24" s="63"/>
      <c r="G24" s="63" t="s">
        <v>0</v>
      </c>
      <c r="H24" s="63"/>
      <c r="I24" s="63"/>
      <c r="J24" s="63" t="s">
        <v>0</v>
      </c>
      <c r="K24" s="63" t="s">
        <v>0</v>
      </c>
      <c r="L24" s="63" t="s">
        <v>0</v>
      </c>
      <c r="M24" s="63" t="s">
        <v>0</v>
      </c>
      <c r="N24" s="63" t="s">
        <v>0</v>
      </c>
      <c r="O24" s="63"/>
      <c r="P24" s="63" t="s">
        <v>0</v>
      </c>
      <c r="Q24" s="63" t="s">
        <v>0</v>
      </c>
      <c r="R24" s="63" t="s">
        <v>0</v>
      </c>
      <c r="S24" s="63" t="s">
        <v>0</v>
      </c>
      <c r="T24" s="63"/>
      <c r="U24" s="63"/>
      <c r="V24" s="63"/>
      <c r="W24" s="63"/>
      <c r="X24" s="63"/>
      <c r="Y24" s="63"/>
      <c r="Z24" s="63" t="s">
        <v>0</v>
      </c>
      <c r="AA24" s="63" t="s">
        <v>0</v>
      </c>
      <c r="AB24" s="63" t="s">
        <v>0</v>
      </c>
      <c r="AC24" s="63" t="s">
        <v>0</v>
      </c>
      <c r="AD24" s="63" t="s">
        <v>0</v>
      </c>
      <c r="AE24" s="63" t="s">
        <v>0</v>
      </c>
      <c r="AF24" s="63" t="s">
        <v>0</v>
      </c>
      <c r="AG24" s="63" t="s">
        <v>0</v>
      </c>
      <c r="AH24" s="63"/>
      <c r="AI24" s="63"/>
      <c r="AJ24" s="63"/>
      <c r="AK24" s="63"/>
      <c r="AL24" s="63"/>
      <c r="AM24" s="63" t="s">
        <v>0</v>
      </c>
      <c r="AN24" s="63" t="s">
        <v>0</v>
      </c>
      <c r="AO24" s="63" t="s">
        <v>0</v>
      </c>
      <c r="AP24" s="63" t="s">
        <v>0</v>
      </c>
      <c r="AQ24" s="63" t="s">
        <v>0</v>
      </c>
      <c r="AR24" s="63" t="s">
        <v>0</v>
      </c>
      <c r="AS24" s="63" t="s">
        <v>0</v>
      </c>
      <c r="AT24" s="63"/>
      <c r="AU24" s="63" t="s">
        <v>0</v>
      </c>
      <c r="AV24" s="63"/>
      <c r="AW24" s="63" t="s">
        <v>0</v>
      </c>
      <c r="AX24" s="63"/>
      <c r="AY24" s="63" t="s">
        <v>0</v>
      </c>
      <c r="AZ24" s="63"/>
      <c r="BA24" s="63"/>
      <c r="BB24" s="63" t="s">
        <v>0</v>
      </c>
      <c r="BC24" s="63"/>
      <c r="BD24" s="63" t="s">
        <v>0</v>
      </c>
      <c r="BE24" s="63"/>
      <c r="BF24" s="63"/>
      <c r="BG24" s="63" t="s">
        <v>0</v>
      </c>
      <c r="BH24" s="63" t="s">
        <v>0</v>
      </c>
      <c r="BI24" s="63" t="s">
        <v>0</v>
      </c>
      <c r="BJ24" s="63" t="s">
        <v>0</v>
      </c>
      <c r="BK24" s="63" t="s">
        <v>0</v>
      </c>
      <c r="BL24" s="63" t="s">
        <v>0</v>
      </c>
      <c r="BM24" s="63" t="s">
        <v>0</v>
      </c>
      <c r="BN24" s="63" t="s">
        <v>0</v>
      </c>
      <c r="BO24" s="63" t="s">
        <v>0</v>
      </c>
      <c r="BP24" s="63" t="s">
        <v>0</v>
      </c>
      <c r="BQ24" s="63" t="s">
        <v>0</v>
      </c>
      <c r="BR24" s="63" t="s">
        <v>0</v>
      </c>
    </row>
    <row r="25">
      <c r="A25" s="95" t="s">
        <v>681</v>
      </c>
      <c r="B25" s="7" t="s">
        <v>683</v>
      </c>
      <c r="E25" s="194">
        <f t="shared" ref="E25:E28" si="54">J25/O25</f>
        <v>667.7265925</v>
      </c>
      <c r="F25" s="194">
        <f t="shared" ref="F25:F28" si="55">AF25/O25</f>
        <v>117.4398666</v>
      </c>
      <c r="G25" s="194">
        <f>45070.28/1000</f>
        <v>45.07028</v>
      </c>
      <c r="H25" s="194"/>
      <c r="I25" s="194">
        <f t="shared" ref="I25:I28" si="56">G25</f>
        <v>45.07028</v>
      </c>
      <c r="J25" s="194">
        <f t="shared" ref="J25:J28" si="57">AB25+AD25
</f>
        <v>181484.2404</v>
      </c>
      <c r="K25" s="194"/>
      <c r="L25" s="194"/>
      <c r="M25" s="194"/>
      <c r="N25" s="194">
        <v>278.814519545</v>
      </c>
      <c r="O25" s="194">
        <v>271.794238</v>
      </c>
      <c r="P25" s="194">
        <f t="shared" ref="P25:P28" si="58">O25/N25*100</f>
        <v>97.48209614</v>
      </c>
      <c r="Q25" s="194">
        <f t="shared" ref="Q25:Q28" si="59">((100*R25)-((100-S25)*R25))/(100-S25)</f>
        <v>3989.690722</v>
      </c>
      <c r="R25" s="194" t="s">
        <v>1824</v>
      </c>
      <c r="S25" s="194">
        <f>100*0.03</f>
        <v>3</v>
      </c>
      <c r="T25" s="194">
        <f t="shared" ref="T25:T28" si="60">((100*U25)-((100-V25)*U25))/(100-V25)</f>
        <v>14777.77778</v>
      </c>
      <c r="U25" s="194" t="s">
        <v>1825</v>
      </c>
      <c r="V25" s="194">
        <f>100*0.1</f>
        <v>10</v>
      </c>
      <c r="W25" s="194" t="s">
        <v>1826</v>
      </c>
      <c r="X25" s="194" t="s">
        <v>1827</v>
      </c>
      <c r="Y25" s="194" t="s">
        <v>1828</v>
      </c>
      <c r="Z25" s="194"/>
      <c r="AA25" s="194"/>
      <c r="AB25" s="194" t="s">
        <v>1829</v>
      </c>
      <c r="AC25" s="194">
        <f t="shared" ref="AC25:AC28" si="61">AB25*100/(AB25+AD25+AF25)</f>
        <v>85.04267914</v>
      </c>
      <c r="AD25" s="194" t="s">
        <v>196</v>
      </c>
      <c r="AE25" s="194">
        <f t="shared" ref="AE25:AE28" si="62">AD25*100/(AB25+AD25+AF25)</f>
        <v>0</v>
      </c>
      <c r="AF25" s="194" t="s">
        <v>1830</v>
      </c>
      <c r="AG25" s="194">
        <f t="shared" ref="AG25:AG28" si="63">AF25*100/(AB25+AD25+AF25)</f>
        <v>14.95732086</v>
      </c>
      <c r="AH25" s="194" t="s">
        <v>1831</v>
      </c>
      <c r="AI25" s="194">
        <f t="shared" ref="AI25:AI28" si="64">AH25/O25</f>
        <v>2.146507348</v>
      </c>
      <c r="AJ25" s="194" t="s">
        <v>1691</v>
      </c>
      <c r="AK25" s="194">
        <f>90.7+98.67</f>
        <v>189.37</v>
      </c>
      <c r="AL25" s="194" t="s">
        <v>1220</v>
      </c>
      <c r="AM25" s="194"/>
      <c r="AN25" s="194"/>
      <c r="AO25" s="7"/>
      <c r="AS25" s="197" t="s">
        <v>1832</v>
      </c>
      <c r="AT25" s="197" t="s">
        <v>1833</v>
      </c>
      <c r="AU25" s="197" t="s">
        <v>1834</v>
      </c>
      <c r="AV25" s="197" t="s">
        <v>1835</v>
      </c>
      <c r="AW25" s="197" t="s">
        <v>1836</v>
      </c>
      <c r="AX25" s="197" t="s">
        <v>1837</v>
      </c>
      <c r="AY25" s="197" t="s">
        <v>1838</v>
      </c>
      <c r="AZ25" s="197" t="s">
        <v>1839</v>
      </c>
      <c r="BA25" s="197" t="s">
        <v>1840</v>
      </c>
      <c r="BB25" s="197">
        <v>285.555788</v>
      </c>
      <c r="BC25" s="197">
        <v>273.94428</v>
      </c>
      <c r="BD25" s="197">
        <f t="shared" ref="BD25:BD28" si="65">O25</f>
        <v>271.794238</v>
      </c>
      <c r="BF25" s="95" t="s">
        <v>681</v>
      </c>
      <c r="BG25" s="192">
        <f t="shared" ref="BG25:BG29" si="66">$AS25/AS25</f>
        <v>1</v>
      </c>
      <c r="BH25" s="192">
        <f t="shared" ref="BH25:BH28" si="67">($AS25/AT25)-SUM($BG25)</f>
        <v>0.07291101779</v>
      </c>
      <c r="BI25" s="192">
        <f t="shared" ref="BI25:BR25" si="53">($AS25/AU25)-SUM($BG25:BH25)</f>
        <v>0.07931230587</v>
      </c>
      <c r="BJ25" s="192">
        <f t="shared" si="53"/>
        <v>0.08065194575</v>
      </c>
      <c r="BK25" s="192">
        <f t="shared" si="53"/>
        <v>0.08364351135</v>
      </c>
      <c r="BL25" s="192">
        <f t="shared" si="53"/>
        <v>0.06961555936</v>
      </c>
      <c r="BM25" s="192">
        <f t="shared" si="53"/>
        <v>0.0801650305</v>
      </c>
      <c r="BN25" s="192">
        <f t="shared" si="53"/>
        <v>0.06847630368</v>
      </c>
      <c r="BO25" s="192">
        <f t="shared" si="53"/>
        <v>0.0707776986</v>
      </c>
      <c r="BP25" s="192">
        <f t="shared" si="53"/>
        <v>0.06616859899</v>
      </c>
      <c r="BQ25" s="192">
        <f t="shared" si="53"/>
        <v>0.07085825282</v>
      </c>
      <c r="BR25" s="192">
        <f t="shared" si="53"/>
        <v>0.01378476858</v>
      </c>
    </row>
    <row r="26">
      <c r="A26" s="95" t="s">
        <v>684</v>
      </c>
      <c r="B26" s="7" t="s">
        <v>683</v>
      </c>
      <c r="E26" s="194">
        <f t="shared" si="54"/>
        <v>14.4849023</v>
      </c>
      <c r="F26" s="194">
        <f t="shared" si="55"/>
        <v>2.336332935</v>
      </c>
      <c r="G26" s="194">
        <f>122089.6/1000</f>
        <v>122.0896</v>
      </c>
      <c r="H26" s="194"/>
      <c r="I26" s="194">
        <f t="shared" si="56"/>
        <v>122.0896</v>
      </c>
      <c r="J26" s="194">
        <f t="shared" si="57"/>
        <v>559.0461805</v>
      </c>
      <c r="K26" s="194"/>
      <c r="L26" s="194"/>
      <c r="M26" s="194"/>
      <c r="N26" s="194">
        <v>340.36868686</v>
      </c>
      <c r="O26" s="194">
        <v>38.595095</v>
      </c>
      <c r="P26" s="194">
        <f t="shared" si="58"/>
        <v>11.3392026</v>
      </c>
      <c r="Q26" s="194">
        <f t="shared" si="59"/>
        <v>11350.64935</v>
      </c>
      <c r="R26" s="194" t="s">
        <v>1841</v>
      </c>
      <c r="S26" s="194">
        <f>100*0.23</f>
        <v>23</v>
      </c>
      <c r="T26" s="194">
        <f t="shared" si="60"/>
        <v>25757.57576</v>
      </c>
      <c r="U26" s="194" t="s">
        <v>1842</v>
      </c>
      <c r="V26" s="194">
        <f>100*0.34</f>
        <v>34</v>
      </c>
      <c r="W26" s="194" t="s">
        <v>1843</v>
      </c>
      <c r="X26" s="194" t="s">
        <v>1844</v>
      </c>
      <c r="Y26" s="194" t="s">
        <v>1845</v>
      </c>
      <c r="Z26" s="194"/>
      <c r="AA26" s="194"/>
      <c r="AB26" s="194" t="s">
        <v>1846</v>
      </c>
      <c r="AC26" s="194">
        <f t="shared" si="61"/>
        <v>86.11081229</v>
      </c>
      <c r="AD26" s="194" t="s">
        <v>1847</v>
      </c>
      <c r="AE26" s="194">
        <f t="shared" si="62"/>
        <v>0.00000001571122952</v>
      </c>
      <c r="AF26" s="194" t="s">
        <v>1848</v>
      </c>
      <c r="AG26" s="194">
        <f t="shared" si="63"/>
        <v>13.88918769</v>
      </c>
      <c r="AH26" s="194" t="s">
        <v>1849</v>
      </c>
      <c r="AI26" s="194">
        <f t="shared" si="64"/>
        <v>10.9278318</v>
      </c>
      <c r="AJ26" s="194" t="s">
        <v>1691</v>
      </c>
      <c r="AK26" s="194">
        <f>80.11+86.07</f>
        <v>166.18</v>
      </c>
      <c r="AL26" s="194" t="s">
        <v>1220</v>
      </c>
      <c r="AM26" s="194"/>
      <c r="AN26" s="194"/>
      <c r="AO26" s="7"/>
      <c r="AS26" s="197">
        <v>51.324895</v>
      </c>
      <c r="AT26" s="197">
        <v>48.863111</v>
      </c>
      <c r="AU26" s="197">
        <v>45.495717</v>
      </c>
      <c r="AV26" s="197">
        <v>44.032359</v>
      </c>
      <c r="AW26" s="197">
        <v>41.908894</v>
      </c>
      <c r="AX26" s="197">
        <v>40.702528</v>
      </c>
      <c r="AY26" s="197">
        <v>39.961991</v>
      </c>
      <c r="AZ26" s="197">
        <v>39.427757</v>
      </c>
      <c r="BA26" s="197">
        <v>39.036514</v>
      </c>
      <c r="BB26" s="197">
        <v>38.809373</v>
      </c>
      <c r="BC26" s="197">
        <v>38.592923</v>
      </c>
      <c r="BD26" s="197">
        <f t="shared" si="65"/>
        <v>38.595095</v>
      </c>
      <c r="BF26" s="95" t="s">
        <v>684</v>
      </c>
      <c r="BG26" s="192">
        <f t="shared" si="66"/>
        <v>1</v>
      </c>
      <c r="BH26" s="192">
        <f t="shared" si="67"/>
        <v>0.05038123749</v>
      </c>
      <c r="BI26" s="192">
        <f t="shared" ref="BI26:BR26" si="68">($AS26/AU26)-SUM($BG26:BH26)</f>
        <v>0.07774462543</v>
      </c>
      <c r="BJ26" s="192">
        <f t="shared" si="68"/>
        <v>0.03749179113</v>
      </c>
      <c r="BK26" s="192">
        <f t="shared" si="68"/>
        <v>0.05906021504</v>
      </c>
      <c r="BL26" s="192">
        <f t="shared" si="68"/>
        <v>0.0362977391</v>
      </c>
      <c r="BM26" s="192">
        <f t="shared" si="68"/>
        <v>0.02336718143</v>
      </c>
      <c r="BN26" s="192">
        <f t="shared" si="68"/>
        <v>0.01740245041</v>
      </c>
      <c r="BO26" s="192">
        <f t="shared" si="68"/>
        <v>0.01304672628</v>
      </c>
      <c r="BP26" s="192">
        <f t="shared" si="68"/>
        <v>0.007695129783</v>
      </c>
      <c r="BQ26" s="192">
        <f t="shared" si="68"/>
        <v>0.00741722341</v>
      </c>
      <c r="BR26" s="192">
        <f t="shared" si="68"/>
        <v>-0.0000748424685</v>
      </c>
    </row>
    <row r="27">
      <c r="A27" s="95" t="s">
        <v>685</v>
      </c>
      <c r="B27" s="7" t="s">
        <v>683</v>
      </c>
      <c r="E27" s="194">
        <f t="shared" si="54"/>
        <v>7.428731106</v>
      </c>
      <c r="F27" s="194">
        <f t="shared" si="55"/>
        <v>0.00002471211935</v>
      </c>
      <c r="G27" s="194">
        <f>120143.45/1000</f>
        <v>120.14345</v>
      </c>
      <c r="H27" s="194"/>
      <c r="I27" s="194">
        <f t="shared" si="56"/>
        <v>120.14345</v>
      </c>
      <c r="J27" s="194">
        <f t="shared" si="57"/>
        <v>16.10612791</v>
      </c>
      <c r="K27" s="194"/>
      <c r="L27" s="194"/>
      <c r="M27" s="194"/>
      <c r="N27" s="194" t="s">
        <v>1850</v>
      </c>
      <c r="O27" s="194" t="s">
        <v>1851</v>
      </c>
      <c r="P27" s="194">
        <f t="shared" si="58"/>
        <v>40.72317452</v>
      </c>
      <c r="Q27" s="194">
        <f t="shared" si="59"/>
        <v>6.116022099</v>
      </c>
      <c r="R27" s="194" t="s">
        <v>1852</v>
      </c>
      <c r="S27" s="194" t="s">
        <v>1853</v>
      </c>
      <c r="T27" s="194">
        <f t="shared" si="60"/>
        <v>3.974358974</v>
      </c>
      <c r="U27" s="194" t="s">
        <v>1854</v>
      </c>
      <c r="V27" s="194" t="s">
        <v>1855</v>
      </c>
      <c r="W27" s="194" t="s">
        <v>1856</v>
      </c>
      <c r="X27" s="194" t="s">
        <v>1857</v>
      </c>
      <c r="Y27" s="194" t="s">
        <v>1858</v>
      </c>
      <c r="Z27" s="194"/>
      <c r="AA27" s="194"/>
      <c r="AB27" s="194" t="s">
        <v>1859</v>
      </c>
      <c r="AC27" s="194">
        <f t="shared" si="61"/>
        <v>99.99966723</v>
      </c>
      <c r="AD27" s="194" t="s">
        <v>1860</v>
      </c>
      <c r="AE27" s="194">
        <f t="shared" si="62"/>
        <v>0.0000001179671297</v>
      </c>
      <c r="AF27" s="194" t="s">
        <v>1861</v>
      </c>
      <c r="AG27" s="194">
        <f t="shared" si="63"/>
        <v>0.0003326548881</v>
      </c>
      <c r="AH27" s="194" t="s">
        <v>1862</v>
      </c>
      <c r="AI27" s="194">
        <f t="shared" si="64"/>
        <v>1.599682356</v>
      </c>
      <c r="AJ27" s="194" t="s">
        <v>1691</v>
      </c>
      <c r="AK27" s="194">
        <f>64.78+69.74</f>
        <v>134.52</v>
      </c>
      <c r="AL27" s="194" t="s">
        <v>1220</v>
      </c>
      <c r="AM27" s="194"/>
      <c r="AN27" s="194"/>
      <c r="AO27" s="7"/>
      <c r="AS27" s="197">
        <v>2.393342</v>
      </c>
      <c r="AT27" s="197">
        <v>2.348673</v>
      </c>
      <c r="AU27" s="197">
        <v>2.310793</v>
      </c>
      <c r="AV27" s="197">
        <v>2.286466</v>
      </c>
      <c r="AW27" s="197">
        <v>2.255063</v>
      </c>
      <c r="AX27" s="197">
        <v>2.237579</v>
      </c>
      <c r="AY27" s="197">
        <v>2.219596</v>
      </c>
      <c r="AZ27" s="197">
        <v>2.204223</v>
      </c>
      <c r="BA27" s="197">
        <v>2.194643</v>
      </c>
      <c r="BB27" s="197">
        <v>2.181514</v>
      </c>
      <c r="BC27" s="197">
        <v>2.168601</v>
      </c>
      <c r="BD27" s="197" t="str">
        <f t="shared" si="65"/>
        <v>2.168086</v>
      </c>
      <c r="BF27" s="95" t="s">
        <v>1863</v>
      </c>
      <c r="BG27" s="192">
        <f t="shared" si="66"/>
        <v>1</v>
      </c>
      <c r="BH27" s="192">
        <f t="shared" si="67"/>
        <v>0.01901882467</v>
      </c>
      <c r="BI27" s="192">
        <f t="shared" ref="BI27:BR27" si="69">($AS27/AU27)-SUM($BG27:BH27)</f>
        <v>0.01670440973</v>
      </c>
      <c r="BJ27" s="192">
        <f t="shared" si="69"/>
        <v>0.01101964303</v>
      </c>
      <c r="BK27" s="192">
        <f t="shared" si="69"/>
        <v>0.01457647373</v>
      </c>
      <c r="BL27" s="192">
        <f t="shared" si="69"/>
        <v>0.008292939617</v>
      </c>
      <c r="BM27" s="192">
        <f t="shared" si="69"/>
        <v>0.008665918404</v>
      </c>
      <c r="BN27" s="192">
        <f t="shared" si="69"/>
        <v>0.007520278533</v>
      </c>
      <c r="BO27" s="192">
        <f t="shared" si="69"/>
        <v>0.004739700039</v>
      </c>
      <c r="BP27" s="192">
        <f t="shared" si="69"/>
        <v>0.006563183123</v>
      </c>
      <c r="BQ27" s="192">
        <f t="shared" si="69"/>
        <v>0.006532723171</v>
      </c>
      <c r="BR27" s="192">
        <f t="shared" si="69"/>
        <v>0.0002621536039</v>
      </c>
    </row>
    <row r="28">
      <c r="A28" s="95" t="s">
        <v>686</v>
      </c>
      <c r="B28" s="7" t="s">
        <v>683</v>
      </c>
      <c r="E28" s="194">
        <f t="shared" si="54"/>
        <v>7.454916374</v>
      </c>
      <c r="F28" s="194">
        <f t="shared" si="55"/>
        <v>0.000003542812829</v>
      </c>
      <c r="G28" s="194">
        <f>120218.08/1000</f>
        <v>120.21808</v>
      </c>
      <c r="H28" s="194"/>
      <c r="I28" s="194">
        <f t="shared" si="56"/>
        <v>120.21808</v>
      </c>
      <c r="J28" s="194">
        <f t="shared" si="57"/>
        <v>112.7428921</v>
      </c>
      <c r="K28" s="194"/>
      <c r="L28" s="194"/>
      <c r="M28" s="194"/>
      <c r="N28" s="194" t="s">
        <v>1864</v>
      </c>
      <c r="O28" s="194" t="s">
        <v>1865</v>
      </c>
      <c r="P28" s="194">
        <f t="shared" si="58"/>
        <v>40.92739476</v>
      </c>
      <c r="Q28" s="194">
        <f t="shared" si="59"/>
        <v>42.94776494</v>
      </c>
      <c r="R28" s="194" t="s">
        <v>1866</v>
      </c>
      <c r="S28" s="194" t="s">
        <v>1853</v>
      </c>
      <c r="T28" s="194">
        <f t="shared" si="60"/>
        <v>27.24358974</v>
      </c>
      <c r="U28" s="194" t="s">
        <v>1782</v>
      </c>
      <c r="V28" s="194" t="s">
        <v>1855</v>
      </c>
      <c r="W28" s="194" t="s">
        <v>1867</v>
      </c>
      <c r="X28" s="194" t="s">
        <v>1868</v>
      </c>
      <c r="Y28" s="194" t="s">
        <v>1869</v>
      </c>
      <c r="Z28" s="194"/>
      <c r="AA28" s="194"/>
      <c r="AB28" s="194" t="s">
        <v>1870</v>
      </c>
      <c r="AC28" s="194">
        <f t="shared" si="61"/>
        <v>99.99995246</v>
      </c>
      <c r="AD28" s="194" t="s">
        <v>1860</v>
      </c>
      <c r="AE28" s="194">
        <f t="shared" si="62"/>
        <v>0.00000001685249564</v>
      </c>
      <c r="AF28" s="194" t="s">
        <v>1871</v>
      </c>
      <c r="AG28" s="194">
        <f t="shared" si="63"/>
        <v>0.00004752315073</v>
      </c>
      <c r="AH28" s="194" t="s">
        <v>1872</v>
      </c>
      <c r="AI28" s="194">
        <f t="shared" si="64"/>
        <v>1.562000033</v>
      </c>
      <c r="AJ28" s="194" t="s">
        <v>1691</v>
      </c>
      <c r="AK28" s="194">
        <f>63.83+69.66</f>
        <v>133.49</v>
      </c>
      <c r="AL28" s="194" t="s">
        <v>1873</v>
      </c>
      <c r="AM28" s="194"/>
      <c r="AN28" s="194"/>
      <c r="AO28" s="7"/>
      <c r="AS28" s="197">
        <v>16.760941</v>
      </c>
      <c r="AT28" s="197">
        <v>16.40881</v>
      </c>
      <c r="AU28" s="197">
        <v>16.147715</v>
      </c>
      <c r="AV28" s="197">
        <v>15.93281</v>
      </c>
      <c r="AW28" s="197">
        <v>15.763929</v>
      </c>
      <c r="AX28" s="197">
        <v>15.615526</v>
      </c>
      <c r="AY28" s="197">
        <v>15.488528</v>
      </c>
      <c r="AZ28" s="197">
        <v>15.394166</v>
      </c>
      <c r="BA28" s="197">
        <v>15.301407</v>
      </c>
      <c r="BB28" s="197">
        <v>15.217842</v>
      </c>
      <c r="BC28" s="197">
        <v>15.132954</v>
      </c>
      <c r="BD28" s="197" t="str">
        <f t="shared" si="65"/>
        <v>15.123294</v>
      </c>
      <c r="BF28" s="95" t="s">
        <v>1874</v>
      </c>
      <c r="BG28" s="192">
        <f t="shared" si="66"/>
        <v>1</v>
      </c>
      <c r="BH28" s="192">
        <f t="shared" si="67"/>
        <v>0.0214598743</v>
      </c>
      <c r="BI28" s="192">
        <f t="shared" ref="BI28:BR28" si="70">($AS28/AU28)-SUM($BG28:BH28)</f>
        <v>0.01651614893</v>
      </c>
      <c r="BJ28" s="192">
        <f t="shared" si="70"/>
        <v>0.0140004329</v>
      </c>
      <c r="BK28" s="192">
        <f t="shared" si="70"/>
        <v>0.01126995915</v>
      </c>
      <c r="BL28" s="192">
        <f t="shared" si="70"/>
        <v>0.01010462009</v>
      </c>
      <c r="BM28" s="192">
        <f t="shared" si="70"/>
        <v>0.008800928971</v>
      </c>
      <c r="BN28" s="192">
        <f t="shared" si="70"/>
        <v>0.006633293655</v>
      </c>
      <c r="BO28" s="192">
        <f t="shared" si="70"/>
        <v>0.00660034935</v>
      </c>
      <c r="BP28" s="192">
        <f t="shared" si="70"/>
        <v>0.006015038024</v>
      </c>
      <c r="BQ28" s="192">
        <f t="shared" si="70"/>
        <v>0.006178284688</v>
      </c>
      <c r="BR28" s="192">
        <f t="shared" si="70"/>
        <v>0.0007074657455</v>
      </c>
    </row>
    <row r="29">
      <c r="G29" s="7" t="s">
        <v>1632</v>
      </c>
      <c r="H29" s="7"/>
      <c r="I29" s="7"/>
      <c r="L29" s="184"/>
      <c r="M29" s="184"/>
      <c r="Y29" s="7"/>
      <c r="AA29" s="101" t="s">
        <v>1633</v>
      </c>
      <c r="AH29" s="7"/>
      <c r="AI29" s="7"/>
      <c r="AJ29" s="7"/>
      <c r="AK29" s="7"/>
      <c r="AL29" s="7"/>
      <c r="AM29" s="7" t="s">
        <v>939</v>
      </c>
      <c r="AN29" s="7"/>
      <c r="AO29" s="7"/>
      <c r="AS29" s="197">
        <v>1.2</v>
      </c>
      <c r="AT29" s="197">
        <f t="shared" ref="AT29:BD29" si="71">AS29+0.1
</f>
        <v>1.3</v>
      </c>
      <c r="AU29" s="197">
        <f t="shared" si="71"/>
        <v>1.4</v>
      </c>
      <c r="AV29" s="197">
        <f t="shared" si="71"/>
        <v>1.5</v>
      </c>
      <c r="AW29" s="197">
        <f t="shared" si="71"/>
        <v>1.6</v>
      </c>
      <c r="AX29" s="197">
        <f t="shared" si="71"/>
        <v>1.7</v>
      </c>
      <c r="AY29" s="197">
        <f t="shared" si="71"/>
        <v>1.8</v>
      </c>
      <c r="AZ29" s="197">
        <f t="shared" si="71"/>
        <v>1.9</v>
      </c>
      <c r="BA29" s="197">
        <f t="shared" si="71"/>
        <v>2</v>
      </c>
      <c r="BB29" s="197">
        <f t="shared" si="71"/>
        <v>2.1</v>
      </c>
      <c r="BC29" s="197">
        <f t="shared" si="71"/>
        <v>2.2</v>
      </c>
      <c r="BD29" s="197">
        <f t="shared" si="71"/>
        <v>2.3</v>
      </c>
      <c r="BE29" s="197"/>
      <c r="BF29" s="197" t="s">
        <v>1631</v>
      </c>
      <c r="BG29" s="197">
        <f t="shared" si="66"/>
        <v>1</v>
      </c>
      <c r="BH29" s="192">
        <f>(AT29/$AS29)-SUM($BG29)</f>
        <v>0.08333333333</v>
      </c>
      <c r="BI29" s="192">
        <f t="shared" ref="BI29:BR29" si="72">(AU29/$AS29)-SUM($BG29:BH29)</f>
        <v>0.08333333333</v>
      </c>
      <c r="BJ29" s="192">
        <f t="shared" si="72"/>
        <v>0.08333333333</v>
      </c>
      <c r="BK29" s="192">
        <f t="shared" si="72"/>
        <v>0.08333333333</v>
      </c>
      <c r="BL29" s="192">
        <f t="shared" si="72"/>
        <v>0.08333333333</v>
      </c>
      <c r="BM29" s="192">
        <f t="shared" si="72"/>
        <v>0.08333333333</v>
      </c>
      <c r="BN29" s="192">
        <f t="shared" si="72"/>
        <v>0.08333333333</v>
      </c>
      <c r="BO29" s="192">
        <f t="shared" si="72"/>
        <v>0.08333333333</v>
      </c>
      <c r="BP29" s="192">
        <f t="shared" si="72"/>
        <v>0.08333333333</v>
      </c>
      <c r="BQ29" s="192">
        <f t="shared" si="72"/>
        <v>0.08333333333</v>
      </c>
      <c r="BR29" s="192">
        <f t="shared" si="72"/>
        <v>0.08333333333</v>
      </c>
    </row>
    <row r="30">
      <c r="G30" s="7"/>
      <c r="H30" s="7"/>
      <c r="I30" s="7"/>
      <c r="L30" s="184"/>
      <c r="M30" s="184"/>
      <c r="AR30" s="7"/>
      <c r="AS30" s="7"/>
      <c r="AT30" s="7"/>
      <c r="AU30" s="7"/>
      <c r="AV30" s="7"/>
      <c r="AW30" s="7"/>
      <c r="AX30" s="7"/>
      <c r="AY30" s="7"/>
      <c r="AZ30" s="7"/>
      <c r="BA30" s="7"/>
      <c r="BB30" s="7"/>
      <c r="BC30" s="7"/>
      <c r="BD30" s="7"/>
      <c r="BE30" s="7"/>
      <c r="BF30" s="7"/>
    </row>
    <row r="31">
      <c r="G31" s="7"/>
      <c r="H31" s="7"/>
      <c r="I31" s="7"/>
      <c r="L31" s="184"/>
      <c r="M31" s="184"/>
      <c r="AS31" s="7"/>
      <c r="AT31" s="7"/>
      <c r="AU31" s="7"/>
      <c r="AV31" s="7"/>
      <c r="AW31" s="7"/>
      <c r="AX31" s="7"/>
      <c r="AY31" s="7"/>
      <c r="AZ31" s="7"/>
      <c r="BA31" s="7"/>
      <c r="BB31" s="7"/>
      <c r="BC31" s="7"/>
      <c r="BD31" s="7"/>
      <c r="BE31" s="7"/>
      <c r="BF31" s="7"/>
    </row>
    <row r="32">
      <c r="G32" s="7"/>
      <c r="H32" s="7"/>
      <c r="I32" s="7"/>
      <c r="L32" s="184"/>
      <c r="M32" s="184"/>
      <c r="AS32" s="7"/>
      <c r="AT32" s="7"/>
      <c r="AU32" s="7"/>
      <c r="AV32" s="7"/>
      <c r="AW32" s="7"/>
      <c r="AX32" s="7"/>
      <c r="AY32" s="7"/>
      <c r="AZ32" s="7"/>
      <c r="BA32" s="7"/>
      <c r="BB32" s="7"/>
      <c r="BC32" s="7"/>
      <c r="BD32" s="7"/>
      <c r="BE32" s="7"/>
      <c r="BF32" s="7"/>
    </row>
    <row r="33">
      <c r="L33" s="184"/>
      <c r="M33" s="184"/>
      <c r="AS33" s="7"/>
      <c r="AT33" s="7"/>
      <c r="AU33" s="7"/>
      <c r="AV33" s="7"/>
      <c r="AW33" s="7"/>
      <c r="AX33" s="7"/>
      <c r="AY33" s="7"/>
      <c r="AZ33" s="7"/>
      <c r="BA33" s="7"/>
      <c r="BB33" s="7"/>
      <c r="BC33" s="7"/>
      <c r="BD33" s="7"/>
      <c r="BE33" s="7"/>
      <c r="BF33" s="7"/>
    </row>
    <row r="34">
      <c r="G34" s="7" t="s">
        <v>707</v>
      </c>
      <c r="H34" s="7"/>
      <c r="I34" s="7"/>
      <c r="L34" s="184"/>
      <c r="M34" s="184"/>
      <c r="BG34" s="7"/>
    </row>
    <row r="35">
      <c r="G35" s="7" t="s">
        <v>1634</v>
      </c>
      <c r="H35" s="7"/>
      <c r="I35" s="7"/>
      <c r="L35" s="184"/>
      <c r="M35" s="184"/>
      <c r="BG35" s="7"/>
      <c r="BH35" s="7"/>
      <c r="BI35" s="155"/>
      <c r="BJ35" s="7"/>
      <c r="BK35" s="7"/>
    </row>
    <row r="36">
      <c r="G36" s="7" t="s">
        <v>1635</v>
      </c>
      <c r="H36" s="7"/>
      <c r="I36" s="7"/>
      <c r="L36" s="184"/>
      <c r="M36" s="184"/>
      <c r="BG36" s="7"/>
      <c r="BH36" s="7"/>
      <c r="BI36" s="155"/>
      <c r="BJ36" s="7"/>
      <c r="BK36" s="7"/>
    </row>
    <row r="37">
      <c r="E37" s="156" t="s">
        <v>1636</v>
      </c>
      <c r="F37" s="156"/>
      <c r="G37" s="185" t="s">
        <v>710</v>
      </c>
      <c r="H37" s="156"/>
      <c r="I37" s="156"/>
      <c r="J37" s="157"/>
      <c r="K37" s="157"/>
      <c r="L37" s="186"/>
      <c r="M37" s="186"/>
      <c r="BG37" s="7"/>
      <c r="BH37" s="7"/>
      <c r="BI37" s="155"/>
      <c r="BJ37" s="7"/>
      <c r="BK37" s="7"/>
    </row>
    <row r="38">
      <c r="E38" s="157"/>
      <c r="F38" s="157"/>
      <c r="G38" s="185" t="s">
        <v>1637</v>
      </c>
      <c r="H38" s="156"/>
      <c r="I38" s="156"/>
      <c r="J38" s="157"/>
      <c r="K38" s="157"/>
      <c r="L38" s="186"/>
      <c r="M38" s="186"/>
      <c r="BG38" s="7"/>
      <c r="BH38" s="7"/>
      <c r="BI38" s="155"/>
      <c r="BJ38" s="7"/>
    </row>
    <row r="39">
      <c r="E39" s="157"/>
      <c r="F39" s="157"/>
      <c r="G39" s="185" t="s">
        <v>1638</v>
      </c>
      <c r="H39" s="156"/>
      <c r="I39" s="156"/>
      <c r="J39" s="157"/>
      <c r="K39" s="157"/>
      <c r="L39" s="186"/>
      <c r="M39" s="186"/>
      <c r="BH39" s="7"/>
      <c r="BI39" s="7"/>
      <c r="BJ39" s="7"/>
    </row>
    <row r="40">
      <c r="E40" s="157"/>
      <c r="F40" s="157"/>
      <c r="G40" s="156" t="s">
        <v>1640</v>
      </c>
      <c r="H40" s="156"/>
      <c r="I40" s="156"/>
      <c r="J40" s="157"/>
      <c r="K40" s="157"/>
      <c r="L40" s="186"/>
      <c r="M40" s="186"/>
      <c r="BH40" s="7"/>
      <c r="BI40" s="7"/>
      <c r="BJ40" s="7"/>
    </row>
    <row r="41">
      <c r="L41" s="184"/>
      <c r="M41" s="184"/>
      <c r="BH41" s="7"/>
      <c r="BI41" s="7"/>
      <c r="BJ41" s="155"/>
    </row>
    <row r="42">
      <c r="G42" s="158" t="s">
        <v>1643</v>
      </c>
      <c r="H42" s="158"/>
      <c r="I42" s="158"/>
      <c r="L42" s="184"/>
      <c r="M42" s="184"/>
      <c r="BH42" s="7"/>
      <c r="BI42" s="7"/>
      <c r="BJ42" s="155"/>
    </row>
    <row r="43">
      <c r="L43" s="184"/>
      <c r="M43" s="184"/>
      <c r="BJ43" s="155"/>
    </row>
    <row r="44">
      <c r="L44" s="184"/>
      <c r="M44" s="184"/>
    </row>
    <row r="45">
      <c r="L45" s="184"/>
      <c r="M45" s="184"/>
    </row>
    <row r="46">
      <c r="L46" s="184"/>
      <c r="M46" s="184"/>
    </row>
    <row r="47">
      <c r="L47" s="184"/>
      <c r="M47" s="184"/>
    </row>
    <row r="48">
      <c r="L48" s="184"/>
      <c r="M48" s="184"/>
      <c r="BI48" s="7"/>
      <c r="BJ48" s="7"/>
    </row>
    <row r="49">
      <c r="L49" s="184"/>
      <c r="M49" s="184"/>
    </row>
    <row r="50">
      <c r="L50" s="184"/>
      <c r="M50" s="184"/>
    </row>
    <row r="51">
      <c r="L51" s="184"/>
      <c r="M51" s="184"/>
    </row>
    <row r="52">
      <c r="L52" s="184"/>
      <c r="M52" s="184"/>
      <c r="AW52" s="7"/>
      <c r="AX52" s="7"/>
      <c r="AY52" s="7"/>
      <c r="AZ52" s="7"/>
      <c r="BA52" s="7"/>
      <c r="BI52" s="7"/>
    </row>
    <row r="53">
      <c r="L53" s="184"/>
      <c r="M53" s="184"/>
      <c r="AW53" s="7"/>
      <c r="AX53" s="7"/>
      <c r="AY53" s="7"/>
      <c r="AZ53" s="7"/>
      <c r="BA53" s="7"/>
      <c r="BD53" s="7"/>
      <c r="BE53" s="7"/>
      <c r="BF53" s="7"/>
      <c r="BI53" s="7"/>
    </row>
    <row r="54">
      <c r="L54" s="184"/>
      <c r="M54" s="184"/>
      <c r="AW54" s="7"/>
      <c r="AX54" s="7"/>
      <c r="AY54" s="7"/>
      <c r="AZ54" s="7"/>
      <c r="BA54" s="7"/>
      <c r="BD54" s="7"/>
      <c r="BE54" s="7"/>
      <c r="BF54" s="7"/>
      <c r="BI54" s="7"/>
    </row>
    <row r="55">
      <c r="L55" s="184"/>
      <c r="M55" s="184"/>
      <c r="AW55" s="7"/>
      <c r="AX55" s="7"/>
      <c r="AY55" s="7"/>
      <c r="AZ55" s="7"/>
      <c r="BA55" s="7"/>
      <c r="BD55" s="7"/>
      <c r="BE55" s="7"/>
      <c r="BF55" s="7"/>
      <c r="BI55" s="7"/>
    </row>
    <row r="56">
      <c r="L56" s="184"/>
      <c r="M56" s="184"/>
      <c r="AW56" s="7"/>
      <c r="AX56" s="7"/>
      <c r="AY56" s="7"/>
      <c r="AZ56" s="7"/>
      <c r="BA56" s="7"/>
      <c r="BD56" s="7"/>
      <c r="BE56" s="7"/>
      <c r="BF56" s="7"/>
      <c r="BI56" s="7"/>
    </row>
    <row r="57">
      <c r="L57" s="184"/>
      <c r="M57" s="184"/>
      <c r="AW57" s="7"/>
      <c r="AX57" s="7"/>
      <c r="AY57" s="7"/>
      <c r="AZ57" s="7"/>
      <c r="BA57" s="7"/>
      <c r="BD57" s="7"/>
      <c r="BE57" s="7"/>
      <c r="BF57" s="7"/>
      <c r="BI57" s="7"/>
    </row>
    <row r="58">
      <c r="L58" s="184"/>
      <c r="M58" s="184"/>
    </row>
    <row r="59">
      <c r="L59" s="184"/>
      <c r="M59" s="184"/>
    </row>
    <row r="60">
      <c r="L60" s="184"/>
      <c r="M60" s="184"/>
    </row>
    <row r="61">
      <c r="L61" s="184"/>
      <c r="M61" s="184"/>
    </row>
    <row r="62">
      <c r="L62" s="184"/>
      <c r="M62" s="184"/>
    </row>
    <row r="63">
      <c r="L63" s="184"/>
      <c r="M63" s="184"/>
    </row>
    <row r="64">
      <c r="L64" s="184"/>
      <c r="M64" s="184"/>
    </row>
    <row r="65">
      <c r="L65" s="184"/>
      <c r="M65" s="184"/>
    </row>
    <row r="66">
      <c r="L66" s="184"/>
      <c r="M66" s="184"/>
    </row>
    <row r="67">
      <c r="L67" s="184"/>
      <c r="M67" s="184"/>
    </row>
    <row r="68">
      <c r="L68" s="184"/>
      <c r="M68" s="184"/>
    </row>
    <row r="69">
      <c r="L69" s="184"/>
      <c r="M69" s="184"/>
    </row>
    <row r="70">
      <c r="L70" s="184"/>
      <c r="M70" s="184"/>
    </row>
    <row r="71">
      <c r="L71" s="184"/>
      <c r="M71" s="184"/>
    </row>
    <row r="72">
      <c r="L72" s="184"/>
      <c r="M72" s="184"/>
    </row>
    <row r="73">
      <c r="L73" s="184"/>
      <c r="M73" s="184"/>
    </row>
    <row r="74">
      <c r="L74" s="184"/>
      <c r="M74" s="184"/>
    </row>
    <row r="75">
      <c r="L75" s="184"/>
      <c r="M75" s="184"/>
    </row>
    <row r="76">
      <c r="L76" s="184"/>
      <c r="M76" s="184"/>
    </row>
    <row r="77">
      <c r="L77" s="184"/>
      <c r="M77" s="184"/>
    </row>
    <row r="78">
      <c r="L78" s="184"/>
      <c r="M78" s="184"/>
    </row>
    <row r="79">
      <c r="L79" s="184"/>
      <c r="M79" s="184"/>
    </row>
    <row r="80">
      <c r="L80" s="184"/>
      <c r="M80" s="184"/>
    </row>
    <row r="81">
      <c r="L81" s="184"/>
      <c r="M81" s="184"/>
    </row>
    <row r="82">
      <c r="L82" s="184"/>
      <c r="M82" s="184"/>
    </row>
    <row r="83">
      <c r="L83" s="184"/>
      <c r="M83" s="184"/>
    </row>
    <row r="84">
      <c r="L84" s="184"/>
      <c r="M84" s="184"/>
    </row>
    <row r="85">
      <c r="L85" s="184"/>
      <c r="M85" s="184"/>
    </row>
    <row r="86">
      <c r="L86" s="184"/>
      <c r="M86" s="184"/>
    </row>
    <row r="87">
      <c r="L87" s="184"/>
      <c r="M87" s="184"/>
    </row>
    <row r="88">
      <c r="L88" s="184"/>
      <c r="M88" s="184"/>
    </row>
    <row r="89">
      <c r="L89" s="184"/>
      <c r="M89" s="184"/>
    </row>
    <row r="90">
      <c r="L90" s="184"/>
      <c r="M90" s="184"/>
    </row>
    <row r="91">
      <c r="L91" s="184"/>
      <c r="M91" s="184"/>
    </row>
    <row r="92">
      <c r="L92" s="184"/>
      <c r="M92" s="184"/>
    </row>
    <row r="93">
      <c r="L93" s="184"/>
      <c r="M93" s="184"/>
    </row>
    <row r="94">
      <c r="L94" s="184"/>
      <c r="M94" s="184"/>
    </row>
    <row r="95">
      <c r="L95" s="184"/>
      <c r="M95" s="184"/>
    </row>
    <row r="96">
      <c r="L96" s="184"/>
      <c r="M96" s="184"/>
    </row>
    <row r="97">
      <c r="L97" s="184"/>
      <c r="M97" s="184"/>
    </row>
    <row r="98">
      <c r="L98" s="184"/>
      <c r="M98" s="184"/>
    </row>
    <row r="99">
      <c r="L99" s="184"/>
      <c r="M99" s="184"/>
    </row>
    <row r="100">
      <c r="L100" s="184"/>
      <c r="M100" s="184"/>
    </row>
    <row r="101">
      <c r="L101" s="184"/>
      <c r="M101" s="184"/>
    </row>
    <row r="102">
      <c r="L102" s="184"/>
      <c r="M102" s="184"/>
    </row>
    <row r="103">
      <c r="L103" s="184"/>
      <c r="M103" s="184"/>
    </row>
    <row r="104">
      <c r="L104" s="184"/>
      <c r="M104" s="184"/>
    </row>
    <row r="105">
      <c r="L105" s="184"/>
      <c r="M105" s="184"/>
    </row>
    <row r="106">
      <c r="L106" s="184"/>
      <c r="M106" s="184"/>
    </row>
    <row r="107">
      <c r="L107" s="184"/>
      <c r="M107" s="184"/>
    </row>
    <row r="108">
      <c r="L108" s="184"/>
      <c r="M108" s="184"/>
    </row>
    <row r="109">
      <c r="L109" s="184"/>
      <c r="M109" s="184"/>
    </row>
    <row r="110">
      <c r="L110" s="184"/>
      <c r="M110" s="184"/>
    </row>
    <row r="111">
      <c r="L111" s="184"/>
      <c r="M111" s="184"/>
    </row>
    <row r="112">
      <c r="L112" s="184"/>
      <c r="M112" s="184"/>
    </row>
    <row r="113">
      <c r="L113" s="184"/>
      <c r="M113" s="184"/>
    </row>
    <row r="114">
      <c r="L114" s="184"/>
      <c r="M114" s="184"/>
    </row>
    <row r="115">
      <c r="L115" s="184"/>
      <c r="M115" s="184"/>
    </row>
    <row r="116">
      <c r="L116" s="184"/>
      <c r="M116" s="184"/>
    </row>
    <row r="117">
      <c r="L117" s="184"/>
      <c r="M117" s="184"/>
    </row>
    <row r="118">
      <c r="L118" s="184"/>
      <c r="M118" s="184"/>
    </row>
    <row r="119">
      <c r="L119" s="184"/>
      <c r="M119" s="184"/>
    </row>
    <row r="120">
      <c r="L120" s="184"/>
      <c r="M120" s="184"/>
    </row>
    <row r="121">
      <c r="L121" s="184"/>
      <c r="M121" s="184"/>
    </row>
    <row r="122">
      <c r="L122" s="184"/>
      <c r="M122" s="184"/>
    </row>
    <row r="123">
      <c r="L123" s="184"/>
      <c r="M123" s="184"/>
    </row>
    <row r="124">
      <c r="L124" s="184"/>
      <c r="M124" s="184"/>
    </row>
    <row r="125">
      <c r="L125" s="184"/>
      <c r="M125" s="184"/>
    </row>
    <row r="126">
      <c r="L126" s="184"/>
      <c r="M126" s="184"/>
    </row>
    <row r="127">
      <c r="L127" s="184"/>
      <c r="M127" s="184"/>
    </row>
    <row r="128">
      <c r="L128" s="184"/>
      <c r="M128" s="184"/>
    </row>
    <row r="129">
      <c r="L129" s="184"/>
      <c r="M129" s="184"/>
    </row>
    <row r="130">
      <c r="L130" s="184"/>
      <c r="M130" s="184"/>
    </row>
    <row r="131">
      <c r="L131" s="184"/>
      <c r="M131" s="184"/>
    </row>
    <row r="132">
      <c r="L132" s="184"/>
      <c r="M132" s="184"/>
    </row>
    <row r="133">
      <c r="L133" s="184"/>
      <c r="M133" s="184"/>
    </row>
    <row r="134">
      <c r="L134" s="184"/>
      <c r="M134" s="184"/>
    </row>
    <row r="135">
      <c r="L135" s="184"/>
      <c r="M135" s="184"/>
    </row>
    <row r="136">
      <c r="L136" s="184"/>
      <c r="M136" s="184"/>
    </row>
    <row r="137">
      <c r="L137" s="184"/>
      <c r="M137" s="184"/>
    </row>
    <row r="138">
      <c r="L138" s="184"/>
      <c r="M138" s="184"/>
    </row>
    <row r="139">
      <c r="L139" s="184"/>
      <c r="M139" s="184"/>
    </row>
    <row r="140">
      <c r="L140" s="184"/>
      <c r="M140" s="184"/>
    </row>
    <row r="141">
      <c r="L141" s="184"/>
      <c r="M141" s="184"/>
    </row>
    <row r="142">
      <c r="L142" s="184"/>
      <c r="M142" s="184"/>
    </row>
    <row r="143">
      <c r="L143" s="184"/>
      <c r="M143" s="184"/>
    </row>
    <row r="144">
      <c r="L144" s="184"/>
      <c r="M144" s="184"/>
    </row>
    <row r="145">
      <c r="L145" s="184"/>
      <c r="M145" s="184"/>
    </row>
    <row r="146">
      <c r="L146" s="184"/>
      <c r="M146" s="184"/>
    </row>
    <row r="147">
      <c r="L147" s="184"/>
      <c r="M147" s="184"/>
    </row>
    <row r="148">
      <c r="L148" s="184"/>
      <c r="M148" s="184"/>
    </row>
    <row r="149">
      <c r="L149" s="184"/>
      <c r="M149" s="184"/>
    </row>
    <row r="150">
      <c r="L150" s="184"/>
      <c r="M150" s="184"/>
    </row>
    <row r="151">
      <c r="L151" s="184"/>
      <c r="M151" s="184"/>
    </row>
    <row r="152">
      <c r="L152" s="184"/>
      <c r="M152" s="184"/>
    </row>
    <row r="153">
      <c r="L153" s="184"/>
      <c r="M153" s="184"/>
    </row>
    <row r="154">
      <c r="L154" s="184"/>
      <c r="M154" s="184"/>
    </row>
    <row r="155">
      <c r="L155" s="184"/>
      <c r="M155" s="184"/>
    </row>
    <row r="156">
      <c r="L156" s="184"/>
      <c r="M156" s="184"/>
    </row>
    <row r="157">
      <c r="L157" s="184"/>
      <c r="M157" s="184"/>
    </row>
    <row r="158">
      <c r="L158" s="184"/>
      <c r="M158" s="184"/>
    </row>
    <row r="159">
      <c r="L159" s="184"/>
      <c r="M159" s="184"/>
    </row>
    <row r="160">
      <c r="L160" s="184"/>
      <c r="M160" s="184"/>
    </row>
    <row r="161">
      <c r="L161" s="184"/>
      <c r="M161" s="184"/>
    </row>
    <row r="162">
      <c r="L162" s="184"/>
      <c r="M162" s="184"/>
    </row>
    <row r="163">
      <c r="L163" s="184"/>
      <c r="M163" s="184"/>
    </row>
    <row r="164">
      <c r="L164" s="184"/>
      <c r="M164" s="184"/>
    </row>
    <row r="165">
      <c r="L165" s="184"/>
      <c r="M165" s="184"/>
    </row>
    <row r="166">
      <c r="L166" s="184"/>
      <c r="M166" s="184"/>
    </row>
    <row r="167">
      <c r="L167" s="184"/>
      <c r="M167" s="184"/>
    </row>
    <row r="168">
      <c r="L168" s="184"/>
      <c r="M168" s="184"/>
    </row>
    <row r="169">
      <c r="L169" s="184"/>
      <c r="M169" s="184"/>
    </row>
    <row r="170">
      <c r="L170" s="184"/>
      <c r="M170" s="184"/>
    </row>
    <row r="171">
      <c r="L171" s="184"/>
      <c r="M171" s="184"/>
    </row>
    <row r="172">
      <c r="L172" s="184"/>
      <c r="M172" s="184"/>
    </row>
    <row r="173">
      <c r="L173" s="184"/>
      <c r="M173" s="184"/>
    </row>
    <row r="174">
      <c r="L174" s="184"/>
      <c r="M174" s="184"/>
    </row>
    <row r="175">
      <c r="L175" s="184"/>
      <c r="M175" s="184"/>
    </row>
    <row r="176">
      <c r="L176" s="184"/>
      <c r="M176" s="184"/>
    </row>
    <row r="177">
      <c r="L177" s="184"/>
      <c r="M177" s="184"/>
    </row>
    <row r="178">
      <c r="L178" s="184"/>
      <c r="M178" s="184"/>
    </row>
    <row r="179">
      <c r="L179" s="184"/>
      <c r="M179" s="184"/>
    </row>
    <row r="180">
      <c r="L180" s="184"/>
      <c r="M180" s="184"/>
    </row>
    <row r="181">
      <c r="L181" s="184"/>
      <c r="M181" s="184"/>
    </row>
    <row r="182">
      <c r="L182" s="184"/>
      <c r="M182" s="184"/>
    </row>
    <row r="183">
      <c r="L183" s="184"/>
      <c r="M183" s="184"/>
    </row>
    <row r="184">
      <c r="L184" s="184"/>
      <c r="M184" s="184"/>
    </row>
    <row r="185">
      <c r="L185" s="184"/>
      <c r="M185" s="184"/>
    </row>
    <row r="186">
      <c r="L186" s="184"/>
      <c r="M186" s="184"/>
    </row>
    <row r="187">
      <c r="L187" s="184"/>
      <c r="M187" s="184"/>
    </row>
    <row r="188">
      <c r="L188" s="184"/>
      <c r="M188" s="184"/>
    </row>
    <row r="189">
      <c r="L189" s="184"/>
      <c r="M189" s="184"/>
    </row>
    <row r="190">
      <c r="L190" s="184"/>
      <c r="M190" s="184"/>
    </row>
    <row r="191">
      <c r="L191" s="184"/>
      <c r="M191" s="184"/>
    </row>
    <row r="192">
      <c r="L192" s="184"/>
      <c r="M192" s="184"/>
    </row>
    <row r="193">
      <c r="L193" s="184"/>
      <c r="M193" s="184"/>
    </row>
    <row r="194">
      <c r="L194" s="184"/>
      <c r="M194" s="184"/>
    </row>
    <row r="195">
      <c r="L195" s="184"/>
      <c r="M195" s="184"/>
    </row>
    <row r="196">
      <c r="L196" s="184"/>
      <c r="M196" s="184"/>
    </row>
    <row r="197">
      <c r="L197" s="184"/>
      <c r="M197" s="184"/>
    </row>
    <row r="198">
      <c r="L198" s="184"/>
      <c r="M198" s="184"/>
    </row>
    <row r="199">
      <c r="L199" s="184"/>
      <c r="M199" s="184"/>
    </row>
    <row r="200">
      <c r="L200" s="184"/>
      <c r="M200" s="184"/>
    </row>
    <row r="201">
      <c r="L201" s="184"/>
      <c r="M201" s="184"/>
    </row>
    <row r="202">
      <c r="L202" s="184"/>
      <c r="M202" s="184"/>
    </row>
    <row r="203">
      <c r="L203" s="184"/>
      <c r="M203" s="184"/>
    </row>
    <row r="204">
      <c r="L204" s="184"/>
      <c r="M204" s="184"/>
    </row>
    <row r="205">
      <c r="L205" s="184"/>
      <c r="M205" s="184"/>
    </row>
    <row r="206">
      <c r="L206" s="184"/>
      <c r="M206" s="184"/>
    </row>
    <row r="207">
      <c r="L207" s="184"/>
      <c r="M207" s="184"/>
    </row>
    <row r="208">
      <c r="L208" s="184"/>
      <c r="M208" s="184"/>
    </row>
    <row r="209">
      <c r="L209" s="184"/>
      <c r="M209" s="184"/>
    </row>
    <row r="210">
      <c r="L210" s="184"/>
      <c r="M210" s="184"/>
    </row>
    <row r="211">
      <c r="L211" s="184"/>
      <c r="M211" s="184"/>
    </row>
    <row r="212">
      <c r="L212" s="184"/>
      <c r="M212" s="184"/>
    </row>
    <row r="213">
      <c r="L213" s="184"/>
      <c r="M213" s="184"/>
    </row>
    <row r="214">
      <c r="L214" s="184"/>
      <c r="M214" s="184"/>
    </row>
    <row r="215">
      <c r="L215" s="184"/>
      <c r="M215" s="184"/>
    </row>
    <row r="216">
      <c r="L216" s="184"/>
      <c r="M216" s="184"/>
    </row>
    <row r="217">
      <c r="L217" s="184"/>
      <c r="M217" s="184"/>
    </row>
    <row r="218">
      <c r="L218" s="184"/>
      <c r="M218" s="184"/>
    </row>
    <row r="219">
      <c r="L219" s="184"/>
      <c r="M219" s="184"/>
    </row>
    <row r="220">
      <c r="L220" s="184"/>
      <c r="M220" s="184"/>
    </row>
    <row r="221">
      <c r="L221" s="184"/>
      <c r="M221" s="184"/>
    </row>
    <row r="222">
      <c r="L222" s="184"/>
      <c r="M222" s="184"/>
    </row>
    <row r="223">
      <c r="L223" s="184"/>
      <c r="M223" s="184"/>
    </row>
    <row r="224">
      <c r="L224" s="184"/>
      <c r="M224" s="184"/>
    </row>
    <row r="225">
      <c r="L225" s="184"/>
      <c r="M225" s="184"/>
    </row>
    <row r="226">
      <c r="L226" s="184"/>
      <c r="M226" s="184"/>
    </row>
    <row r="227">
      <c r="L227" s="184"/>
      <c r="M227" s="184"/>
    </row>
    <row r="228">
      <c r="L228" s="184"/>
      <c r="M228" s="184"/>
    </row>
    <row r="229">
      <c r="L229" s="184"/>
      <c r="M229" s="184"/>
    </row>
    <row r="230">
      <c r="L230" s="184"/>
      <c r="M230" s="184"/>
    </row>
    <row r="231">
      <c r="L231" s="184"/>
      <c r="M231" s="184"/>
    </row>
    <row r="232">
      <c r="L232" s="184"/>
      <c r="M232" s="184"/>
    </row>
    <row r="233">
      <c r="L233" s="184"/>
      <c r="M233" s="184"/>
    </row>
    <row r="234">
      <c r="L234" s="184"/>
      <c r="M234" s="184"/>
    </row>
    <row r="235">
      <c r="L235" s="184"/>
      <c r="M235" s="184"/>
    </row>
    <row r="236">
      <c r="L236" s="184"/>
      <c r="M236" s="184"/>
    </row>
    <row r="237">
      <c r="L237" s="184"/>
      <c r="M237" s="184"/>
    </row>
    <row r="238">
      <c r="L238" s="184"/>
      <c r="M238" s="184"/>
    </row>
    <row r="239">
      <c r="L239" s="184"/>
      <c r="M239" s="184"/>
    </row>
    <row r="240">
      <c r="L240" s="184"/>
      <c r="M240" s="184"/>
    </row>
    <row r="241">
      <c r="L241" s="184"/>
      <c r="M241" s="184"/>
    </row>
    <row r="242">
      <c r="L242" s="184"/>
      <c r="M242" s="184"/>
    </row>
    <row r="243">
      <c r="L243" s="184"/>
      <c r="M243" s="184"/>
    </row>
    <row r="244">
      <c r="L244" s="184"/>
      <c r="M244" s="184"/>
    </row>
    <row r="245">
      <c r="L245" s="184"/>
      <c r="M245" s="184"/>
    </row>
    <row r="246">
      <c r="L246" s="184"/>
      <c r="M246" s="184"/>
    </row>
    <row r="247">
      <c r="L247" s="184"/>
      <c r="M247" s="184"/>
    </row>
    <row r="248">
      <c r="L248" s="184"/>
      <c r="M248" s="184"/>
    </row>
    <row r="249">
      <c r="L249" s="184"/>
      <c r="M249" s="184"/>
    </row>
    <row r="250">
      <c r="L250" s="184"/>
      <c r="M250" s="184"/>
    </row>
    <row r="251">
      <c r="L251" s="184"/>
      <c r="M251" s="184"/>
    </row>
    <row r="252">
      <c r="L252" s="184"/>
      <c r="M252" s="184"/>
    </row>
    <row r="253">
      <c r="L253" s="184"/>
      <c r="M253" s="184"/>
    </row>
    <row r="254">
      <c r="L254" s="184"/>
      <c r="M254" s="184"/>
    </row>
    <row r="255">
      <c r="L255" s="184"/>
      <c r="M255" s="184"/>
    </row>
    <row r="256">
      <c r="L256" s="184"/>
      <c r="M256" s="184"/>
    </row>
    <row r="257">
      <c r="L257" s="184"/>
      <c r="M257" s="184"/>
    </row>
    <row r="258">
      <c r="L258" s="184"/>
      <c r="M258" s="184"/>
    </row>
    <row r="259">
      <c r="L259" s="184"/>
      <c r="M259" s="184"/>
    </row>
    <row r="260">
      <c r="L260" s="184"/>
      <c r="M260" s="184"/>
    </row>
    <row r="261">
      <c r="L261" s="184"/>
      <c r="M261" s="184"/>
    </row>
    <row r="262">
      <c r="L262" s="184"/>
      <c r="M262" s="184"/>
    </row>
    <row r="263">
      <c r="L263" s="184"/>
      <c r="M263" s="184"/>
    </row>
    <row r="264">
      <c r="L264" s="184"/>
      <c r="M264" s="184"/>
    </row>
    <row r="265">
      <c r="L265" s="184"/>
      <c r="M265" s="184"/>
    </row>
    <row r="266">
      <c r="L266" s="184"/>
      <c r="M266" s="184"/>
    </row>
    <row r="267">
      <c r="L267" s="184"/>
      <c r="M267" s="184"/>
    </row>
    <row r="268">
      <c r="L268" s="184"/>
      <c r="M268" s="184"/>
    </row>
    <row r="269">
      <c r="L269" s="184"/>
      <c r="M269" s="184"/>
    </row>
    <row r="270">
      <c r="L270" s="184"/>
      <c r="M270" s="184"/>
    </row>
    <row r="271">
      <c r="L271" s="184"/>
      <c r="M271" s="184"/>
    </row>
    <row r="272">
      <c r="L272" s="184"/>
      <c r="M272" s="184"/>
    </row>
    <row r="273">
      <c r="L273" s="184"/>
      <c r="M273" s="184"/>
    </row>
    <row r="274">
      <c r="L274" s="184"/>
      <c r="M274" s="184"/>
    </row>
    <row r="275">
      <c r="L275" s="184"/>
      <c r="M275" s="184"/>
    </row>
    <row r="276">
      <c r="L276" s="184"/>
      <c r="M276" s="184"/>
    </row>
    <row r="277">
      <c r="L277" s="184"/>
      <c r="M277" s="184"/>
    </row>
    <row r="278">
      <c r="L278" s="184"/>
      <c r="M278" s="184"/>
    </row>
    <row r="279">
      <c r="L279" s="184"/>
      <c r="M279" s="184"/>
    </row>
    <row r="280">
      <c r="L280" s="184"/>
      <c r="M280" s="184"/>
    </row>
    <row r="281">
      <c r="L281" s="184"/>
      <c r="M281" s="184"/>
    </row>
    <row r="282">
      <c r="L282" s="184"/>
      <c r="M282" s="184"/>
    </row>
    <row r="283">
      <c r="L283" s="184"/>
      <c r="M283" s="184"/>
    </row>
    <row r="284">
      <c r="L284" s="184"/>
      <c r="M284" s="184"/>
    </row>
    <row r="285">
      <c r="L285" s="184"/>
      <c r="M285" s="184"/>
    </row>
    <row r="286">
      <c r="L286" s="184"/>
      <c r="M286" s="184"/>
    </row>
    <row r="287">
      <c r="L287" s="184"/>
      <c r="M287" s="184"/>
    </row>
    <row r="288">
      <c r="L288" s="184"/>
      <c r="M288" s="184"/>
    </row>
    <row r="289">
      <c r="L289" s="184"/>
      <c r="M289" s="184"/>
    </row>
    <row r="290">
      <c r="L290" s="184"/>
      <c r="M290" s="184"/>
    </row>
    <row r="291">
      <c r="L291" s="184"/>
      <c r="M291" s="184"/>
    </row>
    <row r="292">
      <c r="L292" s="184"/>
      <c r="M292" s="184"/>
    </row>
    <row r="293">
      <c r="L293" s="184"/>
      <c r="M293" s="184"/>
    </row>
    <row r="294">
      <c r="L294" s="184"/>
      <c r="M294" s="184"/>
    </row>
    <row r="295">
      <c r="L295" s="184"/>
      <c r="M295" s="184"/>
    </row>
    <row r="296">
      <c r="L296" s="184"/>
      <c r="M296" s="184"/>
    </row>
    <row r="297">
      <c r="L297" s="184"/>
      <c r="M297" s="184"/>
    </row>
    <row r="298">
      <c r="L298" s="184"/>
      <c r="M298" s="184"/>
    </row>
    <row r="299">
      <c r="L299" s="184"/>
      <c r="M299" s="184"/>
    </row>
    <row r="300">
      <c r="L300" s="184"/>
      <c r="M300" s="184"/>
    </row>
    <row r="301">
      <c r="L301" s="184"/>
      <c r="M301" s="184"/>
    </row>
    <row r="302">
      <c r="L302" s="184"/>
      <c r="M302" s="184"/>
    </row>
    <row r="303">
      <c r="L303" s="184"/>
      <c r="M303" s="184"/>
    </row>
    <row r="304">
      <c r="L304" s="184"/>
      <c r="M304" s="184"/>
    </row>
    <row r="305">
      <c r="L305" s="184"/>
      <c r="M305" s="184"/>
    </row>
    <row r="306">
      <c r="L306" s="184"/>
      <c r="M306" s="184"/>
    </row>
    <row r="307">
      <c r="L307" s="184"/>
      <c r="M307" s="184"/>
    </row>
    <row r="308">
      <c r="L308" s="184"/>
      <c r="M308" s="184"/>
    </row>
    <row r="309">
      <c r="L309" s="184"/>
      <c r="M309" s="184"/>
    </row>
    <row r="310">
      <c r="L310" s="184"/>
      <c r="M310" s="184"/>
    </row>
    <row r="311">
      <c r="L311" s="184"/>
      <c r="M311" s="184"/>
    </row>
    <row r="312">
      <c r="L312" s="184"/>
      <c r="M312" s="184"/>
    </row>
    <row r="313">
      <c r="L313" s="184"/>
      <c r="M313" s="184"/>
    </row>
    <row r="314">
      <c r="L314" s="184"/>
      <c r="M314" s="184"/>
    </row>
    <row r="315">
      <c r="L315" s="184"/>
      <c r="M315" s="184"/>
    </row>
    <row r="316">
      <c r="L316" s="184"/>
      <c r="M316" s="184"/>
    </row>
    <row r="317">
      <c r="L317" s="184"/>
      <c r="M317" s="184"/>
    </row>
    <row r="318">
      <c r="L318" s="184"/>
      <c r="M318" s="184"/>
    </row>
    <row r="319">
      <c r="L319" s="184"/>
      <c r="M319" s="184"/>
    </row>
    <row r="320">
      <c r="L320" s="184"/>
      <c r="M320" s="184"/>
    </row>
    <row r="321">
      <c r="L321" s="184"/>
      <c r="M321" s="184"/>
    </row>
    <row r="322">
      <c r="L322" s="184"/>
      <c r="M322" s="184"/>
    </row>
    <row r="323">
      <c r="L323" s="184"/>
      <c r="M323" s="184"/>
    </row>
    <row r="324">
      <c r="L324" s="184"/>
      <c r="M324" s="184"/>
    </row>
    <row r="325">
      <c r="L325" s="184"/>
      <c r="M325" s="184"/>
    </row>
    <row r="326">
      <c r="L326" s="184"/>
      <c r="M326" s="184"/>
    </row>
    <row r="327">
      <c r="L327" s="184"/>
      <c r="M327" s="184"/>
    </row>
    <row r="328">
      <c r="L328" s="184"/>
      <c r="M328" s="184"/>
    </row>
    <row r="329">
      <c r="L329" s="184"/>
      <c r="M329" s="184"/>
    </row>
    <row r="330">
      <c r="L330" s="184"/>
      <c r="M330" s="184"/>
    </row>
    <row r="331">
      <c r="L331" s="184"/>
      <c r="M331" s="184"/>
    </row>
    <row r="332">
      <c r="L332" s="184"/>
      <c r="M332" s="184"/>
    </row>
    <row r="333">
      <c r="L333" s="184"/>
      <c r="M333" s="184"/>
    </row>
    <row r="334">
      <c r="L334" s="184"/>
      <c r="M334" s="184"/>
    </row>
    <row r="335">
      <c r="L335" s="184"/>
      <c r="M335" s="184"/>
    </row>
    <row r="336">
      <c r="L336" s="184"/>
      <c r="M336" s="184"/>
    </row>
    <row r="337">
      <c r="L337" s="184"/>
      <c r="M337" s="184"/>
    </row>
    <row r="338">
      <c r="L338" s="184"/>
      <c r="M338" s="184"/>
    </row>
    <row r="339">
      <c r="L339" s="184"/>
      <c r="M339" s="184"/>
    </row>
    <row r="340">
      <c r="L340" s="184"/>
      <c r="M340" s="184"/>
    </row>
    <row r="341">
      <c r="L341" s="184"/>
      <c r="M341" s="184"/>
    </row>
    <row r="342">
      <c r="L342" s="184"/>
      <c r="M342" s="184"/>
    </row>
    <row r="343">
      <c r="L343" s="184"/>
      <c r="M343" s="184"/>
    </row>
    <row r="344">
      <c r="L344" s="184"/>
      <c r="M344" s="184"/>
    </row>
    <row r="345">
      <c r="L345" s="184"/>
      <c r="M345" s="184"/>
    </row>
    <row r="346">
      <c r="L346" s="184"/>
      <c r="M346" s="184"/>
    </row>
    <row r="347">
      <c r="L347" s="184"/>
      <c r="M347" s="184"/>
    </row>
    <row r="348">
      <c r="L348" s="184"/>
      <c r="M348" s="184"/>
    </row>
    <row r="349">
      <c r="L349" s="184"/>
      <c r="M349" s="184"/>
    </row>
    <row r="350">
      <c r="L350" s="184"/>
      <c r="M350" s="184"/>
    </row>
    <row r="351">
      <c r="L351" s="184"/>
      <c r="M351" s="184"/>
    </row>
    <row r="352">
      <c r="L352" s="184"/>
      <c r="M352" s="184"/>
    </row>
    <row r="353">
      <c r="L353" s="184"/>
      <c r="M353" s="184"/>
    </row>
    <row r="354">
      <c r="L354" s="184"/>
      <c r="M354" s="184"/>
    </row>
    <row r="355">
      <c r="L355" s="184"/>
      <c r="M355" s="184"/>
    </row>
    <row r="356">
      <c r="L356" s="184"/>
      <c r="M356" s="184"/>
    </row>
    <row r="357">
      <c r="L357" s="184"/>
      <c r="M357" s="184"/>
    </row>
    <row r="358">
      <c r="L358" s="184"/>
      <c r="M358" s="184"/>
    </row>
    <row r="359">
      <c r="L359" s="184"/>
      <c r="M359" s="184"/>
    </row>
    <row r="360">
      <c r="L360" s="184"/>
      <c r="M360" s="184"/>
    </row>
    <row r="361">
      <c r="L361" s="184"/>
      <c r="M361" s="184"/>
    </row>
    <row r="362">
      <c r="L362" s="184"/>
      <c r="M362" s="184"/>
    </row>
    <row r="363">
      <c r="L363" s="184"/>
      <c r="M363" s="184"/>
    </row>
    <row r="364">
      <c r="L364" s="184"/>
      <c r="M364" s="184"/>
    </row>
    <row r="365">
      <c r="L365" s="184"/>
      <c r="M365" s="184"/>
    </row>
    <row r="366">
      <c r="L366" s="184"/>
      <c r="M366" s="184"/>
    </row>
    <row r="367">
      <c r="L367" s="184"/>
      <c r="M367" s="184"/>
    </row>
    <row r="368">
      <c r="L368" s="184"/>
      <c r="M368" s="184"/>
    </row>
    <row r="369">
      <c r="L369" s="184"/>
      <c r="M369" s="184"/>
    </row>
    <row r="370">
      <c r="L370" s="184"/>
      <c r="M370" s="184"/>
    </row>
    <row r="371">
      <c r="L371" s="184"/>
      <c r="M371" s="184"/>
    </row>
    <row r="372">
      <c r="L372" s="184"/>
      <c r="M372" s="184"/>
    </row>
    <row r="373">
      <c r="L373" s="184"/>
      <c r="M373" s="184"/>
    </row>
    <row r="374">
      <c r="L374" s="184"/>
      <c r="M374" s="184"/>
    </row>
    <row r="375">
      <c r="L375" s="184"/>
      <c r="M375" s="184"/>
    </row>
    <row r="376">
      <c r="L376" s="184"/>
      <c r="M376" s="184"/>
    </row>
    <row r="377">
      <c r="L377" s="184"/>
      <c r="M377" s="184"/>
    </row>
    <row r="378">
      <c r="L378" s="184"/>
      <c r="M378" s="184"/>
    </row>
    <row r="379">
      <c r="L379" s="184"/>
      <c r="M379" s="184"/>
    </row>
    <row r="380">
      <c r="L380" s="184"/>
      <c r="M380" s="184"/>
    </row>
    <row r="381">
      <c r="L381" s="184"/>
      <c r="M381" s="184"/>
    </row>
    <row r="382">
      <c r="L382" s="184"/>
      <c r="M382" s="184"/>
    </row>
    <row r="383">
      <c r="L383" s="184"/>
      <c r="M383" s="184"/>
    </row>
    <row r="384">
      <c r="L384" s="184"/>
      <c r="M384" s="184"/>
    </row>
    <row r="385">
      <c r="L385" s="184"/>
      <c r="M385" s="184"/>
    </row>
    <row r="386">
      <c r="L386" s="184"/>
      <c r="M386" s="184"/>
    </row>
    <row r="387">
      <c r="L387" s="184"/>
      <c r="M387" s="184"/>
    </row>
    <row r="388">
      <c r="L388" s="184"/>
      <c r="M388" s="184"/>
    </row>
    <row r="389">
      <c r="L389" s="184"/>
      <c r="M389" s="184"/>
    </row>
    <row r="390">
      <c r="L390" s="184"/>
      <c r="M390" s="184"/>
    </row>
    <row r="391">
      <c r="L391" s="184"/>
      <c r="M391" s="184"/>
    </row>
    <row r="392">
      <c r="L392" s="184"/>
      <c r="M392" s="184"/>
    </row>
    <row r="393">
      <c r="L393" s="184"/>
      <c r="M393" s="184"/>
    </row>
    <row r="394">
      <c r="L394" s="184"/>
      <c r="M394" s="184"/>
    </row>
    <row r="395">
      <c r="L395" s="184"/>
      <c r="M395" s="184"/>
    </row>
    <row r="396">
      <c r="L396" s="184"/>
      <c r="M396" s="184"/>
    </row>
    <row r="397">
      <c r="L397" s="184"/>
      <c r="M397" s="184"/>
    </row>
    <row r="398">
      <c r="L398" s="184"/>
      <c r="M398" s="184"/>
    </row>
    <row r="399">
      <c r="L399" s="184"/>
      <c r="M399" s="184"/>
    </row>
    <row r="400">
      <c r="L400" s="184"/>
      <c r="M400" s="184"/>
    </row>
    <row r="401">
      <c r="L401" s="184"/>
      <c r="M401" s="184"/>
    </row>
    <row r="402">
      <c r="L402" s="184"/>
      <c r="M402" s="184"/>
    </row>
    <row r="403">
      <c r="L403" s="184"/>
      <c r="M403" s="184"/>
    </row>
    <row r="404">
      <c r="L404" s="184"/>
      <c r="M404" s="184"/>
    </row>
    <row r="405">
      <c r="L405" s="184"/>
      <c r="M405" s="184"/>
    </row>
    <row r="406">
      <c r="L406" s="184"/>
      <c r="M406" s="184"/>
    </row>
    <row r="407">
      <c r="L407" s="184"/>
      <c r="M407" s="184"/>
    </row>
    <row r="408">
      <c r="L408" s="184"/>
      <c r="M408" s="184"/>
    </row>
    <row r="409">
      <c r="L409" s="184"/>
      <c r="M409" s="184"/>
    </row>
    <row r="410">
      <c r="L410" s="184"/>
      <c r="M410" s="184"/>
    </row>
    <row r="411">
      <c r="L411" s="184"/>
      <c r="M411" s="184"/>
    </row>
    <row r="412">
      <c r="L412" s="184"/>
      <c r="M412" s="184"/>
    </row>
    <row r="413">
      <c r="L413" s="184"/>
      <c r="M413" s="184"/>
    </row>
    <row r="414">
      <c r="L414" s="184"/>
      <c r="M414" s="184"/>
    </row>
    <row r="415">
      <c r="L415" s="184"/>
      <c r="M415" s="184"/>
    </row>
    <row r="416">
      <c r="L416" s="184"/>
      <c r="M416" s="184"/>
    </row>
    <row r="417">
      <c r="L417" s="184"/>
      <c r="M417" s="184"/>
    </row>
    <row r="418">
      <c r="L418" s="184"/>
      <c r="M418" s="184"/>
    </row>
    <row r="419">
      <c r="L419" s="184"/>
      <c r="M419" s="184"/>
    </row>
    <row r="420">
      <c r="L420" s="184"/>
      <c r="M420" s="184"/>
    </row>
    <row r="421">
      <c r="L421" s="184"/>
      <c r="M421" s="184"/>
    </row>
    <row r="422">
      <c r="L422" s="184"/>
      <c r="M422" s="184"/>
    </row>
    <row r="423">
      <c r="L423" s="184"/>
      <c r="M423" s="184"/>
    </row>
    <row r="424">
      <c r="L424" s="184"/>
      <c r="M424" s="184"/>
    </row>
    <row r="425">
      <c r="L425" s="184"/>
      <c r="M425" s="184"/>
    </row>
    <row r="426">
      <c r="L426" s="184"/>
      <c r="M426" s="184"/>
    </row>
    <row r="427">
      <c r="L427" s="184"/>
      <c r="M427" s="184"/>
    </row>
    <row r="428">
      <c r="L428" s="184"/>
      <c r="M428" s="184"/>
    </row>
    <row r="429">
      <c r="L429" s="184"/>
      <c r="M429" s="184"/>
    </row>
    <row r="430">
      <c r="L430" s="184"/>
      <c r="M430" s="184"/>
    </row>
    <row r="431">
      <c r="L431" s="184"/>
      <c r="M431" s="184"/>
    </row>
    <row r="432">
      <c r="L432" s="184"/>
      <c r="M432" s="184"/>
    </row>
    <row r="433">
      <c r="L433" s="184"/>
      <c r="M433" s="184"/>
    </row>
    <row r="434">
      <c r="L434" s="184"/>
      <c r="M434" s="184"/>
    </row>
    <row r="435">
      <c r="L435" s="184"/>
      <c r="M435" s="184"/>
    </row>
    <row r="436">
      <c r="L436" s="184"/>
      <c r="M436" s="184"/>
    </row>
    <row r="437">
      <c r="L437" s="184"/>
      <c r="M437" s="184"/>
    </row>
    <row r="438">
      <c r="L438" s="184"/>
      <c r="M438" s="184"/>
    </row>
    <row r="439">
      <c r="L439" s="184"/>
      <c r="M439" s="184"/>
    </row>
    <row r="440">
      <c r="L440" s="184"/>
      <c r="M440" s="184"/>
    </row>
    <row r="441">
      <c r="L441" s="184"/>
      <c r="M441" s="184"/>
    </row>
    <row r="442">
      <c r="L442" s="184"/>
      <c r="M442" s="184"/>
    </row>
    <row r="443">
      <c r="L443" s="184"/>
      <c r="M443" s="184"/>
    </row>
    <row r="444">
      <c r="L444" s="184"/>
      <c r="M444" s="184"/>
    </row>
    <row r="445">
      <c r="L445" s="184"/>
      <c r="M445" s="184"/>
    </row>
    <row r="446">
      <c r="L446" s="184"/>
      <c r="M446" s="184"/>
    </row>
    <row r="447">
      <c r="L447" s="184"/>
      <c r="M447" s="184"/>
    </row>
    <row r="448">
      <c r="L448" s="184"/>
      <c r="M448" s="184"/>
    </row>
    <row r="449">
      <c r="L449" s="184"/>
      <c r="M449" s="184"/>
    </row>
    <row r="450">
      <c r="L450" s="184"/>
      <c r="M450" s="184"/>
    </row>
    <row r="451">
      <c r="L451" s="184"/>
      <c r="M451" s="184"/>
    </row>
    <row r="452">
      <c r="L452" s="184"/>
      <c r="M452" s="184"/>
    </row>
    <row r="453">
      <c r="L453" s="184"/>
      <c r="M453" s="184"/>
    </row>
    <row r="454">
      <c r="L454" s="184"/>
      <c r="M454" s="184"/>
    </row>
    <row r="455">
      <c r="L455" s="184"/>
      <c r="M455" s="184"/>
    </row>
    <row r="456">
      <c r="L456" s="184"/>
      <c r="M456" s="184"/>
    </row>
    <row r="457">
      <c r="L457" s="184"/>
      <c r="M457" s="184"/>
    </row>
    <row r="458">
      <c r="L458" s="184"/>
      <c r="M458" s="184"/>
    </row>
    <row r="459">
      <c r="L459" s="184"/>
      <c r="M459" s="184"/>
    </row>
    <row r="460">
      <c r="L460" s="184"/>
      <c r="M460" s="184"/>
    </row>
    <row r="461">
      <c r="L461" s="184"/>
      <c r="M461" s="184"/>
    </row>
    <row r="462">
      <c r="L462" s="184"/>
      <c r="M462" s="184"/>
    </row>
    <row r="463">
      <c r="L463" s="184"/>
      <c r="M463" s="184"/>
    </row>
    <row r="464">
      <c r="L464" s="184"/>
      <c r="M464" s="184"/>
    </row>
    <row r="465">
      <c r="L465" s="184"/>
      <c r="M465" s="184"/>
    </row>
    <row r="466">
      <c r="L466" s="184"/>
      <c r="M466" s="184"/>
    </row>
    <row r="467">
      <c r="L467" s="184"/>
      <c r="M467" s="184"/>
    </row>
    <row r="468">
      <c r="L468" s="184"/>
      <c r="M468" s="184"/>
    </row>
    <row r="469">
      <c r="L469" s="184"/>
      <c r="M469" s="184"/>
    </row>
    <row r="470">
      <c r="L470" s="184"/>
      <c r="M470" s="184"/>
    </row>
    <row r="471">
      <c r="L471" s="184"/>
      <c r="M471" s="184"/>
    </row>
    <row r="472">
      <c r="L472" s="184"/>
      <c r="M472" s="184"/>
    </row>
    <row r="473">
      <c r="L473" s="184"/>
      <c r="M473" s="184"/>
    </row>
    <row r="474">
      <c r="L474" s="184"/>
      <c r="M474" s="184"/>
    </row>
    <row r="475">
      <c r="L475" s="184"/>
      <c r="M475" s="184"/>
    </row>
    <row r="476">
      <c r="L476" s="184"/>
      <c r="M476" s="184"/>
    </row>
    <row r="477">
      <c r="L477" s="184"/>
      <c r="M477" s="184"/>
    </row>
    <row r="478">
      <c r="L478" s="184"/>
      <c r="M478" s="184"/>
    </row>
    <row r="479">
      <c r="L479" s="184"/>
      <c r="M479" s="184"/>
    </row>
    <row r="480">
      <c r="L480" s="184"/>
      <c r="M480" s="184"/>
    </row>
    <row r="481">
      <c r="L481" s="184"/>
      <c r="M481" s="184"/>
    </row>
    <row r="482">
      <c r="L482" s="184"/>
      <c r="M482" s="184"/>
    </row>
    <row r="483">
      <c r="L483" s="184"/>
      <c r="M483" s="184"/>
    </row>
    <row r="484">
      <c r="L484" s="184"/>
      <c r="M484" s="184"/>
    </row>
    <row r="485">
      <c r="L485" s="184"/>
      <c r="M485" s="184"/>
    </row>
    <row r="486">
      <c r="L486" s="184"/>
      <c r="M486" s="184"/>
    </row>
    <row r="487">
      <c r="L487" s="184"/>
      <c r="M487" s="184"/>
    </row>
    <row r="488">
      <c r="L488" s="184"/>
      <c r="M488" s="184"/>
    </row>
    <row r="489">
      <c r="L489" s="184"/>
      <c r="M489" s="184"/>
    </row>
    <row r="490">
      <c r="L490" s="184"/>
      <c r="M490" s="184"/>
    </row>
    <row r="491">
      <c r="L491" s="184"/>
      <c r="M491" s="184"/>
    </row>
    <row r="492">
      <c r="L492" s="184"/>
      <c r="M492" s="184"/>
    </row>
    <row r="493">
      <c r="L493" s="184"/>
      <c r="M493" s="184"/>
    </row>
    <row r="494">
      <c r="L494" s="184"/>
      <c r="M494" s="184"/>
    </row>
    <row r="495">
      <c r="L495" s="184"/>
      <c r="M495" s="184"/>
    </row>
    <row r="496">
      <c r="L496" s="184"/>
      <c r="M496" s="184"/>
    </row>
    <row r="497">
      <c r="L497" s="184"/>
      <c r="M497" s="184"/>
    </row>
    <row r="498">
      <c r="L498" s="184"/>
      <c r="M498" s="184"/>
    </row>
    <row r="499">
      <c r="L499" s="184"/>
      <c r="M499" s="184"/>
    </row>
    <row r="500">
      <c r="L500" s="184"/>
      <c r="M500" s="184"/>
    </row>
    <row r="501">
      <c r="L501" s="184"/>
      <c r="M501" s="184"/>
    </row>
    <row r="502">
      <c r="L502" s="184"/>
      <c r="M502" s="184"/>
    </row>
    <row r="503">
      <c r="L503" s="184"/>
      <c r="M503" s="184"/>
    </row>
    <row r="504">
      <c r="L504" s="184"/>
      <c r="M504" s="184"/>
    </row>
    <row r="505">
      <c r="L505" s="184"/>
      <c r="M505" s="184"/>
    </row>
    <row r="506">
      <c r="L506" s="184"/>
      <c r="M506" s="184"/>
    </row>
    <row r="507">
      <c r="L507" s="184"/>
      <c r="M507" s="184"/>
    </row>
    <row r="508">
      <c r="L508" s="184"/>
      <c r="M508" s="184"/>
    </row>
    <row r="509">
      <c r="L509" s="184"/>
      <c r="M509" s="184"/>
    </row>
    <row r="510">
      <c r="L510" s="184"/>
      <c r="M510" s="184"/>
    </row>
    <row r="511">
      <c r="L511" s="184"/>
      <c r="M511" s="184"/>
    </row>
    <row r="512">
      <c r="L512" s="184"/>
      <c r="M512" s="184"/>
    </row>
    <row r="513">
      <c r="L513" s="184"/>
      <c r="M513" s="184"/>
    </row>
    <row r="514">
      <c r="L514" s="184"/>
      <c r="M514" s="184"/>
    </row>
    <row r="515">
      <c r="L515" s="184"/>
      <c r="M515" s="184"/>
    </row>
    <row r="516">
      <c r="L516" s="184"/>
      <c r="M516" s="184"/>
    </row>
    <row r="517">
      <c r="L517" s="184"/>
      <c r="M517" s="184"/>
    </row>
    <row r="518">
      <c r="L518" s="184"/>
      <c r="M518" s="184"/>
    </row>
    <row r="519">
      <c r="L519" s="184"/>
      <c r="M519" s="184"/>
    </row>
    <row r="520">
      <c r="L520" s="184"/>
      <c r="M520" s="184"/>
    </row>
    <row r="521">
      <c r="L521" s="184"/>
      <c r="M521" s="184"/>
    </row>
    <row r="522">
      <c r="L522" s="184"/>
      <c r="M522" s="184"/>
    </row>
    <row r="523">
      <c r="L523" s="184"/>
      <c r="M523" s="184"/>
    </row>
    <row r="524">
      <c r="L524" s="184"/>
      <c r="M524" s="184"/>
    </row>
    <row r="525">
      <c r="L525" s="184"/>
      <c r="M525" s="184"/>
    </row>
    <row r="526">
      <c r="L526" s="184"/>
      <c r="M526" s="184"/>
    </row>
    <row r="527">
      <c r="L527" s="184"/>
      <c r="M527" s="184"/>
    </row>
    <row r="528">
      <c r="L528" s="184"/>
      <c r="M528" s="184"/>
    </row>
    <row r="529">
      <c r="L529" s="184"/>
      <c r="M529" s="184"/>
    </row>
    <row r="530">
      <c r="L530" s="184"/>
      <c r="M530" s="184"/>
    </row>
    <row r="531">
      <c r="L531" s="184"/>
      <c r="M531" s="184"/>
    </row>
    <row r="532">
      <c r="L532" s="184"/>
      <c r="M532" s="184"/>
    </row>
    <row r="533">
      <c r="L533" s="184"/>
      <c r="M533" s="184"/>
    </row>
    <row r="534">
      <c r="L534" s="184"/>
      <c r="M534" s="184"/>
    </row>
    <row r="535">
      <c r="L535" s="184"/>
      <c r="M535" s="184"/>
    </row>
    <row r="536">
      <c r="L536" s="184"/>
      <c r="M536" s="184"/>
    </row>
    <row r="537">
      <c r="L537" s="184"/>
      <c r="M537" s="184"/>
    </row>
    <row r="538">
      <c r="L538" s="184"/>
      <c r="M538" s="184"/>
    </row>
    <row r="539">
      <c r="L539" s="184"/>
      <c r="M539" s="184"/>
    </row>
    <row r="540">
      <c r="L540" s="184"/>
      <c r="M540" s="184"/>
    </row>
    <row r="541">
      <c r="L541" s="184"/>
      <c r="M541" s="184"/>
    </row>
    <row r="542">
      <c r="L542" s="184"/>
      <c r="M542" s="184"/>
    </row>
    <row r="543">
      <c r="L543" s="184"/>
      <c r="M543" s="184"/>
    </row>
    <row r="544">
      <c r="L544" s="184"/>
      <c r="M544" s="184"/>
    </row>
    <row r="545">
      <c r="L545" s="184"/>
      <c r="M545" s="184"/>
    </row>
    <row r="546">
      <c r="L546" s="184"/>
      <c r="M546" s="184"/>
    </row>
    <row r="547">
      <c r="L547" s="184"/>
      <c r="M547" s="184"/>
    </row>
    <row r="548">
      <c r="L548" s="184"/>
      <c r="M548" s="184"/>
    </row>
    <row r="549">
      <c r="L549" s="184"/>
      <c r="M549" s="184"/>
    </row>
    <row r="550">
      <c r="L550" s="184"/>
      <c r="M550" s="184"/>
    </row>
    <row r="551">
      <c r="L551" s="184"/>
      <c r="M551" s="184"/>
    </row>
    <row r="552">
      <c r="L552" s="184"/>
      <c r="M552" s="184"/>
    </row>
    <row r="553">
      <c r="L553" s="184"/>
      <c r="M553" s="184"/>
    </row>
    <row r="554">
      <c r="L554" s="184"/>
      <c r="M554" s="184"/>
    </row>
    <row r="555">
      <c r="L555" s="184"/>
      <c r="M555" s="184"/>
    </row>
    <row r="556">
      <c r="L556" s="184"/>
      <c r="M556" s="184"/>
    </row>
    <row r="557">
      <c r="L557" s="184"/>
      <c r="M557" s="184"/>
    </row>
    <row r="558">
      <c r="L558" s="184"/>
      <c r="M558" s="184"/>
    </row>
    <row r="559">
      <c r="L559" s="184"/>
      <c r="M559" s="184"/>
    </row>
    <row r="560">
      <c r="L560" s="184"/>
      <c r="M560" s="184"/>
    </row>
    <row r="561">
      <c r="L561" s="184"/>
      <c r="M561" s="184"/>
    </row>
    <row r="562">
      <c r="L562" s="184"/>
      <c r="M562" s="184"/>
    </row>
    <row r="563">
      <c r="L563" s="184"/>
      <c r="M563" s="184"/>
    </row>
    <row r="564">
      <c r="L564" s="184"/>
      <c r="M564" s="184"/>
    </row>
    <row r="565">
      <c r="L565" s="184"/>
      <c r="M565" s="184"/>
    </row>
    <row r="566">
      <c r="L566" s="184"/>
      <c r="M566" s="184"/>
    </row>
    <row r="567">
      <c r="L567" s="184"/>
      <c r="M567" s="184"/>
    </row>
    <row r="568">
      <c r="L568" s="184"/>
      <c r="M568" s="184"/>
    </row>
    <row r="569">
      <c r="L569" s="184"/>
      <c r="M569" s="184"/>
    </row>
    <row r="570">
      <c r="L570" s="184"/>
      <c r="M570" s="184"/>
    </row>
    <row r="571">
      <c r="L571" s="184"/>
      <c r="M571" s="184"/>
    </row>
    <row r="572">
      <c r="L572" s="184"/>
      <c r="M572" s="184"/>
    </row>
    <row r="573">
      <c r="L573" s="184"/>
      <c r="M573" s="184"/>
    </row>
    <row r="574">
      <c r="L574" s="184"/>
      <c r="M574" s="184"/>
    </row>
    <row r="575">
      <c r="L575" s="184"/>
      <c r="M575" s="184"/>
    </row>
    <row r="576">
      <c r="L576" s="184"/>
      <c r="M576" s="184"/>
    </row>
    <row r="577">
      <c r="L577" s="184"/>
      <c r="M577" s="184"/>
    </row>
    <row r="578">
      <c r="L578" s="184"/>
      <c r="M578" s="184"/>
    </row>
    <row r="579">
      <c r="L579" s="184"/>
      <c r="M579" s="184"/>
    </row>
    <row r="580">
      <c r="L580" s="184"/>
      <c r="M580" s="184"/>
    </row>
    <row r="581">
      <c r="L581" s="184"/>
      <c r="M581" s="184"/>
    </row>
    <row r="582">
      <c r="L582" s="184"/>
      <c r="M582" s="184"/>
    </row>
    <row r="583">
      <c r="L583" s="184"/>
      <c r="M583" s="184"/>
    </row>
    <row r="584">
      <c r="L584" s="184"/>
      <c r="M584" s="184"/>
    </row>
    <row r="585">
      <c r="L585" s="184"/>
      <c r="M585" s="184"/>
    </row>
    <row r="586">
      <c r="L586" s="184"/>
      <c r="M586" s="184"/>
    </row>
    <row r="587">
      <c r="L587" s="184"/>
      <c r="M587" s="184"/>
    </row>
    <row r="588">
      <c r="L588" s="184"/>
      <c r="M588" s="184"/>
    </row>
    <row r="589">
      <c r="L589" s="184"/>
      <c r="M589" s="184"/>
    </row>
    <row r="590">
      <c r="L590" s="184"/>
      <c r="M590" s="184"/>
    </row>
    <row r="591">
      <c r="L591" s="184"/>
      <c r="M591" s="184"/>
    </row>
    <row r="592">
      <c r="L592" s="184"/>
      <c r="M592" s="184"/>
    </row>
    <row r="593">
      <c r="L593" s="184"/>
      <c r="M593" s="184"/>
    </row>
    <row r="594">
      <c r="L594" s="184"/>
      <c r="M594" s="184"/>
    </row>
    <row r="595">
      <c r="L595" s="184"/>
      <c r="M595" s="184"/>
    </row>
    <row r="596">
      <c r="L596" s="184"/>
      <c r="M596" s="184"/>
    </row>
    <row r="597">
      <c r="L597" s="184"/>
      <c r="M597" s="184"/>
    </row>
    <row r="598">
      <c r="L598" s="184"/>
      <c r="M598" s="184"/>
    </row>
    <row r="599">
      <c r="L599" s="184"/>
      <c r="M599" s="184"/>
    </row>
    <row r="600">
      <c r="L600" s="184"/>
      <c r="M600" s="184"/>
    </row>
    <row r="601">
      <c r="L601" s="184"/>
      <c r="M601" s="184"/>
    </row>
    <row r="602">
      <c r="L602" s="184"/>
      <c r="M602" s="184"/>
    </row>
    <row r="603">
      <c r="L603" s="184"/>
      <c r="M603" s="184"/>
    </row>
    <row r="604">
      <c r="L604" s="184"/>
      <c r="M604" s="184"/>
    </row>
    <row r="605">
      <c r="L605" s="184"/>
      <c r="M605" s="184"/>
    </row>
    <row r="606">
      <c r="L606" s="184"/>
      <c r="M606" s="184"/>
    </row>
    <row r="607">
      <c r="L607" s="184"/>
      <c r="M607" s="184"/>
    </row>
    <row r="608">
      <c r="L608" s="184"/>
      <c r="M608" s="184"/>
    </row>
    <row r="609">
      <c r="L609" s="184"/>
      <c r="M609" s="184"/>
    </row>
    <row r="610">
      <c r="L610" s="184"/>
      <c r="M610" s="184"/>
    </row>
    <row r="611">
      <c r="L611" s="184"/>
      <c r="M611" s="184"/>
    </row>
    <row r="612">
      <c r="L612" s="184"/>
      <c r="M612" s="184"/>
    </row>
    <row r="613">
      <c r="L613" s="184"/>
      <c r="M613" s="184"/>
    </row>
    <row r="614">
      <c r="L614" s="184"/>
      <c r="M614" s="184"/>
    </row>
    <row r="615">
      <c r="L615" s="184"/>
      <c r="M615" s="184"/>
    </row>
    <row r="616">
      <c r="L616" s="184"/>
      <c r="M616" s="184"/>
    </row>
    <row r="617">
      <c r="L617" s="184"/>
      <c r="M617" s="184"/>
    </row>
    <row r="618">
      <c r="L618" s="184"/>
      <c r="M618" s="184"/>
    </row>
    <row r="619">
      <c r="L619" s="184"/>
      <c r="M619" s="184"/>
    </row>
    <row r="620">
      <c r="L620" s="184"/>
      <c r="M620" s="184"/>
    </row>
    <row r="621">
      <c r="L621" s="184"/>
      <c r="M621" s="184"/>
    </row>
    <row r="622">
      <c r="L622" s="184"/>
      <c r="M622" s="184"/>
    </row>
    <row r="623">
      <c r="L623" s="184"/>
      <c r="M623" s="184"/>
    </row>
    <row r="624">
      <c r="L624" s="184"/>
      <c r="M624" s="184"/>
    </row>
    <row r="625">
      <c r="L625" s="184"/>
      <c r="M625" s="184"/>
    </row>
    <row r="626">
      <c r="L626" s="184"/>
      <c r="M626" s="184"/>
    </row>
    <row r="627">
      <c r="L627" s="184"/>
      <c r="M627" s="184"/>
    </row>
    <row r="628">
      <c r="L628" s="184"/>
      <c r="M628" s="184"/>
    </row>
    <row r="629">
      <c r="L629" s="184"/>
      <c r="M629" s="184"/>
    </row>
    <row r="630">
      <c r="L630" s="184"/>
      <c r="M630" s="184"/>
    </row>
    <row r="631">
      <c r="L631" s="184"/>
      <c r="M631" s="184"/>
    </row>
    <row r="632">
      <c r="L632" s="184"/>
      <c r="M632" s="184"/>
    </row>
    <row r="633">
      <c r="L633" s="184"/>
      <c r="M633" s="184"/>
    </row>
    <row r="634">
      <c r="L634" s="184"/>
      <c r="M634" s="184"/>
    </row>
    <row r="635">
      <c r="L635" s="184"/>
      <c r="M635" s="184"/>
    </row>
    <row r="636">
      <c r="L636" s="184"/>
      <c r="M636" s="184"/>
    </row>
    <row r="637">
      <c r="L637" s="184"/>
      <c r="M637" s="184"/>
    </row>
    <row r="638">
      <c r="L638" s="184"/>
      <c r="M638" s="184"/>
    </row>
    <row r="639">
      <c r="L639" s="184"/>
      <c r="M639" s="184"/>
    </row>
    <row r="640">
      <c r="L640" s="184"/>
      <c r="M640" s="184"/>
    </row>
    <row r="641">
      <c r="L641" s="184"/>
      <c r="M641" s="184"/>
    </row>
    <row r="642">
      <c r="L642" s="184"/>
      <c r="M642" s="184"/>
    </row>
    <row r="643">
      <c r="L643" s="184"/>
      <c r="M643" s="184"/>
    </row>
    <row r="644">
      <c r="L644" s="184"/>
      <c r="M644" s="184"/>
    </row>
    <row r="645">
      <c r="L645" s="184"/>
      <c r="M645" s="184"/>
    </row>
    <row r="646">
      <c r="L646" s="184"/>
      <c r="M646" s="184"/>
    </row>
    <row r="647">
      <c r="L647" s="184"/>
      <c r="M647" s="184"/>
    </row>
    <row r="648">
      <c r="L648" s="184"/>
      <c r="M648" s="184"/>
    </row>
    <row r="649">
      <c r="L649" s="184"/>
      <c r="M649" s="184"/>
    </row>
    <row r="650">
      <c r="L650" s="184"/>
      <c r="M650" s="184"/>
    </row>
    <row r="651">
      <c r="L651" s="184"/>
      <c r="M651" s="184"/>
    </row>
    <row r="652">
      <c r="L652" s="184"/>
      <c r="M652" s="184"/>
    </row>
    <row r="653">
      <c r="L653" s="184"/>
      <c r="M653" s="184"/>
    </row>
    <row r="654">
      <c r="L654" s="184"/>
      <c r="M654" s="184"/>
    </row>
    <row r="655">
      <c r="L655" s="184"/>
      <c r="M655" s="184"/>
    </row>
    <row r="656">
      <c r="L656" s="184"/>
      <c r="M656" s="184"/>
    </row>
    <row r="657">
      <c r="L657" s="184"/>
      <c r="M657" s="184"/>
    </row>
    <row r="658">
      <c r="L658" s="184"/>
      <c r="M658" s="184"/>
    </row>
    <row r="659">
      <c r="L659" s="184"/>
      <c r="M659" s="184"/>
    </row>
    <row r="660">
      <c r="L660" s="184"/>
      <c r="M660" s="184"/>
    </row>
    <row r="661">
      <c r="L661" s="184"/>
      <c r="M661" s="184"/>
    </row>
    <row r="662">
      <c r="L662" s="184"/>
      <c r="M662" s="184"/>
    </row>
    <row r="663">
      <c r="L663" s="184"/>
      <c r="M663" s="184"/>
    </row>
    <row r="664">
      <c r="L664" s="184"/>
      <c r="M664" s="184"/>
    </row>
    <row r="665">
      <c r="L665" s="184"/>
      <c r="M665" s="184"/>
    </row>
    <row r="666">
      <c r="L666" s="184"/>
      <c r="M666" s="184"/>
    </row>
    <row r="667">
      <c r="L667" s="184"/>
      <c r="M667" s="184"/>
    </row>
    <row r="668">
      <c r="L668" s="184"/>
      <c r="M668" s="184"/>
    </row>
    <row r="669">
      <c r="L669" s="184"/>
      <c r="M669" s="184"/>
    </row>
    <row r="670">
      <c r="L670" s="184"/>
      <c r="M670" s="184"/>
    </row>
    <row r="671">
      <c r="L671" s="184"/>
      <c r="M671" s="184"/>
    </row>
    <row r="672">
      <c r="L672" s="184"/>
      <c r="M672" s="184"/>
    </row>
    <row r="673">
      <c r="L673" s="184"/>
      <c r="M673" s="184"/>
    </row>
    <row r="674">
      <c r="L674" s="184"/>
      <c r="M674" s="184"/>
    </row>
    <row r="675">
      <c r="L675" s="184"/>
      <c r="M675" s="184"/>
    </row>
    <row r="676">
      <c r="L676" s="184"/>
      <c r="M676" s="184"/>
    </row>
    <row r="677">
      <c r="L677" s="184"/>
      <c r="M677" s="184"/>
    </row>
    <row r="678">
      <c r="L678" s="184"/>
      <c r="M678" s="184"/>
    </row>
    <row r="679">
      <c r="L679" s="184"/>
      <c r="M679" s="184"/>
    </row>
    <row r="680">
      <c r="L680" s="184"/>
      <c r="M680" s="184"/>
    </row>
    <row r="681">
      <c r="L681" s="184"/>
      <c r="M681" s="184"/>
    </row>
    <row r="682">
      <c r="L682" s="184"/>
      <c r="M682" s="184"/>
    </row>
    <row r="683">
      <c r="L683" s="184"/>
      <c r="M683" s="184"/>
    </row>
    <row r="684">
      <c r="L684" s="184"/>
      <c r="M684" s="184"/>
    </row>
    <row r="685">
      <c r="L685" s="184"/>
      <c r="M685" s="184"/>
    </row>
    <row r="686">
      <c r="L686" s="184"/>
      <c r="M686" s="184"/>
    </row>
    <row r="687">
      <c r="L687" s="184"/>
      <c r="M687" s="184"/>
    </row>
    <row r="688">
      <c r="L688" s="184"/>
      <c r="M688" s="184"/>
    </row>
    <row r="689">
      <c r="L689" s="184"/>
      <c r="M689" s="184"/>
    </row>
    <row r="690">
      <c r="L690" s="184"/>
      <c r="M690" s="184"/>
    </row>
    <row r="691">
      <c r="L691" s="184"/>
      <c r="M691" s="184"/>
    </row>
    <row r="692">
      <c r="L692" s="184"/>
      <c r="M692" s="184"/>
    </row>
    <row r="693">
      <c r="L693" s="184"/>
      <c r="M693" s="184"/>
    </row>
    <row r="694">
      <c r="L694" s="184"/>
      <c r="M694" s="184"/>
    </row>
    <row r="695">
      <c r="L695" s="184"/>
      <c r="M695" s="184"/>
    </row>
    <row r="696">
      <c r="L696" s="184"/>
      <c r="M696" s="184"/>
    </row>
    <row r="697">
      <c r="L697" s="184"/>
      <c r="M697" s="184"/>
    </row>
    <row r="698">
      <c r="L698" s="184"/>
      <c r="M698" s="184"/>
    </row>
    <row r="699">
      <c r="L699" s="184"/>
      <c r="M699" s="184"/>
    </row>
    <row r="700">
      <c r="L700" s="184"/>
      <c r="M700" s="184"/>
    </row>
    <row r="701">
      <c r="L701" s="184"/>
      <c r="M701" s="184"/>
    </row>
    <row r="702">
      <c r="L702" s="184"/>
      <c r="M702" s="184"/>
    </row>
    <row r="703">
      <c r="L703" s="184"/>
      <c r="M703" s="184"/>
    </row>
    <row r="704">
      <c r="L704" s="184"/>
      <c r="M704" s="184"/>
    </row>
    <row r="705">
      <c r="L705" s="184"/>
      <c r="M705" s="184"/>
    </row>
    <row r="706">
      <c r="L706" s="184"/>
      <c r="M706" s="184"/>
    </row>
    <row r="707">
      <c r="L707" s="184"/>
      <c r="M707" s="184"/>
    </row>
    <row r="708">
      <c r="L708" s="184"/>
      <c r="M708" s="184"/>
    </row>
    <row r="709">
      <c r="L709" s="184"/>
      <c r="M709" s="184"/>
    </row>
    <row r="710">
      <c r="L710" s="184"/>
      <c r="M710" s="184"/>
    </row>
    <row r="711">
      <c r="L711" s="184"/>
      <c r="M711" s="184"/>
    </row>
    <row r="712">
      <c r="L712" s="184"/>
      <c r="M712" s="184"/>
    </row>
    <row r="713">
      <c r="L713" s="184"/>
      <c r="M713" s="184"/>
    </row>
    <row r="714">
      <c r="L714" s="184"/>
      <c r="M714" s="184"/>
    </row>
    <row r="715">
      <c r="L715" s="184"/>
      <c r="M715" s="184"/>
    </row>
    <row r="716">
      <c r="L716" s="184"/>
      <c r="M716" s="184"/>
    </row>
    <row r="717">
      <c r="L717" s="184"/>
      <c r="M717" s="184"/>
    </row>
    <row r="718">
      <c r="L718" s="184"/>
      <c r="M718" s="184"/>
    </row>
    <row r="719">
      <c r="L719" s="184"/>
      <c r="M719" s="184"/>
    </row>
    <row r="720">
      <c r="L720" s="184"/>
      <c r="M720" s="184"/>
    </row>
    <row r="721">
      <c r="L721" s="184"/>
      <c r="M721" s="184"/>
    </row>
    <row r="722">
      <c r="L722" s="184"/>
      <c r="M722" s="184"/>
    </row>
    <row r="723">
      <c r="L723" s="184"/>
      <c r="M723" s="184"/>
    </row>
    <row r="724">
      <c r="L724" s="184"/>
      <c r="M724" s="184"/>
    </row>
    <row r="725">
      <c r="L725" s="184"/>
      <c r="M725" s="184"/>
    </row>
    <row r="726">
      <c r="L726" s="184"/>
      <c r="M726" s="184"/>
    </row>
    <row r="727">
      <c r="L727" s="184"/>
      <c r="M727" s="184"/>
    </row>
    <row r="728">
      <c r="L728" s="184"/>
      <c r="M728" s="184"/>
    </row>
    <row r="729">
      <c r="L729" s="184"/>
      <c r="M729" s="184"/>
    </row>
    <row r="730">
      <c r="L730" s="184"/>
      <c r="M730" s="184"/>
    </row>
    <row r="731">
      <c r="L731" s="184"/>
      <c r="M731" s="184"/>
    </row>
    <row r="732">
      <c r="L732" s="184"/>
      <c r="M732" s="184"/>
    </row>
    <row r="733">
      <c r="L733" s="184"/>
      <c r="M733" s="184"/>
    </row>
    <row r="734">
      <c r="L734" s="184"/>
      <c r="M734" s="184"/>
    </row>
    <row r="735">
      <c r="L735" s="184"/>
      <c r="M735" s="184"/>
    </row>
    <row r="736">
      <c r="L736" s="184"/>
      <c r="M736" s="184"/>
    </row>
    <row r="737">
      <c r="L737" s="184"/>
      <c r="M737" s="184"/>
    </row>
    <row r="738">
      <c r="L738" s="184"/>
      <c r="M738" s="184"/>
    </row>
    <row r="739">
      <c r="L739" s="184"/>
      <c r="M739" s="184"/>
    </row>
    <row r="740">
      <c r="L740" s="184"/>
      <c r="M740" s="184"/>
    </row>
    <row r="741">
      <c r="L741" s="184"/>
      <c r="M741" s="184"/>
    </row>
    <row r="742">
      <c r="L742" s="184"/>
      <c r="M742" s="184"/>
    </row>
    <row r="743">
      <c r="L743" s="184"/>
      <c r="M743" s="184"/>
    </row>
    <row r="744">
      <c r="L744" s="184"/>
      <c r="M744" s="184"/>
    </row>
    <row r="745">
      <c r="L745" s="184"/>
      <c r="M745" s="184"/>
    </row>
    <row r="746">
      <c r="L746" s="184"/>
      <c r="M746" s="184"/>
    </row>
    <row r="747">
      <c r="L747" s="184"/>
      <c r="M747" s="184"/>
    </row>
    <row r="748">
      <c r="L748" s="184"/>
      <c r="M748" s="184"/>
    </row>
    <row r="749">
      <c r="L749" s="184"/>
      <c r="M749" s="184"/>
    </row>
    <row r="750">
      <c r="L750" s="184"/>
      <c r="M750" s="184"/>
    </row>
    <row r="751">
      <c r="L751" s="184"/>
      <c r="M751" s="184"/>
    </row>
    <row r="752">
      <c r="L752" s="184"/>
      <c r="M752" s="184"/>
    </row>
    <row r="753">
      <c r="L753" s="184"/>
      <c r="M753" s="184"/>
    </row>
    <row r="754">
      <c r="L754" s="184"/>
      <c r="M754" s="184"/>
    </row>
    <row r="755">
      <c r="L755" s="184"/>
      <c r="M755" s="184"/>
    </row>
    <row r="756">
      <c r="L756" s="184"/>
      <c r="M756" s="184"/>
    </row>
    <row r="757">
      <c r="L757" s="184"/>
      <c r="M757" s="184"/>
    </row>
    <row r="758">
      <c r="L758" s="184"/>
      <c r="M758" s="184"/>
    </row>
    <row r="759">
      <c r="L759" s="184"/>
      <c r="M759" s="184"/>
    </row>
    <row r="760">
      <c r="L760" s="184"/>
      <c r="M760" s="184"/>
    </row>
    <row r="761">
      <c r="L761" s="184"/>
      <c r="M761" s="184"/>
    </row>
    <row r="762">
      <c r="L762" s="184"/>
      <c r="M762" s="184"/>
    </row>
    <row r="763">
      <c r="L763" s="184"/>
      <c r="M763" s="184"/>
    </row>
    <row r="764">
      <c r="L764" s="184"/>
      <c r="M764" s="184"/>
    </row>
    <row r="765">
      <c r="L765" s="184"/>
      <c r="M765" s="184"/>
    </row>
    <row r="766">
      <c r="L766" s="184"/>
      <c r="M766" s="184"/>
    </row>
    <row r="767">
      <c r="L767" s="184"/>
      <c r="M767" s="184"/>
    </row>
    <row r="768">
      <c r="L768" s="184"/>
      <c r="M768" s="184"/>
    </row>
    <row r="769">
      <c r="L769" s="184"/>
      <c r="M769" s="184"/>
    </row>
    <row r="770">
      <c r="L770" s="184"/>
      <c r="M770" s="184"/>
    </row>
    <row r="771">
      <c r="L771" s="184"/>
      <c r="M771" s="184"/>
    </row>
    <row r="772">
      <c r="L772" s="184"/>
      <c r="M772" s="184"/>
    </row>
    <row r="773">
      <c r="L773" s="184"/>
      <c r="M773" s="184"/>
    </row>
    <row r="774">
      <c r="L774" s="184"/>
      <c r="M774" s="184"/>
    </row>
    <row r="775">
      <c r="L775" s="184"/>
      <c r="M775" s="184"/>
    </row>
    <row r="776">
      <c r="L776" s="184"/>
      <c r="M776" s="184"/>
    </row>
    <row r="777">
      <c r="L777" s="184"/>
      <c r="M777" s="184"/>
    </row>
    <row r="778">
      <c r="L778" s="184"/>
      <c r="M778" s="184"/>
    </row>
    <row r="779">
      <c r="L779" s="184"/>
      <c r="M779" s="184"/>
    </row>
    <row r="780">
      <c r="L780" s="184"/>
      <c r="M780" s="184"/>
    </row>
    <row r="781">
      <c r="L781" s="184"/>
      <c r="M781" s="184"/>
    </row>
    <row r="782">
      <c r="L782" s="184"/>
      <c r="M782" s="184"/>
    </row>
    <row r="783">
      <c r="L783" s="184"/>
      <c r="M783" s="184"/>
    </row>
    <row r="784">
      <c r="L784" s="184"/>
      <c r="M784" s="184"/>
    </row>
    <row r="785">
      <c r="L785" s="184"/>
      <c r="M785" s="184"/>
    </row>
    <row r="786">
      <c r="L786" s="184"/>
      <c r="M786" s="184"/>
    </row>
    <row r="787">
      <c r="L787" s="184"/>
      <c r="M787" s="184"/>
    </row>
    <row r="788">
      <c r="L788" s="184"/>
      <c r="M788" s="184"/>
    </row>
    <row r="789">
      <c r="L789" s="184"/>
      <c r="M789" s="184"/>
    </row>
    <row r="790">
      <c r="L790" s="184"/>
      <c r="M790" s="184"/>
    </row>
    <row r="791">
      <c r="L791" s="184"/>
      <c r="M791" s="184"/>
    </row>
    <row r="792">
      <c r="L792" s="184"/>
      <c r="M792" s="184"/>
    </row>
    <row r="793">
      <c r="L793" s="184"/>
      <c r="M793" s="184"/>
    </row>
    <row r="794">
      <c r="L794" s="184"/>
      <c r="M794" s="184"/>
    </row>
    <row r="795">
      <c r="L795" s="184"/>
      <c r="M795" s="184"/>
    </row>
    <row r="796">
      <c r="L796" s="184"/>
      <c r="M796" s="184"/>
    </row>
    <row r="797">
      <c r="L797" s="184"/>
      <c r="M797" s="184"/>
    </row>
    <row r="798">
      <c r="L798" s="184"/>
      <c r="M798" s="184"/>
    </row>
    <row r="799">
      <c r="L799" s="184"/>
      <c r="M799" s="184"/>
    </row>
    <row r="800">
      <c r="L800" s="184"/>
      <c r="M800" s="184"/>
    </row>
    <row r="801">
      <c r="L801" s="184"/>
      <c r="M801" s="184"/>
    </row>
    <row r="802">
      <c r="L802" s="184"/>
      <c r="M802" s="184"/>
    </row>
    <row r="803">
      <c r="L803" s="184"/>
      <c r="M803" s="184"/>
    </row>
    <row r="804">
      <c r="L804" s="184"/>
      <c r="M804" s="184"/>
    </row>
    <row r="805">
      <c r="L805" s="184"/>
      <c r="M805" s="184"/>
    </row>
    <row r="806">
      <c r="L806" s="184"/>
      <c r="M806" s="184"/>
    </row>
    <row r="807">
      <c r="L807" s="184"/>
      <c r="M807" s="184"/>
    </row>
    <row r="808">
      <c r="L808" s="184"/>
      <c r="M808" s="184"/>
    </row>
    <row r="809">
      <c r="L809" s="184"/>
      <c r="M809" s="184"/>
    </row>
    <row r="810">
      <c r="L810" s="184"/>
      <c r="M810" s="184"/>
    </row>
    <row r="811">
      <c r="L811" s="184"/>
      <c r="M811" s="184"/>
    </row>
    <row r="812">
      <c r="L812" s="184"/>
      <c r="M812" s="184"/>
    </row>
    <row r="813">
      <c r="L813" s="184"/>
      <c r="M813" s="184"/>
    </row>
    <row r="814">
      <c r="L814" s="184"/>
      <c r="M814" s="184"/>
    </row>
    <row r="815">
      <c r="L815" s="184"/>
      <c r="M815" s="184"/>
    </row>
    <row r="816">
      <c r="L816" s="184"/>
      <c r="M816" s="184"/>
    </row>
    <row r="817">
      <c r="L817" s="184"/>
      <c r="M817" s="184"/>
    </row>
    <row r="818">
      <c r="L818" s="184"/>
      <c r="M818" s="184"/>
    </row>
    <row r="819">
      <c r="L819" s="184"/>
      <c r="M819" s="184"/>
    </row>
    <row r="820">
      <c r="L820" s="184"/>
      <c r="M820" s="184"/>
    </row>
    <row r="821">
      <c r="L821" s="184"/>
      <c r="M821" s="184"/>
    </row>
    <row r="822">
      <c r="L822" s="184"/>
      <c r="M822" s="184"/>
    </row>
    <row r="823">
      <c r="L823" s="184"/>
      <c r="M823" s="184"/>
    </row>
    <row r="824">
      <c r="L824" s="184"/>
      <c r="M824" s="184"/>
    </row>
    <row r="825">
      <c r="L825" s="184"/>
      <c r="M825" s="184"/>
    </row>
    <row r="826">
      <c r="L826" s="184"/>
      <c r="M826" s="184"/>
    </row>
    <row r="827">
      <c r="L827" s="184"/>
      <c r="M827" s="184"/>
    </row>
    <row r="828">
      <c r="L828" s="184"/>
      <c r="M828" s="184"/>
    </row>
    <row r="829">
      <c r="L829" s="184"/>
      <c r="M829" s="184"/>
    </row>
    <row r="830">
      <c r="L830" s="184"/>
      <c r="M830" s="184"/>
    </row>
    <row r="831">
      <c r="L831" s="184"/>
      <c r="M831" s="184"/>
    </row>
    <row r="832">
      <c r="L832" s="184"/>
      <c r="M832" s="184"/>
    </row>
    <row r="833">
      <c r="L833" s="184"/>
      <c r="M833" s="184"/>
    </row>
    <row r="834">
      <c r="L834" s="184"/>
      <c r="M834" s="184"/>
    </row>
    <row r="835">
      <c r="L835" s="184"/>
      <c r="M835" s="184"/>
    </row>
    <row r="836">
      <c r="L836" s="184"/>
      <c r="M836" s="184"/>
    </row>
    <row r="837">
      <c r="L837" s="184"/>
      <c r="M837" s="184"/>
    </row>
    <row r="838">
      <c r="L838" s="184"/>
      <c r="M838" s="184"/>
    </row>
    <row r="839">
      <c r="L839" s="184"/>
      <c r="M839" s="184"/>
    </row>
    <row r="840">
      <c r="L840" s="184"/>
      <c r="M840" s="184"/>
    </row>
    <row r="841">
      <c r="L841" s="184"/>
      <c r="M841" s="184"/>
    </row>
    <row r="842">
      <c r="L842" s="184"/>
      <c r="M842" s="184"/>
    </row>
    <row r="843">
      <c r="L843" s="184"/>
      <c r="M843" s="184"/>
    </row>
    <row r="844">
      <c r="L844" s="184"/>
      <c r="M844" s="184"/>
    </row>
    <row r="845">
      <c r="L845" s="184"/>
      <c r="M845" s="184"/>
    </row>
    <row r="846">
      <c r="L846" s="184"/>
      <c r="M846" s="184"/>
    </row>
    <row r="847">
      <c r="L847" s="184"/>
      <c r="M847" s="184"/>
    </row>
    <row r="848">
      <c r="L848" s="184"/>
      <c r="M848" s="184"/>
    </row>
    <row r="849">
      <c r="L849" s="184"/>
      <c r="M849" s="184"/>
    </row>
    <row r="850">
      <c r="L850" s="184"/>
      <c r="M850" s="184"/>
    </row>
    <row r="851">
      <c r="L851" s="184"/>
      <c r="M851" s="184"/>
    </row>
    <row r="852">
      <c r="L852" s="184"/>
      <c r="M852" s="184"/>
    </row>
    <row r="853">
      <c r="L853" s="184"/>
      <c r="M853" s="184"/>
    </row>
    <row r="854">
      <c r="L854" s="184"/>
      <c r="M854" s="184"/>
    </row>
    <row r="855">
      <c r="L855" s="184"/>
      <c r="M855" s="184"/>
    </row>
    <row r="856">
      <c r="L856" s="184"/>
      <c r="M856" s="184"/>
    </row>
    <row r="857">
      <c r="L857" s="184"/>
      <c r="M857" s="184"/>
    </row>
    <row r="858">
      <c r="L858" s="184"/>
      <c r="M858" s="184"/>
    </row>
    <row r="859">
      <c r="L859" s="184"/>
      <c r="M859" s="184"/>
    </row>
    <row r="860">
      <c r="L860" s="184"/>
      <c r="M860" s="184"/>
    </row>
    <row r="861">
      <c r="L861" s="184"/>
      <c r="M861" s="184"/>
    </row>
    <row r="862">
      <c r="L862" s="184"/>
      <c r="M862" s="184"/>
    </row>
    <row r="863">
      <c r="L863" s="184"/>
      <c r="M863" s="184"/>
    </row>
    <row r="864">
      <c r="L864" s="184"/>
      <c r="M864" s="184"/>
    </row>
    <row r="865">
      <c r="L865" s="184"/>
      <c r="M865" s="184"/>
    </row>
    <row r="866">
      <c r="L866" s="184"/>
      <c r="M866" s="184"/>
    </row>
    <row r="867">
      <c r="L867" s="184"/>
      <c r="M867" s="184"/>
    </row>
    <row r="868">
      <c r="L868" s="184"/>
      <c r="M868" s="184"/>
    </row>
    <row r="869">
      <c r="L869" s="184"/>
      <c r="M869" s="184"/>
    </row>
    <row r="870">
      <c r="L870" s="184"/>
      <c r="M870" s="184"/>
    </row>
    <row r="871">
      <c r="L871" s="184"/>
      <c r="M871" s="184"/>
    </row>
    <row r="872">
      <c r="L872" s="184"/>
      <c r="M872" s="184"/>
    </row>
    <row r="873">
      <c r="L873" s="184"/>
      <c r="M873" s="184"/>
    </row>
    <row r="874">
      <c r="L874" s="184"/>
      <c r="M874" s="184"/>
    </row>
    <row r="875">
      <c r="L875" s="184"/>
      <c r="M875" s="184"/>
    </row>
    <row r="876">
      <c r="L876" s="184"/>
      <c r="M876" s="184"/>
    </row>
    <row r="877">
      <c r="L877" s="184"/>
      <c r="M877" s="184"/>
    </row>
    <row r="878">
      <c r="L878" s="184"/>
      <c r="M878" s="184"/>
    </row>
    <row r="879">
      <c r="L879" s="184"/>
      <c r="M879" s="184"/>
    </row>
    <row r="880">
      <c r="L880" s="184"/>
      <c r="M880" s="184"/>
    </row>
    <row r="881">
      <c r="L881" s="184"/>
      <c r="M881" s="184"/>
    </row>
    <row r="882">
      <c r="L882" s="184"/>
      <c r="M882" s="184"/>
    </row>
    <row r="883">
      <c r="L883" s="184"/>
      <c r="M883" s="184"/>
    </row>
    <row r="884">
      <c r="L884" s="184"/>
      <c r="M884" s="184"/>
    </row>
    <row r="885">
      <c r="L885" s="184"/>
      <c r="M885" s="184"/>
    </row>
    <row r="886">
      <c r="L886" s="184"/>
      <c r="M886" s="184"/>
    </row>
    <row r="887">
      <c r="L887" s="184"/>
      <c r="M887" s="184"/>
    </row>
    <row r="888">
      <c r="L888" s="184"/>
      <c r="M888" s="184"/>
    </row>
    <row r="889">
      <c r="L889" s="184"/>
      <c r="M889" s="184"/>
    </row>
    <row r="890">
      <c r="L890" s="184"/>
      <c r="M890" s="184"/>
    </row>
    <row r="891">
      <c r="L891" s="184"/>
      <c r="M891" s="184"/>
    </row>
    <row r="892">
      <c r="L892" s="184"/>
      <c r="M892" s="184"/>
    </row>
    <row r="893">
      <c r="L893" s="184"/>
      <c r="M893" s="184"/>
    </row>
    <row r="894">
      <c r="L894" s="184"/>
      <c r="M894" s="184"/>
    </row>
    <row r="895">
      <c r="L895" s="184"/>
      <c r="M895" s="184"/>
    </row>
    <row r="896">
      <c r="L896" s="184"/>
      <c r="M896" s="184"/>
    </row>
    <row r="897">
      <c r="L897" s="184"/>
      <c r="M897" s="184"/>
    </row>
    <row r="898">
      <c r="L898" s="184"/>
      <c r="M898" s="184"/>
    </row>
    <row r="899">
      <c r="L899" s="184"/>
      <c r="M899" s="184"/>
    </row>
    <row r="900">
      <c r="L900" s="184"/>
      <c r="M900" s="184"/>
    </row>
    <row r="901">
      <c r="L901" s="184"/>
      <c r="M901" s="184"/>
    </row>
    <row r="902">
      <c r="L902" s="184"/>
      <c r="M902" s="184"/>
    </row>
    <row r="903">
      <c r="L903" s="184"/>
      <c r="M903" s="184"/>
    </row>
    <row r="904">
      <c r="L904" s="184"/>
      <c r="M904" s="184"/>
    </row>
    <row r="905">
      <c r="L905" s="184"/>
      <c r="M905" s="184"/>
    </row>
    <row r="906">
      <c r="L906" s="184"/>
      <c r="M906" s="184"/>
    </row>
    <row r="907">
      <c r="L907" s="184"/>
      <c r="M907" s="184"/>
    </row>
    <row r="908">
      <c r="L908" s="184"/>
      <c r="M908" s="184"/>
    </row>
    <row r="909">
      <c r="L909" s="184"/>
      <c r="M909" s="184"/>
    </row>
    <row r="910">
      <c r="L910" s="184"/>
      <c r="M910" s="184"/>
    </row>
    <row r="911">
      <c r="L911" s="184"/>
      <c r="M911" s="184"/>
    </row>
    <row r="912">
      <c r="L912" s="184"/>
      <c r="M912" s="184"/>
    </row>
    <row r="913">
      <c r="L913" s="184"/>
      <c r="M913" s="184"/>
    </row>
    <row r="914">
      <c r="L914" s="184"/>
      <c r="M914" s="184"/>
    </row>
    <row r="915">
      <c r="L915" s="184"/>
      <c r="M915" s="184"/>
    </row>
    <row r="916">
      <c r="L916" s="184"/>
      <c r="M916" s="184"/>
    </row>
    <row r="917">
      <c r="L917" s="184"/>
      <c r="M917" s="184"/>
    </row>
    <row r="918">
      <c r="L918" s="184"/>
      <c r="M918" s="184"/>
    </row>
    <row r="919">
      <c r="L919" s="184"/>
      <c r="M919" s="184"/>
    </row>
    <row r="920">
      <c r="L920" s="184"/>
      <c r="M920" s="184"/>
    </row>
    <row r="921">
      <c r="L921" s="184"/>
      <c r="M921" s="184"/>
    </row>
    <row r="922">
      <c r="L922" s="184"/>
      <c r="M922" s="184"/>
    </row>
    <row r="923">
      <c r="L923" s="184"/>
      <c r="M923" s="184"/>
    </row>
    <row r="924">
      <c r="L924" s="184"/>
      <c r="M924" s="184"/>
    </row>
    <row r="925">
      <c r="L925" s="184"/>
      <c r="M925" s="184"/>
    </row>
    <row r="926">
      <c r="L926" s="184"/>
      <c r="M926" s="184"/>
    </row>
    <row r="927">
      <c r="L927" s="184"/>
      <c r="M927" s="184"/>
    </row>
    <row r="928">
      <c r="L928" s="184"/>
      <c r="M928" s="184"/>
    </row>
    <row r="929">
      <c r="L929" s="184"/>
      <c r="M929" s="184"/>
    </row>
    <row r="930">
      <c r="L930" s="184"/>
      <c r="M930" s="184"/>
    </row>
    <row r="931">
      <c r="L931" s="184"/>
      <c r="M931" s="184"/>
    </row>
    <row r="932">
      <c r="L932" s="184"/>
      <c r="M932" s="184"/>
    </row>
    <row r="933">
      <c r="L933" s="184"/>
      <c r="M933" s="184"/>
    </row>
    <row r="934">
      <c r="L934" s="184"/>
      <c r="M934" s="184"/>
    </row>
    <row r="935">
      <c r="L935" s="184"/>
      <c r="M935" s="184"/>
    </row>
    <row r="936">
      <c r="L936" s="184"/>
      <c r="M936" s="184"/>
    </row>
    <row r="937">
      <c r="L937" s="184"/>
      <c r="M937" s="184"/>
    </row>
    <row r="938">
      <c r="L938" s="184"/>
      <c r="M938" s="184"/>
    </row>
    <row r="939">
      <c r="L939" s="184"/>
      <c r="M939" s="184"/>
    </row>
    <row r="940">
      <c r="L940" s="184"/>
      <c r="M940" s="184"/>
    </row>
    <row r="941">
      <c r="L941" s="184"/>
      <c r="M941" s="184"/>
    </row>
    <row r="942">
      <c r="L942" s="184"/>
      <c r="M942" s="184"/>
    </row>
    <row r="943">
      <c r="L943" s="184"/>
      <c r="M943" s="184"/>
    </row>
    <row r="944">
      <c r="L944" s="184"/>
      <c r="M944" s="184"/>
    </row>
    <row r="945">
      <c r="L945" s="184"/>
      <c r="M945" s="184"/>
    </row>
    <row r="946">
      <c r="L946" s="184"/>
      <c r="M946" s="184"/>
    </row>
    <row r="947">
      <c r="L947" s="184"/>
      <c r="M947" s="184"/>
    </row>
    <row r="948">
      <c r="L948" s="184"/>
      <c r="M948" s="184"/>
    </row>
    <row r="949">
      <c r="L949" s="184"/>
      <c r="M949" s="184"/>
    </row>
    <row r="950">
      <c r="L950" s="184"/>
      <c r="M950" s="184"/>
    </row>
    <row r="951">
      <c r="L951" s="184"/>
      <c r="M951" s="184"/>
    </row>
    <row r="952">
      <c r="L952" s="184"/>
      <c r="M952" s="184"/>
    </row>
    <row r="953">
      <c r="L953" s="184"/>
      <c r="M953" s="184"/>
    </row>
    <row r="954">
      <c r="L954" s="184"/>
      <c r="M954" s="184"/>
    </row>
  </sheetData>
  <hyperlinks>
    <hyperlink r:id="rId1" ref="AA29"/>
    <hyperlink r:id="rId2" ref="G37"/>
    <hyperlink r:id="rId3" ref="G38"/>
    <hyperlink r:id="rId4" ref="G39"/>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2" width="24.29"/>
    <col customWidth="1" min="3" max="3" width="80.57"/>
    <col customWidth="1" min="4" max="4" width="27.29"/>
    <col customWidth="1" min="5" max="6" width="33.86"/>
    <col customWidth="1" min="7" max="9" width="37.71"/>
    <col customWidth="1" min="10" max="13" width="29.29"/>
    <col customWidth="1" min="14" max="14" width="60.29"/>
    <col customWidth="1" min="15" max="25" width="29.29"/>
    <col customWidth="1" min="26" max="26" width="47.0"/>
    <col customWidth="1" min="27" max="29" width="28.86"/>
    <col customWidth="1" min="30" max="31" width="29.14"/>
    <col customWidth="1" min="32" max="38" width="29.57"/>
    <col customWidth="1" min="39" max="39" width="24.29"/>
    <col customWidth="1" min="40" max="40" width="82.71"/>
    <col customWidth="1" min="41" max="41" width="104.0"/>
    <col customWidth="1" min="43" max="43" width="17.43"/>
    <col customWidth="1" min="45" max="45" width="17.86"/>
    <col customWidth="1" min="46" max="46" width="17.43"/>
    <col customWidth="1" min="47" max="48" width="15.86"/>
    <col customWidth="1" min="49" max="49" width="15.71"/>
  </cols>
  <sheetData>
    <row r="1" ht="33.0" customHeight="1">
      <c r="A1" s="1" t="s">
        <v>385</v>
      </c>
      <c r="B1" s="3" t="s">
        <v>1</v>
      </c>
      <c r="C1" s="3" t="s">
        <v>2</v>
      </c>
      <c r="D1" s="3" t="s">
        <v>3</v>
      </c>
      <c r="E1" s="3" t="s">
        <v>4</v>
      </c>
      <c r="F1" s="3" t="s">
        <v>1649</v>
      </c>
      <c r="G1" s="3" t="s">
        <v>1650</v>
      </c>
      <c r="H1" s="3" t="s">
        <v>1651</v>
      </c>
      <c r="I1" s="3" t="s">
        <v>1652</v>
      </c>
      <c r="J1" s="3" t="s">
        <v>6</v>
      </c>
      <c r="K1" s="3" t="s">
        <v>7</v>
      </c>
      <c r="L1" s="3" t="s">
        <v>1158</v>
      </c>
      <c r="M1" s="3" t="s">
        <v>1159</v>
      </c>
      <c r="N1" s="3" t="s">
        <v>8</v>
      </c>
      <c r="O1" s="3" t="s">
        <v>1653</v>
      </c>
      <c r="P1" s="3" t="s">
        <v>9</v>
      </c>
      <c r="Q1" s="3" t="s">
        <v>1654</v>
      </c>
      <c r="R1" s="3" t="s">
        <v>1655</v>
      </c>
      <c r="S1" s="3" t="s">
        <v>12</v>
      </c>
      <c r="T1" s="3" t="s">
        <v>1656</v>
      </c>
      <c r="U1" s="3" t="s">
        <v>1657</v>
      </c>
      <c r="V1" s="3" t="s">
        <v>1658</v>
      </c>
      <c r="W1" s="190" t="s">
        <v>1875</v>
      </c>
      <c r="X1" s="3" t="s">
        <v>1876</v>
      </c>
      <c r="Y1" s="3" t="s">
        <v>1877</v>
      </c>
      <c r="Z1" s="3" t="s">
        <v>1161</v>
      </c>
      <c r="AA1" s="3" t="s">
        <v>1162</v>
      </c>
      <c r="AB1" s="5" t="s">
        <v>1662</v>
      </c>
      <c r="AC1" s="5" t="s">
        <v>16</v>
      </c>
      <c r="AD1" s="5" t="s">
        <v>1663</v>
      </c>
      <c r="AE1" s="5" t="s">
        <v>18</v>
      </c>
      <c r="AF1" s="5" t="s">
        <v>1664</v>
      </c>
      <c r="AG1" s="5" t="s">
        <v>20</v>
      </c>
      <c r="AH1" s="5" t="s">
        <v>1665</v>
      </c>
      <c r="AI1" s="5" t="s">
        <v>1666</v>
      </c>
      <c r="AJ1" s="5" t="s">
        <v>1878</v>
      </c>
      <c r="AK1" s="5" t="s">
        <v>1668</v>
      </c>
      <c r="AL1" s="5" t="s">
        <v>1669</v>
      </c>
      <c r="AM1" s="5" t="s">
        <v>21</v>
      </c>
      <c r="AN1" s="5" t="s">
        <v>22</v>
      </c>
      <c r="AO1" s="5" t="s">
        <v>23</v>
      </c>
      <c r="AP1" s="5" t="s">
        <v>0</v>
      </c>
      <c r="AQ1" s="5" t="s">
        <v>0</v>
      </c>
      <c r="AR1" s="5" t="s">
        <v>0</v>
      </c>
      <c r="AS1" s="141" t="s">
        <v>1879</v>
      </c>
      <c r="AT1" s="141" t="s">
        <v>1880</v>
      </c>
      <c r="AU1" s="141" t="s">
        <v>1173</v>
      </c>
      <c r="AV1" s="141" t="s">
        <v>1670</v>
      </c>
      <c r="AW1" s="141" t="s">
        <v>1881</v>
      </c>
      <c r="AX1" s="7" t="s">
        <v>0</v>
      </c>
      <c r="AY1" s="7" t="s">
        <v>0</v>
      </c>
      <c r="AZ1" s="7" t="s">
        <v>0</v>
      </c>
      <c r="BA1" s="7" t="s">
        <v>0</v>
      </c>
      <c r="BB1" s="7" t="s">
        <v>0</v>
      </c>
      <c r="BC1" s="7" t="s">
        <v>0</v>
      </c>
      <c r="BD1" s="7" t="s">
        <v>0</v>
      </c>
      <c r="BE1" s="7" t="s">
        <v>0</v>
      </c>
      <c r="BF1" s="7" t="s">
        <v>1166</v>
      </c>
      <c r="BG1" s="192" t="s">
        <v>1882</v>
      </c>
      <c r="BH1" s="192" t="s">
        <v>1883</v>
      </c>
      <c r="BI1" s="192" t="s">
        <v>1167</v>
      </c>
      <c r="BJ1" s="192" t="s">
        <v>1677</v>
      </c>
      <c r="BK1" s="192" t="s">
        <v>1884</v>
      </c>
    </row>
    <row r="2" ht="15.0" customHeight="1">
      <c r="A2" s="8" t="s">
        <v>30</v>
      </c>
      <c r="B2" s="195" t="s">
        <v>31</v>
      </c>
      <c r="C2" s="10" t="s">
        <v>32</v>
      </c>
      <c r="D2" s="10" t="s">
        <v>33</v>
      </c>
      <c r="E2" s="198">
        <f>J2/O2</f>
        <v>18.20524283</v>
      </c>
      <c r="F2" s="198">
        <f>AF2/O2</f>
        <v>58.21889973</v>
      </c>
      <c r="G2" s="198">
        <f>46262.9/1000</f>
        <v>46.2629</v>
      </c>
      <c r="H2" s="198">
        <f>222724.45/1000</f>
        <v>222.72445</v>
      </c>
      <c r="I2" s="198">
        <f t="shared" ref="I2:I13" si="2">G2+H2</f>
        <v>268.98735</v>
      </c>
      <c r="J2" s="198">
        <f>AB2+AD2</f>
        <v>110.2714861</v>
      </c>
      <c r="K2" s="198"/>
      <c r="L2" s="198"/>
      <c r="M2" s="198"/>
      <c r="N2" s="198">
        <v>21.640329523</v>
      </c>
      <c r="O2" s="198">
        <v>6.057128</v>
      </c>
      <c r="P2" s="198">
        <f t="shared" ref="P2:P13" si="3">O2/N2*100</f>
        <v>27.98999892</v>
      </c>
      <c r="Q2" s="199" t="s">
        <v>1213</v>
      </c>
      <c r="R2" s="199" t="s">
        <v>1213</v>
      </c>
      <c r="S2" s="198">
        <v>74.6</v>
      </c>
      <c r="T2" s="194">
        <f t="shared" ref="T2:T13" si="4">((100*U2)-((100-V2)*U2))/(100-V2)</f>
        <v>25521.85714</v>
      </c>
      <c r="U2" s="198" t="s">
        <v>1885</v>
      </c>
      <c r="V2" s="198">
        <f>100*0.93</f>
        <v>93</v>
      </c>
      <c r="W2" s="199" t="s">
        <v>1886</v>
      </c>
      <c r="X2" s="198" t="s">
        <v>1887</v>
      </c>
      <c r="Y2" s="198" t="s">
        <v>1888</v>
      </c>
      <c r="Z2" s="198"/>
      <c r="AA2" s="198"/>
      <c r="AB2" s="198" t="s">
        <v>1889</v>
      </c>
      <c r="AC2" s="194">
        <f>AB2*100/(AB2+AD2+AF2)</f>
        <v>23.82132407</v>
      </c>
      <c r="AD2" s="198" t="s">
        <v>1890</v>
      </c>
      <c r="AE2" s="194">
        <f>AD2*100/(AB2+AD2+AF2)</f>
        <v>0.0000002075993845</v>
      </c>
      <c r="AF2" s="198" t="s">
        <v>1891</v>
      </c>
      <c r="AG2" s="194">
        <f>AF2*100/(AB2+AD2+AF2)</f>
        <v>76.17867572</v>
      </c>
      <c r="AH2" s="198" t="s">
        <v>1892</v>
      </c>
      <c r="AI2" s="194">
        <f>AH2/O2</f>
        <v>7.310229213</v>
      </c>
      <c r="AJ2" s="198">
        <v>1.3</v>
      </c>
      <c r="AK2" s="198" t="s">
        <v>1893</v>
      </c>
      <c r="AL2" s="198" t="s">
        <v>54</v>
      </c>
      <c r="AM2" s="198"/>
      <c r="AN2" s="198"/>
      <c r="AO2" s="198"/>
      <c r="AP2" s="11" t="s">
        <v>50</v>
      </c>
      <c r="AQ2" s="11" t="s">
        <v>0</v>
      </c>
      <c r="AR2" s="7" t="s">
        <v>0</v>
      </c>
      <c r="AS2" s="192">
        <v>7.939106</v>
      </c>
      <c r="AT2" s="192">
        <v>7.547405</v>
      </c>
      <c r="AU2" s="192">
        <v>7.366164</v>
      </c>
      <c r="AV2" s="192">
        <v>7.273448</v>
      </c>
      <c r="AW2" s="192">
        <f t="shared" ref="AW2:AW13" si="5">O2</f>
        <v>6.057128</v>
      </c>
      <c r="AX2" s="7" t="s">
        <v>0</v>
      </c>
      <c r="AY2" s="7" t="s">
        <v>0</v>
      </c>
      <c r="AZ2" s="7" t="s">
        <v>0</v>
      </c>
      <c r="BA2" s="7" t="s">
        <v>0</v>
      </c>
      <c r="BB2" s="7" t="s">
        <v>0</v>
      </c>
      <c r="BC2" s="7" t="s">
        <v>0</v>
      </c>
      <c r="BD2" s="7" t="s">
        <v>0</v>
      </c>
      <c r="BE2" s="7" t="s">
        <v>0</v>
      </c>
      <c r="BF2" s="8" t="s">
        <v>30</v>
      </c>
      <c r="BG2" s="192">
        <f t="shared" ref="BG2:BG13" si="6">$AS2/AS2</f>
        <v>1</v>
      </c>
      <c r="BH2" s="192">
        <f t="shared" ref="BH2:BH13" si="7">($AS2/AT2)-SUM($BG2)</f>
        <v>0.0518987652</v>
      </c>
      <c r="BI2" s="192">
        <f t="shared" ref="BI2:BK2" si="1">($AS2/AU2)-SUM($BG2:BH2)</f>
        <v>0.02588147428</v>
      </c>
      <c r="BJ2" s="192">
        <f t="shared" si="1"/>
        <v>0.01373866599</v>
      </c>
      <c r="BK2" s="192">
        <f t="shared" si="1"/>
        <v>0.2191857717</v>
      </c>
    </row>
    <row r="3">
      <c r="A3" s="8" t="s">
        <v>58</v>
      </c>
      <c r="B3" s="195" t="s">
        <v>31</v>
      </c>
      <c r="C3" s="10" t="s">
        <v>59</v>
      </c>
      <c r="D3" s="10" t="s">
        <v>60</v>
      </c>
      <c r="E3" s="198">
        <f>6918.339947469/O3</f>
        <v>115.6994623</v>
      </c>
      <c r="F3" s="198" t="s">
        <v>1894</v>
      </c>
      <c r="G3" s="198">
        <f>7283.05/1000</f>
        <v>7.28305</v>
      </c>
      <c r="H3" s="198">
        <f>66678.59/1000</f>
        <v>66.67859</v>
      </c>
      <c r="I3" s="198">
        <f t="shared" si="2"/>
        <v>73.96164</v>
      </c>
      <c r="J3" s="198"/>
      <c r="K3" s="198"/>
      <c r="L3" s="198"/>
      <c r="M3" s="198"/>
      <c r="N3" s="198">
        <v>345.015153506</v>
      </c>
      <c r="O3" s="198">
        <v>59.7957830429</v>
      </c>
      <c r="P3" s="198">
        <f t="shared" si="3"/>
        <v>17.33134978</v>
      </c>
      <c r="Q3" s="198"/>
      <c r="R3" s="198"/>
      <c r="S3" s="198" t="s">
        <v>1895</v>
      </c>
      <c r="T3" s="194">
        <f t="shared" si="4"/>
        <v>67571.42857</v>
      </c>
      <c r="U3" s="198" t="s">
        <v>1896</v>
      </c>
      <c r="V3" s="198">
        <f>100*0.86</f>
        <v>86</v>
      </c>
      <c r="W3" s="198"/>
      <c r="X3" s="198" t="s">
        <v>1897</v>
      </c>
      <c r="Y3" s="198" t="s">
        <v>1898</v>
      </c>
      <c r="Z3" s="198"/>
      <c r="AA3" s="198"/>
      <c r="AB3" s="198"/>
      <c r="AC3" s="194"/>
      <c r="AD3" s="198"/>
      <c r="AE3" s="194"/>
      <c r="AF3" s="198"/>
      <c r="AG3" s="194"/>
      <c r="AH3" s="198"/>
      <c r="AI3" s="194"/>
      <c r="AJ3" s="198">
        <v>1.3</v>
      </c>
      <c r="AK3" s="198" t="s">
        <v>1899</v>
      </c>
      <c r="AL3" s="198" t="s">
        <v>54</v>
      </c>
      <c r="AM3" s="194"/>
      <c r="AN3" s="198"/>
      <c r="AO3" s="198"/>
      <c r="AP3" s="11" t="s">
        <v>0</v>
      </c>
      <c r="AQ3" s="11" t="s">
        <v>0</v>
      </c>
      <c r="AR3" s="7" t="s">
        <v>0</v>
      </c>
      <c r="AS3" s="192">
        <v>77.4190220833</v>
      </c>
      <c r="AT3" s="192">
        <v>72.8362898827</v>
      </c>
      <c r="AU3" s="192">
        <v>66.8644390106</v>
      </c>
      <c r="AV3" s="192">
        <v>65.3117690086</v>
      </c>
      <c r="AW3" s="192">
        <f t="shared" si="5"/>
        <v>59.79578304</v>
      </c>
      <c r="AX3" s="7" t="s">
        <v>0</v>
      </c>
      <c r="AY3" s="7" t="s">
        <v>0</v>
      </c>
      <c r="AZ3" s="7" t="s">
        <v>0</v>
      </c>
      <c r="BA3" s="7" t="s">
        <v>0</v>
      </c>
      <c r="BB3" s="7" t="s">
        <v>0</v>
      </c>
      <c r="BC3" s="7" t="s">
        <v>0</v>
      </c>
      <c r="BD3" s="7" t="s">
        <v>0</v>
      </c>
      <c r="BE3" s="7" t="s">
        <v>0</v>
      </c>
      <c r="BF3" s="8" t="s">
        <v>1701</v>
      </c>
      <c r="BG3" s="192">
        <f t="shared" si="6"/>
        <v>1</v>
      </c>
      <c r="BH3" s="192">
        <f t="shared" si="7"/>
        <v>0.06291825418</v>
      </c>
      <c r="BI3" s="192">
        <f t="shared" ref="BI3:BK3" si="8">($AS3/AU3)-SUM($BG3:BH3)</f>
        <v>0.09493221505</v>
      </c>
      <c r="BJ3" s="192">
        <f t="shared" si="8"/>
        <v>0.0275258153</v>
      </c>
      <c r="BK3" s="192">
        <f t="shared" si="8"/>
        <v>0.1093474927</v>
      </c>
    </row>
    <row r="4">
      <c r="A4" s="8" t="s">
        <v>69</v>
      </c>
      <c r="B4" s="195" t="s">
        <v>31</v>
      </c>
      <c r="C4" s="10" t="s">
        <v>70</v>
      </c>
      <c r="D4" s="10" t="s">
        <v>33</v>
      </c>
      <c r="E4" s="198">
        <f t="shared" ref="E4:E13" si="10">J4/O4</f>
        <v>55.19929354</v>
      </c>
      <c r="F4" s="198">
        <f t="shared" ref="F4:F13" si="11">AF4/O4</f>
        <v>1.087006594</v>
      </c>
      <c r="G4" s="198">
        <f>154.17/1000</f>
        <v>0.15417</v>
      </c>
      <c r="H4" s="198">
        <f>26146.31/1000</f>
        <v>26.14631</v>
      </c>
      <c r="I4" s="198">
        <f t="shared" si="2"/>
        <v>26.30048</v>
      </c>
      <c r="J4" s="198">
        <f t="shared" ref="J4:J13" si="12">AB4+AD4</f>
        <v>176.5326951</v>
      </c>
      <c r="K4" s="198"/>
      <c r="L4" s="198"/>
      <c r="M4" s="198"/>
      <c r="N4" s="198">
        <v>3.605422212</v>
      </c>
      <c r="O4" s="198">
        <v>3.198097</v>
      </c>
      <c r="P4" s="198">
        <f t="shared" si="3"/>
        <v>88.70242684</v>
      </c>
      <c r="Q4" s="198"/>
      <c r="R4" s="198"/>
      <c r="S4" s="198" t="s">
        <v>1900</v>
      </c>
      <c r="T4" s="194">
        <f t="shared" si="4"/>
        <v>1280.666667</v>
      </c>
      <c r="U4" s="198" t="s">
        <v>1901</v>
      </c>
      <c r="V4" s="198">
        <f>100*0.85</f>
        <v>85</v>
      </c>
      <c r="W4" s="198"/>
      <c r="X4" s="198" t="s">
        <v>1902</v>
      </c>
      <c r="Y4" s="198" t="s">
        <v>1903</v>
      </c>
      <c r="Z4" s="198"/>
      <c r="AA4" s="198"/>
      <c r="AB4" s="198" t="s">
        <v>1904</v>
      </c>
      <c r="AC4" s="194">
        <f t="shared" ref="AC4:AC13" si="13">AB4*100/(AB4+AD4+AF4)</f>
        <v>89.82357873</v>
      </c>
      <c r="AD4" s="198" t="s">
        <v>1905</v>
      </c>
      <c r="AE4" s="194">
        <f t="shared" ref="AE4:AE13" si="14">AD4*100/(AB4+AD4+AF4)</f>
        <v>8.245211383</v>
      </c>
      <c r="AF4" s="198" t="s">
        <v>1906</v>
      </c>
      <c r="AG4" s="194">
        <f t="shared" ref="AG4:AG13" si="15">AF4*100/(AB4+AD4+AF4)</f>
        <v>1.931209888</v>
      </c>
      <c r="AH4" s="198" t="s">
        <v>1907</v>
      </c>
      <c r="AI4" s="194">
        <f t="shared" ref="AI4:AI13" si="16">AH4/O4</f>
        <v>11.551014</v>
      </c>
      <c r="AJ4" s="198">
        <v>1.3</v>
      </c>
      <c r="AK4" s="198" t="s">
        <v>1908</v>
      </c>
      <c r="AL4" s="198" t="s">
        <v>54</v>
      </c>
      <c r="AM4" s="198"/>
      <c r="AN4" s="198"/>
      <c r="AO4" s="198"/>
      <c r="AP4" s="11" t="s">
        <v>0</v>
      </c>
      <c r="AQ4" s="11" t="s">
        <v>0</v>
      </c>
      <c r="AR4" s="7" t="s">
        <v>0</v>
      </c>
      <c r="AS4" s="192">
        <v>4.692933</v>
      </c>
      <c r="AT4" s="192">
        <v>4.297014</v>
      </c>
      <c r="AU4" s="192">
        <v>3.960411</v>
      </c>
      <c r="AV4" s="192">
        <v>3.670635</v>
      </c>
      <c r="AW4" s="192">
        <f t="shared" si="5"/>
        <v>3.198097</v>
      </c>
      <c r="AX4" s="7" t="s">
        <v>0</v>
      </c>
      <c r="AY4" s="7" t="s">
        <v>0</v>
      </c>
      <c r="AZ4" s="7" t="s">
        <v>0</v>
      </c>
      <c r="BA4" s="7" t="s">
        <v>0</v>
      </c>
      <c r="BB4" s="7" t="s">
        <v>0</v>
      </c>
      <c r="BC4" s="7" t="s">
        <v>0</v>
      </c>
      <c r="BD4" s="7" t="s">
        <v>0</v>
      </c>
      <c r="BE4" s="7" t="s">
        <v>0</v>
      </c>
      <c r="BF4" s="8" t="s">
        <v>69</v>
      </c>
      <c r="BG4" s="192">
        <f t="shared" si="6"/>
        <v>1</v>
      </c>
      <c r="BH4" s="192">
        <f t="shared" si="7"/>
        <v>0.0921381685</v>
      </c>
      <c r="BI4" s="192">
        <f t="shared" ref="BI4:BK4" si="9">($AS4/AU4)-SUM($BG4:BH4)</f>
        <v>0.0928229378</v>
      </c>
      <c r="BJ4" s="192">
        <f t="shared" si="9"/>
        <v>0.09354601848</v>
      </c>
      <c r="BK4" s="192">
        <f t="shared" si="9"/>
        <v>0.1889070906</v>
      </c>
    </row>
    <row r="5">
      <c r="A5" s="8" t="s">
        <v>92</v>
      </c>
      <c r="B5" s="195" t="s">
        <v>93</v>
      </c>
      <c r="C5" s="9" t="s">
        <v>94</v>
      </c>
      <c r="D5" s="9" t="s">
        <v>95</v>
      </c>
      <c r="E5" s="198">
        <f t="shared" si="10"/>
        <v>6.364495905</v>
      </c>
      <c r="F5" s="198">
        <f t="shared" si="11"/>
        <v>78.17650867</v>
      </c>
      <c r="G5" s="198">
        <f>68.48/1000</f>
        <v>0.06848</v>
      </c>
      <c r="H5" s="198">
        <f>1375.84/1000</f>
        <v>1.37584</v>
      </c>
      <c r="I5" s="198">
        <f t="shared" si="2"/>
        <v>1.44432</v>
      </c>
      <c r="J5" s="198">
        <f t="shared" si="12"/>
        <v>85.96904308</v>
      </c>
      <c r="K5" s="198"/>
      <c r="L5" s="198"/>
      <c r="M5" s="198"/>
      <c r="N5" s="198">
        <v>14.698314901</v>
      </c>
      <c r="O5" s="198">
        <v>13.507596574</v>
      </c>
      <c r="P5" s="198">
        <f t="shared" si="3"/>
        <v>91.89894668</v>
      </c>
      <c r="Q5" s="198"/>
      <c r="R5" s="198"/>
      <c r="S5" s="198" t="s">
        <v>1909</v>
      </c>
      <c r="T5" s="194">
        <f t="shared" si="4"/>
        <v>26264</v>
      </c>
      <c r="U5" s="198" t="s">
        <v>1910</v>
      </c>
      <c r="V5" s="198">
        <f t="shared" ref="V5:V6" si="18">100*0.98</f>
        <v>98</v>
      </c>
      <c r="W5" s="198"/>
      <c r="X5" s="198" t="s">
        <v>1911</v>
      </c>
      <c r="Y5" s="198" t="s">
        <v>1912</v>
      </c>
      <c r="Z5" s="198"/>
      <c r="AA5" s="198"/>
      <c r="AB5" s="198" t="s">
        <v>1913</v>
      </c>
      <c r="AC5" s="194">
        <f t="shared" si="13"/>
        <v>7.491321663</v>
      </c>
      <c r="AD5" s="198" t="s">
        <v>1914</v>
      </c>
      <c r="AE5" s="194">
        <f t="shared" si="14"/>
        <v>0.03697296439</v>
      </c>
      <c r="AF5" s="198" t="s">
        <v>1915</v>
      </c>
      <c r="AG5" s="194">
        <f t="shared" si="15"/>
        <v>92.47170537</v>
      </c>
      <c r="AH5" s="198" t="s">
        <v>1916</v>
      </c>
      <c r="AI5" s="194">
        <f t="shared" si="16"/>
        <v>7.838771706</v>
      </c>
      <c r="AJ5" s="198">
        <v>1.3</v>
      </c>
      <c r="AK5" s="198" t="s">
        <v>1917</v>
      </c>
      <c r="AL5" s="198" t="s">
        <v>54</v>
      </c>
      <c r="AM5" s="198"/>
      <c r="AN5" s="198"/>
      <c r="AO5" s="198"/>
      <c r="AP5" s="11" t="s">
        <v>0</v>
      </c>
      <c r="AQ5" s="11" t="s">
        <v>0</v>
      </c>
      <c r="AR5" s="7" t="s">
        <v>0</v>
      </c>
      <c r="AS5" s="192">
        <v>20.483274882</v>
      </c>
      <c r="AT5" s="192">
        <v>18.561265017</v>
      </c>
      <c r="AU5" s="192">
        <v>17.111258284</v>
      </c>
      <c r="AV5" s="192">
        <v>15.730945738</v>
      </c>
      <c r="AW5" s="192">
        <f t="shared" si="5"/>
        <v>13.50759657</v>
      </c>
      <c r="AX5" s="7" t="s">
        <v>0</v>
      </c>
      <c r="AY5" s="7" t="s">
        <v>0</v>
      </c>
      <c r="AZ5" s="7" t="s">
        <v>0</v>
      </c>
      <c r="BA5" s="7" t="s">
        <v>0</v>
      </c>
      <c r="BB5" s="7" t="s">
        <v>0</v>
      </c>
      <c r="BC5" s="7" t="s">
        <v>0</v>
      </c>
      <c r="BD5" s="7" t="s">
        <v>0</v>
      </c>
      <c r="BE5" s="7" t="s">
        <v>0</v>
      </c>
      <c r="BF5" s="8" t="s">
        <v>92</v>
      </c>
      <c r="BG5" s="192">
        <f t="shared" si="6"/>
        <v>1</v>
      </c>
      <c r="BH5" s="192">
        <f t="shared" si="7"/>
        <v>0.1035495082</v>
      </c>
      <c r="BI5" s="192">
        <f t="shared" ref="BI5:BK5" si="17">($AS5/AU5)-SUM($BG5:BH5)</f>
        <v>0.09351470188</v>
      </c>
      <c r="BJ5" s="192">
        <f t="shared" si="17"/>
        <v>0.1050364533</v>
      </c>
      <c r="BK5" s="192">
        <f t="shared" si="17"/>
        <v>0.2143256504</v>
      </c>
    </row>
    <row r="6">
      <c r="A6" s="8" t="s">
        <v>117</v>
      </c>
      <c r="B6" s="195" t="s">
        <v>93</v>
      </c>
      <c r="C6" s="9" t="s">
        <v>118</v>
      </c>
      <c r="D6" s="9" t="s">
        <v>33</v>
      </c>
      <c r="E6" s="198">
        <f t="shared" si="10"/>
        <v>0.01766052187</v>
      </c>
      <c r="F6" s="198">
        <f t="shared" si="11"/>
        <v>2.218332522</v>
      </c>
      <c r="G6" s="198">
        <f>89.49/1000</f>
        <v>0.08949</v>
      </c>
      <c r="H6" s="198">
        <f>558.97/1000</f>
        <v>0.55897</v>
      </c>
      <c r="I6" s="198">
        <f t="shared" si="2"/>
        <v>0.64846</v>
      </c>
      <c r="J6" s="198">
        <f t="shared" si="12"/>
        <v>0.620046971</v>
      </c>
      <c r="K6" s="198"/>
      <c r="L6" s="198"/>
      <c r="M6" s="198"/>
      <c r="N6" s="198">
        <v>35.548310965</v>
      </c>
      <c r="O6" s="198">
        <v>35.10921</v>
      </c>
      <c r="P6" s="198">
        <f t="shared" si="3"/>
        <v>98.76477685</v>
      </c>
      <c r="Q6" s="198"/>
      <c r="R6" s="198"/>
      <c r="S6" s="198" t="s">
        <v>1918</v>
      </c>
      <c r="T6" s="194">
        <f t="shared" si="4"/>
        <v>4361</v>
      </c>
      <c r="U6" s="198" t="s">
        <v>1919</v>
      </c>
      <c r="V6" s="198">
        <f t="shared" si="18"/>
        <v>98</v>
      </c>
      <c r="W6" s="198"/>
      <c r="X6" s="198" t="s">
        <v>1797</v>
      </c>
      <c r="Y6" s="198" t="s">
        <v>1920</v>
      </c>
      <c r="Z6" s="198"/>
      <c r="AA6" s="198"/>
      <c r="AB6" s="198" t="s">
        <v>1921</v>
      </c>
      <c r="AC6" s="194">
        <f t="shared" si="13"/>
        <v>0.7808850157</v>
      </c>
      <c r="AD6" s="198" t="s">
        <v>1922</v>
      </c>
      <c r="AE6" s="194">
        <f t="shared" si="14"/>
        <v>0.008944000984</v>
      </c>
      <c r="AF6" s="198" t="s">
        <v>1923</v>
      </c>
      <c r="AG6" s="194">
        <f t="shared" si="15"/>
        <v>99.21017098</v>
      </c>
      <c r="AH6" s="198" t="s">
        <v>1924</v>
      </c>
      <c r="AI6" s="194">
        <f t="shared" si="16"/>
        <v>18.11529738</v>
      </c>
      <c r="AJ6" s="198">
        <v>1.3</v>
      </c>
      <c r="AK6" s="198" t="s">
        <v>1925</v>
      </c>
      <c r="AL6" s="198" t="s">
        <v>54</v>
      </c>
      <c r="AM6" s="198"/>
      <c r="AN6" s="198"/>
      <c r="AO6" s="198"/>
      <c r="AP6" s="11" t="s">
        <v>0</v>
      </c>
      <c r="AQ6" s="11" t="s">
        <v>0</v>
      </c>
      <c r="AR6" s="7" t="s">
        <v>0</v>
      </c>
      <c r="AS6" s="192">
        <v>53.158851</v>
      </c>
      <c r="AT6" s="192">
        <v>48.409138</v>
      </c>
      <c r="AU6" s="192">
        <v>44.071296</v>
      </c>
      <c r="AV6" s="192">
        <v>40.624648</v>
      </c>
      <c r="AW6" s="192">
        <f t="shared" si="5"/>
        <v>35.10921</v>
      </c>
      <c r="AX6" s="7" t="s">
        <v>0</v>
      </c>
      <c r="AY6" s="7" t="s">
        <v>0</v>
      </c>
      <c r="AZ6" s="7" t="s">
        <v>0</v>
      </c>
      <c r="BA6" s="7" t="s">
        <v>0</v>
      </c>
      <c r="BB6" s="7" t="s">
        <v>0</v>
      </c>
      <c r="BC6" s="7" t="s">
        <v>0</v>
      </c>
      <c r="BD6" s="7" t="s">
        <v>0</v>
      </c>
      <c r="BE6" s="7" t="s">
        <v>0</v>
      </c>
      <c r="BF6" s="8" t="s">
        <v>117</v>
      </c>
      <c r="BG6" s="192">
        <f t="shared" si="6"/>
        <v>1</v>
      </c>
      <c r="BH6" s="192">
        <f t="shared" si="7"/>
        <v>0.09811604164</v>
      </c>
      <c r="BI6" s="192">
        <f t="shared" ref="BI6:BK6" si="19">($AS6/AU6)-SUM($BG6:BH6)</f>
        <v>0.1080851783</v>
      </c>
      <c r="BJ6" s="192">
        <f t="shared" si="19"/>
        <v>0.1023356811</v>
      </c>
      <c r="BK6" s="192">
        <f t="shared" si="19"/>
        <v>0.205562989</v>
      </c>
    </row>
    <row r="7">
      <c r="A7" s="8" t="s">
        <v>139</v>
      </c>
      <c r="B7" s="195" t="s">
        <v>93</v>
      </c>
      <c r="C7" s="9" t="s">
        <v>140</v>
      </c>
      <c r="D7" s="9" t="s">
        <v>33</v>
      </c>
      <c r="E7" s="198">
        <f t="shared" si="10"/>
        <v>6.1834527</v>
      </c>
      <c r="F7" s="198">
        <f t="shared" si="11"/>
        <v>71.23150363</v>
      </c>
      <c r="G7" s="198">
        <f>5599.8/1000</f>
        <v>5.5998</v>
      </c>
      <c r="H7" s="198">
        <f>188112.17/1000</f>
        <v>188.11217</v>
      </c>
      <c r="I7" s="198">
        <f t="shared" si="2"/>
        <v>193.71197</v>
      </c>
      <c r="J7" s="198">
        <f t="shared" si="12"/>
        <v>291.5501287</v>
      </c>
      <c r="K7" s="198"/>
      <c r="L7" s="198"/>
      <c r="M7" s="198"/>
      <c r="N7" s="198" t="s">
        <v>1926</v>
      </c>
      <c r="O7" s="198" t="s">
        <v>1927</v>
      </c>
      <c r="P7" s="198">
        <f t="shared" si="3"/>
        <v>78.49496112</v>
      </c>
      <c r="S7" s="198" t="s">
        <v>1928</v>
      </c>
      <c r="T7" s="194">
        <f t="shared" si="4"/>
        <v>63655.17241</v>
      </c>
      <c r="U7" s="198" t="s">
        <v>1929</v>
      </c>
      <c r="V7" s="198">
        <f>100*0.71</f>
        <v>71</v>
      </c>
      <c r="W7" s="198"/>
      <c r="X7" s="198" t="s">
        <v>1930</v>
      </c>
      <c r="Y7" s="198" t="s">
        <v>1931</v>
      </c>
      <c r="Z7" s="198"/>
      <c r="AA7" s="198"/>
      <c r="AB7" s="198" t="s">
        <v>1932</v>
      </c>
      <c r="AC7" s="194">
        <f t="shared" si="13"/>
        <v>7.987039184</v>
      </c>
      <c r="AD7" s="198" t="s">
        <v>1933</v>
      </c>
      <c r="AE7" s="194">
        <f t="shared" si="14"/>
        <v>0.0003743517022</v>
      </c>
      <c r="AF7" s="198" t="s">
        <v>1934</v>
      </c>
      <c r="AG7" s="194">
        <f t="shared" si="15"/>
        <v>92.01258646</v>
      </c>
      <c r="AH7" s="198" t="s">
        <v>1935</v>
      </c>
      <c r="AI7" s="194">
        <f t="shared" si="16"/>
        <v>5.022907834</v>
      </c>
      <c r="AJ7" s="198">
        <v>1.3</v>
      </c>
      <c r="AK7" s="198" t="s">
        <v>1936</v>
      </c>
      <c r="AL7" s="198" t="s">
        <v>54</v>
      </c>
      <c r="AM7" s="198"/>
      <c r="AN7" s="198"/>
      <c r="AO7" s="198"/>
      <c r="AP7" s="11" t="s">
        <v>0</v>
      </c>
      <c r="AQ7" s="11" t="s">
        <v>0</v>
      </c>
      <c r="AR7" s="7" t="s">
        <v>0</v>
      </c>
      <c r="AS7" s="192">
        <v>57.381675</v>
      </c>
      <c r="AT7" s="192">
        <v>54.466335</v>
      </c>
      <c r="AU7" s="192">
        <v>52.172737</v>
      </c>
      <c r="AV7" s="192">
        <v>50.188881</v>
      </c>
      <c r="AW7" s="192" t="str">
        <f t="shared" si="5"/>
        <v>47.150054</v>
      </c>
      <c r="AX7" s="7" t="s">
        <v>0</v>
      </c>
      <c r="AY7" s="7" t="s">
        <v>0</v>
      </c>
      <c r="AZ7" s="7" t="s">
        <v>0</v>
      </c>
      <c r="BA7" s="7" t="s">
        <v>0</v>
      </c>
      <c r="BB7" s="7" t="s">
        <v>0</v>
      </c>
      <c r="BC7" s="7" t="s">
        <v>0</v>
      </c>
      <c r="BD7" s="7" t="s">
        <v>0</v>
      </c>
      <c r="BE7" s="7" t="s">
        <v>0</v>
      </c>
      <c r="BF7" s="8" t="s">
        <v>139</v>
      </c>
      <c r="BG7" s="192">
        <f t="shared" si="6"/>
        <v>1</v>
      </c>
      <c r="BH7" s="192">
        <f t="shared" si="7"/>
        <v>0.05352554013</v>
      </c>
      <c r="BI7" s="192">
        <f t="shared" ref="BI7:BK7" si="20">($AS7/AU7)-SUM($BG7:BH7)</f>
        <v>0.04631468868</v>
      </c>
      <c r="BJ7" s="192">
        <f t="shared" si="20"/>
        <v>0.04347426349</v>
      </c>
      <c r="BK7" s="192">
        <f t="shared" si="20"/>
        <v>0.073686765</v>
      </c>
    </row>
    <row r="8">
      <c r="A8" s="8" t="s">
        <v>159</v>
      </c>
      <c r="B8" s="195" t="s">
        <v>160</v>
      </c>
      <c r="C8" s="87" t="s">
        <v>161</v>
      </c>
      <c r="D8" s="9" t="s">
        <v>95</v>
      </c>
      <c r="E8" s="198">
        <f t="shared" si="10"/>
        <v>41.74015188</v>
      </c>
      <c r="F8" s="198">
        <f t="shared" si="11"/>
        <v>256.1148755</v>
      </c>
      <c r="G8" s="198">
        <f>10987.7/1000</f>
        <v>10.9877</v>
      </c>
      <c r="H8" s="198">
        <f>285925.41/1000</f>
        <v>285.92541</v>
      </c>
      <c r="I8" s="198">
        <f t="shared" si="2"/>
        <v>296.91311</v>
      </c>
      <c r="J8" s="198">
        <f t="shared" si="12"/>
        <v>28.96123742</v>
      </c>
      <c r="K8" s="198"/>
      <c r="L8" s="198"/>
      <c r="M8" s="198"/>
      <c r="N8" s="198">
        <v>6.600833757</v>
      </c>
      <c r="O8" s="198">
        <v>0.693846</v>
      </c>
      <c r="P8" s="198">
        <f t="shared" si="3"/>
        <v>10.5114903</v>
      </c>
      <c r="Q8" s="198"/>
      <c r="R8" s="198"/>
      <c r="S8" s="198" t="s">
        <v>1937</v>
      </c>
      <c r="T8" s="194">
        <f t="shared" si="4"/>
        <v>3268.285714</v>
      </c>
      <c r="U8" s="198" t="s">
        <v>1938</v>
      </c>
      <c r="V8" s="198">
        <f>100*0.93</f>
        <v>93</v>
      </c>
      <c r="W8" s="198"/>
      <c r="X8" s="198" t="s">
        <v>1939</v>
      </c>
      <c r="Y8" s="198" t="s">
        <v>1940</v>
      </c>
      <c r="Z8" s="198"/>
      <c r="AA8" s="198"/>
      <c r="AB8" s="198" t="s">
        <v>1941</v>
      </c>
      <c r="AC8" s="194">
        <f t="shared" si="13"/>
        <v>14.01357878</v>
      </c>
      <c r="AD8" s="198" t="s">
        <v>1942</v>
      </c>
      <c r="AE8" s="194">
        <f t="shared" si="14"/>
        <v>0.0000009962958537</v>
      </c>
      <c r="AF8" s="198" t="s">
        <v>1943</v>
      </c>
      <c r="AG8" s="194">
        <f t="shared" si="15"/>
        <v>85.98642022</v>
      </c>
      <c r="AH8" s="198" t="s">
        <v>1944</v>
      </c>
      <c r="AI8" s="194">
        <f t="shared" si="16"/>
        <v>10.93046764</v>
      </c>
      <c r="AJ8" s="198">
        <v>1.3</v>
      </c>
      <c r="AK8" s="198" t="s">
        <v>1945</v>
      </c>
      <c r="AL8" s="198" t="s">
        <v>54</v>
      </c>
      <c r="AM8" s="198"/>
      <c r="AN8" s="198"/>
      <c r="AO8" s="198"/>
      <c r="AP8" s="11"/>
      <c r="AQ8" s="11"/>
      <c r="AR8" s="7" t="s">
        <v>0</v>
      </c>
      <c r="AS8" s="192">
        <v>0.949752</v>
      </c>
      <c r="AT8" s="192">
        <v>0.866593</v>
      </c>
      <c r="AU8" s="192">
        <v>0.809513</v>
      </c>
      <c r="AV8" s="192">
        <v>0.770552</v>
      </c>
      <c r="AW8" s="192">
        <f t="shared" si="5"/>
        <v>0.693846</v>
      </c>
      <c r="AX8" s="7" t="s">
        <v>0</v>
      </c>
      <c r="AY8" s="7" t="s">
        <v>0</v>
      </c>
      <c r="AZ8" s="7" t="s">
        <v>0</v>
      </c>
      <c r="BA8" s="7" t="s">
        <v>0</v>
      </c>
      <c r="BB8" s="7" t="s">
        <v>0</v>
      </c>
      <c r="BC8" s="7" t="s">
        <v>0</v>
      </c>
      <c r="BD8" s="7" t="s">
        <v>0</v>
      </c>
      <c r="BE8" s="7" t="s">
        <v>0</v>
      </c>
      <c r="BF8" s="8" t="s">
        <v>159</v>
      </c>
      <c r="BG8" s="192">
        <f t="shared" si="6"/>
        <v>1</v>
      </c>
      <c r="BH8" s="192">
        <f t="shared" si="7"/>
        <v>0.09596084898</v>
      </c>
      <c r="BI8" s="192">
        <f t="shared" ref="BI8:BK8" si="21">($AS8/AU8)-SUM($BG8:BH8)</f>
        <v>0.07727787603</v>
      </c>
      <c r="BJ8" s="192">
        <f t="shared" si="21"/>
        <v>0.05932182898</v>
      </c>
      <c r="BK8" s="192">
        <f t="shared" si="21"/>
        <v>0.1362619225</v>
      </c>
    </row>
    <row r="9">
      <c r="A9" s="8" t="s">
        <v>185</v>
      </c>
      <c r="B9" s="195" t="s">
        <v>160</v>
      </c>
      <c r="C9" s="48" t="s">
        <v>186</v>
      </c>
      <c r="D9" s="9" t="s">
        <v>95</v>
      </c>
      <c r="E9" s="198">
        <f t="shared" si="10"/>
        <v>0.0000000653606966</v>
      </c>
      <c r="F9" s="198">
        <f t="shared" si="11"/>
        <v>13.70506587</v>
      </c>
      <c r="G9" s="198">
        <f>204.86/1000</f>
        <v>0.20486</v>
      </c>
      <c r="H9" s="198">
        <f>22689.26/1000</f>
        <v>22.68926</v>
      </c>
      <c r="I9" s="198">
        <f t="shared" si="2"/>
        <v>22.89412</v>
      </c>
      <c r="J9" s="198">
        <f t="shared" si="12"/>
        <v>0.000000564</v>
      </c>
      <c r="K9" s="198"/>
      <c r="L9" s="198"/>
      <c r="M9" s="198"/>
      <c r="N9" s="198">
        <v>11.829390724</v>
      </c>
      <c r="O9" s="198">
        <v>8.629039</v>
      </c>
      <c r="P9" s="198">
        <f t="shared" si="3"/>
        <v>72.94576028</v>
      </c>
      <c r="Q9" s="198"/>
      <c r="R9" s="198"/>
      <c r="S9" s="198" t="s">
        <v>1946</v>
      </c>
      <c r="T9" s="194">
        <f t="shared" si="4"/>
        <v>2496.352941</v>
      </c>
      <c r="U9" s="198" t="s">
        <v>1947</v>
      </c>
      <c r="V9" s="198">
        <f>100*0.66</f>
        <v>66</v>
      </c>
      <c r="W9" s="198"/>
      <c r="X9" s="198" t="s">
        <v>1948</v>
      </c>
      <c r="Y9" s="198" t="s">
        <v>1949</v>
      </c>
      <c r="Z9" s="198"/>
      <c r="AA9" s="198"/>
      <c r="AB9" s="198" t="s">
        <v>1950</v>
      </c>
      <c r="AC9" s="194">
        <f t="shared" si="13"/>
        <v>0.00000004143358569</v>
      </c>
      <c r="AD9" s="198" t="s">
        <v>1951</v>
      </c>
      <c r="AE9" s="194">
        <f t="shared" si="14"/>
        <v>0.0000004354754414</v>
      </c>
      <c r="AF9" s="198" t="s">
        <v>1952</v>
      </c>
      <c r="AG9" s="194">
        <f t="shared" si="15"/>
        <v>99.99999952</v>
      </c>
      <c r="AH9" s="198" t="s">
        <v>1953</v>
      </c>
      <c r="AI9" s="194">
        <f t="shared" si="16"/>
        <v>4.531161072</v>
      </c>
      <c r="AJ9" s="198">
        <v>1.3</v>
      </c>
      <c r="AK9" s="198" t="s">
        <v>1954</v>
      </c>
      <c r="AL9" s="198" t="s">
        <v>54</v>
      </c>
      <c r="AM9" s="198"/>
      <c r="AN9" s="198"/>
      <c r="AO9" s="198"/>
      <c r="AP9" s="11"/>
      <c r="AQ9" s="11"/>
      <c r="AR9" s="7" t="s">
        <v>0</v>
      </c>
      <c r="AS9" s="192">
        <v>11.345544</v>
      </c>
      <c r="AT9" s="192">
        <v>10.470827</v>
      </c>
      <c r="AU9" s="192">
        <v>9.890782</v>
      </c>
      <c r="AV9" s="192">
        <v>9.305811</v>
      </c>
      <c r="AW9" s="192">
        <f t="shared" si="5"/>
        <v>8.629039</v>
      </c>
      <c r="AX9" s="7" t="s">
        <v>0</v>
      </c>
      <c r="AY9" s="7" t="s">
        <v>0</v>
      </c>
      <c r="AZ9" s="7" t="s">
        <v>0</v>
      </c>
      <c r="BA9" s="7" t="s">
        <v>0</v>
      </c>
      <c r="BB9" s="7" t="s">
        <v>0</v>
      </c>
      <c r="BC9" s="7" t="s">
        <v>0</v>
      </c>
      <c r="BD9" s="7" t="s">
        <v>0</v>
      </c>
      <c r="BE9" s="7" t="s">
        <v>0</v>
      </c>
      <c r="BF9" s="8" t="s">
        <v>185</v>
      </c>
      <c r="BG9" s="192">
        <f t="shared" si="6"/>
        <v>1</v>
      </c>
      <c r="BH9" s="192">
        <f t="shared" si="7"/>
        <v>0.08353848268</v>
      </c>
      <c r="BI9" s="192">
        <f t="shared" ref="BI9:BK9" si="22">($AS9/AU9)-SUM($BG9:BH9)</f>
        <v>0.06354412413</v>
      </c>
      <c r="BJ9" s="192">
        <f t="shared" si="22"/>
        <v>0.07210656434</v>
      </c>
      <c r="BK9" s="192">
        <f t="shared" si="22"/>
        <v>0.09562050812</v>
      </c>
    </row>
    <row r="10">
      <c r="A10" s="8" t="s">
        <v>209</v>
      </c>
      <c r="B10" s="195" t="s">
        <v>160</v>
      </c>
      <c r="C10" s="21" t="s">
        <v>210</v>
      </c>
      <c r="D10" s="22" t="s">
        <v>211</v>
      </c>
      <c r="E10" s="198">
        <f t="shared" si="10"/>
        <v>124.7322112</v>
      </c>
      <c r="F10" s="198">
        <f t="shared" si="11"/>
        <v>7.10373019</v>
      </c>
      <c r="G10" s="198">
        <f>11677.24/1000</f>
        <v>11.67724</v>
      </c>
      <c r="H10" s="198">
        <f>270491.56/1000</f>
        <v>270.49156</v>
      </c>
      <c r="I10" s="198">
        <f t="shared" si="2"/>
        <v>282.1688</v>
      </c>
      <c r="J10" s="198">
        <f t="shared" si="12"/>
        <v>410.3608674</v>
      </c>
      <c r="K10" s="198"/>
      <c r="L10" s="198"/>
      <c r="M10" s="198"/>
      <c r="N10" s="198">
        <v>9.33439809</v>
      </c>
      <c r="O10" s="198">
        <v>3.289935</v>
      </c>
      <c r="P10" s="198">
        <f t="shared" si="3"/>
        <v>35.24528275</v>
      </c>
      <c r="Q10" s="198"/>
      <c r="R10" s="198"/>
      <c r="S10" s="198" t="s">
        <v>1928</v>
      </c>
      <c r="T10" s="194">
        <f t="shared" si="4"/>
        <v>11263.15385</v>
      </c>
      <c r="U10" s="198" t="s">
        <v>1955</v>
      </c>
      <c r="V10" s="198">
        <f>100*0.87</f>
        <v>87</v>
      </c>
      <c r="W10" s="198"/>
      <c r="X10" s="198" t="s">
        <v>1956</v>
      </c>
      <c r="Y10" s="198" t="s">
        <v>1957</v>
      </c>
      <c r="Z10" s="198"/>
      <c r="AA10" s="198"/>
      <c r="AB10" s="198" t="s">
        <v>1958</v>
      </c>
      <c r="AC10" s="194">
        <f t="shared" si="13"/>
        <v>94.61168222</v>
      </c>
      <c r="AD10" s="198" t="s">
        <v>1959</v>
      </c>
      <c r="AE10" s="194">
        <f t="shared" si="14"/>
        <v>0.00000704444742</v>
      </c>
      <c r="AF10" s="198" t="s">
        <v>1960</v>
      </c>
      <c r="AG10" s="194">
        <f t="shared" si="15"/>
        <v>5.388310739</v>
      </c>
      <c r="AH10" s="198" t="s">
        <v>1961</v>
      </c>
      <c r="AI10" s="194">
        <f t="shared" si="16"/>
        <v>6.124590779</v>
      </c>
      <c r="AJ10" s="198">
        <v>1.3</v>
      </c>
      <c r="AK10" s="198" t="s">
        <v>1962</v>
      </c>
      <c r="AL10" s="198" t="s">
        <v>54</v>
      </c>
      <c r="AM10" s="198"/>
      <c r="AN10" s="198"/>
      <c r="AO10" s="198"/>
      <c r="AP10" s="11" t="s">
        <v>0</v>
      </c>
      <c r="AQ10" s="11" t="s">
        <v>0</v>
      </c>
      <c r="AR10" s="7" t="s">
        <v>0</v>
      </c>
      <c r="AS10" s="192">
        <v>3.89094</v>
      </c>
      <c r="AT10" s="192">
        <v>3.702705</v>
      </c>
      <c r="AU10" s="192">
        <v>3.582485</v>
      </c>
      <c r="AV10" s="192">
        <v>3.452056</v>
      </c>
      <c r="AW10" s="192">
        <f t="shared" si="5"/>
        <v>3.289935</v>
      </c>
      <c r="AX10" s="7" t="s">
        <v>0</v>
      </c>
      <c r="AY10" s="7" t="s">
        <v>0</v>
      </c>
      <c r="AZ10" s="7" t="s">
        <v>0</v>
      </c>
      <c r="BA10" s="7" t="s">
        <v>0</v>
      </c>
      <c r="BB10" s="7" t="s">
        <v>0</v>
      </c>
      <c r="BC10" s="7" t="s">
        <v>0</v>
      </c>
      <c r="BD10" s="7" t="s">
        <v>0</v>
      </c>
      <c r="BE10" s="7" t="s">
        <v>0</v>
      </c>
      <c r="BF10" s="8" t="s">
        <v>209</v>
      </c>
      <c r="BG10" s="192">
        <f t="shared" si="6"/>
        <v>1</v>
      </c>
      <c r="BH10" s="192">
        <f t="shared" si="7"/>
        <v>0.05083715824</v>
      </c>
      <c r="BI10" s="192">
        <f t="shared" ref="BI10:BK10" si="23">($AS10/AU10)-SUM($BG10:BH10)</f>
        <v>0.03526369075</v>
      </c>
      <c r="BJ10" s="192">
        <f t="shared" si="23"/>
        <v>0.04103613836</v>
      </c>
      <c r="BK10" s="192">
        <f t="shared" si="23"/>
        <v>0.05554291362</v>
      </c>
    </row>
    <row r="11">
      <c r="A11" s="8" t="s">
        <v>232</v>
      </c>
      <c r="B11" s="195" t="s">
        <v>233</v>
      </c>
      <c r="C11" s="9" t="s">
        <v>234</v>
      </c>
      <c r="D11" s="9" t="s">
        <v>211</v>
      </c>
      <c r="E11" s="198">
        <f t="shared" si="10"/>
        <v>86.55653103</v>
      </c>
      <c r="F11" s="198">
        <f t="shared" si="11"/>
        <v>0.4512712186</v>
      </c>
      <c r="G11" s="198">
        <f>2689.62/1000</f>
        <v>2.68962</v>
      </c>
      <c r="H11" s="198">
        <f>114005.3/1000</f>
        <v>114.0053</v>
      </c>
      <c r="I11" s="198">
        <f t="shared" si="2"/>
        <v>116.69492</v>
      </c>
      <c r="J11" s="198">
        <f t="shared" si="12"/>
        <v>145.9379467</v>
      </c>
      <c r="K11" s="198"/>
      <c r="L11" s="198"/>
      <c r="M11" s="198"/>
      <c r="N11" s="198">
        <v>2.483557183</v>
      </c>
      <c r="O11" s="198">
        <v>1.686042</v>
      </c>
      <c r="P11" s="198">
        <f t="shared" si="3"/>
        <v>67.88818923</v>
      </c>
      <c r="Q11" s="198"/>
      <c r="R11" s="198"/>
      <c r="S11" s="198" t="s">
        <v>1963</v>
      </c>
      <c r="T11" s="194">
        <f t="shared" si="4"/>
        <v>6897</v>
      </c>
      <c r="U11" s="198" t="s">
        <v>1964</v>
      </c>
      <c r="V11" s="198">
        <f>100*0.95</f>
        <v>95</v>
      </c>
      <c r="W11" s="198"/>
      <c r="X11" s="198" t="s">
        <v>1965</v>
      </c>
      <c r="Y11" s="198" t="s">
        <v>1966</v>
      </c>
      <c r="Z11" s="198"/>
      <c r="AA11" s="198"/>
      <c r="AB11" s="198" t="s">
        <v>1967</v>
      </c>
      <c r="AC11" s="194">
        <f t="shared" si="13"/>
        <v>99.48132694</v>
      </c>
      <c r="AD11" s="198" t="s">
        <v>1968</v>
      </c>
      <c r="AE11" s="194">
        <f t="shared" si="14"/>
        <v>0.0000170226331</v>
      </c>
      <c r="AF11" s="198" t="s">
        <v>1969</v>
      </c>
      <c r="AG11" s="194">
        <f t="shared" si="15"/>
        <v>0.5186560365</v>
      </c>
      <c r="AH11" s="198" t="s">
        <v>1970</v>
      </c>
      <c r="AI11" s="194">
        <f t="shared" si="16"/>
        <v>2.218234167</v>
      </c>
      <c r="AJ11" s="198">
        <v>1.3</v>
      </c>
      <c r="AK11" s="198" t="s">
        <v>1971</v>
      </c>
      <c r="AL11" s="198" t="s">
        <v>54</v>
      </c>
      <c r="AM11" s="198"/>
      <c r="AN11" s="198"/>
      <c r="AO11" s="198"/>
      <c r="AP11" s="11" t="s">
        <v>0</v>
      </c>
      <c r="AQ11" s="11" t="s">
        <v>0</v>
      </c>
      <c r="AR11" s="7" t="s">
        <v>0</v>
      </c>
      <c r="AS11" s="192">
        <v>2.410082</v>
      </c>
      <c r="AT11" s="192">
        <v>2.214817</v>
      </c>
      <c r="AU11" s="192">
        <v>2.042601</v>
      </c>
      <c r="AV11" s="192">
        <v>1.906362</v>
      </c>
      <c r="AW11" s="192">
        <f t="shared" si="5"/>
        <v>1.686042</v>
      </c>
      <c r="AX11" s="7" t="s">
        <v>0</v>
      </c>
      <c r="AY11" s="7" t="s">
        <v>0</v>
      </c>
      <c r="AZ11" s="7" t="s">
        <v>0</v>
      </c>
      <c r="BA11" s="7" t="s">
        <v>0</v>
      </c>
      <c r="BB11" s="7" t="s">
        <v>0</v>
      </c>
      <c r="BC11" s="7" t="s">
        <v>0</v>
      </c>
      <c r="BD11" s="7" t="s">
        <v>0</v>
      </c>
      <c r="BE11" s="7" t="s">
        <v>0</v>
      </c>
      <c r="BF11" s="8" t="s">
        <v>232</v>
      </c>
      <c r="BG11" s="192">
        <f t="shared" si="6"/>
        <v>1</v>
      </c>
      <c r="BH11" s="192">
        <f t="shared" si="7"/>
        <v>0.08816304011</v>
      </c>
      <c r="BI11" s="192">
        <f t="shared" ref="BI11:BK11" si="24">($AS11/AU11)-SUM($BG11:BH11)</f>
        <v>0.09174532183</v>
      </c>
      <c r="BJ11" s="192">
        <f t="shared" si="24"/>
        <v>0.08432267078</v>
      </c>
      <c r="BK11" s="192">
        <f t="shared" si="24"/>
        <v>0.1652007371</v>
      </c>
    </row>
    <row r="12">
      <c r="A12" s="57" t="s">
        <v>258</v>
      </c>
      <c r="B12" s="195" t="s">
        <v>233</v>
      </c>
      <c r="C12" s="9" t="s">
        <v>259</v>
      </c>
      <c r="D12" s="9" t="s">
        <v>211</v>
      </c>
      <c r="E12" s="198">
        <f t="shared" si="10"/>
        <v>10.27490446</v>
      </c>
      <c r="F12" s="198">
        <f t="shared" si="11"/>
        <v>34.40969492</v>
      </c>
      <c r="G12" s="198">
        <f>573.14/1000</f>
        <v>0.57314</v>
      </c>
      <c r="H12" s="198">
        <f>109945.08/1000</f>
        <v>109.94508</v>
      </c>
      <c r="I12" s="198">
        <f t="shared" si="2"/>
        <v>110.51822</v>
      </c>
      <c r="J12" s="198">
        <f t="shared" si="12"/>
        <v>12.69349367</v>
      </c>
      <c r="K12" s="198"/>
      <c r="L12" s="198"/>
      <c r="M12" s="198"/>
      <c r="N12" s="198">
        <v>1.939541471</v>
      </c>
      <c r="O12" s="198">
        <v>1.235388</v>
      </c>
      <c r="P12" s="198">
        <f t="shared" si="3"/>
        <v>63.69484842</v>
      </c>
      <c r="Q12" s="198"/>
      <c r="R12" s="198"/>
      <c r="S12" s="198" t="s">
        <v>1918</v>
      </c>
      <c r="T12" s="194">
        <f t="shared" si="4"/>
        <v>2421.647059</v>
      </c>
      <c r="U12" s="198" t="s">
        <v>1972</v>
      </c>
      <c r="V12" s="198">
        <f>100*0.83</f>
        <v>83</v>
      </c>
      <c r="W12" s="198"/>
      <c r="X12" s="198" t="s">
        <v>1973</v>
      </c>
      <c r="Y12" s="198" t="s">
        <v>1869</v>
      </c>
      <c r="Z12" s="198"/>
      <c r="AA12" s="198"/>
      <c r="AB12" s="198" t="s">
        <v>1974</v>
      </c>
      <c r="AC12" s="194">
        <f t="shared" si="13"/>
        <v>22.98469096</v>
      </c>
      <c r="AD12" s="198" t="s">
        <v>1975</v>
      </c>
      <c r="AE12" s="194">
        <f t="shared" si="14"/>
        <v>0.00959476564</v>
      </c>
      <c r="AF12" s="198" t="s">
        <v>1976</v>
      </c>
      <c r="AG12" s="194">
        <f t="shared" si="15"/>
        <v>77.00571427</v>
      </c>
      <c r="AH12" s="198" t="s">
        <v>1977</v>
      </c>
      <c r="AI12" s="194">
        <f t="shared" si="16"/>
        <v>20.90532748</v>
      </c>
      <c r="AJ12" s="198">
        <v>1.3</v>
      </c>
      <c r="AK12" s="198" t="s">
        <v>1978</v>
      </c>
      <c r="AL12" s="198" t="s">
        <v>54</v>
      </c>
      <c r="AM12" s="198"/>
      <c r="AN12" s="198"/>
      <c r="AO12" s="198"/>
      <c r="AP12" s="11" t="s">
        <v>0</v>
      </c>
      <c r="AQ12" s="11" t="s">
        <v>0</v>
      </c>
      <c r="AR12" s="7" t="s">
        <v>0</v>
      </c>
      <c r="AS12" s="192">
        <v>1.613264</v>
      </c>
      <c r="AT12" s="192">
        <v>1.505582</v>
      </c>
      <c r="AU12" s="192">
        <v>1.409084</v>
      </c>
      <c r="AV12" s="192">
        <v>1.3386</v>
      </c>
      <c r="AW12" s="192">
        <f t="shared" si="5"/>
        <v>1.235388</v>
      </c>
      <c r="AX12" s="7" t="s">
        <v>0</v>
      </c>
      <c r="AY12" s="7" t="s">
        <v>0</v>
      </c>
      <c r="AZ12" s="7" t="s">
        <v>0</v>
      </c>
      <c r="BA12" s="7" t="s">
        <v>0</v>
      </c>
      <c r="BB12" s="7" t="s">
        <v>0</v>
      </c>
      <c r="BC12" s="7" t="s">
        <v>0</v>
      </c>
      <c r="BD12" s="7" t="s">
        <v>0</v>
      </c>
      <c r="BE12" s="7" t="s">
        <v>0</v>
      </c>
      <c r="BF12" s="57" t="s">
        <v>258</v>
      </c>
      <c r="BG12" s="192">
        <f t="shared" si="6"/>
        <v>1</v>
      </c>
      <c r="BH12" s="192">
        <f t="shared" si="7"/>
        <v>0.07152184338</v>
      </c>
      <c r="BI12" s="192">
        <f t="shared" ref="BI12:BK12" si="25">($AS12/AU12)-SUM($BG12:BH12)</f>
        <v>0.07338080259</v>
      </c>
      <c r="BJ12" s="192">
        <f t="shared" si="25"/>
        <v>0.06028486336</v>
      </c>
      <c r="BK12" s="192">
        <f t="shared" si="25"/>
        <v>0.1006888631</v>
      </c>
    </row>
    <row r="13">
      <c r="A13" s="57" t="s">
        <v>280</v>
      </c>
      <c r="B13" s="195" t="s">
        <v>233</v>
      </c>
      <c r="C13" s="94" t="s">
        <v>281</v>
      </c>
      <c r="D13" s="9" t="s">
        <v>33</v>
      </c>
      <c r="E13" s="198">
        <f t="shared" si="10"/>
        <v>21.47995819</v>
      </c>
      <c r="F13" s="198">
        <f t="shared" si="11"/>
        <v>12.74915332</v>
      </c>
      <c r="G13" s="198">
        <f>1129.22/1000</f>
        <v>1.12922</v>
      </c>
      <c r="H13" s="198">
        <f>168765.77/1000</f>
        <v>168.76577</v>
      </c>
      <c r="I13" s="198">
        <f t="shared" si="2"/>
        <v>169.89499</v>
      </c>
      <c r="J13" s="198">
        <f t="shared" si="12"/>
        <v>27.6998882</v>
      </c>
      <c r="K13" s="198"/>
      <c r="L13" s="198"/>
      <c r="M13" s="198"/>
      <c r="N13" s="198">
        <v>26.251701663</v>
      </c>
      <c r="O13" s="198">
        <v>1.289569</v>
      </c>
      <c r="P13" s="198">
        <f t="shared" si="3"/>
        <v>4.912325367</v>
      </c>
      <c r="Q13" s="198"/>
      <c r="R13" s="198"/>
      <c r="S13" s="198" t="s">
        <v>1946</v>
      </c>
      <c r="T13" s="194">
        <f t="shared" si="4"/>
        <v>634.8974359</v>
      </c>
      <c r="U13" s="198" t="s">
        <v>1979</v>
      </c>
      <c r="V13" s="198">
        <f>100*0.22</f>
        <v>22</v>
      </c>
      <c r="W13" s="198"/>
      <c r="X13" s="198" t="s">
        <v>1980</v>
      </c>
      <c r="Y13" s="198" t="s">
        <v>1981</v>
      </c>
      <c r="Z13" s="198"/>
      <c r="AA13" s="198"/>
      <c r="AB13" s="198" t="s">
        <v>1982</v>
      </c>
      <c r="AC13" s="194">
        <f t="shared" si="13"/>
        <v>61.80888731</v>
      </c>
      <c r="AD13" s="198" t="s">
        <v>1983</v>
      </c>
      <c r="AE13" s="194">
        <f t="shared" si="14"/>
        <v>0.94459135</v>
      </c>
      <c r="AF13" s="198" t="s">
        <v>1984</v>
      </c>
      <c r="AG13" s="194">
        <f t="shared" si="15"/>
        <v>37.24652134</v>
      </c>
      <c r="AH13" s="198" t="s">
        <v>1985</v>
      </c>
      <c r="AI13" s="194">
        <f t="shared" si="16"/>
        <v>2.629395919</v>
      </c>
      <c r="AJ13" s="198">
        <v>1.3</v>
      </c>
      <c r="AK13" s="198" t="s">
        <v>1986</v>
      </c>
      <c r="AL13" s="198" t="s">
        <v>54</v>
      </c>
      <c r="AM13" s="198"/>
      <c r="AN13" s="198"/>
      <c r="AO13" s="198"/>
      <c r="AP13" s="11" t="s">
        <v>0</v>
      </c>
      <c r="AQ13" s="11" t="s">
        <v>0</v>
      </c>
      <c r="AR13" s="7" t="s">
        <v>0</v>
      </c>
      <c r="AS13" s="192">
        <v>1.68709</v>
      </c>
      <c r="AT13" s="192">
        <v>1.574682</v>
      </c>
      <c r="AU13" s="192">
        <v>1.490705</v>
      </c>
      <c r="AV13" s="192">
        <v>1.421506</v>
      </c>
      <c r="AW13" s="192">
        <f t="shared" si="5"/>
        <v>1.289569</v>
      </c>
      <c r="AX13" s="7" t="s">
        <v>0</v>
      </c>
      <c r="AY13" s="7" t="s">
        <v>0</v>
      </c>
      <c r="AZ13" s="7" t="s">
        <v>0</v>
      </c>
      <c r="BA13" s="7" t="s">
        <v>0</v>
      </c>
      <c r="BB13" s="7" t="s">
        <v>0</v>
      </c>
      <c r="BC13" s="7" t="s">
        <v>0</v>
      </c>
      <c r="BD13" s="7" t="s">
        <v>0</v>
      </c>
      <c r="BE13" s="7" t="s">
        <v>0</v>
      </c>
      <c r="BF13" s="57" t="s">
        <v>280</v>
      </c>
      <c r="BG13" s="192">
        <f t="shared" si="6"/>
        <v>1</v>
      </c>
      <c r="BH13" s="192">
        <f t="shared" si="7"/>
        <v>0.07138457162</v>
      </c>
      <c r="BI13" s="192">
        <f t="shared" ref="BI13:BK13" si="26">($AS13/AU13)-SUM($BG13:BH13)</f>
        <v>0.0603551086</v>
      </c>
      <c r="BJ13" s="192">
        <f t="shared" si="26"/>
        <v>0.05509315763</v>
      </c>
      <c r="BK13" s="192">
        <f t="shared" si="26"/>
        <v>0.121425968</v>
      </c>
    </row>
    <row r="14">
      <c r="A14" s="61" t="s">
        <v>0</v>
      </c>
      <c r="B14" s="61" t="s">
        <v>0</v>
      </c>
      <c r="C14" s="62" t="s">
        <v>0</v>
      </c>
      <c r="D14" s="62" t="s">
        <v>0</v>
      </c>
      <c r="E14" s="63" t="s">
        <v>0</v>
      </c>
      <c r="F14" s="63"/>
      <c r="G14" s="63" t="s">
        <v>0</v>
      </c>
      <c r="H14" s="63"/>
      <c r="I14" s="63"/>
      <c r="J14" s="63" t="s">
        <v>0</v>
      </c>
      <c r="K14" s="63" t="s">
        <v>0</v>
      </c>
      <c r="L14" s="63"/>
      <c r="M14" s="63"/>
      <c r="N14" s="63" t="s">
        <v>0</v>
      </c>
      <c r="O14" s="63" t="s">
        <v>0</v>
      </c>
      <c r="P14" s="63"/>
      <c r="Q14" s="63" t="s">
        <v>0</v>
      </c>
      <c r="R14" s="63" t="s">
        <v>0</v>
      </c>
      <c r="S14" s="63"/>
      <c r="T14" s="63"/>
      <c r="U14" s="63"/>
      <c r="V14" s="63" t="s">
        <v>0</v>
      </c>
      <c r="W14" s="63"/>
      <c r="X14" s="63"/>
      <c r="Y14" s="63"/>
      <c r="Z14" s="63" t="s">
        <v>0</v>
      </c>
      <c r="AA14" s="63" t="s">
        <v>0</v>
      </c>
      <c r="AB14" s="63" t="s">
        <v>0</v>
      </c>
      <c r="AC14" s="63" t="s">
        <v>0</v>
      </c>
      <c r="AD14" s="63" t="s">
        <v>0</v>
      </c>
      <c r="AE14" s="63" t="s">
        <v>0</v>
      </c>
      <c r="AF14" s="63" t="s">
        <v>0</v>
      </c>
      <c r="AG14" s="63" t="s">
        <v>0</v>
      </c>
      <c r="AH14" s="63"/>
      <c r="AI14" s="63"/>
      <c r="AJ14" s="63"/>
      <c r="AK14" s="63"/>
      <c r="AL14" s="63"/>
      <c r="AM14" s="63" t="s">
        <v>0</v>
      </c>
      <c r="AN14" s="63" t="s">
        <v>0</v>
      </c>
      <c r="AO14" s="63" t="s">
        <v>0</v>
      </c>
      <c r="AP14" s="63" t="s">
        <v>0</v>
      </c>
      <c r="AQ14" s="63" t="s">
        <v>0</v>
      </c>
      <c r="AR14" s="63" t="s">
        <v>0</v>
      </c>
      <c r="AS14" s="64" t="s">
        <v>0</v>
      </c>
      <c r="AT14" s="64" t="s">
        <v>0</v>
      </c>
      <c r="AU14" s="63" t="s">
        <v>0</v>
      </c>
      <c r="AV14" s="63" t="s">
        <v>0</v>
      </c>
      <c r="AW14" s="63" t="s">
        <v>0</v>
      </c>
      <c r="AX14" s="63" t="s">
        <v>0</v>
      </c>
      <c r="AY14" s="63" t="s">
        <v>0</v>
      </c>
      <c r="AZ14" s="63" t="s">
        <v>0</v>
      </c>
      <c r="BA14" s="63" t="s">
        <v>0</v>
      </c>
      <c r="BB14" s="63" t="s">
        <v>0</v>
      </c>
      <c r="BC14" s="63" t="s">
        <v>0</v>
      </c>
      <c r="BD14" s="63" t="s">
        <v>0</v>
      </c>
      <c r="BE14" s="63" t="s">
        <v>0</v>
      </c>
      <c r="BF14" s="63"/>
      <c r="BG14" s="63" t="s">
        <v>0</v>
      </c>
      <c r="BH14" s="63" t="s">
        <v>0</v>
      </c>
      <c r="BI14" s="63"/>
      <c r="BJ14" s="63"/>
      <c r="BK14" s="63"/>
    </row>
    <row r="15">
      <c r="A15" s="65" t="s">
        <v>303</v>
      </c>
      <c r="B15" s="3" t="s">
        <v>1</v>
      </c>
      <c r="C15" s="3" t="s">
        <v>304</v>
      </c>
      <c r="D15" s="3" t="s">
        <v>3</v>
      </c>
      <c r="E15" s="3" t="s">
        <v>4</v>
      </c>
      <c r="F15" s="3" t="s">
        <v>1649</v>
      </c>
      <c r="G15" s="3" t="s">
        <v>1650</v>
      </c>
      <c r="H15" s="3" t="s">
        <v>1651</v>
      </c>
      <c r="I15" s="3" t="s">
        <v>1652</v>
      </c>
      <c r="J15" s="3" t="s">
        <v>6</v>
      </c>
      <c r="K15" s="3" t="s">
        <v>7</v>
      </c>
      <c r="L15" s="3" t="s">
        <v>1158</v>
      </c>
      <c r="M15" s="3" t="s">
        <v>1159</v>
      </c>
      <c r="N15" s="3" t="s">
        <v>305</v>
      </c>
      <c r="O15" s="3" t="s">
        <v>1653</v>
      </c>
      <c r="P15" s="3" t="s">
        <v>9</v>
      </c>
      <c r="Q15" s="3" t="s">
        <v>1654</v>
      </c>
      <c r="R15" s="3" t="s">
        <v>1655</v>
      </c>
      <c r="S15" s="3" t="s">
        <v>12</v>
      </c>
      <c r="T15" s="3" t="s">
        <v>1656</v>
      </c>
      <c r="U15" s="3" t="s">
        <v>1657</v>
      </c>
      <c r="V15" s="3" t="s">
        <v>1658</v>
      </c>
      <c r="W15" s="3" t="s">
        <v>1659</v>
      </c>
      <c r="X15" s="3" t="s">
        <v>1876</v>
      </c>
      <c r="Y15" s="3" t="s">
        <v>1877</v>
      </c>
      <c r="Z15" s="3" t="s">
        <v>1161</v>
      </c>
      <c r="AA15" s="3" t="s">
        <v>1162</v>
      </c>
      <c r="AB15" s="5" t="s">
        <v>1662</v>
      </c>
      <c r="AC15" s="5" t="s">
        <v>16</v>
      </c>
      <c r="AD15" s="5" t="s">
        <v>1663</v>
      </c>
      <c r="AE15" s="5" t="s">
        <v>18</v>
      </c>
      <c r="AF15" s="5" t="s">
        <v>1664</v>
      </c>
      <c r="AG15" s="5" t="s">
        <v>20</v>
      </c>
      <c r="AH15" s="5" t="s">
        <v>1665</v>
      </c>
      <c r="AI15" s="5" t="s">
        <v>1666</v>
      </c>
      <c r="AJ15" s="5" t="s">
        <v>1878</v>
      </c>
      <c r="AK15" s="5" t="s">
        <v>1668</v>
      </c>
      <c r="AL15" s="5"/>
      <c r="AM15" s="5" t="s">
        <v>21</v>
      </c>
      <c r="AN15" s="5" t="s">
        <v>0</v>
      </c>
      <c r="AO15" s="5" t="s">
        <v>23</v>
      </c>
      <c r="AP15" s="5" t="s">
        <v>0</v>
      </c>
      <c r="AQ15" s="5" t="s">
        <v>0</v>
      </c>
      <c r="AR15" s="5" t="s">
        <v>0</v>
      </c>
      <c r="AS15" s="141" t="s">
        <v>1879</v>
      </c>
      <c r="AT15" s="141" t="s">
        <v>1880</v>
      </c>
      <c r="AU15" s="141" t="s">
        <v>1173</v>
      </c>
      <c r="AV15" s="141" t="s">
        <v>1670</v>
      </c>
      <c r="AW15" s="141" t="s">
        <v>1881</v>
      </c>
      <c r="AX15" s="7" t="s">
        <v>0</v>
      </c>
      <c r="AY15" s="7" t="s">
        <v>0</v>
      </c>
      <c r="AZ15" s="7" t="s">
        <v>0</v>
      </c>
      <c r="BA15" s="7" t="s">
        <v>0</v>
      </c>
      <c r="BB15" s="7" t="s">
        <v>0</v>
      </c>
      <c r="BC15" s="7" t="s">
        <v>0</v>
      </c>
      <c r="BD15" s="7" t="s">
        <v>0</v>
      </c>
      <c r="BE15" s="7" t="s">
        <v>0</v>
      </c>
      <c r="BF15" s="65"/>
      <c r="BG15" s="7" t="s">
        <v>0</v>
      </c>
      <c r="BH15" s="7" t="s">
        <v>0</v>
      </c>
      <c r="BI15" s="7"/>
      <c r="BJ15" s="7"/>
      <c r="BK15" s="7"/>
    </row>
    <row r="16">
      <c r="A16" s="66" t="s">
        <v>307</v>
      </c>
      <c r="B16" s="196" t="s">
        <v>308</v>
      </c>
      <c r="C16" s="67" t="s">
        <v>309</v>
      </c>
      <c r="D16" s="67" t="s">
        <v>310</v>
      </c>
      <c r="E16" s="198">
        <f t="shared" ref="E16:E23" si="28">J16/O16</f>
        <v>74.84804625</v>
      </c>
      <c r="F16" s="198">
        <f t="shared" ref="F16:F23" si="29">AF16/O16</f>
        <v>453.1420945</v>
      </c>
      <c r="G16" s="198">
        <f>7411.56/1000</f>
        <v>7.41156</v>
      </c>
      <c r="H16" s="198">
        <f>173642.91/1000</f>
        <v>173.64291</v>
      </c>
      <c r="I16" s="198">
        <f t="shared" ref="I16:I23" si="30">G16+H16</f>
        <v>181.05447</v>
      </c>
      <c r="J16" s="198">
        <f t="shared" ref="J16:J23" si="31">AB16+AD16</f>
        <v>631.5218576</v>
      </c>
      <c r="K16" s="198"/>
      <c r="L16" s="198"/>
      <c r="M16" s="198"/>
      <c r="N16" s="198">
        <v>12.355814979</v>
      </c>
      <c r="O16" s="198">
        <v>8.437386</v>
      </c>
      <c r="P16" s="198">
        <f t="shared" ref="P16:P23" si="32">O16/N16*100</f>
        <v>68.28676226</v>
      </c>
      <c r="Q16" s="198"/>
      <c r="R16" s="198"/>
      <c r="S16" s="198" t="s">
        <v>1987</v>
      </c>
      <c r="T16" s="194">
        <f t="shared" ref="T16:T23" si="33">((100*U16)-((100-V16)*U16))/(100-V16)</f>
        <v>19822</v>
      </c>
      <c r="U16" s="198" t="s">
        <v>1988</v>
      </c>
      <c r="V16" s="198">
        <f>100*0.88</f>
        <v>88</v>
      </c>
      <c r="W16" s="198"/>
      <c r="X16" s="198" t="s">
        <v>1989</v>
      </c>
      <c r="Y16" s="198" t="s">
        <v>1990</v>
      </c>
      <c r="Z16" s="198"/>
      <c r="AA16" s="198"/>
      <c r="AB16" s="198" t="s">
        <v>1991</v>
      </c>
      <c r="AC16" s="194">
        <f t="shared" ref="AC16:AC23" si="34">AB16*100/(AB16+AD16+AF16)</f>
        <v>14.17603075</v>
      </c>
      <c r="AD16" s="198" t="s">
        <v>1992</v>
      </c>
      <c r="AE16" s="194">
        <f t="shared" ref="AE16:AE23" si="35">AD16*100/(AB16+AD16+AF16)</f>
        <v>0.0000002896613987</v>
      </c>
      <c r="AF16" s="198" t="s">
        <v>1993</v>
      </c>
      <c r="AG16" s="194">
        <f t="shared" ref="AG16:AG23" si="36">AF16*100/(AB16+AD16+AF16)</f>
        <v>85.82396896</v>
      </c>
      <c r="AH16" s="198" t="s">
        <v>1994</v>
      </c>
      <c r="AI16" s="194">
        <f t="shared" ref="AI16:AI23" si="37">AH16/O16</f>
        <v>1.151014221</v>
      </c>
      <c r="AJ16" s="198">
        <v>1.3</v>
      </c>
      <c r="AK16" s="198" t="s">
        <v>1995</v>
      </c>
      <c r="AL16" s="198" t="s">
        <v>54</v>
      </c>
      <c r="AM16" s="198"/>
      <c r="AN16" s="198"/>
      <c r="AO16" s="198"/>
      <c r="AP16" s="11" t="s">
        <v>0</v>
      </c>
      <c r="AQ16" s="11" t="s">
        <v>0</v>
      </c>
      <c r="AR16" s="70" t="s">
        <v>0</v>
      </c>
      <c r="AS16" s="192" t="s">
        <v>1996</v>
      </c>
      <c r="AT16" s="192" t="s">
        <v>1997</v>
      </c>
      <c r="AU16" s="192" t="s">
        <v>1998</v>
      </c>
      <c r="AV16" s="192" t="s">
        <v>1999</v>
      </c>
      <c r="AW16" s="192">
        <f t="shared" ref="AW16:AW23" si="38">O16</f>
        <v>8.437386</v>
      </c>
      <c r="AX16" s="7" t="s">
        <v>0</v>
      </c>
      <c r="AY16" s="7" t="s">
        <v>0</v>
      </c>
      <c r="AZ16" s="7" t="s">
        <v>0</v>
      </c>
      <c r="BA16" s="7" t="s">
        <v>0</v>
      </c>
      <c r="BB16" s="7" t="s">
        <v>0</v>
      </c>
      <c r="BC16" s="7" t="s">
        <v>0</v>
      </c>
      <c r="BD16" s="7" t="s">
        <v>0</v>
      </c>
      <c r="BE16" s="7" t="s">
        <v>0</v>
      </c>
      <c r="BF16" s="66" t="s">
        <v>307</v>
      </c>
      <c r="BG16" s="192">
        <f t="shared" ref="BG16:BG23" si="39">$AS16/AS16</f>
        <v>1</v>
      </c>
      <c r="BH16" s="192">
        <f t="shared" ref="BH16:BH23" si="40">($AS16/AT16)-SUM($BG16)</f>
        <v>0.09429535792</v>
      </c>
      <c r="BI16" s="192">
        <f t="shared" ref="BI16:BK16" si="27">($AS16/AU16)-SUM($BG16:BH16)</f>
        <v>0.08207284705</v>
      </c>
      <c r="BJ16" s="192">
        <f t="shared" si="27"/>
        <v>0.07720942024</v>
      </c>
      <c r="BK16" s="192">
        <f t="shared" si="27"/>
        <v>0.11805347</v>
      </c>
    </row>
    <row r="17">
      <c r="A17" s="66" t="s">
        <v>335</v>
      </c>
      <c r="B17" s="196" t="s">
        <v>93</v>
      </c>
      <c r="C17" s="67" t="s">
        <v>336</v>
      </c>
      <c r="D17" s="67" t="s">
        <v>337</v>
      </c>
      <c r="E17" s="198">
        <f t="shared" si="28"/>
        <v>131.7982576</v>
      </c>
      <c r="F17" s="198">
        <f t="shared" si="29"/>
        <v>1550.861515</v>
      </c>
      <c r="G17" s="198">
        <f>76.64/1000</f>
        <v>0.07664</v>
      </c>
      <c r="H17" s="198">
        <f>94049.02/1000</f>
        <v>94.04902</v>
      </c>
      <c r="I17" s="198">
        <f t="shared" si="30"/>
        <v>94.12566</v>
      </c>
      <c r="J17" s="198">
        <f t="shared" si="31"/>
        <v>1714.506201</v>
      </c>
      <c r="K17" s="198"/>
      <c r="L17" s="198"/>
      <c r="M17" s="198"/>
      <c r="N17" s="198">
        <v>13.743941275</v>
      </c>
      <c r="O17" s="198">
        <v>13.008565</v>
      </c>
      <c r="P17" s="198">
        <f t="shared" si="32"/>
        <v>94.64945127</v>
      </c>
      <c r="Q17" s="198"/>
      <c r="R17" s="198"/>
      <c r="S17" s="198" t="s">
        <v>1909</v>
      </c>
      <c r="T17" s="194">
        <f t="shared" si="33"/>
        <v>36271</v>
      </c>
      <c r="U17" s="198" t="s">
        <v>2000</v>
      </c>
      <c r="V17" s="198">
        <f>100*0.95</f>
        <v>95</v>
      </c>
      <c r="W17" s="198"/>
      <c r="X17" s="198" t="s">
        <v>204</v>
      </c>
      <c r="Y17" s="198" t="s">
        <v>2001</v>
      </c>
      <c r="Z17" s="198"/>
      <c r="AA17" s="198"/>
      <c r="AB17" s="198" t="s">
        <v>2002</v>
      </c>
      <c r="AC17" s="194">
        <f t="shared" si="34"/>
        <v>0.6148694278</v>
      </c>
      <c r="AD17" s="198" t="s">
        <v>2003</v>
      </c>
      <c r="AE17" s="194">
        <f t="shared" si="35"/>
        <v>7.217864185</v>
      </c>
      <c r="AF17" s="198" t="s">
        <v>2004</v>
      </c>
      <c r="AG17" s="194">
        <f t="shared" si="36"/>
        <v>92.16726639</v>
      </c>
      <c r="AH17" s="198" t="s">
        <v>2005</v>
      </c>
      <c r="AI17" s="194">
        <f t="shared" si="37"/>
        <v>4.414616919</v>
      </c>
      <c r="AJ17" s="198">
        <v>1.3</v>
      </c>
      <c r="AK17" s="198" t="s">
        <v>2006</v>
      </c>
      <c r="AL17" s="198" t="s">
        <v>54</v>
      </c>
      <c r="AM17" s="198"/>
      <c r="AN17" s="198"/>
      <c r="AO17" s="198"/>
      <c r="AP17" s="11" t="s">
        <v>721</v>
      </c>
      <c r="AQ17" s="11" t="s">
        <v>0</v>
      </c>
      <c r="AR17" s="36" t="s">
        <v>0</v>
      </c>
      <c r="AS17" s="192" t="s">
        <v>2007</v>
      </c>
      <c r="AT17" s="192" t="s">
        <v>2008</v>
      </c>
      <c r="AU17" s="192" t="s">
        <v>2009</v>
      </c>
      <c r="AV17" s="192" t="s">
        <v>2010</v>
      </c>
      <c r="AW17" s="192">
        <f t="shared" si="38"/>
        <v>13.008565</v>
      </c>
      <c r="AX17" s="7" t="s">
        <v>0</v>
      </c>
      <c r="AY17" s="7" t="s">
        <v>0</v>
      </c>
      <c r="AZ17" s="7" t="s">
        <v>0</v>
      </c>
      <c r="BA17" s="7" t="s">
        <v>0</v>
      </c>
      <c r="BB17" s="7" t="s">
        <v>0</v>
      </c>
      <c r="BC17" s="7" t="s">
        <v>0</v>
      </c>
      <c r="BD17" s="7" t="s">
        <v>0</v>
      </c>
      <c r="BE17" s="7" t="s">
        <v>0</v>
      </c>
      <c r="BF17" s="66" t="s">
        <v>1477</v>
      </c>
      <c r="BG17" s="192">
        <f t="shared" si="39"/>
        <v>1</v>
      </c>
      <c r="BH17" s="192">
        <f t="shared" si="40"/>
        <v>0.09013390505</v>
      </c>
      <c r="BI17" s="192">
        <f t="shared" ref="BI17:BK17" si="41">($AS17/AU17)-SUM($BG17:BH17)</f>
        <v>0.08906629184</v>
      </c>
      <c r="BJ17" s="192">
        <f t="shared" si="41"/>
        <v>0.07121576321</v>
      </c>
      <c r="BK17" s="192">
        <f t="shared" si="41"/>
        <v>0.1529109249</v>
      </c>
    </row>
    <row r="18">
      <c r="A18" s="66" t="s">
        <v>358</v>
      </c>
      <c r="B18" s="196" t="s">
        <v>31</v>
      </c>
      <c r="C18" s="67" t="s">
        <v>725</v>
      </c>
      <c r="D18" s="67" t="s">
        <v>211</v>
      </c>
      <c r="E18" s="198">
        <f t="shared" si="28"/>
        <v>11.17850223</v>
      </c>
      <c r="F18" s="198">
        <f t="shared" si="29"/>
        <v>24.47567439</v>
      </c>
      <c r="G18" s="198">
        <f>838.13/1000</f>
        <v>0.83813</v>
      </c>
      <c r="H18" s="198">
        <f>75884.8/1000</f>
        <v>75.8848</v>
      </c>
      <c r="I18" s="198">
        <f t="shared" si="30"/>
        <v>76.72293</v>
      </c>
      <c r="J18" s="198">
        <f t="shared" si="31"/>
        <v>422.5691602</v>
      </c>
      <c r="K18" s="198"/>
      <c r="L18" s="198"/>
      <c r="M18" s="198"/>
      <c r="N18" s="198">
        <v>39.314534559</v>
      </c>
      <c r="O18" s="198">
        <v>37.801948</v>
      </c>
      <c r="P18" s="198">
        <f t="shared" si="32"/>
        <v>96.15260215</v>
      </c>
      <c r="Q18" s="198"/>
      <c r="R18" s="198"/>
      <c r="S18" s="198" t="s">
        <v>2011</v>
      </c>
      <c r="T18" s="194">
        <f t="shared" si="33"/>
        <v>44574</v>
      </c>
      <c r="U18" s="198" t="s">
        <v>2012</v>
      </c>
      <c r="V18" s="198">
        <f>100*0.92</f>
        <v>92</v>
      </c>
      <c r="W18" s="198"/>
      <c r="X18" s="198" t="s">
        <v>2013</v>
      </c>
      <c r="Y18" s="198" t="s">
        <v>2014</v>
      </c>
      <c r="Z18" s="198"/>
      <c r="AA18" s="198"/>
      <c r="AB18" s="198" t="s">
        <v>2015</v>
      </c>
      <c r="AC18" s="194">
        <f t="shared" si="34"/>
        <v>31.34771186</v>
      </c>
      <c r="AD18" s="198" t="s">
        <v>2016</v>
      </c>
      <c r="AE18" s="194">
        <f t="shared" si="35"/>
        <v>0.004862490711</v>
      </c>
      <c r="AF18" s="198" t="s">
        <v>2017</v>
      </c>
      <c r="AG18" s="194">
        <f t="shared" si="36"/>
        <v>68.64742565</v>
      </c>
      <c r="AH18" s="198" t="s">
        <v>2018</v>
      </c>
      <c r="AI18" s="194">
        <f t="shared" si="37"/>
        <v>0.230959603</v>
      </c>
      <c r="AJ18" s="198">
        <v>1.3</v>
      </c>
      <c r="AK18" s="198" t="s">
        <v>2019</v>
      </c>
      <c r="AL18" s="198" t="s">
        <v>54</v>
      </c>
      <c r="AM18" s="198"/>
      <c r="AN18" s="198"/>
      <c r="AO18" s="198"/>
      <c r="AP18" s="11" t="s">
        <v>0</v>
      </c>
      <c r="AQ18" s="11" t="s">
        <v>0</v>
      </c>
      <c r="AR18" s="36" t="s">
        <v>0</v>
      </c>
      <c r="AS18" s="192" t="s">
        <v>2020</v>
      </c>
      <c r="AT18" s="192" t="s">
        <v>2021</v>
      </c>
      <c r="AU18" s="192" t="s">
        <v>2022</v>
      </c>
      <c r="AV18" s="192" t="s">
        <v>2023</v>
      </c>
      <c r="AW18" s="192">
        <f t="shared" si="38"/>
        <v>37.801948</v>
      </c>
      <c r="AX18" s="7" t="s">
        <v>0</v>
      </c>
      <c r="AY18" s="7" t="s">
        <v>0</v>
      </c>
      <c r="AZ18" s="7" t="s">
        <v>0</v>
      </c>
      <c r="BA18" s="7" t="s">
        <v>0</v>
      </c>
      <c r="BB18" s="7" t="s">
        <v>0</v>
      </c>
      <c r="BC18" s="7" t="s">
        <v>0</v>
      </c>
      <c r="BD18" s="7" t="s">
        <v>0</v>
      </c>
      <c r="BE18" s="7" t="s">
        <v>0</v>
      </c>
      <c r="BF18" s="66" t="s">
        <v>1501</v>
      </c>
      <c r="BG18" s="192">
        <f t="shared" si="39"/>
        <v>1</v>
      </c>
      <c r="BH18" s="192">
        <f t="shared" si="40"/>
        <v>0.06675122948</v>
      </c>
      <c r="BI18" s="192">
        <f t="shared" ref="BI18:BK18" si="42">($AS18/AU18)-SUM($BG18:BH18)</f>
        <v>0.05584864671</v>
      </c>
      <c r="BJ18" s="192">
        <f t="shared" si="42"/>
        <v>0.05886835794</v>
      </c>
      <c r="BK18" s="192">
        <f t="shared" si="42"/>
        <v>-0.01081269014</v>
      </c>
    </row>
    <row r="19">
      <c r="A19" s="66" t="s">
        <v>382</v>
      </c>
      <c r="B19" s="196" t="s">
        <v>308</v>
      </c>
      <c r="C19" s="67" t="s">
        <v>383</v>
      </c>
      <c r="D19" s="67" t="s">
        <v>33</v>
      </c>
      <c r="E19" s="198">
        <f t="shared" si="28"/>
        <v>55.28455296</v>
      </c>
      <c r="F19" s="198">
        <f t="shared" si="29"/>
        <v>84.43491168</v>
      </c>
      <c r="G19" s="198">
        <f>980.61/1000</f>
        <v>0.98061</v>
      </c>
      <c r="H19" s="198">
        <f>44544.99/1000</f>
        <v>44.54499</v>
      </c>
      <c r="I19" s="198">
        <f t="shared" si="30"/>
        <v>45.5256</v>
      </c>
      <c r="J19" s="198">
        <f t="shared" si="31"/>
        <v>1143.210419</v>
      </c>
      <c r="K19" s="198"/>
      <c r="L19" s="198"/>
      <c r="M19" s="198"/>
      <c r="N19" s="198">
        <v>21.090669662</v>
      </c>
      <c r="O19" s="198">
        <v>20.678659</v>
      </c>
      <c r="P19" s="198">
        <f t="shared" si="32"/>
        <v>98.04647899</v>
      </c>
      <c r="Q19" s="198"/>
      <c r="R19" s="198"/>
      <c r="S19" s="198" t="s">
        <v>2024</v>
      </c>
      <c r="T19" s="194">
        <f t="shared" si="33"/>
        <v>32345.44444</v>
      </c>
      <c r="U19" s="198" t="s">
        <v>2025</v>
      </c>
      <c r="V19" s="198">
        <f>100*0.91</f>
        <v>91</v>
      </c>
      <c r="W19" s="198"/>
      <c r="X19" s="198" t="s">
        <v>2026</v>
      </c>
      <c r="Y19" s="198" t="s">
        <v>1949</v>
      </c>
      <c r="Z19" s="198"/>
      <c r="AA19" s="198"/>
      <c r="AB19" s="198" t="s">
        <v>2027</v>
      </c>
      <c r="AC19" s="194">
        <f t="shared" si="34"/>
        <v>39.52169047</v>
      </c>
      <c r="AD19" s="198" t="s">
        <v>2028</v>
      </c>
      <c r="AE19" s="194">
        <f t="shared" si="35"/>
        <v>0.04656375077</v>
      </c>
      <c r="AF19" s="198" t="s">
        <v>2029</v>
      </c>
      <c r="AG19" s="194">
        <f t="shared" si="36"/>
        <v>60.43174578</v>
      </c>
      <c r="AH19" s="198" t="s">
        <v>2030</v>
      </c>
      <c r="AI19" s="194">
        <f t="shared" si="37"/>
        <v>6.072994355</v>
      </c>
      <c r="AJ19" s="198">
        <v>1.3</v>
      </c>
      <c r="AK19" s="198" t="s">
        <v>2031</v>
      </c>
      <c r="AL19" s="198" t="s">
        <v>54</v>
      </c>
      <c r="AM19" s="198"/>
      <c r="AN19" s="198"/>
      <c r="AO19" s="198"/>
      <c r="AP19" s="11" t="s">
        <v>446</v>
      </c>
      <c r="AQ19" s="11" t="s">
        <v>0</v>
      </c>
      <c r="AR19" s="36" t="s">
        <v>0</v>
      </c>
      <c r="AS19" s="192" t="s">
        <v>2032</v>
      </c>
      <c r="AT19" s="192" t="s">
        <v>2033</v>
      </c>
      <c r="AU19" s="192" t="s">
        <v>2034</v>
      </c>
      <c r="AV19" s="192" t="s">
        <v>2035</v>
      </c>
      <c r="AW19" s="192">
        <f t="shared" si="38"/>
        <v>20.678659</v>
      </c>
      <c r="AX19" s="7" t="s">
        <v>0</v>
      </c>
      <c r="AY19" s="7" t="s">
        <v>0</v>
      </c>
      <c r="AZ19" s="7" t="s">
        <v>0</v>
      </c>
      <c r="BA19" s="7" t="s">
        <v>0</v>
      </c>
      <c r="BB19" s="7" t="s">
        <v>0</v>
      </c>
      <c r="BC19" s="7" t="s">
        <v>0</v>
      </c>
      <c r="BD19" s="7" t="s">
        <v>0</v>
      </c>
      <c r="BE19" s="7" t="s">
        <v>0</v>
      </c>
      <c r="BF19" s="66" t="s">
        <v>1525</v>
      </c>
      <c r="BG19" s="192">
        <f t="shared" si="39"/>
        <v>1</v>
      </c>
      <c r="BH19" s="192">
        <f t="shared" si="40"/>
        <v>0.09452045959</v>
      </c>
      <c r="BI19" s="192">
        <f t="shared" ref="BI19:BK19" si="43">($AS19/AU19)-SUM($BG19:BH19)</f>
        <v>0.0929087584</v>
      </c>
      <c r="BJ19" s="192">
        <f t="shared" si="43"/>
        <v>0.09326997167</v>
      </c>
      <c r="BK19" s="192">
        <f t="shared" si="43"/>
        <v>0.1783600753</v>
      </c>
    </row>
    <row r="20">
      <c r="A20" s="66" t="s">
        <v>457</v>
      </c>
      <c r="B20" s="196" t="s">
        <v>233</v>
      </c>
      <c r="C20" s="67" t="s">
        <v>460</v>
      </c>
      <c r="D20" s="67" t="s">
        <v>33</v>
      </c>
      <c r="E20" s="198">
        <f t="shared" si="28"/>
        <v>0.001022977785</v>
      </c>
      <c r="F20" s="198">
        <f t="shared" si="29"/>
        <v>0.08330669296</v>
      </c>
      <c r="G20" s="198">
        <f>275.02/1000</f>
        <v>0.27502</v>
      </c>
      <c r="H20" s="198">
        <f>2485.8/1000</f>
        <v>2.4858</v>
      </c>
      <c r="I20" s="198">
        <f t="shared" si="30"/>
        <v>2.76082</v>
      </c>
      <c r="J20" s="198">
        <f t="shared" si="31"/>
        <v>0.848738762</v>
      </c>
      <c r="K20" s="198"/>
      <c r="L20" s="198"/>
      <c r="M20" s="198"/>
      <c r="N20" s="198">
        <v>829.850614603</v>
      </c>
      <c r="O20" s="198">
        <v>829.674676</v>
      </c>
      <c r="P20" s="198">
        <f t="shared" si="32"/>
        <v>99.97879876</v>
      </c>
      <c r="Q20" s="198"/>
      <c r="R20" s="198"/>
      <c r="S20" s="198" t="s">
        <v>2036</v>
      </c>
      <c r="T20" s="194">
        <f t="shared" si="33"/>
        <v>29379.31034</v>
      </c>
      <c r="U20" s="198">
        <v>12000.0</v>
      </c>
      <c r="V20" s="198">
        <f>100*0.71</f>
        <v>71</v>
      </c>
      <c r="W20" s="198"/>
      <c r="X20" s="198" t="s">
        <v>1797</v>
      </c>
      <c r="Y20" s="198" t="s">
        <v>2037</v>
      </c>
      <c r="Z20" s="198"/>
      <c r="AA20" s="198"/>
      <c r="AB20" s="198" t="s">
        <v>2038</v>
      </c>
      <c r="AC20" s="194">
        <f t="shared" si="34"/>
        <v>1.180237867</v>
      </c>
      <c r="AD20" s="198" t="s">
        <v>2039</v>
      </c>
      <c r="AE20" s="194">
        <f t="shared" si="35"/>
        <v>0.03283195249</v>
      </c>
      <c r="AF20" s="198" t="s">
        <v>2040</v>
      </c>
      <c r="AG20" s="194">
        <f t="shared" si="36"/>
        <v>98.78693018</v>
      </c>
      <c r="AH20" s="198" t="s">
        <v>2041</v>
      </c>
      <c r="AI20" s="194">
        <f t="shared" si="37"/>
        <v>1.049977438</v>
      </c>
      <c r="AJ20" s="198">
        <v>1.3</v>
      </c>
      <c r="AK20" s="198">
        <v>97.91</v>
      </c>
      <c r="AL20" s="198" t="s">
        <v>54</v>
      </c>
      <c r="AM20" s="198"/>
      <c r="AN20" s="198"/>
      <c r="AO20" s="198"/>
      <c r="AP20" s="11" t="s">
        <v>0</v>
      </c>
      <c r="AQ20" s="11" t="s">
        <v>0</v>
      </c>
      <c r="AR20" s="36" t="s">
        <v>0</v>
      </c>
      <c r="AS20" s="192" t="s">
        <v>2042</v>
      </c>
      <c r="AT20" s="192" t="s">
        <v>2043</v>
      </c>
      <c r="AU20" s="192" t="s">
        <v>2044</v>
      </c>
      <c r="AV20" s="192" t="s">
        <v>2045</v>
      </c>
      <c r="AW20" s="192">
        <f t="shared" si="38"/>
        <v>829.674676</v>
      </c>
      <c r="AX20" s="7" t="s">
        <v>0</v>
      </c>
      <c r="AY20" s="7" t="s">
        <v>0</v>
      </c>
      <c r="AZ20" s="7" t="s">
        <v>0</v>
      </c>
      <c r="BA20" s="7" t="s">
        <v>0</v>
      </c>
      <c r="BB20" s="7" t="s">
        <v>0</v>
      </c>
      <c r="BC20" s="7" t="s">
        <v>0</v>
      </c>
      <c r="BD20" s="7" t="s">
        <v>0</v>
      </c>
      <c r="BE20" s="7" t="s">
        <v>0</v>
      </c>
      <c r="BF20" s="66" t="s">
        <v>1549</v>
      </c>
      <c r="BG20" s="192">
        <f t="shared" si="39"/>
        <v>1</v>
      </c>
      <c r="BH20" s="192">
        <f t="shared" si="40"/>
        <v>0.1003330994</v>
      </c>
      <c r="BI20" s="192">
        <f t="shared" ref="BI20:BK20" si="44">($AS20/AU20)-SUM($BG20:BH20)</f>
        <v>0.09837937054</v>
      </c>
      <c r="BJ20" s="192">
        <f t="shared" si="44"/>
        <v>0.09769593022</v>
      </c>
      <c r="BK20" s="192">
        <f t="shared" si="44"/>
        <v>0.00532560263</v>
      </c>
    </row>
    <row r="21">
      <c r="A21" s="66" t="s">
        <v>503</v>
      </c>
      <c r="B21" s="196" t="s">
        <v>308</v>
      </c>
      <c r="C21" s="67" t="s">
        <v>506</v>
      </c>
      <c r="D21" s="67" t="s">
        <v>211</v>
      </c>
      <c r="E21" s="198">
        <f t="shared" si="28"/>
        <v>279.353745</v>
      </c>
      <c r="F21" s="198">
        <f t="shared" si="29"/>
        <v>1026.242847</v>
      </c>
      <c r="G21" s="198">
        <f>2216.86/1000</f>
        <v>2.21686</v>
      </c>
      <c r="H21" s="198">
        <f>26010.42/1000</f>
        <v>26.01042</v>
      </c>
      <c r="I21" s="198">
        <f t="shared" si="30"/>
        <v>28.22728</v>
      </c>
      <c r="J21" s="198">
        <f t="shared" si="31"/>
        <v>6289.341999</v>
      </c>
      <c r="K21" s="198"/>
      <c r="L21" s="198"/>
      <c r="M21" s="198"/>
      <c r="N21" s="198">
        <v>25.214761417</v>
      </c>
      <c r="O21" s="198">
        <v>22.513899</v>
      </c>
      <c r="P21" s="198">
        <f t="shared" si="32"/>
        <v>89.28856644</v>
      </c>
      <c r="Q21" s="198"/>
      <c r="R21" s="198"/>
      <c r="S21" s="198" t="s">
        <v>2046</v>
      </c>
      <c r="T21" s="194">
        <f t="shared" si="33"/>
        <v>94607.33333</v>
      </c>
      <c r="U21" s="198" t="s">
        <v>2047</v>
      </c>
      <c r="V21" s="198">
        <f>100*0.97</f>
        <v>97</v>
      </c>
      <c r="W21" s="198"/>
      <c r="X21" s="198" t="s">
        <v>2048</v>
      </c>
      <c r="Y21" s="198" t="s">
        <v>2049</v>
      </c>
      <c r="Z21" s="198"/>
      <c r="AA21" s="198"/>
      <c r="AB21" s="198" t="s">
        <v>2050</v>
      </c>
      <c r="AC21" s="194">
        <f t="shared" si="34"/>
        <v>21.38961845</v>
      </c>
      <c r="AD21" s="198" t="s">
        <v>2051</v>
      </c>
      <c r="AE21" s="194">
        <f t="shared" si="35"/>
        <v>0.007017128045</v>
      </c>
      <c r="AF21" s="198" t="s">
        <v>2052</v>
      </c>
      <c r="AG21" s="194">
        <f t="shared" si="36"/>
        <v>78.60336442</v>
      </c>
      <c r="AH21" s="198" t="s">
        <v>2053</v>
      </c>
      <c r="AI21" s="194">
        <f t="shared" si="37"/>
        <v>7.741714424</v>
      </c>
      <c r="AJ21" s="198">
        <v>1.3</v>
      </c>
      <c r="AK21" s="198" t="s">
        <v>2054</v>
      </c>
      <c r="AL21" s="198" t="s">
        <v>54</v>
      </c>
      <c r="AM21" s="198"/>
      <c r="AN21" s="198"/>
      <c r="AO21" s="198"/>
      <c r="AP21" s="11" t="s">
        <v>0</v>
      </c>
      <c r="AQ21" s="11" t="s">
        <v>0</v>
      </c>
      <c r="AR21" s="36" t="s">
        <v>0</v>
      </c>
      <c r="AS21" s="192" t="s">
        <v>2055</v>
      </c>
      <c r="AT21" s="192" t="s">
        <v>2056</v>
      </c>
      <c r="AU21" s="192" t="s">
        <v>2057</v>
      </c>
      <c r="AV21" s="192" t="s">
        <v>2058</v>
      </c>
      <c r="AW21" s="192">
        <f t="shared" si="38"/>
        <v>22.513899</v>
      </c>
      <c r="AX21" s="7" t="s">
        <v>0</v>
      </c>
      <c r="AY21" s="7" t="s">
        <v>0</v>
      </c>
      <c r="AZ21" s="7" t="s">
        <v>0</v>
      </c>
      <c r="BA21" s="7" t="s">
        <v>0</v>
      </c>
      <c r="BB21" s="7" t="s">
        <v>0</v>
      </c>
      <c r="BC21" s="7" t="s">
        <v>0</v>
      </c>
      <c r="BD21" s="7" t="s">
        <v>0</v>
      </c>
      <c r="BE21" s="7" t="s">
        <v>0</v>
      </c>
      <c r="BF21" s="66" t="s">
        <v>1572</v>
      </c>
      <c r="BG21" s="192">
        <f t="shared" si="39"/>
        <v>1</v>
      </c>
      <c r="BH21" s="192">
        <f t="shared" si="40"/>
        <v>0.09659943185</v>
      </c>
      <c r="BI21" s="192">
        <f t="shared" ref="BI21:BK21" si="45">($AS21/AU21)-SUM($BG21:BH21)</f>
        <v>0.09188438081</v>
      </c>
      <c r="BJ21" s="192">
        <f t="shared" si="45"/>
        <v>0.08990611276</v>
      </c>
      <c r="BK21" s="192">
        <f t="shared" si="45"/>
        <v>0.1921868059</v>
      </c>
    </row>
    <row r="22">
      <c r="A22" s="66" t="s">
        <v>562</v>
      </c>
      <c r="B22" s="196" t="s">
        <v>308</v>
      </c>
      <c r="C22" s="21" t="s">
        <v>565</v>
      </c>
      <c r="D22" s="67" t="s">
        <v>211</v>
      </c>
      <c r="E22" s="198">
        <f t="shared" si="28"/>
        <v>85.84771388</v>
      </c>
      <c r="F22" s="198">
        <f t="shared" si="29"/>
        <v>121.3473145</v>
      </c>
      <c r="G22" s="198">
        <f>474.77/1000</f>
        <v>0.47477</v>
      </c>
      <c r="H22" s="198">
        <f>36372.4/1000</f>
        <v>36.3724</v>
      </c>
      <c r="I22" s="198">
        <f t="shared" si="30"/>
        <v>36.84717</v>
      </c>
      <c r="J22" s="198">
        <f t="shared" si="31"/>
        <v>1629.83679</v>
      </c>
      <c r="K22" s="198"/>
      <c r="L22" s="198"/>
      <c r="M22" s="198"/>
      <c r="N22" s="198">
        <v>19.249332975</v>
      </c>
      <c r="O22" s="198">
        <v>18.985209</v>
      </c>
      <c r="P22" s="198">
        <f t="shared" si="32"/>
        <v>98.62787986</v>
      </c>
      <c r="Q22" s="198"/>
      <c r="R22" s="198"/>
      <c r="S22" s="198" t="s">
        <v>2011</v>
      </c>
      <c r="T22" s="194">
        <f t="shared" si="33"/>
        <v>40707.33333</v>
      </c>
      <c r="U22" s="198" t="s">
        <v>2061</v>
      </c>
      <c r="V22" s="198">
        <f>100*0.91</f>
        <v>91</v>
      </c>
      <c r="W22" s="198"/>
      <c r="X22" s="198" t="s">
        <v>2062</v>
      </c>
      <c r="Y22" s="198" t="s">
        <v>2063</v>
      </c>
      <c r="Z22" s="198"/>
      <c r="AA22" s="198"/>
      <c r="AB22" s="198" t="s">
        <v>2064</v>
      </c>
      <c r="AC22" s="194">
        <f t="shared" si="34"/>
        <v>41.41734363</v>
      </c>
      <c r="AD22" s="198" t="s">
        <v>2066</v>
      </c>
      <c r="AE22" s="194">
        <f t="shared" si="35"/>
        <v>0.01594487128</v>
      </c>
      <c r="AF22" s="198" t="s">
        <v>2067</v>
      </c>
      <c r="AG22" s="194">
        <f t="shared" si="36"/>
        <v>58.56671149</v>
      </c>
      <c r="AH22" s="198" t="s">
        <v>2068</v>
      </c>
      <c r="AI22" s="194">
        <f t="shared" si="37"/>
        <v>5.429221371</v>
      </c>
      <c r="AJ22" s="198">
        <v>1.3</v>
      </c>
      <c r="AK22" s="198" t="s">
        <v>2069</v>
      </c>
      <c r="AL22" s="198" t="s">
        <v>54</v>
      </c>
      <c r="AM22" s="198"/>
      <c r="AN22" s="198"/>
      <c r="AO22" s="198"/>
      <c r="AP22" s="11" t="s">
        <v>602</v>
      </c>
      <c r="AQ22" s="11" t="s">
        <v>0</v>
      </c>
      <c r="AR22" s="36" t="s">
        <v>0</v>
      </c>
      <c r="AS22" s="192" t="s">
        <v>2072</v>
      </c>
      <c r="AT22" s="192" t="s">
        <v>2073</v>
      </c>
      <c r="AU22" s="192" t="s">
        <v>2074</v>
      </c>
      <c r="AV22" s="192" t="s">
        <v>2075</v>
      </c>
      <c r="AW22" s="192">
        <f t="shared" si="38"/>
        <v>18.985209</v>
      </c>
      <c r="AX22" s="7" t="s">
        <v>0</v>
      </c>
      <c r="AY22" s="7" t="s">
        <v>0</v>
      </c>
      <c r="AZ22" s="7" t="s">
        <v>0</v>
      </c>
      <c r="BA22" s="7" t="s">
        <v>0</v>
      </c>
      <c r="BB22" s="7" t="s">
        <v>0</v>
      </c>
      <c r="BC22" s="7" t="s">
        <v>0</v>
      </c>
      <c r="BD22" s="7" t="s">
        <v>0</v>
      </c>
      <c r="BE22" s="7" t="s">
        <v>0</v>
      </c>
      <c r="BF22" s="66" t="s">
        <v>1596</v>
      </c>
      <c r="BG22" s="192">
        <f t="shared" si="39"/>
        <v>1</v>
      </c>
      <c r="BH22" s="192">
        <f t="shared" si="40"/>
        <v>0.06537334689</v>
      </c>
      <c r="BI22" s="192">
        <f t="shared" ref="BI22:BK22" si="46">($AS22/AU22)-SUM($BG22:BH22)</f>
        <v>0.08694922806</v>
      </c>
      <c r="BJ22" s="192">
        <f t="shared" si="46"/>
        <v>0.08332576392</v>
      </c>
      <c r="BK22" s="192">
        <f t="shared" si="46"/>
        <v>0.1385361644</v>
      </c>
    </row>
    <row r="23">
      <c r="A23" s="66" t="s">
        <v>614</v>
      </c>
      <c r="B23" s="196" t="s">
        <v>31</v>
      </c>
      <c r="C23" s="67" t="s">
        <v>616</v>
      </c>
      <c r="D23" s="67" t="s">
        <v>211</v>
      </c>
      <c r="E23" s="198">
        <f t="shared" si="28"/>
        <v>31.64319697</v>
      </c>
      <c r="F23" s="198">
        <f t="shared" si="29"/>
        <v>216.6120378</v>
      </c>
      <c r="G23" s="198">
        <f>388.24/1000</f>
        <v>0.38824</v>
      </c>
      <c r="H23" s="198">
        <f>108711.23/1000</f>
        <v>108.71123</v>
      </c>
      <c r="I23" s="198">
        <f t="shared" si="30"/>
        <v>109.09947</v>
      </c>
      <c r="J23" s="198">
        <f t="shared" si="31"/>
        <v>260.8615478</v>
      </c>
      <c r="K23" s="198"/>
      <c r="L23" s="198"/>
      <c r="M23" s="198"/>
      <c r="N23" s="198">
        <v>9.605582717</v>
      </c>
      <c r="O23" s="198">
        <v>8.243843</v>
      </c>
      <c r="P23" s="198">
        <f t="shared" si="32"/>
        <v>85.82345541</v>
      </c>
      <c r="Q23" s="198"/>
      <c r="R23" s="198"/>
      <c r="S23" s="198" t="s">
        <v>1909</v>
      </c>
      <c r="T23" s="194">
        <f t="shared" si="33"/>
        <v>19474.81818</v>
      </c>
      <c r="U23" s="198" t="s">
        <v>2079</v>
      </c>
      <c r="V23" s="198">
        <f>100*0.89</f>
        <v>89</v>
      </c>
      <c r="W23" s="198"/>
      <c r="X23" s="198" t="s">
        <v>2080</v>
      </c>
      <c r="Y23" s="198" t="s">
        <v>2081</v>
      </c>
      <c r="Z23" s="198"/>
      <c r="AA23" s="198"/>
      <c r="AB23" s="198" t="s">
        <v>2082</v>
      </c>
      <c r="AC23" s="194">
        <f t="shared" si="34"/>
        <v>0.1123926961</v>
      </c>
      <c r="AD23" s="198" t="s">
        <v>2083</v>
      </c>
      <c r="AE23" s="194">
        <f t="shared" si="35"/>
        <v>12.63384285</v>
      </c>
      <c r="AF23" s="198" t="s">
        <v>2084</v>
      </c>
      <c r="AG23" s="194">
        <f t="shared" si="36"/>
        <v>87.25376446</v>
      </c>
      <c r="AH23" s="198" t="s">
        <v>2085</v>
      </c>
      <c r="AI23" s="194">
        <f t="shared" si="37"/>
        <v>2.71732045</v>
      </c>
      <c r="AJ23" s="198">
        <v>1.3</v>
      </c>
      <c r="AK23" s="198" t="s">
        <v>2086</v>
      </c>
      <c r="AL23" s="198" t="s">
        <v>54</v>
      </c>
      <c r="AM23" s="198"/>
      <c r="AN23" s="198"/>
      <c r="AO23" s="198"/>
      <c r="AP23" s="11" t="s">
        <v>0</v>
      </c>
      <c r="AQ23" s="11" t="s">
        <v>0</v>
      </c>
      <c r="AR23" s="36" t="s">
        <v>0</v>
      </c>
      <c r="AS23" s="192" t="s">
        <v>2087</v>
      </c>
      <c r="AT23" s="192" t="s">
        <v>2088</v>
      </c>
      <c r="AU23" s="192" t="s">
        <v>2089</v>
      </c>
      <c r="AV23" s="192" t="s">
        <v>2090</v>
      </c>
      <c r="AW23" s="192">
        <f t="shared" si="38"/>
        <v>8.243843</v>
      </c>
      <c r="AX23" s="7" t="s">
        <v>0</v>
      </c>
      <c r="AY23" s="7" t="s">
        <v>0</v>
      </c>
      <c r="AZ23" s="7" t="s">
        <v>0</v>
      </c>
      <c r="BA23" s="7" t="s">
        <v>0</v>
      </c>
      <c r="BB23" s="7" t="s">
        <v>0</v>
      </c>
      <c r="BC23" s="7" t="s">
        <v>0</v>
      </c>
      <c r="BD23" s="7" t="s">
        <v>0</v>
      </c>
      <c r="BE23" s="7" t="s">
        <v>0</v>
      </c>
      <c r="BF23" s="66" t="s">
        <v>1623</v>
      </c>
      <c r="BG23" s="192">
        <f t="shared" si="39"/>
        <v>1</v>
      </c>
      <c r="BH23" s="192">
        <f t="shared" si="40"/>
        <v>0.08162940637</v>
      </c>
      <c r="BI23" s="192">
        <f t="shared" ref="BI23:BK23" si="47">($AS23/AU23)-SUM($BG23:BH23)</f>
        <v>0.07485758251</v>
      </c>
      <c r="BJ23" s="192">
        <f t="shared" si="47"/>
        <v>0.06968222615</v>
      </c>
      <c r="BK23" s="192">
        <f t="shared" si="47"/>
        <v>0.1395827771</v>
      </c>
    </row>
    <row r="24">
      <c r="A24" s="63" t="s">
        <v>0</v>
      </c>
      <c r="B24" s="63" t="s">
        <v>0</v>
      </c>
      <c r="C24" s="63" t="s">
        <v>0</v>
      </c>
      <c r="D24" s="63" t="s">
        <v>0</v>
      </c>
      <c r="E24" s="63" t="s">
        <v>0</v>
      </c>
      <c r="F24" s="63"/>
      <c r="G24" s="63" t="s">
        <v>0</v>
      </c>
      <c r="H24" s="63"/>
      <c r="I24" s="63"/>
      <c r="J24" s="63" t="s">
        <v>0</v>
      </c>
      <c r="K24" s="63" t="s">
        <v>0</v>
      </c>
      <c r="L24" s="63"/>
      <c r="M24" s="63"/>
      <c r="N24" s="63" t="s">
        <v>0</v>
      </c>
      <c r="O24" s="63" t="s">
        <v>0</v>
      </c>
      <c r="P24" s="63"/>
      <c r="Q24" s="63" t="s">
        <v>0</v>
      </c>
      <c r="R24" s="63" t="s">
        <v>0</v>
      </c>
      <c r="S24" s="63"/>
      <c r="T24" s="63"/>
      <c r="U24" s="63"/>
      <c r="V24" s="63" t="s">
        <v>0</v>
      </c>
      <c r="W24" s="63"/>
      <c r="X24" s="63"/>
      <c r="Y24" s="63"/>
      <c r="Z24" s="63" t="s">
        <v>0</v>
      </c>
      <c r="AA24" s="63" t="s">
        <v>0</v>
      </c>
      <c r="AB24" s="63" t="s">
        <v>0</v>
      </c>
      <c r="AC24" s="63" t="s">
        <v>0</v>
      </c>
      <c r="AD24" s="63" t="s">
        <v>0</v>
      </c>
      <c r="AE24" s="63" t="s">
        <v>0</v>
      </c>
      <c r="AF24" s="63" t="s">
        <v>0</v>
      </c>
      <c r="AG24" s="63" t="s">
        <v>0</v>
      </c>
      <c r="AH24" s="63"/>
      <c r="AI24" s="63"/>
      <c r="AJ24" s="63"/>
      <c r="AK24" s="63"/>
      <c r="AL24" s="63"/>
      <c r="AM24" s="63" t="s">
        <v>0</v>
      </c>
      <c r="AN24" s="63" t="s">
        <v>0</v>
      </c>
      <c r="AO24" s="63" t="s">
        <v>0</v>
      </c>
      <c r="AP24" s="63" t="s">
        <v>0</v>
      </c>
      <c r="AQ24" s="63" t="s">
        <v>0</v>
      </c>
      <c r="AR24" s="63" t="s">
        <v>0</v>
      </c>
      <c r="AS24" s="64" t="s">
        <v>0</v>
      </c>
      <c r="AT24" s="64" t="s">
        <v>0</v>
      </c>
      <c r="AU24" s="63" t="s">
        <v>0</v>
      </c>
      <c r="AV24" s="63" t="s">
        <v>0</v>
      </c>
      <c r="AW24" s="63" t="s">
        <v>0</v>
      </c>
      <c r="AX24" s="63" t="s">
        <v>0</v>
      </c>
      <c r="AY24" s="63" t="s">
        <v>0</v>
      </c>
      <c r="AZ24" s="63" t="s">
        <v>0</v>
      </c>
      <c r="BA24" s="63" t="s">
        <v>0</v>
      </c>
      <c r="BB24" s="63" t="s">
        <v>0</v>
      </c>
      <c r="BC24" s="63" t="s">
        <v>0</v>
      </c>
      <c r="BD24" s="63" t="s">
        <v>0</v>
      </c>
      <c r="BE24" s="63" t="s">
        <v>0</v>
      </c>
      <c r="BF24" s="63"/>
      <c r="BG24" s="63" t="s">
        <v>0</v>
      </c>
      <c r="BH24" s="63" t="s">
        <v>0</v>
      </c>
      <c r="BI24" s="63"/>
      <c r="BJ24" s="63"/>
      <c r="BK24" s="63"/>
    </row>
    <row r="25">
      <c r="A25" s="95" t="s">
        <v>681</v>
      </c>
      <c r="B25" s="7" t="s">
        <v>683</v>
      </c>
      <c r="E25" s="198">
        <f t="shared" ref="E25:E28" si="49">J25/O25</f>
        <v>1266.79704</v>
      </c>
      <c r="F25" s="198">
        <f t="shared" ref="F25:F28" si="50">AF25/O25</f>
        <v>139.1101913</v>
      </c>
      <c r="G25" s="198">
        <f>26248.92/1000</f>
        <v>26.24892</v>
      </c>
      <c r="H25" s="198">
        <f>138687.39/1000</f>
        <v>138.68739</v>
      </c>
      <c r="I25" s="198">
        <f t="shared" ref="I25:I28" si="51">G25+H25</f>
        <v>164.93631</v>
      </c>
      <c r="J25" s="198">
        <f t="shared" ref="J25:J28" si="52">AB25+AD25</f>
        <v>184191.7892</v>
      </c>
      <c r="K25" s="198"/>
      <c r="L25" s="198"/>
      <c r="M25" s="198"/>
      <c r="N25" s="198">
        <v>154.137751616</v>
      </c>
      <c r="O25" s="198">
        <v>145.399605</v>
      </c>
      <c r="P25" s="198">
        <f t="shared" ref="P25:P28" si="53">O25/N25*100</f>
        <v>94.33094974</v>
      </c>
      <c r="Q25" s="198"/>
      <c r="R25" s="198"/>
      <c r="S25" s="198" t="s">
        <v>2102</v>
      </c>
      <c r="T25" s="194">
        <f t="shared" ref="T25:T28" si="54">((100*U25)-((100-V25)*U25))/(100-V25)</f>
        <v>2032714.286</v>
      </c>
      <c r="U25" s="198" t="s">
        <v>2107</v>
      </c>
      <c r="V25" s="198">
        <f>100*0.93</f>
        <v>93</v>
      </c>
      <c r="W25" s="198"/>
      <c r="X25" s="198" t="s">
        <v>2108</v>
      </c>
      <c r="Y25" s="198" t="s">
        <v>2109</v>
      </c>
      <c r="Z25" s="198"/>
      <c r="AA25" s="198"/>
      <c r="AB25" s="198" t="s">
        <v>2110</v>
      </c>
      <c r="AC25" s="194">
        <f t="shared" ref="AC25:AC28" si="55">AB25*100/(AB25+AD25+AF25)</f>
        <v>90.10530045</v>
      </c>
      <c r="AD25" s="198" t="s">
        <v>2114</v>
      </c>
      <c r="AE25" s="194">
        <f t="shared" ref="AE25:AE28" si="56">AD25*100/(AB25+AD25+AF25)</f>
        <v>0.000007483858736</v>
      </c>
      <c r="AF25" s="198" t="s">
        <v>2117</v>
      </c>
      <c r="AG25" s="194">
        <f t="shared" ref="AG25:AG28" si="57">AF25*100/(AB25+AD25+AF25)</f>
        <v>9.894692066</v>
      </c>
      <c r="AH25" s="198" t="s">
        <v>2121</v>
      </c>
      <c r="AI25" s="194">
        <f t="shared" ref="AI25:AI28" si="58">AH25/O25</f>
        <v>1.231543989</v>
      </c>
      <c r="AJ25" s="198">
        <v>1.3</v>
      </c>
      <c r="AK25" s="198" t="s">
        <v>2123</v>
      </c>
      <c r="AL25" s="198" t="s">
        <v>54</v>
      </c>
      <c r="AM25" s="198"/>
      <c r="AN25" s="198"/>
      <c r="AO25" s="198"/>
      <c r="AP25" s="11"/>
      <c r="AQ25" s="11"/>
      <c r="AS25" s="192" t="s">
        <v>2124</v>
      </c>
      <c r="AT25" s="192" t="s">
        <v>2125</v>
      </c>
      <c r="AU25" s="192" t="s">
        <v>2126</v>
      </c>
      <c r="AV25" s="192" t="s">
        <v>2127</v>
      </c>
      <c r="AW25" s="192">
        <f t="shared" ref="AW25:AW28" si="59">O25</f>
        <v>145.399605</v>
      </c>
      <c r="BF25" s="95" t="s">
        <v>681</v>
      </c>
      <c r="BG25" s="192">
        <f t="shared" ref="BG25:BG29" si="60">$AS25/AS25</f>
        <v>1</v>
      </c>
      <c r="BH25" s="192">
        <f t="shared" ref="BH25:BH28" si="61">($AS25/AT25)-SUM($BG25)</f>
        <v>0.07183471566</v>
      </c>
      <c r="BI25" s="192">
        <f t="shared" ref="BI25:BK25" si="48">($AS25/AU25)-SUM($BG25:BH25)</f>
        <v>0.04751573364</v>
      </c>
      <c r="BJ25" s="192">
        <f t="shared" si="48"/>
        <v>0.05276459002</v>
      </c>
      <c r="BK25" s="192">
        <f t="shared" si="48"/>
        <v>0.04341712117</v>
      </c>
    </row>
    <row r="26">
      <c r="A26" s="95" t="s">
        <v>684</v>
      </c>
      <c r="B26" s="7" t="s">
        <v>683</v>
      </c>
      <c r="E26" s="198">
        <f t="shared" si="49"/>
        <v>13.73620797</v>
      </c>
      <c r="F26" s="198">
        <f t="shared" si="50"/>
        <v>392.9471686</v>
      </c>
      <c r="G26" s="198">
        <f>67711.48/1000</f>
        <v>67.71148</v>
      </c>
      <c r="H26" s="198">
        <f>176876.25/1000</f>
        <v>176.87625</v>
      </c>
      <c r="I26" s="198">
        <f t="shared" si="51"/>
        <v>244.58773</v>
      </c>
      <c r="J26" s="198">
        <f t="shared" si="52"/>
        <v>612.7988856</v>
      </c>
      <c r="K26" s="198"/>
      <c r="L26" s="198"/>
      <c r="M26" s="198"/>
      <c r="N26" s="198">
        <v>150.495148146</v>
      </c>
      <c r="O26" s="198">
        <v>44.61194</v>
      </c>
      <c r="P26" s="198">
        <f t="shared" si="53"/>
        <v>29.6434407</v>
      </c>
      <c r="Q26" s="198"/>
      <c r="R26" s="198"/>
      <c r="S26" s="198" t="s">
        <v>2134</v>
      </c>
      <c r="T26" s="194">
        <f t="shared" si="54"/>
        <v>69675.66667</v>
      </c>
      <c r="U26" s="198" t="s">
        <v>2135</v>
      </c>
      <c r="V26" s="198">
        <f>100*0.91</f>
        <v>91</v>
      </c>
      <c r="W26" s="198"/>
      <c r="X26" s="198" t="s">
        <v>2139</v>
      </c>
      <c r="Y26" s="198" t="s">
        <v>2140</v>
      </c>
      <c r="Z26" s="198"/>
      <c r="AA26" s="198"/>
      <c r="AB26" s="198" t="s">
        <v>2141</v>
      </c>
      <c r="AC26" s="194">
        <f t="shared" si="55"/>
        <v>3.377617199</v>
      </c>
      <c r="AD26" s="198" t="s">
        <v>2142</v>
      </c>
      <c r="AE26" s="194">
        <f t="shared" si="56"/>
        <v>0.00000007182961541</v>
      </c>
      <c r="AF26" s="198" t="s">
        <v>2143</v>
      </c>
      <c r="AG26" s="194">
        <f t="shared" si="57"/>
        <v>96.62238273</v>
      </c>
      <c r="AH26" s="198" t="s">
        <v>2144</v>
      </c>
      <c r="AI26" s="194">
        <f t="shared" si="58"/>
        <v>1.445769441</v>
      </c>
      <c r="AJ26" s="198">
        <v>1.3</v>
      </c>
      <c r="AK26" s="198" t="s">
        <v>2145</v>
      </c>
      <c r="AL26" s="198" t="s">
        <v>54</v>
      </c>
      <c r="AM26" s="198"/>
      <c r="AN26" s="198"/>
      <c r="AO26" s="198"/>
      <c r="AP26" s="11"/>
      <c r="AQ26" s="11"/>
      <c r="AS26" s="192" t="s">
        <v>2146</v>
      </c>
      <c r="AT26" s="192" t="s">
        <v>2147</v>
      </c>
      <c r="AU26" s="192" t="s">
        <v>2148</v>
      </c>
      <c r="AV26" s="192" t="s">
        <v>2149</v>
      </c>
      <c r="AW26" s="192">
        <f t="shared" si="59"/>
        <v>44.61194</v>
      </c>
      <c r="BF26" s="95" t="s">
        <v>684</v>
      </c>
      <c r="BG26" s="192">
        <f t="shared" si="60"/>
        <v>1</v>
      </c>
      <c r="BH26" s="192">
        <f t="shared" si="61"/>
        <v>0.001351306126</v>
      </c>
      <c r="BI26" s="192">
        <f t="shared" ref="BI26:BK26" si="62">($AS26/AU26)-SUM($BG26:BH26)</f>
        <v>0.00453093301</v>
      </c>
      <c r="BJ26" s="192">
        <f t="shared" si="62"/>
        <v>0.001999071195</v>
      </c>
      <c r="BK26" s="192">
        <f t="shared" si="62"/>
        <v>-0.0172668022</v>
      </c>
    </row>
    <row r="27">
      <c r="A27" s="95" t="s">
        <v>685</v>
      </c>
      <c r="B27" s="7" t="s">
        <v>683</v>
      </c>
      <c r="E27" s="198">
        <f t="shared" si="49"/>
        <v>12.69282309</v>
      </c>
      <c r="F27" s="198">
        <f t="shared" si="50"/>
        <v>0.0003304613304</v>
      </c>
      <c r="G27" s="198">
        <f>54022.6/1000</f>
        <v>54.0226</v>
      </c>
      <c r="H27" s="198">
        <f>324102.19/1000</f>
        <v>324.10219</v>
      </c>
      <c r="I27" s="198">
        <f t="shared" si="51"/>
        <v>378.12479</v>
      </c>
      <c r="J27" s="198">
        <f t="shared" si="52"/>
        <v>16.10613899</v>
      </c>
      <c r="K27" s="198"/>
      <c r="L27" s="198"/>
      <c r="M27" s="198"/>
      <c r="N27" s="198" t="s">
        <v>2156</v>
      </c>
      <c r="O27" s="198" t="s">
        <v>2157</v>
      </c>
      <c r="P27" s="198">
        <f t="shared" si="53"/>
        <v>26.78050859</v>
      </c>
      <c r="Q27" s="198"/>
      <c r="R27" s="198"/>
      <c r="S27" s="198" t="s">
        <v>2158</v>
      </c>
      <c r="T27" s="194">
        <f t="shared" si="54"/>
        <v>2742.818182</v>
      </c>
      <c r="U27" s="194" t="s">
        <v>2159</v>
      </c>
      <c r="V27" s="198">
        <f t="shared" ref="V27:V28" si="64">100*0.89</f>
        <v>89</v>
      </c>
      <c r="W27" s="198"/>
      <c r="X27" s="198" t="s">
        <v>2163</v>
      </c>
      <c r="Y27" s="198" t="s">
        <v>2164</v>
      </c>
      <c r="Z27" s="198"/>
      <c r="AA27" s="198"/>
      <c r="AB27" s="198" t="s">
        <v>2165</v>
      </c>
      <c r="AC27" s="194">
        <f t="shared" si="55"/>
        <v>99.99739497</v>
      </c>
      <c r="AD27" s="198" t="s">
        <v>2166</v>
      </c>
      <c r="AE27" s="194">
        <f t="shared" si="56"/>
        <v>0.000001570788712</v>
      </c>
      <c r="AF27" s="198" t="s">
        <v>2167</v>
      </c>
      <c r="AG27" s="194">
        <f t="shared" si="57"/>
        <v>0.002603461221</v>
      </c>
      <c r="AH27" s="198" t="s">
        <v>2170</v>
      </c>
      <c r="AI27" s="194">
        <f t="shared" si="58"/>
        <v>0.9691675074</v>
      </c>
      <c r="AJ27" s="198">
        <v>1.3</v>
      </c>
      <c r="AK27" s="198" t="s">
        <v>2171</v>
      </c>
      <c r="AL27" s="198" t="s">
        <v>54</v>
      </c>
      <c r="AM27" s="198"/>
      <c r="AN27" s="198"/>
      <c r="AO27" s="198"/>
      <c r="AP27" s="11"/>
      <c r="AQ27" s="11"/>
      <c r="AS27" s="192" t="s">
        <v>2172</v>
      </c>
      <c r="AT27" s="192" t="s">
        <v>2173</v>
      </c>
      <c r="AU27" s="192" t="s">
        <v>2174</v>
      </c>
      <c r="AV27" s="192" t="s">
        <v>2175</v>
      </c>
      <c r="AW27" s="192" t="str">
        <f t="shared" si="59"/>
        <v>1.268917</v>
      </c>
      <c r="BF27" s="95" t="s">
        <v>1863</v>
      </c>
      <c r="BG27" s="192">
        <f t="shared" si="60"/>
        <v>1</v>
      </c>
      <c r="BH27" s="192">
        <f t="shared" si="61"/>
        <v>0.007353834726</v>
      </c>
      <c r="BI27" s="192">
        <f t="shared" ref="BI27:BK27" si="63">($AS27/AU27)-SUM($BG27:BH27)</f>
        <v>0.001800664379</v>
      </c>
      <c r="BJ27" s="192">
        <f t="shared" si="63"/>
        <v>0.009757408351</v>
      </c>
      <c r="BK27" s="192">
        <f t="shared" si="63"/>
        <v>-0.09127125011</v>
      </c>
    </row>
    <row r="28">
      <c r="A28" s="95" t="s">
        <v>686</v>
      </c>
      <c r="B28" s="7" t="s">
        <v>683</v>
      </c>
      <c r="E28" s="198">
        <f t="shared" si="49"/>
        <v>3.674982749</v>
      </c>
      <c r="F28" s="198">
        <f t="shared" si="50"/>
        <v>0.00001366850417</v>
      </c>
      <c r="G28" s="198">
        <f>53934.25/1000</f>
        <v>53.93425</v>
      </c>
      <c r="H28" s="198">
        <f>132283.39/1000</f>
        <v>132.28339</v>
      </c>
      <c r="I28" s="198">
        <f t="shared" si="51"/>
        <v>186.21764</v>
      </c>
      <c r="J28" s="198">
        <f t="shared" si="52"/>
        <v>112.7429032</v>
      </c>
      <c r="K28" s="198"/>
      <c r="L28" s="198"/>
      <c r="M28" s="198"/>
      <c r="N28" s="198" t="s">
        <v>2178</v>
      </c>
      <c r="O28" s="198" t="s">
        <v>2179</v>
      </c>
      <c r="P28" s="198">
        <f t="shared" si="53"/>
        <v>51.52305108</v>
      </c>
      <c r="Q28" s="198"/>
      <c r="R28" s="198"/>
      <c r="S28" s="198" t="s">
        <v>2180</v>
      </c>
      <c r="T28" s="194">
        <f t="shared" si="54"/>
        <v>16497.36364</v>
      </c>
      <c r="U28" s="194" t="s">
        <v>2181</v>
      </c>
      <c r="V28" s="198">
        <f t="shared" si="64"/>
        <v>89</v>
      </c>
      <c r="W28" s="198"/>
      <c r="X28" s="198" t="s">
        <v>2182</v>
      </c>
      <c r="Y28" s="198" t="s">
        <v>2183</v>
      </c>
      <c r="Z28" s="198"/>
      <c r="AA28" s="198"/>
      <c r="AB28" s="198" t="s">
        <v>2184</v>
      </c>
      <c r="AC28" s="194">
        <f t="shared" si="55"/>
        <v>99.99962784</v>
      </c>
      <c r="AD28" s="198" t="s">
        <v>2166</v>
      </c>
      <c r="AE28" s="194">
        <f t="shared" si="56"/>
        <v>0.000000224403534</v>
      </c>
      <c r="AF28" s="198" t="s">
        <v>2185</v>
      </c>
      <c r="AG28" s="194">
        <f t="shared" si="57"/>
        <v>0.0003719324487</v>
      </c>
      <c r="AH28" s="198" t="s">
        <v>2188</v>
      </c>
      <c r="AI28" s="194">
        <f t="shared" si="58"/>
        <v>0.2440450454</v>
      </c>
      <c r="AJ28" s="198">
        <v>1.3</v>
      </c>
      <c r="AK28" s="198" t="s">
        <v>2189</v>
      </c>
      <c r="AL28" s="198" t="s">
        <v>54</v>
      </c>
      <c r="AM28" s="198"/>
      <c r="AN28" s="198"/>
      <c r="AO28" s="198"/>
      <c r="AP28" s="11"/>
      <c r="AQ28" s="11"/>
      <c r="AS28" s="192" t="s">
        <v>2190</v>
      </c>
      <c r="AT28" s="192" t="s">
        <v>2191</v>
      </c>
      <c r="AU28" s="192" t="s">
        <v>2193</v>
      </c>
      <c r="AV28" s="192" t="s">
        <v>2194</v>
      </c>
      <c r="AW28" s="192" t="str">
        <f t="shared" si="59"/>
        <v>30.678485</v>
      </c>
      <c r="BF28" s="95" t="s">
        <v>1874</v>
      </c>
      <c r="BG28" s="192">
        <f t="shared" si="60"/>
        <v>1</v>
      </c>
      <c r="BH28" s="192">
        <f t="shared" si="61"/>
        <v>0.002943102244</v>
      </c>
      <c r="BI28" s="192">
        <f t="shared" ref="BI28:BK28" si="65">($AS28/AU28)-SUM($BG28:BH28)</f>
        <v>0.002598947248</v>
      </c>
      <c r="BJ28" s="192">
        <f t="shared" si="65"/>
        <v>0.001949671003</v>
      </c>
      <c r="BK28" s="192">
        <f t="shared" si="65"/>
        <v>0.04272806709</v>
      </c>
    </row>
    <row r="29">
      <c r="G29" s="7" t="s">
        <v>828</v>
      </c>
      <c r="H29" s="7"/>
      <c r="I29" s="7"/>
      <c r="Q29" s="168"/>
      <c r="R29" s="168"/>
      <c r="S29" s="105" t="s">
        <v>2200</v>
      </c>
      <c r="T29" s="168"/>
      <c r="U29" s="168"/>
      <c r="V29" s="168"/>
      <c r="W29" s="168"/>
      <c r="X29" s="168"/>
      <c r="Y29" s="168"/>
      <c r="AS29" s="192">
        <v>1.0</v>
      </c>
      <c r="AT29" s="192">
        <f t="shared" ref="AT29:AW29" si="66">AS29+0.1
</f>
        <v>1.1</v>
      </c>
      <c r="AU29" s="192">
        <f t="shared" si="66"/>
        <v>1.2</v>
      </c>
      <c r="AV29" s="192">
        <f t="shared" si="66"/>
        <v>1.3</v>
      </c>
      <c r="AW29" s="192">
        <f t="shared" si="66"/>
        <v>1.4</v>
      </c>
      <c r="AX29" s="192"/>
      <c r="AY29" s="192"/>
      <c r="AZ29" s="192"/>
      <c r="BA29" s="192"/>
      <c r="BB29" s="192"/>
      <c r="BC29" s="192"/>
      <c r="BD29" s="192"/>
      <c r="BE29" s="192"/>
      <c r="BF29" s="192" t="s">
        <v>1631</v>
      </c>
      <c r="BG29" s="192">
        <f t="shared" si="60"/>
        <v>1</v>
      </c>
      <c r="BH29" s="192">
        <f>(AT29/$AS29)-SUM($BG29)</f>
        <v>0.1</v>
      </c>
      <c r="BI29" s="192">
        <f t="shared" ref="BI29:BK29" si="67">(AU29/$AS29)-SUM($BG29:BH29)</f>
        <v>0.1</v>
      </c>
      <c r="BJ29" s="192">
        <f t="shared" si="67"/>
        <v>0.1</v>
      </c>
      <c r="BK29" s="192">
        <f t="shared" si="67"/>
        <v>0.1</v>
      </c>
    </row>
    <row r="30">
      <c r="G30" s="7"/>
      <c r="H30" s="7"/>
      <c r="I30" s="7"/>
    </row>
    <row r="31">
      <c r="G31" s="96"/>
      <c r="H31" s="96"/>
      <c r="I31" s="96"/>
      <c r="K31" s="88"/>
      <c r="L31" s="88"/>
      <c r="M31" s="88"/>
      <c r="O31" s="104"/>
      <c r="W31" s="104"/>
      <c r="X31" s="104"/>
      <c r="Y31" s="104"/>
    </row>
    <row r="32">
      <c r="E32" s="7" t="s">
        <v>2201</v>
      </c>
      <c r="G32" s="105"/>
      <c r="H32" s="105"/>
      <c r="I32" s="105"/>
      <c r="O32" s="106"/>
      <c r="W32" s="106"/>
      <c r="X32" s="106"/>
      <c r="Y32" s="106"/>
    </row>
    <row r="33">
      <c r="G33" s="107"/>
      <c r="H33" s="107"/>
      <c r="I33" s="107"/>
    </row>
    <row r="34">
      <c r="G34" s="7" t="s">
        <v>707</v>
      </c>
      <c r="H34" s="7"/>
      <c r="I34" s="7"/>
    </row>
    <row r="35">
      <c r="G35" s="101" t="s">
        <v>710</v>
      </c>
      <c r="H35" s="7"/>
      <c r="I35" s="7"/>
    </row>
  </sheetData>
  <mergeCells count="2">
    <mergeCell ref="O31:V31"/>
    <mergeCell ref="O32:V32"/>
  </mergeCells>
  <hyperlinks>
    <hyperlink r:id="rId1" ref="G35"/>
  </hyperlinks>
  <drawing r:id="rId2"/>
</worksheet>
</file>