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_onliine\Sem_8\Capstone_Project\capstone_project\rasa-calm-demo\"/>
    </mc:Choice>
  </mc:AlternateContent>
  <xr:revisionPtr revIDLastSave="0" documentId="13_ncr:1_{BC0EDEF2-5A1C-417E-A4D9-5BD50B6C4692}" xr6:coauthVersionLast="47" xr6:coauthVersionMax="47" xr10:uidLastSave="{00000000-0000-0000-0000-000000000000}"/>
  <bookViews>
    <workbookView xWindow="2964" yWindow="296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" i="1" l="1"/>
  <c r="G217" i="1"/>
  <c r="H216" i="1"/>
  <c r="G216" i="1"/>
  <c r="F210" i="1"/>
  <c r="F221" i="1" s="1"/>
  <c r="E210" i="1"/>
  <c r="E214" i="1" s="1"/>
  <c r="F202" i="1"/>
  <c r="G199" i="1"/>
  <c r="F199" i="1"/>
  <c r="E199" i="1"/>
  <c r="G198" i="1"/>
  <c r="E198" i="1"/>
  <c r="G196" i="1"/>
  <c r="F196" i="1"/>
  <c r="E196" i="1"/>
  <c r="G195" i="1"/>
  <c r="F195" i="1"/>
  <c r="G192" i="1"/>
  <c r="G202" i="1" s="1"/>
  <c r="F192" i="1"/>
  <c r="G190" i="1"/>
  <c r="F189" i="1"/>
  <c r="E189" i="1"/>
  <c r="G188" i="1"/>
  <c r="F187" i="1"/>
  <c r="E187" i="1"/>
  <c r="H185" i="1"/>
  <c r="G185" i="1"/>
  <c r="H184" i="1"/>
  <c r="H182" i="1"/>
  <c r="G182" i="1"/>
  <c r="E182" i="1"/>
  <c r="H181" i="1"/>
  <c r="G181" i="1"/>
  <c r="H180" i="1"/>
  <c r="H179" i="1"/>
  <c r="G179" i="1"/>
  <c r="H177" i="1"/>
  <c r="G177" i="1"/>
  <c r="E177" i="1"/>
  <c r="H176" i="1"/>
  <c r="G176" i="1"/>
  <c r="H175" i="1"/>
  <c r="E175" i="1"/>
  <c r="H174" i="1"/>
  <c r="F171" i="1"/>
  <c r="F169" i="1"/>
  <c r="E180" i="1" s="1"/>
  <c r="E169" i="1"/>
  <c r="G180" i="1" s="1"/>
  <c r="F168" i="1"/>
  <c r="G174" i="1" s="1"/>
  <c r="E168" i="1"/>
  <c r="E174" i="1" s="1"/>
  <c r="E137" i="1"/>
  <c r="E131" i="1"/>
  <c r="D122" i="1"/>
  <c r="F121" i="1" s="1"/>
  <c r="E121" i="1"/>
  <c r="D119" i="1"/>
  <c r="F118" i="1" s="1"/>
  <c r="D117" i="1"/>
  <c r="D125" i="1" s="1"/>
  <c r="F124" i="1" s="1"/>
  <c r="G126" i="1" s="1"/>
  <c r="F83" i="1" s="1"/>
  <c r="E113" i="1"/>
  <c r="E112" i="1"/>
  <c r="D106" i="1"/>
  <c r="D89" i="1" s="1"/>
  <c r="J30" i="1"/>
  <c r="I30" i="1"/>
  <c r="G28" i="1"/>
  <c r="J22" i="1"/>
  <c r="I22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4" i="1" l="1"/>
  <c r="J84" i="1" s="1"/>
  <c r="D164" i="1"/>
  <c r="D189" i="1" s="1"/>
  <c r="G123" i="1"/>
  <c r="F68" i="1" s="1"/>
  <c r="I68" i="1" s="1"/>
  <c r="E212" i="1"/>
  <c r="E219" i="1" s="1"/>
  <c r="E114" i="1"/>
  <c r="D128" i="1" s="1"/>
  <c r="G128" i="1" s="1"/>
  <c r="D130" i="1" s="1"/>
  <c r="G130" i="1" s="1"/>
  <c r="F65" i="1" s="1"/>
  <c r="E221" i="1"/>
  <c r="I221" i="1" s="1"/>
  <c r="J220" i="1" s="1"/>
  <c r="F31" i="1" s="1"/>
  <c r="I31" i="1" s="1"/>
  <c r="E217" i="1"/>
  <c r="I217" i="1" s="1"/>
  <c r="J83" i="1"/>
  <c r="I83" i="1"/>
  <c r="D163" i="1"/>
  <c r="G120" i="1"/>
  <c r="F69" i="1" s="1"/>
  <c r="E179" i="1"/>
  <c r="E195" i="1"/>
  <c r="F212" i="1"/>
  <c r="G175" i="1"/>
  <c r="F198" i="1"/>
  <c r="E63" i="1"/>
  <c r="F214" i="1"/>
  <c r="E216" i="1" s="1"/>
  <c r="I216" i="1" s="1"/>
  <c r="I210" i="1"/>
  <c r="J209" i="1" s="1"/>
  <c r="F25" i="1" s="1"/>
  <c r="J68" i="1" l="1"/>
  <c r="I84" i="1"/>
  <c r="I164" i="1"/>
  <c r="F131" i="1"/>
  <c r="F32" i="1" s="1"/>
  <c r="J32" i="1" s="1"/>
  <c r="D169" i="1"/>
  <c r="D178" i="1" s="1"/>
  <c r="E166" i="1"/>
  <c r="E171" i="1" s="1"/>
  <c r="J215" i="1"/>
  <c r="F28" i="1" s="1"/>
  <c r="J28" i="1" s="1"/>
  <c r="F76" i="1"/>
  <c r="J76" i="1" s="1"/>
  <c r="J31" i="1"/>
  <c r="E91" i="1"/>
  <c r="F91" i="1" s="1"/>
  <c r="E89" i="1"/>
  <c r="F89" i="1" s="1"/>
  <c r="F71" i="1"/>
  <c r="E87" i="1"/>
  <c r="F87" i="1" s="1"/>
  <c r="E85" i="1"/>
  <c r="F85" i="1" s="1"/>
  <c r="F63" i="1"/>
  <c r="E74" i="1"/>
  <c r="F74" i="1" s="1"/>
  <c r="E88" i="1"/>
  <c r="F88" i="1" s="1"/>
  <c r="E86" i="1"/>
  <c r="F86" i="1" s="1"/>
  <c r="E82" i="1"/>
  <c r="F82" i="1" s="1"/>
  <c r="E80" i="1"/>
  <c r="F80" i="1" s="1"/>
  <c r="E78" i="1"/>
  <c r="F78" i="1" s="1"/>
  <c r="E92" i="1"/>
  <c r="F92" i="1" s="1"/>
  <c r="E90" i="1"/>
  <c r="F90" i="1" s="1"/>
  <c r="E75" i="1"/>
  <c r="F75" i="1" s="1"/>
  <c r="E64" i="1"/>
  <c r="F64" i="1" s="1"/>
  <c r="E81" i="1"/>
  <c r="F81" i="1" s="1"/>
  <c r="E79" i="1"/>
  <c r="F79" i="1" s="1"/>
  <c r="E77" i="1"/>
  <c r="F77" i="1" s="1"/>
  <c r="J25" i="1"/>
  <c r="I25" i="1"/>
  <c r="I214" i="1"/>
  <c r="J213" i="1" s="1"/>
  <c r="F27" i="1" s="1"/>
  <c r="D190" i="1"/>
  <c r="I190" i="1" s="1"/>
  <c r="D198" i="1"/>
  <c r="F219" i="1"/>
  <c r="I219" i="1" s="1"/>
  <c r="J218" i="1" s="1"/>
  <c r="F29" i="1" s="1"/>
  <c r="I212" i="1"/>
  <c r="J211" i="1" s="1"/>
  <c r="F26" i="1" s="1"/>
  <c r="J65" i="1"/>
  <c r="I65" i="1"/>
  <c r="J69" i="1"/>
  <c r="I69" i="1"/>
  <c r="I163" i="1"/>
  <c r="D168" i="1"/>
  <c r="I189" i="1"/>
  <c r="E192" i="1" l="1"/>
  <c r="I192" i="1" s="1"/>
  <c r="J191" i="1" s="1"/>
  <c r="J162" i="1"/>
  <c r="I169" i="1"/>
  <c r="E202" i="1"/>
  <c r="I202" i="1" s="1"/>
  <c r="J201" i="1" s="1"/>
  <c r="I166" i="1"/>
  <c r="J165" i="1" s="1"/>
  <c r="I32" i="1"/>
  <c r="I76" i="1"/>
  <c r="I28" i="1"/>
  <c r="E185" i="1"/>
  <c r="I185" i="1" s="1"/>
  <c r="G184" i="1"/>
  <c r="I184" i="1" s="1"/>
  <c r="I171" i="1"/>
  <c r="J170" i="1" s="1"/>
  <c r="J78" i="1"/>
  <c r="I78" i="1"/>
  <c r="J87" i="1"/>
  <c r="I87" i="1"/>
  <c r="D173" i="1"/>
  <c r="I168" i="1"/>
  <c r="J77" i="1"/>
  <c r="I77" i="1"/>
  <c r="J80" i="1"/>
  <c r="I80" i="1"/>
  <c r="J71" i="1"/>
  <c r="I71" i="1"/>
  <c r="J90" i="1"/>
  <c r="I90" i="1"/>
  <c r="J85" i="1"/>
  <c r="I85" i="1"/>
  <c r="J26" i="1"/>
  <c r="I26" i="1"/>
  <c r="I79" i="1"/>
  <c r="J79" i="1"/>
  <c r="J82" i="1"/>
  <c r="I82" i="1"/>
  <c r="J89" i="1"/>
  <c r="I89" i="1"/>
  <c r="I29" i="1"/>
  <c r="J29" i="1"/>
  <c r="I81" i="1"/>
  <c r="J81" i="1"/>
  <c r="J86" i="1"/>
  <c r="I86" i="1"/>
  <c r="J91" i="1"/>
  <c r="I91" i="1"/>
  <c r="D199" i="1"/>
  <c r="I199" i="1" s="1"/>
  <c r="I198" i="1"/>
  <c r="I64" i="1"/>
  <c r="F72" i="1"/>
  <c r="J64" i="1"/>
  <c r="J88" i="1"/>
  <c r="I88" i="1"/>
  <c r="I27" i="1"/>
  <c r="J27" i="1"/>
  <c r="I63" i="1"/>
  <c r="E67" i="1"/>
  <c r="F67" i="1" s="1"/>
  <c r="F62" i="1"/>
  <c r="E66" i="1"/>
  <c r="F66" i="1" s="1"/>
  <c r="J63" i="1"/>
  <c r="J92" i="1"/>
  <c r="I92" i="1"/>
  <c r="D182" i="1"/>
  <c r="I182" i="1" s="1"/>
  <c r="D180" i="1"/>
  <c r="I180" i="1" s="1"/>
  <c r="D181" i="1"/>
  <c r="I181" i="1" s="1"/>
  <c r="D179" i="1"/>
  <c r="I179" i="1" s="1"/>
  <c r="J75" i="1"/>
  <c r="I75" i="1"/>
  <c r="I74" i="1"/>
  <c r="J74" i="1"/>
  <c r="J167" i="1" l="1"/>
  <c r="F18" i="1" s="1"/>
  <c r="E204" i="1"/>
  <c r="E207" i="1" s="1"/>
  <c r="I207" i="1" s="1"/>
  <c r="F17" i="1"/>
  <c r="J17" i="1" s="1"/>
  <c r="J67" i="1"/>
  <c r="I67" i="1"/>
  <c r="D176" i="1"/>
  <c r="I176" i="1" s="1"/>
  <c r="D177" i="1"/>
  <c r="I177" i="1" s="1"/>
  <c r="D187" i="1"/>
  <c r="D174" i="1"/>
  <c r="I174" i="1" s="1"/>
  <c r="D175" i="1"/>
  <c r="I175" i="1" s="1"/>
  <c r="I70" i="1"/>
  <c r="J72" i="1"/>
  <c r="I72" i="1"/>
  <c r="J66" i="1"/>
  <c r="I66" i="1"/>
  <c r="J183" i="1"/>
  <c r="I17" i="1" l="1"/>
  <c r="I204" i="1"/>
  <c r="J93" i="1"/>
  <c r="I93" i="1"/>
  <c r="J172" i="1"/>
  <c r="F19" i="1" s="1"/>
  <c r="I19" i="1" s="1"/>
  <c r="D195" i="1"/>
  <c r="D188" i="1"/>
  <c r="I188" i="1" s="1"/>
  <c r="I187" i="1"/>
  <c r="I18" i="1"/>
  <c r="J18" i="1"/>
  <c r="I94" i="1" l="1"/>
  <c r="I95" i="1" s="1"/>
  <c r="I96" i="1" s="1"/>
  <c r="J19" i="1"/>
  <c r="J186" i="1"/>
  <c r="F20" i="1" s="1"/>
  <c r="D196" i="1"/>
  <c r="I196" i="1" s="1"/>
  <c r="I195" i="1"/>
  <c r="J193" i="1" l="1"/>
  <c r="E205" i="1" s="1"/>
  <c r="I205" i="1" s="1"/>
  <c r="J203" i="1" s="1"/>
  <c r="D98" i="1"/>
  <c r="I20" i="1"/>
  <c r="J20" i="1"/>
  <c r="F21" i="1" l="1"/>
  <c r="I21" i="1" s="1"/>
  <c r="E208" i="1"/>
  <c r="I208" i="1" s="1"/>
  <c r="J206" i="1" s="1"/>
  <c r="F24" i="1" s="1"/>
  <c r="F23" i="1"/>
  <c r="J21" i="1" l="1"/>
  <c r="I23" i="1"/>
  <c r="J23" i="1"/>
  <c r="J24" i="1"/>
  <c r="I24" i="1"/>
  <c r="J35" i="1" l="1"/>
  <c r="I35" i="1"/>
  <c r="I36" i="1" l="1"/>
  <c r="I37" i="1" s="1"/>
  <c r="I38" i="1" s="1"/>
  <c r="J52" i="1" s="1"/>
  <c r="I98" i="1" l="1"/>
  <c r="I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van Chau</author>
    <author>Win</author>
  </authors>
  <commentList>
    <comment ref="D66" authorId="0" shapeId="0" xr:uid="{00000000-0006-0000-0000-000001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kết cấu nhỏ 3.4</t>
        </r>
      </text>
    </comment>
    <comment ref="D67" authorId="0" shapeId="0" xr:uid="{00000000-0006-0000-0000-000002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kết cấu nhỏ tính 3.4</t>
        </r>
      </text>
    </comment>
    <comment ref="D74" authorId="0" shapeId="0" xr:uid="{00000000-0006-0000-0000-000003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có nóc gió tính 94%
nếu không có nóc gió tính 100% + 2% hao hụt</t>
        </r>
      </text>
    </comment>
    <comment ref="K74" authorId="0" shapeId="0" xr:uid="{00000000-0006-0000-0000-000004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có nóc gió tính 94%
nếu không có nóc gió tính 100%</t>
        </r>
      </text>
    </comment>
    <comment ref="D75" authorId="0" shapeId="0" xr:uid="{00000000-0006-0000-0000-000005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nếu không có nóc gió bỏ mục này</t>
        </r>
      </text>
    </comment>
    <comment ref="K76" authorId="0" shapeId="0" xr:uid="{00000000-0006-0000-0000-000006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đang tính chiều cao xưởng 6m xây tường 3m, tole 3m</t>
        </r>
      </text>
    </comment>
    <comment ref="K84" authorId="0" shapeId="0" xr:uid="{00000000-0006-0000-0000-000007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dài x 2. Nếu có thêm nóc gió thì máng xối sẽ tính như trên = dài x 3.8</t>
        </r>
      </text>
    </comment>
    <comment ref="D117" authorId="1" shapeId="0" xr:uid="{00000000-0006-0000-0000-000008000000}">
      <text>
        <r>
          <rPr>
            <sz val="11"/>
            <color theme="1"/>
            <rFont val="Arial"/>
            <family val="2"/>
            <charset val="163"/>
            <scheme val="minor"/>
          </rPr>
          <t>Win:
= chieu dài *2</t>
        </r>
      </text>
    </comment>
    <comment ref="E118" authorId="1" shapeId="0" xr:uid="{00000000-0006-0000-0000-000009000000}">
      <text>
        <r>
          <rPr>
            <sz val="11"/>
            <color theme="1"/>
            <rFont val="Arial"/>
            <family val="2"/>
            <charset val="163"/>
            <scheme val="minor"/>
          </rPr>
          <t>Win:
nhập nhip cột vào đây</t>
        </r>
      </text>
    </comment>
    <comment ref="G119" authorId="1" shapeId="0" xr:uid="{00000000-0006-0000-0000-00000A000000}">
      <text>
        <r>
          <rPr>
            <sz val="11"/>
            <color theme="1"/>
            <rFont val="Arial"/>
            <family val="2"/>
            <charset val="163"/>
            <scheme val="minor"/>
          </rPr>
          <t>Win:
có cột giưa *6</t>
        </r>
      </text>
    </comment>
    <comment ref="G122" authorId="1" shapeId="0" xr:uid="{00000000-0006-0000-0000-00000B000000}">
      <text>
        <r>
          <rPr>
            <sz val="11"/>
            <color theme="1"/>
            <rFont val="Arial"/>
            <family val="2"/>
            <charset val="163"/>
            <scheme val="minor"/>
          </rPr>
          <t>Win:
có cột giưa *6</t>
        </r>
      </text>
    </comment>
    <comment ref="G125" authorId="0" shapeId="0" xr:uid="{00000000-0006-0000-0000-00000C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nhập chiều cao nhà xưởng</t>
        </r>
      </text>
    </comment>
    <comment ref="E127" authorId="0" shapeId="0" xr:uid="{00000000-0006-0000-0000-00000D000000}">
      <text>
        <r>
          <rPr>
            <sz val="11"/>
            <color theme="1"/>
            <rFont val="Arial"/>
            <family val="2"/>
            <charset val="163"/>
            <scheme val="minor"/>
          </rPr>
          <t>Tran van Chau:
vách + thêm 50cm</t>
        </r>
      </text>
    </comment>
    <comment ref="E129" authorId="1" shapeId="0" xr:uid="{00000000-0006-0000-0000-00000E000000}">
      <text>
        <r>
          <rPr>
            <sz val="11"/>
            <color theme="1"/>
            <rFont val="Arial"/>
            <family val="2"/>
            <charset val="163"/>
            <scheme val="minor"/>
          </rPr>
          <t>Win:
 nhip lớn nhập 1.8
nhịp nhỏ nhập 1.6</t>
        </r>
      </text>
    </comment>
    <comment ref="C135" authorId="1" shapeId="0" xr:uid="{00000000-0006-0000-0000-00000F000000}">
      <text>
        <r>
          <rPr>
            <sz val="11"/>
            <color theme="1"/>
            <rFont val="Arial"/>
            <family val="2"/>
            <charset val="163"/>
            <scheme val="minor"/>
          </rPr>
          <t>Win:
cop 2 mục này bỏ vào</t>
        </r>
      </text>
    </comment>
    <comment ref="D135" authorId="1" shapeId="0" xr:uid="{00000000-0006-0000-0000-000010000000}">
      <text>
        <r>
          <rPr>
            <sz val="11"/>
            <color theme="1"/>
            <rFont val="Arial"/>
            <family val="2"/>
            <charset val="163"/>
            <scheme val="minor"/>
          </rPr>
          <t>Win:
cop 2 mục này bỏ vào</t>
        </r>
      </text>
    </comment>
  </commentList>
</comments>
</file>

<file path=xl/sharedStrings.xml><?xml version="1.0" encoding="utf-8"?>
<sst xmlns="http://schemas.openxmlformats.org/spreadsheetml/2006/main" count="296" uniqueCount="179">
  <si>
    <t>Chủ đầu tư:</t>
  </si>
  <si>
    <t>Công trình:</t>
  </si>
  <si>
    <t>Địa điểm:</t>
  </si>
  <si>
    <t>Stt</t>
  </si>
  <si>
    <t>NỘI DUNG CÔNG VIỆC</t>
  </si>
  <si>
    <t>Trọng lượng và hệ số riêng</t>
  </si>
  <si>
    <t>Diện tích</t>
  </si>
  <si>
    <t>Khối lượng</t>
  </si>
  <si>
    <t xml:space="preserve">Đơn giá </t>
  </si>
  <si>
    <t>Thành Tiền</t>
  </si>
  <si>
    <t>Ghi chú</t>
  </si>
  <si>
    <t>Vật tư</t>
  </si>
  <si>
    <t>nhân công</t>
  </si>
  <si>
    <t xml:space="preserve">vật tư </t>
  </si>
  <si>
    <t>I</t>
  </si>
  <si>
    <t>PHẦN XÂY DỰNG PHẦN MÓNG + ĐÀ KIỀNG</t>
  </si>
  <si>
    <t>Đào đất móng + giằng móng</t>
  </si>
  <si>
    <t>m3</t>
  </si>
  <si>
    <t>Bê tông lót móng + giằng móng</t>
  </si>
  <si>
    <t>GCLD cốt thép móng + giằng móng</t>
  </si>
  <si>
    <t>tấn</t>
  </si>
  <si>
    <t>GCLD tháo dỡ ván khuôn móng &amp; giằng móng</t>
  </si>
  <si>
    <t>m2</t>
  </si>
  <si>
    <t>Bê tông M250 đá 1x2 móng + giằng móng</t>
  </si>
  <si>
    <t>Ca bơm bê tông móng + đà giằng</t>
  </si>
  <si>
    <t>ca</t>
  </si>
  <si>
    <t>Đắp đất hố móng</t>
  </si>
  <si>
    <t>Vận chuyển đất thừa đi đổ</t>
  </si>
  <si>
    <t>San nền bằng đất san lấp lu lằn đầm chặt k =0.9</t>
  </si>
  <si>
    <t xml:space="preserve">San nền lu lèn đầm chặt đá 0x4cm dày 200 mm </t>
  </si>
  <si>
    <t>Nilon lót nền đổ bê tông</t>
  </si>
  <si>
    <t>GCLD cốt thép nền</t>
  </si>
  <si>
    <t>Bê tông nền đá 1x2 M250 dày 100 mm (Bê tông thương phẩm đổ bằng máy bơm)</t>
  </si>
  <si>
    <t>Ca bơm bê tông</t>
  </si>
  <si>
    <t>Xoa nền tạo phẳng bằng máy</t>
  </si>
  <si>
    <t>Xây tường cao 3m</t>
  </si>
  <si>
    <t>II</t>
  </si>
  <si>
    <t>TỔNG CỘNG</t>
  </si>
  <si>
    <t>III</t>
  </si>
  <si>
    <t>TỔNG CỘNG NHÂN CÔNG VÀ VẬT TƯ</t>
  </si>
  <si>
    <t>IV</t>
  </si>
  <si>
    <t xml:space="preserve"> THUẾ VAT 10%</t>
  </si>
  <si>
    <t>V</t>
  </si>
  <si>
    <t>PHẦN KẾT CẤU THÉP,</t>
  </si>
  <si>
    <t xml:space="preserve">Gia công chế tạo kết cấu thép </t>
  </si>
  <si>
    <t>SS400/A36</t>
  </si>
  <si>
    <t>Sản xuất lắp dựng xà gồ mái Z250x62x68x20x1.8 mạ kẽm</t>
  </si>
  <si>
    <t>Sản xuất lắp dựng xà gồ vách Z180x62x68x20x1.8 mạ kẽm</t>
  </si>
  <si>
    <t xml:space="preserve">Phun bi làm sạch kết cấu thép 1.8 SA </t>
  </si>
  <si>
    <t>Sơn kết cấu  01 lớp chống rỉ, 02 lớp dày 90 Microns</t>
  </si>
  <si>
    <t xml:space="preserve"> EXPOXY Á Đông</t>
  </si>
  <si>
    <t>Bulon neo cường độ 5.6 M20 L=600mm</t>
  </si>
  <si>
    <t>bộ</t>
  </si>
  <si>
    <t>Bulon neo cường độ 5.6 M27 L=700mm</t>
  </si>
  <si>
    <t>Bulon liên kết cường độ 8.8 5%</t>
  </si>
  <si>
    <t>%</t>
  </si>
  <si>
    <t>Nhân công Lắp dựng  nhà xưởng</t>
  </si>
  <si>
    <t xml:space="preserve">Vận chuyển </t>
  </si>
  <si>
    <t>HỆ TOLE MÁI VÁCH, HỆ PHỤ</t>
  </si>
  <si>
    <t>Sản xuất, lắp dựng tole mái dày 0.45mm</t>
  </si>
  <si>
    <t>Phương Nam</t>
  </si>
  <si>
    <t>Sản xuất, lắp dựng tole dày nóc gió 0.45mm</t>
  </si>
  <si>
    <t>Sản xuất tole vách dọc, vách hồi dày 0.4mm</t>
  </si>
  <si>
    <t>Sản xuất tole vòm Canopy 0.45mm</t>
  </si>
  <si>
    <t>Sản xuất,  tole úp nóc, diềm đầu hồi, diềm góc, diềm chân tường  0,45zem</t>
  </si>
  <si>
    <t>md</t>
  </si>
  <si>
    <t>Sản xuất, lắp dựng tole lấy sáng mái vách dày 2mm hãng naaco</t>
  </si>
  <si>
    <t>Naaco</t>
  </si>
  <si>
    <t>Cung cấp và lắp dựng lớp cách nhiệt Cát Tường P2</t>
  </si>
  <si>
    <t>Cát Tường</t>
  </si>
  <si>
    <t>Các phụ kiện đi kèm như la kẽm, vít, keo dán.</t>
  </si>
  <si>
    <t>Cầu chắn rác D114</t>
  </si>
  <si>
    <t>cái</t>
  </si>
  <si>
    <t>Lắp đặt ống nhựa đường kính ống d=114mm</t>
  </si>
  <si>
    <t>Bình Minh</t>
  </si>
  <si>
    <t>Sản xuất, lắp dựng máng xối inox, dày 0.5ly+ Đãi đỡ</t>
  </si>
  <si>
    <t>Ty giằng xà gồ D12 mạ kẽm</t>
  </si>
  <si>
    <t>Cáp giắng d14</t>
  </si>
  <si>
    <t>Tăng đơ M16</t>
  </si>
  <si>
    <t>Ốc siết cáp M16</t>
  </si>
  <si>
    <t>Sản xuất cửa đi, sổ trượt bằng thép,tole dày 0,5mm</t>
  </si>
  <si>
    <t>Sản xuất gia công cửa chính (Cửa cuốn Đài Loan) 0.75mm</t>
  </si>
  <si>
    <t>Đài Loan</t>
  </si>
  <si>
    <t>Bộ tích điện</t>
  </si>
  <si>
    <t>Lắp đặt motor kéo cửa cuốn Motor Mitecal</t>
  </si>
  <si>
    <t xml:space="preserve">TỔNG CỘNG </t>
  </si>
  <si>
    <t>NHÂN CÔNG VÀ VẬT TƯ</t>
  </si>
  <si>
    <t>THUẾ VAT 10%</t>
  </si>
  <si>
    <t>Gía thành/m2</t>
  </si>
  <si>
    <t>vnđ</t>
  </si>
  <si>
    <t>Gía trị báo giá không tăng giảm quá 2% trong khi chờ thiết kế</t>
  </si>
  <si>
    <t>Báo giá trên chưa bao gồm phần xây dựng</t>
  </si>
  <si>
    <t>Thiết kế kết cấu theo tiêu chuẩn hiện hành</t>
  </si>
  <si>
    <t>Giá trên đã bao gồm 10% VAT và hoàn thiện xây dựng công trình kết cấu thép</t>
  </si>
  <si>
    <t>Rộng</t>
  </si>
  <si>
    <t>Dài</t>
  </si>
  <si>
    <t>Hệ vách xà gồ</t>
  </si>
  <si>
    <t>dài</t>
  </si>
  <si>
    <t>rộng</t>
  </si>
  <si>
    <t>tong</t>
  </si>
  <si>
    <t>máng xối</t>
  </si>
  <si>
    <t>nhịp  cột</t>
  </si>
  <si>
    <t xml:space="preserve"> mong +số cụm</t>
  </si>
  <si>
    <t>bu long neo</t>
  </si>
  <si>
    <t>khôi lượng</t>
  </si>
  <si>
    <t>toổng cộng</t>
  </si>
  <si>
    <t>bu l neo m24</t>
  </si>
  <si>
    <t>đầu hồi</t>
  </si>
  <si>
    <t>tông cộng</t>
  </si>
  <si>
    <t>ống nước</t>
  </si>
  <si>
    <t>cao</t>
  </si>
  <si>
    <t>tole vách</t>
  </si>
  <si>
    <t>xà gồ vách</t>
  </si>
  <si>
    <t>nếu có trần</t>
  </si>
  <si>
    <t>Xây tường</t>
  </si>
  <si>
    <t>tiêu chuẩn</t>
  </si>
  <si>
    <t>tăng lên 1ky/m2</t>
  </si>
  <si>
    <t>ký/m2</t>
  </si>
  <si>
    <t>có cẩu trục</t>
  </si>
  <si>
    <t>trung lâm</t>
  </si>
  <si>
    <t>hệ số thiết kế nhà xưởng từ 15m đến 25 nhịp cột 6m</t>
  </si>
  <si>
    <t>xà gồ mái</t>
  </si>
  <si>
    <t>hệ số thiết kế nhà xưởng từ 26 m đến 35 nhịp cột 7.4m</t>
  </si>
  <si>
    <t>5575/2012</t>
  </si>
  <si>
    <t>hệ số thiết kế nhà xưởng từ 36 m đến 45 nhịp cột 8 m</t>
  </si>
  <si>
    <t>Cộng Hòa Xã Hội Chủ Nghĩa Việt Nam</t>
  </si>
  <si>
    <t xml:space="preserve">            Độc Lập- Tự Do - Hạnh Phúc       </t>
  </si>
  <si>
    <t xml:space="preserve">                            …. oOo ….                          </t>
  </si>
  <si>
    <t>BẢNG CHIẾT TÍNH KHỐI LƯỢNG</t>
  </si>
  <si>
    <t>STT</t>
  </si>
  <si>
    <t>Diễn giải</t>
  </si>
  <si>
    <t>Đơn vị</t>
  </si>
  <si>
    <t>KÍCH THƯỚC</t>
  </si>
  <si>
    <t>Hệ số</t>
  </si>
  <si>
    <t>Tổng KL</t>
  </si>
  <si>
    <t>SL</t>
  </si>
  <si>
    <t xml:space="preserve">Dài </t>
  </si>
  <si>
    <t>Cao</t>
  </si>
  <si>
    <t>PHẦN XÂY DỰNG BTCT</t>
  </si>
  <si>
    <t>Đào đất móng</t>
  </si>
  <si>
    <t>Chiều sâu chôn móng (từ MĐTN)</t>
  </si>
  <si>
    <t>Móng M1 Móng chính</t>
  </si>
  <si>
    <t>Móng M1a Móng đh</t>
  </si>
  <si>
    <t>Đào đất đà kiềng</t>
  </si>
  <si>
    <t>Đà kiềng</t>
  </si>
  <si>
    <t>Bê tông lót móng đá 4x6 M100</t>
  </si>
  <si>
    <t>Móng M1</t>
  </si>
  <si>
    <t>Móng M1a</t>
  </si>
  <si>
    <t>Bê tông lót đáy đà kiềng</t>
  </si>
  <si>
    <t>Đáy đà kiềng</t>
  </si>
  <si>
    <t>Cốt thép đài móng</t>
  </si>
  <si>
    <t>Thanh số 1</t>
  </si>
  <si>
    <t>Thanh số 2</t>
  </si>
  <si>
    <t>Thanh số 3</t>
  </si>
  <si>
    <t>Thép đai cổ cột</t>
  </si>
  <si>
    <t>Cốt thép đà kiềng</t>
  </si>
  <si>
    <t>Thép chủ D16</t>
  </si>
  <si>
    <t>thép đai d6</t>
  </si>
  <si>
    <t>Ván khuôn móng</t>
  </si>
  <si>
    <t>Cổ cột M1</t>
  </si>
  <si>
    <t>Cổ cột M1a</t>
  </si>
  <si>
    <t>Ván khuônđà kiềng</t>
  </si>
  <si>
    <t xml:space="preserve">Bê tông đài móng đá 1x2 M250 </t>
  </si>
  <si>
    <t>Đế móng</t>
  </si>
  <si>
    <t>Cổ móng</t>
  </si>
  <si>
    <t>Móng M2</t>
  </si>
  <si>
    <t xml:space="preserve">Bê tông đà kiềng đá 1x2 M250 </t>
  </si>
  <si>
    <t>Lấp đất hố móng</t>
  </si>
  <si>
    <t>Thể tích đào</t>
  </si>
  <si>
    <t>Trừ thể tích bê tông chiếm chỗ</t>
  </si>
  <si>
    <t>Vận chuyển đất thừa mang đi đổ</t>
  </si>
  <si>
    <t>Trừ thể tích đất đắp</t>
  </si>
  <si>
    <t>San nền bằng cát san lấp lu lằn đầm chặt k =0.9</t>
  </si>
  <si>
    <t>Diện tích nền</t>
  </si>
  <si>
    <t>Cốt thép nền</t>
  </si>
  <si>
    <t>Thép nền D10@200 (lớp trên)</t>
  </si>
  <si>
    <t>Thép nền D10@200 (lớp dưới)</t>
  </si>
  <si>
    <t xml:space="preserve">Xoa nền tạo phẳng bằng máy </t>
  </si>
  <si>
    <t xml:space="preserve">VẬT LIỆU HAO HỤT THI CÔNG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</si>
</sst>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0_);_(* \(#,##0.000\);_(* &quot;-&quot;??_);_(@_)"/>
    <numFmt numFmtId="165" formatCode="#,##0.000"/>
    <numFmt numFmtId="166" formatCode="_(* #,##0_);_(* \(#,##0\);_(* &quot;-&quot;??_);_(@_)"/>
    <numFmt numFmtId="167" formatCode="0.000"/>
  </numFmts>
  <fonts count="37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i/>
      <u/>
      <sz val="14"/>
      <color indexed="8"/>
      <name val="Times New Roman"/>
      <family val="1"/>
    </font>
    <font>
      <b/>
      <sz val="11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sz val="11"/>
      <name val="Times New Roman"/>
      <family val="1"/>
    </font>
    <font>
      <b/>
      <sz val="12"/>
      <color indexed="8"/>
      <name val="VNI-Times"/>
    </font>
    <font>
      <sz val="11"/>
      <color theme="1"/>
      <name val="Arial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  <charset val="163"/>
    </font>
    <font>
      <b/>
      <sz val="11"/>
      <color theme="1"/>
      <name val="Calibri"/>
      <family val="2"/>
    </font>
    <font>
      <b/>
      <sz val="13"/>
      <name val="Times New Roman"/>
      <family val="1"/>
    </font>
    <font>
      <b/>
      <sz val="18"/>
      <color indexed="36"/>
      <name val="Times New Roman"/>
      <family val="1"/>
    </font>
    <font>
      <b/>
      <sz val="18"/>
      <name val="Times New Roman"/>
      <family val="1"/>
    </font>
    <font>
      <b/>
      <i/>
      <u/>
      <sz val="14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C000"/>
      <name val="Times New Roman"/>
      <family val="1"/>
    </font>
    <font>
      <b/>
      <i/>
      <sz val="12"/>
      <color indexed="8"/>
      <name val="Times New Roman"/>
      <family val="1"/>
    </font>
    <font>
      <sz val="11"/>
      <color indexed="10"/>
      <name val="Times New Roman"/>
      <family val="1"/>
    </font>
    <font>
      <i/>
      <sz val="12"/>
      <color indexed="8"/>
      <name val="Times New Roman"/>
      <family val="1"/>
      <charset val="163"/>
    </font>
    <font>
      <b/>
      <sz val="13"/>
      <color indexed="8"/>
      <name val="VNI-Times"/>
    </font>
    <font>
      <b/>
      <sz val="18"/>
      <color indexed="36"/>
      <name val="Times New Roman"/>
      <family val="1"/>
      <charset val="163"/>
    </font>
    <font>
      <b/>
      <sz val="11"/>
      <color indexed="8"/>
      <name val="VNI-Times"/>
    </font>
    <font>
      <b/>
      <sz val="14"/>
      <color indexed="8"/>
      <name val="Times New Roman"/>
      <family val="1"/>
      <charset val="163"/>
    </font>
    <font>
      <b/>
      <sz val="11"/>
      <color theme="1"/>
      <name val="VNI-Times"/>
    </font>
    <font>
      <sz val="11"/>
      <color theme="1"/>
      <name val="VNI-Times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2"/>
      <color rgb="FFFF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</borders>
  <cellStyleXfs count="5">
    <xf numFmtId="0" fontId="0" fillId="0" borderId="0"/>
    <xf numFmtId="43" fontId="1" fillId="0" borderId="0"/>
    <xf numFmtId="0" fontId="10" fillId="0" borderId="0"/>
    <xf numFmtId="43" fontId="10" fillId="0" borderId="0"/>
    <xf numFmtId="0" fontId="10" fillId="0" borderId="0"/>
  </cellStyleXfs>
  <cellXfs count="26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3" fontId="7" fillId="2" borderId="0" xfId="0" applyNumberFormat="1" applyFont="1" applyFill="1" applyAlignment="1">
      <alignment horizontal="center"/>
    </xf>
    <xf numFmtId="0" fontId="8" fillId="2" borderId="3" xfId="0" applyFont="1" applyFill="1" applyBorder="1"/>
    <xf numFmtId="3" fontId="8" fillId="2" borderId="4" xfId="0" applyNumberFormat="1" applyFont="1" applyFill="1" applyBorder="1" applyAlignment="1">
      <alignment horizontal="right" vertical="center" wrapText="1"/>
    </xf>
    <xf numFmtId="4" fontId="8" fillId="2" borderId="4" xfId="0" applyNumberFormat="1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1" fontId="11" fillId="0" borderId="8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vertical="center"/>
    </xf>
    <xf numFmtId="0" fontId="0" fillId="0" borderId="2" xfId="0" applyBorder="1"/>
    <xf numFmtId="1" fontId="12" fillId="0" borderId="10" xfId="2" applyNumberFormat="1" applyFont="1" applyBorder="1" applyAlignment="1">
      <alignment horizontal="center" vertical="center"/>
    </xf>
    <xf numFmtId="1" fontId="12" fillId="0" borderId="11" xfId="2" applyNumberFormat="1" applyFont="1" applyBorder="1" applyAlignment="1">
      <alignment horizontal="left" vertical="center"/>
    </xf>
    <xf numFmtId="1" fontId="12" fillId="0" borderId="12" xfId="2" applyNumberFormat="1" applyFont="1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/>
    <xf numFmtId="1" fontId="12" fillId="0" borderId="11" xfId="2" applyNumberFormat="1" applyFont="1" applyBorder="1" applyAlignment="1">
      <alignment horizontal="left" vertical="center" wrapText="1"/>
    </xf>
    <xf numFmtId="1" fontId="11" fillId="0" borderId="14" xfId="2" applyNumberFormat="1" applyFont="1" applyBorder="1" applyAlignment="1">
      <alignment horizontal="center" vertical="center"/>
    </xf>
    <xf numFmtId="1" fontId="7" fillId="0" borderId="15" xfId="2" applyNumberFormat="1" applyFont="1" applyBorder="1" applyAlignment="1">
      <alignment horizontal="left" vertical="center"/>
    </xf>
    <xf numFmtId="1" fontId="7" fillId="0" borderId="14" xfId="2" applyNumberFormat="1" applyFont="1" applyBorder="1" applyAlignment="1">
      <alignment horizontal="center" vertical="center"/>
    </xf>
    <xf numFmtId="0" fontId="14" fillId="0" borderId="4" xfId="0" applyFont="1" applyBorder="1"/>
    <xf numFmtId="0" fontId="14" fillId="0" borderId="0" xfId="0" applyFont="1"/>
    <xf numFmtId="0" fontId="0" fillId="0" borderId="17" xfId="0" applyBorder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3" fillId="2" borderId="0" xfId="0" applyFont="1" applyFill="1"/>
    <xf numFmtId="0" fontId="21" fillId="2" borderId="0" xfId="0" applyFont="1" applyFill="1"/>
    <xf numFmtId="3" fontId="20" fillId="2" borderId="0" xfId="0" applyNumberFormat="1" applyFont="1" applyFill="1" applyAlignment="1">
      <alignment horizontal="center"/>
    </xf>
    <xf numFmtId="3" fontId="11" fillId="2" borderId="0" xfId="0" applyNumberFormat="1" applyFont="1" applyFill="1" applyAlignment="1">
      <alignment horizontal="center"/>
    </xf>
    <xf numFmtId="3" fontId="3" fillId="2" borderId="14" xfId="0" applyNumberFormat="1" applyFont="1" applyFill="1" applyBorder="1" applyAlignment="1">
      <alignment vertical="center" wrapText="1"/>
    </xf>
    <xf numFmtId="0" fontId="8" fillId="2" borderId="20" xfId="0" applyFont="1" applyFill="1" applyBorder="1"/>
    <xf numFmtId="3" fontId="8" fillId="2" borderId="14" xfId="0" applyNumberFormat="1" applyFont="1" applyFill="1" applyBorder="1" applyAlignment="1">
      <alignment horizontal="right" vertical="center" wrapText="1"/>
    </xf>
    <xf numFmtId="4" fontId="8" fillId="2" borderId="23" xfId="0" applyNumberFormat="1" applyFont="1" applyFill="1" applyBorder="1" applyAlignment="1">
      <alignment horizontal="center" vertical="center"/>
    </xf>
    <xf numFmtId="1" fontId="8" fillId="2" borderId="24" xfId="0" applyNumberFormat="1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center" vertical="center"/>
    </xf>
    <xf numFmtId="3" fontId="8" fillId="2" borderId="25" xfId="0" applyNumberFormat="1" applyFont="1" applyFill="1" applyBorder="1" applyAlignment="1">
      <alignment horizontal="right" vertical="center" wrapText="1"/>
    </xf>
    <xf numFmtId="3" fontId="3" fillId="2" borderId="25" xfId="0" applyNumberFormat="1" applyFont="1" applyFill="1" applyBorder="1" applyAlignment="1">
      <alignment horizontal="right" vertical="center" wrapText="1"/>
    </xf>
    <xf numFmtId="4" fontId="8" fillId="2" borderId="26" xfId="0" applyNumberFormat="1" applyFont="1" applyFill="1" applyBorder="1" applyAlignment="1">
      <alignment horizontal="right" vertical="center"/>
    </xf>
    <xf numFmtId="4" fontId="8" fillId="2" borderId="26" xfId="0" applyNumberFormat="1" applyFont="1" applyFill="1" applyBorder="1" applyAlignment="1">
      <alignment horizontal="center" vertical="center"/>
    </xf>
    <xf numFmtId="4" fontId="6" fillId="2" borderId="0" xfId="0" applyNumberFormat="1" applyFont="1" applyFill="1"/>
    <xf numFmtId="1" fontId="8" fillId="2" borderId="27" xfId="0" applyNumberFormat="1" applyFont="1" applyFill="1" applyBorder="1" applyAlignment="1">
      <alignment horizontal="center" vertical="center" wrapText="1"/>
    </xf>
    <xf numFmtId="1" fontId="8" fillId="2" borderId="28" xfId="0" applyNumberFormat="1" applyFont="1" applyFill="1" applyBorder="1" applyAlignment="1">
      <alignment horizontal="left" vertical="center" wrapText="1"/>
    </xf>
    <xf numFmtId="1" fontId="8" fillId="2" borderId="29" xfId="0" applyNumberFormat="1" applyFont="1" applyFill="1" applyBorder="1" applyAlignment="1">
      <alignment horizontal="center" vertical="center" wrapText="1"/>
    </xf>
    <xf numFmtId="0" fontId="0" fillId="2" borderId="0" xfId="0" applyFill="1"/>
    <xf numFmtId="3" fontId="8" fillId="2" borderId="12" xfId="0" applyNumberFormat="1" applyFont="1" applyFill="1" applyBorder="1" applyAlignment="1">
      <alignment horizontal="right" vertical="center" wrapText="1"/>
    </xf>
    <xf numFmtId="3" fontId="8" fillId="2" borderId="12" xfId="0" quotePrefix="1" applyNumberFormat="1" applyFont="1" applyFill="1" applyBorder="1" applyAlignment="1">
      <alignment horizontal="right" vertical="center" wrapText="1"/>
    </xf>
    <xf numFmtId="3" fontId="8" fillId="2" borderId="26" xfId="0" applyNumberFormat="1" applyFont="1" applyFill="1" applyBorder="1" applyAlignment="1">
      <alignment horizontal="right" vertical="center"/>
    </xf>
    <xf numFmtId="3" fontId="8" fillId="2" borderId="26" xfId="0" applyNumberFormat="1" applyFont="1" applyFill="1" applyBorder="1" applyAlignment="1">
      <alignment horizontal="center" vertical="center"/>
    </xf>
    <xf numFmtId="0" fontId="8" fillId="2" borderId="0" xfId="0" applyFont="1" applyFill="1"/>
    <xf numFmtId="1" fontId="8" fillId="2" borderId="10" xfId="0" applyNumberFormat="1" applyFont="1" applyFill="1" applyBorder="1" applyAlignment="1">
      <alignment horizontal="center" vertical="center" wrapText="1"/>
    </xf>
    <xf numFmtId="1" fontId="8" fillId="2" borderId="11" xfId="0" applyNumberFormat="1" applyFont="1" applyFill="1" applyBorder="1" applyAlignment="1">
      <alignment horizontal="left" vertical="center" wrapText="1"/>
    </xf>
    <xf numFmtId="1" fontId="8" fillId="2" borderId="12" xfId="0" applyNumberFormat="1" applyFont="1" applyFill="1" applyBorder="1" applyAlignment="1">
      <alignment horizontal="center" vertical="center" wrapText="1"/>
    </xf>
    <xf numFmtId="0" fontId="23" fillId="2" borderId="0" xfId="0" applyFont="1" applyFill="1"/>
    <xf numFmtId="0" fontId="8" fillId="2" borderId="30" xfId="4" applyFont="1" applyFill="1" applyBorder="1" applyAlignment="1">
      <alignment horizontal="left" vertical="center" wrapText="1"/>
    </xf>
    <xf numFmtId="0" fontId="8" fillId="2" borderId="26" xfId="0" applyFont="1" applyFill="1" applyBorder="1"/>
    <xf numFmtId="1" fontId="8" fillId="2" borderId="12" xfId="0" applyNumberFormat="1" applyFont="1" applyFill="1" applyBorder="1" applyAlignment="1">
      <alignment horizontal="left" vertical="center"/>
    </xf>
    <xf numFmtId="4" fontId="8" fillId="2" borderId="33" xfId="0" applyNumberFormat="1" applyFont="1" applyFill="1" applyBorder="1"/>
    <xf numFmtId="0" fontId="8" fillId="2" borderId="35" xfId="0" applyFont="1" applyFill="1" applyBorder="1"/>
    <xf numFmtId="1" fontId="8" fillId="2" borderId="36" xfId="0" applyNumberFormat="1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left" vertical="center" wrapText="1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left" vertical="center" wrapText="1"/>
    </xf>
    <xf numFmtId="0" fontId="8" fillId="2" borderId="30" xfId="4" applyFont="1" applyFill="1" applyBorder="1" applyAlignment="1">
      <alignment vertical="center" wrapText="1"/>
    </xf>
    <xf numFmtId="4" fontId="8" fillId="2" borderId="26" xfId="0" applyNumberFormat="1" applyFont="1" applyFill="1" applyBorder="1" applyAlignment="1">
      <alignment horizontal="center"/>
    </xf>
    <xf numFmtId="4" fontId="8" fillId="2" borderId="26" xfId="0" applyNumberFormat="1" applyFont="1" applyFill="1" applyBorder="1"/>
    <xf numFmtId="0" fontId="8" fillId="2" borderId="30" xfId="4" applyFont="1" applyFill="1" applyBorder="1" applyAlignment="1">
      <alignment vertical="center"/>
    </xf>
    <xf numFmtId="4" fontId="8" fillId="2" borderId="33" xfId="0" applyNumberFormat="1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8" fillId="2" borderId="37" xfId="4" applyFont="1" applyFill="1" applyBorder="1" applyAlignment="1">
      <alignment horizontal="left" vertical="center" wrapText="1"/>
    </xf>
    <xf numFmtId="1" fontId="8" fillId="2" borderId="31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right" vertical="center"/>
    </xf>
    <xf numFmtId="0" fontId="3" fillId="2" borderId="36" xfId="0" applyFont="1" applyFill="1" applyBorder="1" applyAlignment="1">
      <alignment horizontal="center" vertical="center"/>
    </xf>
    <xf numFmtId="1" fontId="3" fillId="2" borderId="38" xfId="0" applyNumberFormat="1" applyFont="1" applyFill="1" applyBorder="1" applyAlignment="1">
      <alignment horizontal="center" vertical="center" wrapText="1"/>
    </xf>
    <xf numFmtId="3" fontId="3" fillId="2" borderId="38" xfId="0" applyNumberFormat="1" applyFont="1" applyFill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2" borderId="14" xfId="0" applyNumberFormat="1" applyFont="1" applyFill="1" applyBorder="1" applyAlignment="1">
      <alignment horizontal="right" vertical="center"/>
    </xf>
    <xf numFmtId="0" fontId="8" fillId="2" borderId="39" xfId="4" applyFont="1" applyFill="1" applyBorder="1" applyAlignment="1">
      <alignment horizontal="left" vertical="center" wrapText="1"/>
    </xf>
    <xf numFmtId="1" fontId="3" fillId="2" borderId="38" xfId="0" applyNumberFormat="1" applyFont="1" applyFill="1" applyBorder="1" applyAlignment="1">
      <alignment horizontal="center" vertical="center"/>
    </xf>
    <xf numFmtId="3" fontId="24" fillId="2" borderId="38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6" fillId="2" borderId="38" xfId="0" applyFont="1" applyFill="1" applyBorder="1"/>
    <xf numFmtId="3" fontId="6" fillId="2" borderId="0" xfId="0" applyNumberFormat="1" applyFont="1" applyFill="1"/>
    <xf numFmtId="0" fontId="6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3" fontId="11" fillId="2" borderId="14" xfId="1" applyNumberFormat="1" applyFont="1" applyFill="1" applyBorder="1"/>
    <xf numFmtId="3" fontId="11" fillId="3" borderId="14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26" fillId="2" borderId="0" xfId="0" applyFont="1" applyFill="1"/>
    <xf numFmtId="0" fontId="1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" fontId="0" fillId="0" borderId="0" xfId="0" applyNumberFormat="1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0" fontId="9" fillId="0" borderId="0" xfId="0" applyFont="1"/>
    <xf numFmtId="0" fontId="27" fillId="0" borderId="0" xfId="0" applyFont="1"/>
    <xf numFmtId="3" fontId="27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1" fontId="30" fillId="0" borderId="0" xfId="0" applyNumberFormat="1" applyFont="1" applyAlignment="1">
      <alignment horizontal="center"/>
    </xf>
    <xf numFmtId="0" fontId="31" fillId="0" borderId="0" xfId="0" applyFont="1"/>
    <xf numFmtId="1" fontId="31" fillId="0" borderId="0" xfId="0" applyNumberFormat="1" applyFont="1" applyAlignment="1">
      <alignment horizontal="center"/>
    </xf>
    <xf numFmtId="0" fontId="32" fillId="4" borderId="24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2" fontId="33" fillId="4" borderId="6" xfId="1" applyNumberFormat="1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29" xfId="0" applyFont="1" applyBorder="1" applyAlignment="1">
      <alignment wrapText="1"/>
    </xf>
    <xf numFmtId="0" fontId="33" fillId="0" borderId="29" xfId="0" applyFont="1" applyBorder="1" applyAlignment="1">
      <alignment horizontal="center" vertical="center"/>
    </xf>
    <xf numFmtId="0" fontId="34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4" fillId="2" borderId="12" xfId="0" applyFont="1" applyFill="1" applyBorder="1" applyAlignment="1">
      <alignment horizontal="left" vertical="top" wrapText="1"/>
    </xf>
    <xf numFmtId="0" fontId="33" fillId="0" borderId="12" xfId="0" applyFont="1" applyBorder="1" applyAlignment="1">
      <alignment horizontal="center" vertical="center"/>
    </xf>
    <xf numFmtId="1" fontId="3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2" fillId="0" borderId="29" xfId="0" applyFont="1" applyBorder="1" applyAlignment="1">
      <alignment horizontal="left" wrapText="1"/>
    </xf>
    <xf numFmtId="2" fontId="33" fillId="0" borderId="29" xfId="1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31" xfId="0" applyFont="1" applyBorder="1" applyAlignment="1">
      <alignment horizontal="left" wrapText="1" indent="1"/>
    </xf>
    <xf numFmtId="0" fontId="33" fillId="0" borderId="31" xfId="0" applyFont="1" applyBorder="1" applyAlignment="1">
      <alignment horizontal="center" vertical="center"/>
    </xf>
    <xf numFmtId="3" fontId="33" fillId="0" borderId="31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2" fontId="33" fillId="0" borderId="31" xfId="1" applyNumberFormat="1" applyFont="1" applyBorder="1" applyAlignment="1">
      <alignment horizontal="center" vertical="center" wrapText="1"/>
    </xf>
    <xf numFmtId="0" fontId="34" fillId="0" borderId="12" xfId="0" applyFont="1" applyBorder="1" applyAlignment="1">
      <alignment horizontal="left" vertical="top" wrapText="1"/>
    </xf>
    <xf numFmtId="2" fontId="33" fillId="0" borderId="12" xfId="1" applyNumberFormat="1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wrapText="1"/>
    </xf>
    <xf numFmtId="0" fontId="33" fillId="0" borderId="6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4" xfId="0" applyFont="1" applyBorder="1" applyAlignment="1">
      <alignment horizontal="left" wrapText="1" indent="1"/>
    </xf>
    <xf numFmtId="0" fontId="22" fillId="0" borderId="12" xfId="0" applyFont="1" applyBorder="1" applyAlignment="1">
      <alignment horizontal="left" vertical="top" wrapText="1"/>
    </xf>
    <xf numFmtId="1" fontId="6" fillId="0" borderId="12" xfId="0" applyNumberFormat="1" applyFont="1" applyBorder="1" applyAlignment="1">
      <alignment horizontal="center" vertical="center"/>
    </xf>
    <xf numFmtId="2" fontId="6" fillId="0" borderId="12" xfId="1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wrapText="1"/>
    </xf>
    <xf numFmtId="2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6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wrapText="1" indent="2"/>
    </xf>
    <xf numFmtId="0" fontId="6" fillId="0" borderId="31" xfId="0" applyFont="1" applyBorder="1" applyAlignment="1">
      <alignment horizontal="left" wrapText="1" indent="2"/>
    </xf>
    <xf numFmtId="1" fontId="33" fillId="0" borderId="31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wrapText="1" indent="1"/>
    </xf>
    <xf numFmtId="0" fontId="0" fillId="0" borderId="12" xfId="0" applyBorder="1"/>
    <xf numFmtId="2" fontId="35" fillId="0" borderId="12" xfId="1" applyNumberFormat="1" applyFont="1" applyBorder="1"/>
    <xf numFmtId="1" fontId="0" fillId="0" borderId="12" xfId="0" applyNumberFormat="1" applyBorder="1"/>
    <xf numFmtId="0" fontId="0" fillId="0" borderId="31" xfId="0" applyBorder="1" applyAlignment="1">
      <alignment vertical="center"/>
    </xf>
    <xf numFmtId="2" fontId="32" fillId="0" borderId="23" xfId="1" applyNumberFormat="1" applyFont="1" applyBorder="1" applyAlignment="1">
      <alignment horizontal="right"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horizontal="center" vertical="center"/>
    </xf>
    <xf numFmtId="3" fontId="33" fillId="0" borderId="12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wrapText="1"/>
    </xf>
    <xf numFmtId="0" fontId="6" fillId="0" borderId="6" xfId="0" applyFont="1" applyBorder="1" applyAlignment="1">
      <alignment horizontal="center" vertical="center"/>
    </xf>
    <xf numFmtId="2" fontId="33" fillId="0" borderId="6" xfId="1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wrapText="1" indent="2"/>
    </xf>
    <xf numFmtId="2" fontId="6" fillId="0" borderId="6" xfId="0" applyNumberFormat="1" applyFont="1" applyBorder="1" applyAlignment="1">
      <alignment horizontal="center" vertical="center"/>
    </xf>
    <xf numFmtId="3" fontId="33" fillId="0" borderId="6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0" fillId="0" borderId="0" xfId="0"/>
    <xf numFmtId="166" fontId="3" fillId="2" borderId="14" xfId="1" applyNumberFormat="1" applyFont="1" applyFill="1" applyBorder="1" applyAlignment="1">
      <alignment horizontal="center" vertical="center" wrapText="1"/>
    </xf>
    <xf numFmtId="166" fontId="13" fillId="0" borderId="13" xfId="3" applyNumberFormat="1" applyFont="1" applyBorder="1" applyAlignment="1">
      <alignment horizontal="right" vertical="center" wrapText="1"/>
    </xf>
    <xf numFmtId="166" fontId="14" fillId="0" borderId="4" xfId="0" applyNumberFormat="1" applyFont="1" applyBorder="1"/>
    <xf numFmtId="43" fontId="19" fillId="2" borderId="0" xfId="0" applyNumberFormat="1" applyFont="1" applyFill="1"/>
    <xf numFmtId="167" fontId="11" fillId="2" borderId="0" xfId="0" applyNumberFormat="1" applyFont="1" applyFill="1"/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7" fontId="7" fillId="2" borderId="0" xfId="0" applyNumberFormat="1" applyFont="1" applyFill="1"/>
    <xf numFmtId="166" fontId="7" fillId="2" borderId="0" xfId="1" applyNumberFormat="1" applyFont="1" applyFill="1" applyAlignment="1">
      <alignment horizontal="center"/>
    </xf>
    <xf numFmtId="166" fontId="7" fillId="2" borderId="0" xfId="1" applyNumberFormat="1" applyFont="1" applyFill="1"/>
    <xf numFmtId="166" fontId="8" fillId="2" borderId="14" xfId="1" applyNumberFormat="1" applyFont="1" applyFill="1" applyBorder="1" applyAlignment="1">
      <alignment horizontal="right" vertical="center" wrapText="1"/>
    </xf>
    <xf numFmtId="166" fontId="8" fillId="2" borderId="25" xfId="1" applyNumberFormat="1" applyFont="1" applyFill="1" applyBorder="1" applyAlignment="1">
      <alignment horizontal="right" vertical="center" wrapText="1"/>
    </xf>
    <xf numFmtId="166" fontId="8" fillId="2" borderId="29" xfId="1" applyNumberFormat="1" applyFont="1" applyFill="1" applyBorder="1" applyAlignment="1">
      <alignment horizontal="right" vertical="center" wrapText="1"/>
    </xf>
    <xf numFmtId="43" fontId="8" fillId="2" borderId="12" xfId="1" applyFont="1" applyFill="1" applyBorder="1" applyAlignment="1">
      <alignment horizontal="right" vertical="center" wrapText="1"/>
    </xf>
    <xf numFmtId="43" fontId="0" fillId="0" borderId="0" xfId="0" applyNumberFormat="1"/>
    <xf numFmtId="167" fontId="8" fillId="2" borderId="12" xfId="1" applyNumberFormat="1" applyFont="1" applyFill="1" applyBorder="1" applyAlignment="1">
      <alignment horizontal="right" vertical="center" wrapText="1"/>
    </xf>
    <xf numFmtId="166" fontId="8" fillId="2" borderId="12" xfId="1" applyNumberFormat="1" applyFont="1" applyFill="1" applyBorder="1" applyAlignment="1">
      <alignment horizontal="right" vertical="center" wrapText="1"/>
    </xf>
    <xf numFmtId="166" fontId="8" fillId="2" borderId="31" xfId="1" applyNumberFormat="1" applyFont="1" applyFill="1" applyBorder="1" applyAlignment="1">
      <alignment horizontal="right" vertical="center" wrapText="1"/>
    </xf>
    <xf numFmtId="166" fontId="8" fillId="2" borderId="32" xfId="1" applyNumberFormat="1" applyFont="1" applyFill="1" applyBorder="1" applyAlignment="1">
      <alignment horizontal="right" vertical="center" wrapText="1"/>
    </xf>
    <xf numFmtId="166" fontId="8" fillId="2" borderId="34" xfId="1" applyNumberFormat="1" applyFont="1" applyFill="1" applyBorder="1" applyAlignment="1">
      <alignment horizontal="right" vertical="center" wrapText="1"/>
    </xf>
    <xf numFmtId="43" fontId="23" fillId="2" borderId="0" xfId="1" applyFont="1" applyFill="1"/>
    <xf numFmtId="43" fontId="23" fillId="2" borderId="0" xfId="0" applyNumberFormat="1" applyFont="1" applyFill="1"/>
    <xf numFmtId="164" fontId="8" fillId="2" borderId="12" xfId="1" applyNumberFormat="1" applyFont="1" applyFill="1" applyBorder="1" applyAlignment="1">
      <alignment horizontal="right" vertical="center" wrapText="1"/>
    </xf>
    <xf numFmtId="166" fontId="3" fillId="2" borderId="38" xfId="1" applyNumberFormat="1" applyFont="1" applyFill="1" applyBorder="1" applyAlignment="1">
      <alignment vertical="center"/>
    </xf>
    <xf numFmtId="166" fontId="23" fillId="2" borderId="0" xfId="0" applyNumberFormat="1" applyFont="1" applyFill="1"/>
    <xf numFmtId="43" fontId="22" fillId="2" borderId="0" xfId="0" applyNumberFormat="1" applyFont="1" applyFill="1"/>
    <xf numFmtId="166" fontId="25" fillId="2" borderId="0" xfId="0" applyNumberFormat="1" applyFont="1" applyFill="1" applyAlignment="1">
      <alignment horizontal="center" vertical="center"/>
    </xf>
    <xf numFmtId="43" fontId="6" fillId="2" borderId="0" xfId="0" applyNumberFormat="1" applyFont="1" applyFill="1"/>
    <xf numFmtId="166" fontId="6" fillId="2" borderId="0" xfId="1" applyNumberFormat="1" applyFont="1" applyFill="1"/>
    <xf numFmtId="43" fontId="0" fillId="3" borderId="0" xfId="1" applyFont="1" applyFill="1"/>
    <xf numFmtId="167" fontId="30" fillId="0" borderId="0" xfId="0" applyNumberFormat="1" applyFont="1" applyAlignment="1">
      <alignment horizontal="center"/>
    </xf>
    <xf numFmtId="167" fontId="30" fillId="0" borderId="0" xfId="0" applyNumberFormat="1" applyFont="1"/>
    <xf numFmtId="167" fontId="31" fillId="0" borderId="0" xfId="0" applyNumberFormat="1" applyFont="1" applyAlignment="1">
      <alignment horizontal="center"/>
    </xf>
    <xf numFmtId="167" fontId="31" fillId="0" borderId="0" xfId="0" applyNumberFormat="1" applyFont="1"/>
    <xf numFmtId="167" fontId="4" fillId="0" borderId="22" xfId="0" applyNumberFormat="1" applyFont="1" applyBorder="1" applyAlignment="1">
      <alignment horizontal="center" vertical="center" wrapText="1"/>
    </xf>
    <xf numFmtId="43" fontId="33" fillId="4" borderId="42" xfId="1" applyFont="1" applyFill="1" applyBorder="1" applyAlignment="1">
      <alignment horizontal="center" vertical="center" wrapText="1"/>
    </xf>
    <xf numFmtId="43" fontId="32" fillId="0" borderId="23" xfId="1" applyFont="1" applyBorder="1" applyAlignment="1">
      <alignment horizontal="center" vertical="center" wrapText="1"/>
    </xf>
    <xf numFmtId="43" fontId="32" fillId="0" borderId="26" xfId="1" applyFont="1" applyBorder="1" applyAlignment="1">
      <alignment horizontal="center" vertical="center" wrapText="1"/>
    </xf>
    <xf numFmtId="43" fontId="32" fillId="0" borderId="33" xfId="1" applyFont="1" applyBorder="1" applyAlignment="1">
      <alignment horizontal="center" vertical="center" wrapText="1"/>
    </xf>
    <xf numFmtId="43" fontId="32" fillId="0" borderId="42" xfId="1" applyFont="1" applyBorder="1" applyAlignment="1">
      <alignment horizontal="center" vertical="center" wrapText="1"/>
    </xf>
    <xf numFmtId="43" fontId="22" fillId="0" borderId="26" xfId="1" applyFont="1" applyBorder="1" applyAlignment="1">
      <alignment horizontal="center" vertical="center" wrapText="1"/>
    </xf>
    <xf numFmtId="43" fontId="33" fillId="0" borderId="12" xfId="0" applyNumberFormat="1" applyFont="1" applyBorder="1" applyAlignment="1">
      <alignment horizontal="center" vertical="center"/>
    </xf>
    <xf numFmtId="43" fontId="33" fillId="0" borderId="31" xfId="0" applyNumberFormat="1" applyFont="1" applyBorder="1" applyAlignment="1">
      <alignment horizontal="center" vertical="center"/>
    </xf>
    <xf numFmtId="43" fontId="33" fillId="0" borderId="6" xfId="0" applyNumberFormat="1" applyFont="1" applyBorder="1" applyAlignment="1">
      <alignment horizontal="center" vertical="center"/>
    </xf>
    <xf numFmtId="165" fontId="36" fillId="0" borderId="14" xfId="0" applyNumberFormat="1" applyFont="1" applyBorder="1"/>
    <xf numFmtId="43" fontId="33" fillId="0" borderId="42" xfId="1" applyFont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0" fillId="0" borderId="0" xfId="0"/>
    <xf numFmtId="167" fontId="4" fillId="0" borderId="9" xfId="0" applyNumberFormat="1" applyFont="1" applyBorder="1" applyAlignment="1">
      <alignment horizontal="center" vertical="center" wrapText="1"/>
    </xf>
    <xf numFmtId="0" fontId="0" fillId="0" borderId="6" xfId="0" applyBorder="1"/>
    <xf numFmtId="1" fontId="3" fillId="2" borderId="9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0" fillId="0" borderId="51" xfId="0" applyBorder="1"/>
    <xf numFmtId="0" fontId="4" fillId="0" borderId="46" xfId="0" applyFont="1" applyBorder="1" applyAlignment="1">
      <alignment horizontal="center" vertical="center" wrapText="1"/>
    </xf>
    <xf numFmtId="0" fontId="0" fillId="0" borderId="41" xfId="0" applyBorder="1"/>
    <xf numFmtId="3" fontId="3" fillId="2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6" xfId="0" applyBorder="1"/>
    <xf numFmtId="0" fontId="0" fillId="0" borderId="5" xfId="0" applyBorder="1"/>
    <xf numFmtId="3" fontId="3" fillId="2" borderId="14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43" fontId="14" fillId="0" borderId="4" xfId="0" applyNumberFormat="1" applyFont="1" applyBorder="1" applyAlignment="1">
      <alignment horizontal="center"/>
    </xf>
    <xf numFmtId="167" fontId="4" fillId="0" borderId="20" xfId="0" applyNumberFormat="1" applyFont="1" applyBorder="1" applyAlignment="1">
      <alignment horizontal="center" vertical="center" wrapText="1"/>
    </xf>
    <xf numFmtId="0" fontId="0" fillId="0" borderId="42" xfId="0" applyBorder="1"/>
    <xf numFmtId="3" fontId="3" fillId="2" borderId="14" xfId="0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4" fillId="0" borderId="9" xfId="0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47" xfId="0" applyBorder="1"/>
    <xf numFmtId="0" fontId="0" fillId="0" borderId="48" xfId="0" applyBorder="1"/>
    <xf numFmtId="3" fontId="3" fillId="2" borderId="49" xfId="0" applyNumberFormat="1" applyFont="1" applyFill="1" applyBorder="1" applyAlignment="1">
      <alignment horizontal="center" vertical="center" wrapText="1"/>
    </xf>
    <xf numFmtId="0" fontId="0" fillId="0" borderId="50" xfId="0" applyBorder="1"/>
    <xf numFmtId="3" fontId="27" fillId="0" borderId="0" xfId="0" applyNumberFormat="1" applyFont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0" fillId="0" borderId="24" xfId="0" applyBorder="1"/>
    <xf numFmtId="166" fontId="14" fillId="0" borderId="4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52" xfId="0" applyBorder="1"/>
    <xf numFmtId="1" fontId="3" fillId="2" borderId="2" xfId="0" applyNumberFormat="1" applyFont="1" applyFill="1" applyBorder="1" applyAlignment="1">
      <alignment horizontal="center" vertical="center"/>
    </xf>
    <xf numFmtId="166" fontId="3" fillId="2" borderId="14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3" xfId="3" xr:uid="{00000000-0005-0000-0000-000003000000}"/>
    <cellStyle name="Normal" xfId="0" builtinId="0"/>
    <cellStyle name="Normal 3" xfId="4" xr:uid="{00000000-0005-0000-0000-000004000000}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222"/>
  <sheetViews>
    <sheetView tabSelected="1" topLeftCell="B89" zoomScale="79" workbookViewId="0">
      <selection activeCell="I96" sqref="I96:J96"/>
    </sheetView>
  </sheetViews>
  <sheetFormatPr defaultRowHeight="13.8"/>
  <cols>
    <col min="1" max="1" width="4.19921875" style="182" customWidth="1"/>
    <col min="2" max="2" width="53.59765625" style="182" customWidth="1"/>
    <col min="3" max="3" width="12" style="182" customWidth="1"/>
    <col min="4" max="4" width="16" style="182" customWidth="1"/>
    <col min="5" max="5" width="9.8984375" style="182" customWidth="1"/>
    <col min="6" max="6" width="13" style="182" customWidth="1"/>
    <col min="7" max="7" width="14.296875" style="182" customWidth="1"/>
    <col min="8" max="8" width="12.59765625" style="182" customWidth="1"/>
    <col min="9" max="9" width="18.796875" style="182" customWidth="1"/>
    <col min="10" max="10" width="20.19921875" style="182" customWidth="1"/>
    <col min="11" max="11" width="15.8984375" style="182" customWidth="1"/>
    <col min="12" max="12" width="15.3984375" style="182" customWidth="1"/>
    <col min="13" max="13" width="17.69921875" style="182" customWidth="1"/>
    <col min="14" max="14" width="23.8984375" style="182" customWidth="1"/>
  </cols>
  <sheetData>
    <row r="8" spans="1:11" ht="18" customHeight="1">
      <c r="B8" s="1" t="s">
        <v>0</v>
      </c>
    </row>
    <row r="9" spans="1:11" ht="18" customHeight="1">
      <c r="B9" s="1" t="s">
        <v>1</v>
      </c>
    </row>
    <row r="10" spans="1:11" ht="18" customHeight="1">
      <c r="B10" s="1" t="s">
        <v>2</v>
      </c>
    </row>
    <row r="11" spans="1:11" hidden="1"/>
    <row r="12" spans="1:11" hidden="1"/>
    <row r="13" spans="1:11" ht="18" hidden="1" customHeight="1">
      <c r="A13" s="2"/>
      <c r="B13" s="3"/>
      <c r="C13" s="3"/>
      <c r="D13" s="4"/>
      <c r="E13" s="5"/>
      <c r="F13" s="5"/>
      <c r="G13" s="5"/>
      <c r="H13" s="5"/>
      <c r="I13" s="6"/>
      <c r="J13" s="6"/>
      <c r="K13" s="7"/>
    </row>
    <row r="14" spans="1:11" ht="15" customHeight="1">
      <c r="A14" s="262" t="s">
        <v>3</v>
      </c>
      <c r="B14" s="261" t="s">
        <v>4</v>
      </c>
      <c r="C14" s="264"/>
      <c r="D14" s="238" t="s">
        <v>5</v>
      </c>
      <c r="E14" s="265" t="s">
        <v>6</v>
      </c>
      <c r="F14" s="242" t="s">
        <v>7</v>
      </c>
      <c r="G14" s="234" t="s">
        <v>8</v>
      </c>
      <c r="H14" s="235"/>
      <c r="I14" s="238" t="s">
        <v>9</v>
      </c>
      <c r="J14" s="235"/>
      <c r="K14" s="8" t="s">
        <v>10</v>
      </c>
    </row>
    <row r="15" spans="1:11" ht="26.25" customHeight="1" thickBot="1">
      <c r="A15" s="263"/>
      <c r="B15" s="241"/>
      <c r="C15" s="241"/>
      <c r="D15" s="241"/>
      <c r="E15" s="232"/>
      <c r="F15" s="232"/>
      <c r="G15" s="9" t="s">
        <v>11</v>
      </c>
      <c r="H15" s="9" t="s">
        <v>12</v>
      </c>
      <c r="I15" s="9" t="s">
        <v>13</v>
      </c>
      <c r="J15" s="10" t="s">
        <v>12</v>
      </c>
      <c r="K15" s="11"/>
    </row>
    <row r="16" spans="1:11" ht="18" customHeight="1" thickTop="1">
      <c r="A16" s="12" t="s">
        <v>14</v>
      </c>
      <c r="B16" s="13" t="s">
        <v>15</v>
      </c>
      <c r="C16" s="13"/>
      <c r="D16" s="14"/>
      <c r="E16" s="14"/>
      <c r="F16" s="14"/>
      <c r="G16" s="14"/>
      <c r="H16" s="14"/>
      <c r="I16" s="14"/>
      <c r="J16" s="14"/>
      <c r="K16" s="14"/>
    </row>
    <row r="17" spans="1:11" ht="18" customHeight="1">
      <c r="A17" s="15">
        <v>1</v>
      </c>
      <c r="B17" s="16" t="s">
        <v>16</v>
      </c>
      <c r="C17" s="17" t="s">
        <v>17</v>
      </c>
      <c r="D17" s="18"/>
      <c r="E17" s="18"/>
      <c r="F17" s="184">
        <f>J162+J165</f>
        <v>411.33600000000007</v>
      </c>
      <c r="G17" s="184">
        <v>0</v>
      </c>
      <c r="H17" s="184">
        <v>100000</v>
      </c>
      <c r="I17" s="184">
        <f t="shared" ref="I17:I32" si="0">G17*F17</f>
        <v>0</v>
      </c>
      <c r="J17" s="184">
        <f t="shared" ref="J17:J32" si="1">H17*F17</f>
        <v>41133600.000000007</v>
      </c>
      <c r="K17" s="18"/>
    </row>
    <row r="18" spans="1:11" ht="18" customHeight="1">
      <c r="A18" s="15">
        <f t="shared" ref="A18:A30" si="2">A17+1</f>
        <v>2</v>
      </c>
      <c r="B18" s="16" t="s">
        <v>18</v>
      </c>
      <c r="C18" s="17" t="s">
        <v>17</v>
      </c>
      <c r="D18" s="18"/>
      <c r="E18" s="18"/>
      <c r="F18" s="184">
        <f>J170+J167</f>
        <v>18.345600000000005</v>
      </c>
      <c r="G18" s="184">
        <v>1150000</v>
      </c>
      <c r="H18" s="184">
        <v>350000</v>
      </c>
      <c r="I18" s="184">
        <f t="shared" si="0"/>
        <v>21097440.000000004</v>
      </c>
      <c r="J18" s="184">
        <f t="shared" si="1"/>
        <v>6420960.0000000019</v>
      </c>
      <c r="K18" s="18"/>
    </row>
    <row r="19" spans="1:11" ht="18" customHeight="1">
      <c r="A19" s="15">
        <f t="shared" si="2"/>
        <v>3</v>
      </c>
      <c r="B19" s="16" t="s">
        <v>19</v>
      </c>
      <c r="C19" s="17" t="s">
        <v>20</v>
      </c>
      <c r="D19" s="18"/>
      <c r="E19" s="18"/>
      <c r="F19" s="184">
        <f>J172+J183</f>
        <v>6.5873831727893535</v>
      </c>
      <c r="G19" s="184">
        <v>17668181.81818182</v>
      </c>
      <c r="H19" s="184">
        <v>4875000</v>
      </c>
      <c r="I19" s="184">
        <f t="shared" si="0"/>
        <v>116387083.60287373</v>
      </c>
      <c r="J19" s="184">
        <f t="shared" si="1"/>
        <v>32113492.967348099</v>
      </c>
      <c r="K19" s="18"/>
    </row>
    <row r="20" spans="1:11" ht="18" customHeight="1">
      <c r="A20" s="15">
        <f t="shared" si="2"/>
        <v>4</v>
      </c>
      <c r="B20" s="16" t="s">
        <v>21</v>
      </c>
      <c r="C20" s="17" t="s">
        <v>22</v>
      </c>
      <c r="D20" s="18"/>
      <c r="E20" s="18"/>
      <c r="F20" s="184">
        <f>J186+J191</f>
        <v>352.79999999999995</v>
      </c>
      <c r="G20" s="184">
        <v>132250</v>
      </c>
      <c r="H20" s="184">
        <v>109250</v>
      </c>
      <c r="I20" s="184">
        <f t="shared" si="0"/>
        <v>46657799.999999993</v>
      </c>
      <c r="J20" s="184">
        <f t="shared" si="1"/>
        <v>38543399.999999993</v>
      </c>
      <c r="K20" s="18"/>
    </row>
    <row r="21" spans="1:11" ht="18" customHeight="1">
      <c r="A21" s="15">
        <f t="shared" si="2"/>
        <v>5</v>
      </c>
      <c r="B21" s="16" t="s">
        <v>23</v>
      </c>
      <c r="C21" s="17" t="s">
        <v>17</v>
      </c>
      <c r="D21" s="18"/>
      <c r="E21" s="18"/>
      <c r="F21" s="184">
        <f>J193+J201</f>
        <v>43.848000000000006</v>
      </c>
      <c r="G21" s="184">
        <v>1327727.272727272</v>
      </c>
      <c r="H21" s="184">
        <v>172500</v>
      </c>
      <c r="I21" s="184">
        <f t="shared" si="0"/>
        <v>58218185.454545431</v>
      </c>
      <c r="J21" s="184">
        <f t="shared" si="1"/>
        <v>7563780.0000000009</v>
      </c>
      <c r="K21" s="18"/>
    </row>
    <row r="22" spans="1:11" ht="18" customHeight="1">
      <c r="A22" s="15">
        <f t="shared" si="2"/>
        <v>6</v>
      </c>
      <c r="B22" s="16" t="s">
        <v>24</v>
      </c>
      <c r="C22" s="17" t="s">
        <v>25</v>
      </c>
      <c r="D22" s="18"/>
      <c r="E22" s="18"/>
      <c r="F22" s="184">
        <v>2</v>
      </c>
      <c r="G22" s="184">
        <v>3136363.6363636358</v>
      </c>
      <c r="H22" s="184">
        <v>0</v>
      </c>
      <c r="I22" s="184">
        <f t="shared" si="0"/>
        <v>6272727.2727272715</v>
      </c>
      <c r="J22" s="184">
        <f t="shared" si="1"/>
        <v>0</v>
      </c>
      <c r="K22" s="18"/>
    </row>
    <row r="23" spans="1:11" ht="18" customHeight="1">
      <c r="A23" s="15">
        <f t="shared" si="2"/>
        <v>7</v>
      </c>
      <c r="B23" s="16" t="s">
        <v>26</v>
      </c>
      <c r="C23" s="17" t="s">
        <v>17</v>
      </c>
      <c r="D23" s="18"/>
      <c r="E23" s="18"/>
      <c r="F23" s="184">
        <f>J203</f>
        <v>349.14240000000007</v>
      </c>
      <c r="G23" s="184">
        <v>0</v>
      </c>
      <c r="H23" s="184">
        <v>69000</v>
      </c>
      <c r="I23" s="184">
        <f t="shared" si="0"/>
        <v>0</v>
      </c>
      <c r="J23" s="184">
        <f t="shared" si="1"/>
        <v>24090825.600000005</v>
      </c>
      <c r="K23" s="18"/>
    </row>
    <row r="24" spans="1:11" ht="18" customHeight="1">
      <c r="A24" s="15">
        <f t="shared" si="2"/>
        <v>8</v>
      </c>
      <c r="B24" s="16" t="s">
        <v>27</v>
      </c>
      <c r="C24" s="17" t="s">
        <v>17</v>
      </c>
      <c r="D24" s="18"/>
      <c r="E24" s="18"/>
      <c r="F24" s="184">
        <f>J206</f>
        <v>62.193600000000004</v>
      </c>
      <c r="G24" s="184">
        <v>0</v>
      </c>
      <c r="H24" s="184">
        <v>138000</v>
      </c>
      <c r="I24" s="184">
        <f t="shared" si="0"/>
        <v>0</v>
      </c>
      <c r="J24" s="184">
        <f t="shared" si="1"/>
        <v>8582716.8000000007</v>
      </c>
      <c r="K24" s="18"/>
    </row>
    <row r="25" spans="1:11" ht="18" customHeight="1">
      <c r="A25" s="15">
        <f t="shared" si="2"/>
        <v>9</v>
      </c>
      <c r="B25" s="16" t="s">
        <v>28</v>
      </c>
      <c r="C25" s="17" t="s">
        <v>17</v>
      </c>
      <c r="D25" s="18"/>
      <c r="E25" s="19"/>
      <c r="F25" s="184">
        <f>J209</f>
        <v>947.7</v>
      </c>
      <c r="G25" s="184">
        <v>287500</v>
      </c>
      <c r="H25" s="184">
        <v>34500</v>
      </c>
      <c r="I25" s="184">
        <f t="shared" si="0"/>
        <v>272463750</v>
      </c>
      <c r="J25" s="184">
        <f t="shared" si="1"/>
        <v>32695650</v>
      </c>
      <c r="K25" s="18"/>
    </row>
    <row r="26" spans="1:11" ht="18" customHeight="1">
      <c r="A26" s="15">
        <f t="shared" si="2"/>
        <v>10</v>
      </c>
      <c r="B26" s="16" t="s">
        <v>29</v>
      </c>
      <c r="C26" s="17" t="s">
        <v>17</v>
      </c>
      <c r="D26" s="18"/>
      <c r="E26" s="19"/>
      <c r="F26" s="184">
        <f>J211</f>
        <v>874.8</v>
      </c>
      <c r="G26" s="184">
        <v>413999.99999999988</v>
      </c>
      <c r="H26" s="184">
        <v>51749.999999999993</v>
      </c>
      <c r="I26" s="184">
        <f t="shared" si="0"/>
        <v>362167199.99999988</v>
      </c>
      <c r="J26" s="184">
        <f t="shared" si="1"/>
        <v>45270899.999999993</v>
      </c>
      <c r="K26" s="18"/>
    </row>
    <row r="27" spans="1:11" ht="18" customHeight="1">
      <c r="A27" s="15">
        <f t="shared" si="2"/>
        <v>11</v>
      </c>
      <c r="B27" s="16" t="s">
        <v>30</v>
      </c>
      <c r="C27" s="17" t="s">
        <v>22</v>
      </c>
      <c r="D27" s="18"/>
      <c r="E27" s="19"/>
      <c r="F27" s="184">
        <f>J213</f>
        <v>4860</v>
      </c>
      <c r="G27" s="184">
        <v>6899.9999999999991</v>
      </c>
      <c r="H27" s="184">
        <v>2300</v>
      </c>
      <c r="I27" s="184">
        <f t="shared" si="0"/>
        <v>33533999.999999996</v>
      </c>
      <c r="J27" s="184">
        <f t="shared" si="1"/>
        <v>11178000</v>
      </c>
      <c r="K27" s="18"/>
    </row>
    <row r="28" spans="1:11" ht="18" customHeight="1">
      <c r="A28" s="15">
        <f t="shared" si="2"/>
        <v>12</v>
      </c>
      <c r="B28" s="16" t="s">
        <v>31</v>
      </c>
      <c r="C28" s="17" t="s">
        <v>20</v>
      </c>
      <c r="D28" s="18"/>
      <c r="E28" s="18"/>
      <c r="F28" s="184">
        <f>J215</f>
        <v>28.480808533218458</v>
      </c>
      <c r="G28" s="184">
        <f>G19</f>
        <v>17668181.81818182</v>
      </c>
      <c r="H28" s="184">
        <v>2875000</v>
      </c>
      <c r="I28" s="184">
        <f t="shared" si="0"/>
        <v>503204103.49372798</v>
      </c>
      <c r="J28" s="184">
        <f t="shared" si="1"/>
        <v>81882324.533003062</v>
      </c>
      <c r="K28" s="18"/>
    </row>
    <row r="29" spans="1:11" ht="36" customHeight="1">
      <c r="A29" s="15">
        <f t="shared" si="2"/>
        <v>13</v>
      </c>
      <c r="B29" s="20" t="s">
        <v>32</v>
      </c>
      <c r="C29" s="17" t="s">
        <v>17</v>
      </c>
      <c r="D29" s="18"/>
      <c r="E29" s="19"/>
      <c r="F29" s="184">
        <f>J218</f>
        <v>510.3</v>
      </c>
      <c r="G29" s="184">
        <v>1327727.272727272</v>
      </c>
      <c r="H29" s="184">
        <v>172500</v>
      </c>
      <c r="I29" s="184">
        <f t="shared" si="0"/>
        <v>677539227.27272689</v>
      </c>
      <c r="J29" s="184">
        <f t="shared" si="1"/>
        <v>88026750</v>
      </c>
      <c r="K29" s="18"/>
    </row>
    <row r="30" spans="1:11" ht="18" customHeight="1">
      <c r="A30" s="15">
        <f t="shared" si="2"/>
        <v>14</v>
      </c>
      <c r="B30" s="16" t="s">
        <v>33</v>
      </c>
      <c r="C30" s="17" t="s">
        <v>25</v>
      </c>
      <c r="D30" s="18"/>
      <c r="E30" s="18"/>
      <c r="F30" s="184">
        <v>2</v>
      </c>
      <c r="G30" s="184">
        <v>3136363.6363636358</v>
      </c>
      <c r="H30" s="184">
        <v>0</v>
      </c>
      <c r="I30" s="184">
        <f t="shared" si="0"/>
        <v>6272727.2727272715</v>
      </c>
      <c r="J30" s="184">
        <f t="shared" si="1"/>
        <v>0</v>
      </c>
      <c r="K30" s="18"/>
    </row>
    <row r="31" spans="1:11" ht="18" customHeight="1">
      <c r="A31" s="15">
        <v>15</v>
      </c>
      <c r="B31" s="16" t="s">
        <v>34</v>
      </c>
      <c r="C31" s="17" t="s">
        <v>22</v>
      </c>
      <c r="D31" s="18"/>
      <c r="E31" s="19"/>
      <c r="F31" s="184">
        <f>J220</f>
        <v>4860</v>
      </c>
      <c r="G31" s="184">
        <v>0</v>
      </c>
      <c r="H31" s="184">
        <v>23000</v>
      </c>
      <c r="I31" s="184">
        <f t="shared" si="0"/>
        <v>0</v>
      </c>
      <c r="J31" s="184">
        <f t="shared" si="1"/>
        <v>111780000</v>
      </c>
      <c r="K31" s="18"/>
    </row>
    <row r="32" spans="1:11" ht="18" customHeight="1">
      <c r="A32" s="15">
        <v>16</v>
      </c>
      <c r="B32" s="16" t="s">
        <v>35</v>
      </c>
      <c r="C32" s="17" t="s">
        <v>22</v>
      </c>
      <c r="D32" s="18"/>
      <c r="E32" s="18"/>
      <c r="F32" s="184">
        <f>F131</f>
        <v>1008</v>
      </c>
      <c r="G32" s="18">
        <v>240000</v>
      </c>
      <c r="H32" s="18">
        <v>90000</v>
      </c>
      <c r="I32" s="184">
        <f t="shared" si="0"/>
        <v>241920000</v>
      </c>
      <c r="J32" s="184">
        <f t="shared" si="1"/>
        <v>90720000</v>
      </c>
      <c r="K32" s="18"/>
    </row>
    <row r="33" spans="1:11" ht="18" customHeight="1">
      <c r="A33" s="15">
        <v>17</v>
      </c>
      <c r="B33" s="16"/>
      <c r="C33" s="17"/>
      <c r="D33" s="18"/>
      <c r="E33" s="18"/>
      <c r="F33" s="184"/>
      <c r="G33" s="18"/>
      <c r="H33" s="18"/>
      <c r="I33" s="18"/>
      <c r="J33" s="18"/>
      <c r="K33" s="18"/>
    </row>
    <row r="34" spans="1:11" ht="18" customHeight="1">
      <c r="A34" s="15">
        <v>18</v>
      </c>
      <c r="C34">
        <v>2</v>
      </c>
      <c r="D34" s="18"/>
      <c r="E34" s="18"/>
      <c r="F34" s="18"/>
      <c r="G34" s="18"/>
      <c r="H34" s="18"/>
      <c r="I34" s="18"/>
      <c r="J34" s="18"/>
      <c r="K34" s="18"/>
    </row>
    <row r="35" spans="1:11" s="25" customFormat="1" ht="17.399999999999999" customHeight="1">
      <c r="A35" s="21" t="s">
        <v>36</v>
      </c>
      <c r="B35" s="22" t="s">
        <v>37</v>
      </c>
      <c r="C35" s="23"/>
      <c r="D35" s="24"/>
      <c r="E35" s="24"/>
      <c r="F35" s="24"/>
      <c r="G35" s="24"/>
      <c r="H35" s="24"/>
      <c r="I35" s="185">
        <f>SUM(I17:I34)</f>
        <v>2345734244.3693285</v>
      </c>
      <c r="J35" s="185">
        <f>SUM(J17:J34)</f>
        <v>620002399.90035117</v>
      </c>
      <c r="K35" s="24"/>
    </row>
    <row r="36" spans="1:11" s="25" customFormat="1" ht="17.399999999999999" customHeight="1">
      <c r="A36" s="21" t="s">
        <v>38</v>
      </c>
      <c r="B36" s="22" t="s">
        <v>39</v>
      </c>
      <c r="C36" s="23"/>
      <c r="D36" s="24"/>
      <c r="E36" s="24"/>
      <c r="F36" s="24"/>
      <c r="G36" s="24"/>
      <c r="H36" s="24"/>
      <c r="I36" s="260">
        <f>J35+I35</f>
        <v>2965736644.2696795</v>
      </c>
      <c r="J36" s="240"/>
      <c r="K36" s="24"/>
    </row>
    <row r="37" spans="1:11" s="25" customFormat="1" ht="17.399999999999999" customHeight="1">
      <c r="A37" s="21" t="s">
        <v>40</v>
      </c>
      <c r="B37" s="22" t="s">
        <v>41</v>
      </c>
      <c r="C37" s="23"/>
      <c r="D37" s="24"/>
      <c r="E37" s="24"/>
      <c r="F37" s="24"/>
      <c r="G37" s="24"/>
      <c r="H37" s="24"/>
      <c r="I37" s="244">
        <f>I36*10%</f>
        <v>296573664.42696798</v>
      </c>
      <c r="J37" s="240"/>
      <c r="K37" s="24"/>
    </row>
    <row r="38" spans="1:11" s="25" customFormat="1" ht="17.399999999999999" customHeight="1">
      <c r="A38" s="21" t="s">
        <v>42</v>
      </c>
      <c r="B38" s="22" t="s">
        <v>37</v>
      </c>
      <c r="C38" s="23"/>
      <c r="D38" s="24"/>
      <c r="E38" s="24"/>
      <c r="F38" s="24"/>
      <c r="G38" s="24"/>
      <c r="H38" s="24"/>
      <c r="I38" s="244">
        <f>I37+I36</f>
        <v>3262310308.6966476</v>
      </c>
      <c r="J38" s="240"/>
      <c r="K38" s="24"/>
    </row>
    <row r="39" spans="1:11">
      <c r="A39" s="26"/>
      <c r="B39" s="26"/>
      <c r="C39" s="26"/>
      <c r="D39" s="26"/>
      <c r="E39" s="26"/>
      <c r="F39" s="26"/>
      <c r="G39" s="26"/>
      <c r="H39" s="26"/>
      <c r="I39" s="239"/>
      <c r="J39" s="240"/>
      <c r="K39" s="26"/>
    </row>
    <row r="40" spans="1:11">
      <c r="I40" s="27"/>
      <c r="J40" s="27"/>
    </row>
    <row r="41" spans="1:11">
      <c r="I41" s="27"/>
      <c r="J41" s="27"/>
    </row>
    <row r="42" spans="1:11">
      <c r="I42" s="27"/>
      <c r="J42" s="27"/>
    </row>
    <row r="43" spans="1:11">
      <c r="I43" s="27"/>
      <c r="J43" s="27"/>
    </row>
    <row r="44" spans="1:11">
      <c r="I44" s="27"/>
      <c r="J44" s="27"/>
    </row>
    <row r="45" spans="1:11">
      <c r="I45" s="27"/>
      <c r="J45" s="27"/>
    </row>
    <row r="46" spans="1:11">
      <c r="I46" s="27"/>
      <c r="J46" s="27"/>
    </row>
    <row r="47" spans="1:11">
      <c r="I47" s="27"/>
      <c r="J47" s="27"/>
    </row>
    <row r="48" spans="1:11">
      <c r="I48" s="27"/>
      <c r="J48" s="27"/>
    </row>
    <row r="49" spans="1:14">
      <c r="I49" s="27"/>
      <c r="J49" s="27"/>
    </row>
    <row r="50" spans="1:14">
      <c r="I50" s="27"/>
      <c r="J50" s="27"/>
    </row>
    <row r="51" spans="1:14">
      <c r="I51" s="27"/>
      <c r="J51" s="27"/>
    </row>
    <row r="52" spans="1:14" ht="23.25" customHeight="1">
      <c r="A52" s="28"/>
      <c r="B52" s="29"/>
      <c r="C52" s="30"/>
      <c r="D52" s="31"/>
      <c r="E52" s="31"/>
      <c r="F52" s="32"/>
      <c r="G52" s="32"/>
      <c r="H52" s="32"/>
      <c r="I52" s="32"/>
      <c r="J52" s="186">
        <f>I38/7500</f>
        <v>434974.70782621967</v>
      </c>
      <c r="K52" s="33"/>
    </row>
    <row r="53" spans="1:14" ht="21" customHeight="1">
      <c r="A53" s="28"/>
      <c r="B53" s="29"/>
      <c r="C53" s="30"/>
      <c r="D53" s="31"/>
      <c r="E53" s="31"/>
      <c r="F53" s="32"/>
      <c r="G53" s="32"/>
      <c r="H53" s="32"/>
      <c r="I53" s="32"/>
      <c r="J53" s="32"/>
      <c r="K53" s="33"/>
    </row>
    <row r="54" spans="1:14" ht="27.75" customHeight="1">
      <c r="A54" s="28"/>
      <c r="B54" s="29"/>
      <c r="C54" s="30"/>
      <c r="D54" s="31"/>
      <c r="E54" s="31"/>
      <c r="F54" s="32"/>
      <c r="G54" s="32"/>
      <c r="H54" s="32"/>
      <c r="I54" s="32"/>
      <c r="J54" s="32"/>
      <c r="K54" s="33"/>
    </row>
    <row r="55" spans="1:14" ht="18" customHeight="1">
      <c r="A55" s="2"/>
      <c r="B55" s="1"/>
      <c r="C55" s="34"/>
      <c r="D55" s="187"/>
      <c r="E55" s="188"/>
      <c r="F55" s="35"/>
      <c r="G55" s="35"/>
      <c r="H55" s="35"/>
      <c r="I55" s="35"/>
      <c r="J55" s="35"/>
      <c r="K55" s="36"/>
    </row>
    <row r="56" spans="1:14" ht="25.5" customHeight="1">
      <c r="A56" s="2"/>
      <c r="B56" s="1" t="s">
        <v>0</v>
      </c>
      <c r="C56" s="34"/>
      <c r="D56" s="187"/>
      <c r="E56" s="188"/>
      <c r="F56" s="189"/>
      <c r="G56" s="189"/>
      <c r="H56" s="189"/>
      <c r="I56" s="37"/>
      <c r="J56" s="37"/>
      <c r="K56" s="36"/>
    </row>
    <row r="57" spans="1:14" ht="13.5" customHeight="1">
      <c r="A57" s="2"/>
      <c r="B57" s="1" t="s">
        <v>1</v>
      </c>
      <c r="C57" s="33"/>
      <c r="D57" s="190"/>
      <c r="E57" s="191"/>
      <c r="F57" s="192"/>
      <c r="G57" s="192"/>
      <c r="H57" s="192"/>
      <c r="I57" s="7"/>
      <c r="J57" s="7"/>
      <c r="K57" s="36"/>
    </row>
    <row r="58" spans="1:14" ht="18" customHeight="1">
      <c r="A58" s="2"/>
      <c r="B58" s="1" t="s">
        <v>2</v>
      </c>
      <c r="C58" s="33"/>
      <c r="D58" s="190"/>
      <c r="E58" s="191"/>
      <c r="F58" s="192"/>
      <c r="G58" s="192"/>
      <c r="H58" s="192"/>
      <c r="I58" s="7"/>
      <c r="J58" s="7"/>
      <c r="K58" s="36"/>
    </row>
    <row r="59" spans="1:14" ht="18.600000000000001" customHeight="1" thickBot="1">
      <c r="A59" s="2"/>
      <c r="B59" s="3"/>
      <c r="C59" s="3"/>
      <c r="D59" s="4"/>
      <c r="E59" s="5"/>
      <c r="F59" s="5"/>
      <c r="G59" s="5"/>
      <c r="H59" s="5"/>
      <c r="I59" s="6"/>
      <c r="J59" s="6"/>
      <c r="K59" s="7"/>
    </row>
    <row r="60" spans="1:14" ht="14.4" customHeight="1" thickTop="1">
      <c r="A60" s="258" t="s">
        <v>3</v>
      </c>
      <c r="B60" s="251" t="s">
        <v>4</v>
      </c>
      <c r="C60" s="233"/>
      <c r="D60" s="247" t="s">
        <v>5</v>
      </c>
      <c r="E60" s="183" t="s">
        <v>6</v>
      </c>
      <c r="F60" s="38" t="s">
        <v>7</v>
      </c>
      <c r="G60" s="242" t="s">
        <v>8</v>
      </c>
      <c r="H60" s="248"/>
      <c r="I60" s="255" t="s">
        <v>9</v>
      </c>
      <c r="J60" s="256"/>
      <c r="K60" s="39" t="s">
        <v>10</v>
      </c>
      <c r="L60" s="229"/>
      <c r="M60" s="6"/>
      <c r="N60" s="6"/>
    </row>
    <row r="61" spans="1:14" ht="14.4" customHeight="1" thickBot="1">
      <c r="A61" s="259"/>
      <c r="B61" s="232"/>
      <c r="C61" s="232"/>
      <c r="D61" s="232"/>
      <c r="E61" s="193"/>
      <c r="F61" s="40"/>
      <c r="G61" s="40" t="s">
        <v>11</v>
      </c>
      <c r="H61" s="40" t="s">
        <v>12</v>
      </c>
      <c r="I61" s="40" t="s">
        <v>13</v>
      </c>
      <c r="J61" s="41" t="s">
        <v>12</v>
      </c>
      <c r="K61" s="41"/>
      <c r="L61" s="230"/>
      <c r="M61" s="6"/>
      <c r="N61" s="6"/>
    </row>
    <row r="62" spans="1:14" ht="14.4" customHeight="1" thickTop="1">
      <c r="A62" s="42" t="s">
        <v>14</v>
      </c>
      <c r="B62" s="43" t="s">
        <v>43</v>
      </c>
      <c r="C62" s="44"/>
      <c r="D62" s="45"/>
      <c r="E62" s="194"/>
      <c r="F62" s="46">
        <f>F63+F64+F65</f>
        <v>113.8032</v>
      </c>
      <c r="G62" s="46"/>
      <c r="H62" s="46"/>
      <c r="I62" s="45"/>
      <c r="J62" s="47"/>
      <c r="K62" s="48"/>
      <c r="L62" s="6"/>
      <c r="M62" s="49"/>
      <c r="N62" s="6"/>
    </row>
    <row r="63" spans="1:14" ht="24" customHeight="1">
      <c r="A63" s="50">
        <v>1</v>
      </c>
      <c r="B63" s="51" t="s">
        <v>44</v>
      </c>
      <c r="C63" s="52" t="s">
        <v>20</v>
      </c>
      <c r="D63" s="53">
        <v>18</v>
      </c>
      <c r="E63" s="195">
        <f>D106</f>
        <v>4860</v>
      </c>
      <c r="F63" s="54">
        <f>E63*D63/1000</f>
        <v>87.48</v>
      </c>
      <c r="G63" s="54">
        <v>15900000</v>
      </c>
      <c r="H63" s="54">
        <v>6800000</v>
      </c>
      <c r="I63" s="55">
        <f t="shared" ref="I63:I69" si="3">G63*F63</f>
        <v>1390932000</v>
      </c>
      <c r="J63" s="56">
        <f t="shared" ref="J63:J69" si="4">H63*F63</f>
        <v>594864000</v>
      </c>
      <c r="K63" s="57" t="s">
        <v>45</v>
      </c>
      <c r="L63" s="58"/>
      <c r="M63" s="58"/>
      <c r="N63" s="58"/>
    </row>
    <row r="64" spans="1:14" ht="24" customHeight="1">
      <c r="A64" s="59">
        <v>2</v>
      </c>
      <c r="B64" s="60" t="s">
        <v>46</v>
      </c>
      <c r="C64" s="61" t="s">
        <v>20</v>
      </c>
      <c r="D64" s="53">
        <v>4.8</v>
      </c>
      <c r="E64" s="195">
        <f>E63</f>
        <v>4860</v>
      </c>
      <c r="F64" s="196">
        <f>D64*E64/1000</f>
        <v>23.327999999999999</v>
      </c>
      <c r="G64" s="54">
        <v>19800000</v>
      </c>
      <c r="H64" s="54">
        <v>3800000</v>
      </c>
      <c r="I64" s="55">
        <f t="shared" si="3"/>
        <v>461894400</v>
      </c>
      <c r="J64" s="56">
        <f t="shared" si="4"/>
        <v>88646400</v>
      </c>
      <c r="K64" s="57"/>
      <c r="L64" s="62"/>
      <c r="M64" s="62"/>
      <c r="N64" s="62"/>
    </row>
    <row r="65" spans="1:14" ht="24" customHeight="1">
      <c r="A65" s="50">
        <v>3</v>
      </c>
      <c r="B65" s="60" t="s">
        <v>47</v>
      </c>
      <c r="C65" s="61" t="s">
        <v>20</v>
      </c>
      <c r="D65" s="197"/>
      <c r="E65" s="195"/>
      <c r="F65" s="196">
        <f>G130</f>
        <v>2.9952000000000001</v>
      </c>
      <c r="G65" s="54">
        <v>19800000</v>
      </c>
      <c r="H65" s="54">
        <v>3800000</v>
      </c>
      <c r="I65" s="55">
        <f t="shared" si="3"/>
        <v>59304960</v>
      </c>
      <c r="J65" s="56">
        <f t="shared" si="4"/>
        <v>11381760</v>
      </c>
      <c r="K65" s="57"/>
      <c r="L65" s="62"/>
      <c r="M65" s="62"/>
      <c r="N65" s="62"/>
    </row>
    <row r="66" spans="1:14" ht="24" customHeight="1">
      <c r="A66" s="59">
        <v>4</v>
      </c>
      <c r="B66" s="60" t="s">
        <v>48</v>
      </c>
      <c r="C66" s="61" t="s">
        <v>22</v>
      </c>
      <c r="D66" s="198">
        <v>3.4000000000000002E-2</v>
      </c>
      <c r="E66" s="199">
        <f>F63</f>
        <v>87.48</v>
      </c>
      <c r="F66" s="54">
        <f>D66*E66*1000</f>
        <v>2974.3200000000006</v>
      </c>
      <c r="G66" s="54">
        <v>28000</v>
      </c>
      <c r="H66" s="54">
        <v>30000</v>
      </c>
      <c r="I66" s="55">
        <f t="shared" si="3"/>
        <v>83280960.000000015</v>
      </c>
      <c r="J66" s="56">
        <f t="shared" si="4"/>
        <v>89229600.000000015</v>
      </c>
      <c r="K66" s="57"/>
      <c r="L66" s="62"/>
      <c r="M66" s="6"/>
      <c r="N66" s="6"/>
    </row>
    <row r="67" spans="1:14" ht="24" customHeight="1">
      <c r="A67" s="50">
        <v>5</v>
      </c>
      <c r="B67" s="63" t="s">
        <v>49</v>
      </c>
      <c r="C67" s="61" t="s">
        <v>22</v>
      </c>
      <c r="D67" s="198">
        <v>3.4000000000000002E-2</v>
      </c>
      <c r="E67" s="199">
        <f>F63</f>
        <v>87.48</v>
      </c>
      <c r="F67" s="54">
        <f>D67*E67*1000</f>
        <v>2974.3200000000006</v>
      </c>
      <c r="G67" s="54">
        <v>38000</v>
      </c>
      <c r="H67" s="54">
        <v>28000</v>
      </c>
      <c r="I67" s="55">
        <f t="shared" si="3"/>
        <v>113024160.00000003</v>
      </c>
      <c r="J67" s="56">
        <f t="shared" si="4"/>
        <v>83280960.000000015</v>
      </c>
      <c r="K67" s="57" t="s">
        <v>50</v>
      </c>
      <c r="L67" s="62"/>
      <c r="M67" s="6"/>
      <c r="N67" s="6"/>
    </row>
    <row r="68" spans="1:14" ht="24" customHeight="1">
      <c r="A68" s="59">
        <v>6</v>
      </c>
      <c r="B68" s="60" t="s">
        <v>51</v>
      </c>
      <c r="C68" s="61" t="s">
        <v>52</v>
      </c>
      <c r="D68" s="196"/>
      <c r="E68" s="199"/>
      <c r="F68" s="54">
        <f>G123</f>
        <v>72</v>
      </c>
      <c r="G68" s="54">
        <v>120000</v>
      </c>
      <c r="H68" s="54">
        <v>60000</v>
      </c>
      <c r="I68" s="55">
        <f t="shared" si="3"/>
        <v>8640000</v>
      </c>
      <c r="J68" s="56">
        <f t="shared" si="4"/>
        <v>4320000</v>
      </c>
      <c r="K68" s="64"/>
      <c r="L68" s="62"/>
      <c r="M68" s="62"/>
      <c r="N68" s="62"/>
    </row>
    <row r="69" spans="1:14" ht="24" customHeight="1">
      <c r="A69" s="50">
        <v>7</v>
      </c>
      <c r="B69" s="60" t="s">
        <v>53</v>
      </c>
      <c r="C69" s="61" t="s">
        <v>52</v>
      </c>
      <c r="D69" s="196"/>
      <c r="E69" s="199"/>
      <c r="F69" s="54">
        <f>G120</f>
        <v>120</v>
      </c>
      <c r="G69" s="54">
        <v>180000</v>
      </c>
      <c r="H69" s="54">
        <v>60000</v>
      </c>
      <c r="I69" s="55">
        <f t="shared" si="3"/>
        <v>21600000</v>
      </c>
      <c r="J69" s="56">
        <f t="shared" si="4"/>
        <v>7200000</v>
      </c>
      <c r="K69" s="64"/>
      <c r="L69" s="62"/>
      <c r="M69" s="62"/>
      <c r="N69" s="62"/>
    </row>
    <row r="70" spans="1:14" ht="24" customHeight="1">
      <c r="A70" s="59">
        <v>8</v>
      </c>
      <c r="B70" s="60" t="s">
        <v>54</v>
      </c>
      <c r="C70" s="61" t="s">
        <v>55</v>
      </c>
      <c r="D70" s="199"/>
      <c r="E70" s="199"/>
      <c r="F70" s="54">
        <v>5</v>
      </c>
      <c r="G70" s="54"/>
      <c r="H70" s="54"/>
      <c r="I70" s="55">
        <f>I63*5%</f>
        <v>69546600</v>
      </c>
      <c r="J70" s="56"/>
      <c r="K70" s="64"/>
      <c r="L70" s="62"/>
      <c r="M70" s="62"/>
      <c r="N70" s="62"/>
    </row>
    <row r="71" spans="1:14" ht="24" customHeight="1">
      <c r="A71" s="50">
        <v>9</v>
      </c>
      <c r="B71" s="65" t="s">
        <v>56</v>
      </c>
      <c r="C71" s="61" t="s">
        <v>22</v>
      </c>
      <c r="D71" s="200"/>
      <c r="E71" s="200"/>
      <c r="F71" s="200">
        <f>E63</f>
        <v>4860</v>
      </c>
      <c r="G71" s="201"/>
      <c r="H71" s="201">
        <v>68000</v>
      </c>
      <c r="I71" s="55">
        <f>G71*F71</f>
        <v>0</v>
      </c>
      <c r="J71" s="56">
        <f>H71*F71</f>
        <v>330480000</v>
      </c>
      <c r="K71" s="66"/>
      <c r="L71" s="62"/>
      <c r="M71" s="6"/>
      <c r="N71" s="6"/>
    </row>
    <row r="72" spans="1:14" ht="24" customHeight="1">
      <c r="A72" s="59">
        <v>10</v>
      </c>
      <c r="B72" s="65" t="s">
        <v>57</v>
      </c>
      <c r="C72" s="61" t="s">
        <v>20</v>
      </c>
      <c r="D72" s="193"/>
      <c r="E72" s="193"/>
      <c r="F72" s="193">
        <f>F64+F65+F63</f>
        <v>113.8032</v>
      </c>
      <c r="G72" s="202">
        <v>800000</v>
      </c>
      <c r="H72" s="202"/>
      <c r="I72" s="55">
        <f>G72*F72</f>
        <v>91042560</v>
      </c>
      <c r="J72" s="56">
        <f>H72*F72</f>
        <v>0</v>
      </c>
      <c r="K72" s="67"/>
      <c r="L72" s="62"/>
      <c r="M72" s="6"/>
      <c r="N72" s="6"/>
    </row>
    <row r="73" spans="1:14" ht="24" customHeight="1">
      <c r="A73" s="68" t="s">
        <v>36</v>
      </c>
      <c r="B73" s="69" t="s">
        <v>58</v>
      </c>
      <c r="C73" s="70"/>
      <c r="D73" s="199"/>
      <c r="E73" s="199"/>
      <c r="F73" s="199"/>
      <c r="G73" s="199"/>
      <c r="H73" s="199"/>
      <c r="I73" s="55"/>
      <c r="J73" s="56"/>
      <c r="K73" s="64"/>
      <c r="L73" s="62"/>
      <c r="M73" s="6"/>
      <c r="N73" s="6"/>
    </row>
    <row r="74" spans="1:14" ht="24" customHeight="1">
      <c r="A74" s="71">
        <v>1</v>
      </c>
      <c r="B74" s="72" t="s">
        <v>59</v>
      </c>
      <c r="C74" s="61" t="s">
        <v>22</v>
      </c>
      <c r="D74" s="196">
        <v>0.94</v>
      </c>
      <c r="E74" s="199">
        <f>E63</f>
        <v>4860</v>
      </c>
      <c r="F74" s="199">
        <f>E74*D74</f>
        <v>4568.3999999999996</v>
      </c>
      <c r="G74" s="199">
        <v>126000</v>
      </c>
      <c r="H74" s="199">
        <v>20000</v>
      </c>
      <c r="I74" s="55">
        <f t="shared" ref="I74:I92" si="5">G74*F74</f>
        <v>575618400</v>
      </c>
      <c r="J74" s="56">
        <f t="shared" ref="J74:J92" si="6">H74*F74</f>
        <v>91368000</v>
      </c>
      <c r="K74" s="48" t="s">
        <v>60</v>
      </c>
      <c r="L74" s="62"/>
      <c r="M74" s="62"/>
      <c r="N74" s="62"/>
    </row>
    <row r="75" spans="1:14" ht="24" customHeight="1">
      <c r="A75" s="71">
        <v>2</v>
      </c>
      <c r="B75" s="72" t="s">
        <v>61</v>
      </c>
      <c r="C75" s="61" t="s">
        <v>22</v>
      </c>
      <c r="D75" s="196">
        <v>0.1</v>
      </c>
      <c r="E75" s="199">
        <f>E63</f>
        <v>4860</v>
      </c>
      <c r="F75" s="199">
        <f>E75*D75</f>
        <v>486</v>
      </c>
      <c r="G75" s="199">
        <v>126000</v>
      </c>
      <c r="H75" s="199">
        <v>20000</v>
      </c>
      <c r="I75" s="55">
        <f t="shared" si="5"/>
        <v>61236000</v>
      </c>
      <c r="J75" s="56">
        <f t="shared" si="6"/>
        <v>9720000</v>
      </c>
      <c r="K75" s="48" t="s">
        <v>60</v>
      </c>
      <c r="L75" s="62"/>
      <c r="M75" s="62"/>
      <c r="N75" s="62"/>
    </row>
    <row r="76" spans="1:14" s="53" customFormat="1" ht="24" customHeight="1">
      <c r="A76" s="71">
        <v>3</v>
      </c>
      <c r="B76" s="73" t="s">
        <v>62</v>
      </c>
      <c r="C76" s="61" t="s">
        <v>22</v>
      </c>
      <c r="D76" s="199"/>
      <c r="E76" s="199"/>
      <c r="F76" s="199">
        <f>G128</f>
        <v>1872</v>
      </c>
      <c r="G76" s="199">
        <v>108000</v>
      </c>
      <c r="H76" s="199">
        <v>25000</v>
      </c>
      <c r="I76" s="55">
        <f t="shared" si="5"/>
        <v>202176000</v>
      </c>
      <c r="J76" s="56">
        <f t="shared" si="6"/>
        <v>46800000</v>
      </c>
      <c r="K76" s="48" t="s">
        <v>60</v>
      </c>
      <c r="L76" s="58"/>
      <c r="M76" s="58"/>
      <c r="N76" s="58"/>
    </row>
    <row r="77" spans="1:14" ht="24" customHeight="1">
      <c r="A77" s="71">
        <v>4</v>
      </c>
      <c r="B77" s="73" t="s">
        <v>63</v>
      </c>
      <c r="C77" s="61" t="s">
        <v>22</v>
      </c>
      <c r="D77" s="196">
        <v>0.03</v>
      </c>
      <c r="E77" s="199">
        <f>E63</f>
        <v>4860</v>
      </c>
      <c r="F77" s="199">
        <f t="shared" ref="F77:F82" si="7">E77*D77</f>
        <v>145.79999999999998</v>
      </c>
      <c r="G77" s="199">
        <v>128000</v>
      </c>
      <c r="H77" s="199">
        <v>80000</v>
      </c>
      <c r="I77" s="55">
        <f t="shared" si="5"/>
        <v>18662399.999999996</v>
      </c>
      <c r="J77" s="56">
        <f t="shared" si="6"/>
        <v>11663999.999999998</v>
      </c>
      <c r="K77" s="48" t="s">
        <v>60</v>
      </c>
      <c r="L77" s="203"/>
      <c r="M77" s="62"/>
      <c r="N77" s="62"/>
    </row>
    <row r="78" spans="1:14" ht="24" customHeight="1">
      <c r="A78" s="71">
        <v>5</v>
      </c>
      <c r="B78" s="73" t="s">
        <v>64</v>
      </c>
      <c r="C78" s="61" t="s">
        <v>65</v>
      </c>
      <c r="D78" s="196">
        <v>0.19</v>
      </c>
      <c r="E78" s="199">
        <f>E63</f>
        <v>4860</v>
      </c>
      <c r="F78" s="199">
        <f t="shared" si="7"/>
        <v>923.4</v>
      </c>
      <c r="G78" s="199">
        <v>60000</v>
      </c>
      <c r="H78" s="199">
        <v>45000</v>
      </c>
      <c r="I78" s="55">
        <f t="shared" si="5"/>
        <v>55404000</v>
      </c>
      <c r="J78" s="56">
        <f t="shared" si="6"/>
        <v>41553000</v>
      </c>
      <c r="K78" s="48" t="s">
        <v>60</v>
      </c>
      <c r="L78" s="62"/>
      <c r="M78" s="62"/>
      <c r="N78" s="62"/>
    </row>
    <row r="79" spans="1:14" ht="24" customHeight="1">
      <c r="A79" s="71">
        <v>6</v>
      </c>
      <c r="B79" s="73" t="s">
        <v>66</v>
      </c>
      <c r="C79" s="61" t="s">
        <v>22</v>
      </c>
      <c r="D79" s="196">
        <v>0.02</v>
      </c>
      <c r="E79" s="199">
        <f>E63</f>
        <v>4860</v>
      </c>
      <c r="F79" s="199">
        <f t="shared" si="7"/>
        <v>97.2</v>
      </c>
      <c r="G79" s="199">
        <v>370000</v>
      </c>
      <c r="H79" s="199">
        <v>20000</v>
      </c>
      <c r="I79" s="55">
        <f t="shared" si="5"/>
        <v>35964000</v>
      </c>
      <c r="J79" s="56">
        <f t="shared" si="6"/>
        <v>1944000</v>
      </c>
      <c r="K79" s="74" t="s">
        <v>67</v>
      </c>
      <c r="L79" s="204"/>
      <c r="M79" s="62"/>
      <c r="N79" s="62"/>
    </row>
    <row r="80" spans="1:14" ht="24" customHeight="1">
      <c r="A80" s="71">
        <v>7</v>
      </c>
      <c r="B80" s="72" t="s">
        <v>68</v>
      </c>
      <c r="C80" s="61" t="s">
        <v>22</v>
      </c>
      <c r="D80" s="196">
        <v>1</v>
      </c>
      <c r="E80" s="199">
        <f>E63</f>
        <v>4860</v>
      </c>
      <c r="F80" s="199">
        <f t="shared" si="7"/>
        <v>4860</v>
      </c>
      <c r="G80" s="199">
        <v>26000</v>
      </c>
      <c r="H80" s="199">
        <v>12000</v>
      </c>
      <c r="I80" s="55">
        <f t="shared" si="5"/>
        <v>126360000</v>
      </c>
      <c r="J80" s="56">
        <f t="shared" si="6"/>
        <v>58320000</v>
      </c>
      <c r="K80" s="74" t="s">
        <v>69</v>
      </c>
      <c r="L80" s="204"/>
      <c r="M80" s="62"/>
      <c r="N80" s="62"/>
    </row>
    <row r="81" spans="1:14" ht="24" customHeight="1">
      <c r="A81" s="71">
        <v>8</v>
      </c>
      <c r="B81" s="72" t="s">
        <v>70</v>
      </c>
      <c r="C81" s="61" t="s">
        <v>22</v>
      </c>
      <c r="D81" s="196">
        <v>1</v>
      </c>
      <c r="E81" s="199">
        <f>E63</f>
        <v>4860</v>
      </c>
      <c r="F81" s="199">
        <f t="shared" si="7"/>
        <v>4860</v>
      </c>
      <c r="G81" s="199">
        <v>4000</v>
      </c>
      <c r="H81" s="199"/>
      <c r="I81" s="55">
        <f t="shared" si="5"/>
        <v>19440000</v>
      </c>
      <c r="J81" s="56">
        <f t="shared" si="6"/>
        <v>0</v>
      </c>
      <c r="K81" s="48"/>
      <c r="L81" s="204"/>
      <c r="M81" s="62"/>
      <c r="N81" s="62"/>
    </row>
    <row r="82" spans="1:14" ht="24" customHeight="1">
      <c r="A82" s="71">
        <v>9</v>
      </c>
      <c r="B82" s="72" t="s">
        <v>71</v>
      </c>
      <c r="C82" s="61" t="s">
        <v>72</v>
      </c>
      <c r="D82" s="205">
        <v>4.0000000000000001E-3</v>
      </c>
      <c r="E82" s="199">
        <f>E63</f>
        <v>4860</v>
      </c>
      <c r="F82" s="199">
        <f t="shared" si="7"/>
        <v>19.440000000000001</v>
      </c>
      <c r="G82" s="199">
        <v>48000</v>
      </c>
      <c r="H82" s="199"/>
      <c r="I82" s="55">
        <f t="shared" si="5"/>
        <v>933120.00000000012</v>
      </c>
      <c r="J82" s="56">
        <f t="shared" si="6"/>
        <v>0</v>
      </c>
      <c r="K82" s="75"/>
      <c r="L82" s="204"/>
      <c r="M82" s="62"/>
      <c r="N82" s="62"/>
    </row>
    <row r="83" spans="1:14" ht="24" customHeight="1">
      <c r="A83" s="71">
        <v>10</v>
      </c>
      <c r="B83" s="72" t="s">
        <v>73</v>
      </c>
      <c r="C83" s="61" t="s">
        <v>65</v>
      </c>
      <c r="D83" s="196"/>
      <c r="E83" s="199"/>
      <c r="F83" s="199">
        <f>G126</f>
        <v>162</v>
      </c>
      <c r="G83" s="199">
        <v>190000</v>
      </c>
      <c r="H83" s="199"/>
      <c r="I83" s="55">
        <f t="shared" si="5"/>
        <v>30780000</v>
      </c>
      <c r="J83" s="56">
        <f t="shared" si="6"/>
        <v>0</v>
      </c>
      <c r="K83" s="74" t="s">
        <v>74</v>
      </c>
      <c r="L83" s="204"/>
      <c r="M83" s="62"/>
      <c r="N83" s="62"/>
    </row>
    <row r="84" spans="1:14" ht="24" customHeight="1">
      <c r="A84" s="71">
        <v>11</v>
      </c>
      <c r="B84" s="76" t="s">
        <v>75</v>
      </c>
      <c r="C84" s="61" t="s">
        <v>65</v>
      </c>
      <c r="D84" s="196"/>
      <c r="E84" s="199"/>
      <c r="F84" s="199">
        <f>D117</f>
        <v>180</v>
      </c>
      <c r="G84" s="199">
        <v>360000</v>
      </c>
      <c r="H84" s="199">
        <v>90000</v>
      </c>
      <c r="I84" s="55">
        <f t="shared" si="5"/>
        <v>64800000</v>
      </c>
      <c r="J84" s="56">
        <f t="shared" si="6"/>
        <v>16200000</v>
      </c>
      <c r="K84" s="75"/>
      <c r="L84" s="204"/>
      <c r="M84" s="62"/>
      <c r="N84" s="62"/>
    </row>
    <row r="85" spans="1:14" ht="24" customHeight="1">
      <c r="A85" s="71">
        <v>12</v>
      </c>
      <c r="B85" s="60" t="s">
        <v>76</v>
      </c>
      <c r="C85" s="61" t="s">
        <v>65</v>
      </c>
      <c r="D85" s="196">
        <v>0.35</v>
      </c>
      <c r="E85" s="199">
        <f>E63</f>
        <v>4860</v>
      </c>
      <c r="F85" s="199">
        <f t="shared" ref="F85:F92" si="8">E85*D85</f>
        <v>1701</v>
      </c>
      <c r="G85" s="199">
        <v>36000</v>
      </c>
      <c r="H85" s="199"/>
      <c r="I85" s="55">
        <f t="shared" si="5"/>
        <v>61236000</v>
      </c>
      <c r="J85" s="56">
        <f t="shared" si="6"/>
        <v>0</v>
      </c>
      <c r="K85" s="75"/>
      <c r="L85" s="204"/>
      <c r="M85" s="62"/>
      <c r="N85" s="62"/>
    </row>
    <row r="86" spans="1:14" ht="24" customHeight="1">
      <c r="A86" s="71">
        <v>13</v>
      </c>
      <c r="B86" s="60" t="s">
        <v>77</v>
      </c>
      <c r="C86" s="61" t="s">
        <v>65</v>
      </c>
      <c r="D86" s="196">
        <v>0.14000000000000001</v>
      </c>
      <c r="E86" s="199">
        <f>E63</f>
        <v>4860</v>
      </c>
      <c r="F86" s="199">
        <f t="shared" si="8"/>
        <v>680.40000000000009</v>
      </c>
      <c r="G86" s="199">
        <v>38000</v>
      </c>
      <c r="H86" s="199"/>
      <c r="I86" s="55">
        <f t="shared" si="5"/>
        <v>25855200.000000004</v>
      </c>
      <c r="J86" s="56">
        <f t="shared" si="6"/>
        <v>0</v>
      </c>
      <c r="K86" s="75"/>
      <c r="L86" s="204"/>
      <c r="M86" s="62"/>
      <c r="N86" s="62"/>
    </row>
    <row r="87" spans="1:14" ht="24" customHeight="1">
      <c r="A87" s="71">
        <v>14</v>
      </c>
      <c r="B87" s="60" t="s">
        <v>78</v>
      </c>
      <c r="C87" s="61" t="s">
        <v>52</v>
      </c>
      <c r="D87" s="196">
        <v>0.01</v>
      </c>
      <c r="E87" s="199">
        <f>E63</f>
        <v>4860</v>
      </c>
      <c r="F87" s="199">
        <f t="shared" si="8"/>
        <v>48.6</v>
      </c>
      <c r="G87" s="199">
        <v>68000</v>
      </c>
      <c r="H87" s="199"/>
      <c r="I87" s="55">
        <f t="shared" si="5"/>
        <v>3304800</v>
      </c>
      <c r="J87" s="56">
        <f t="shared" si="6"/>
        <v>0</v>
      </c>
      <c r="K87" s="75"/>
      <c r="L87" s="204"/>
      <c r="M87" s="62"/>
      <c r="N87" s="62"/>
    </row>
    <row r="88" spans="1:14" ht="24" customHeight="1">
      <c r="A88" s="71">
        <v>15</v>
      </c>
      <c r="B88" s="60" t="s">
        <v>79</v>
      </c>
      <c r="C88" s="61" t="s">
        <v>52</v>
      </c>
      <c r="D88" s="196">
        <v>0.04</v>
      </c>
      <c r="E88" s="199">
        <f>E63</f>
        <v>4860</v>
      </c>
      <c r="F88" s="199">
        <f t="shared" si="8"/>
        <v>194.4</v>
      </c>
      <c r="G88" s="199">
        <v>15000</v>
      </c>
      <c r="H88" s="199"/>
      <c r="I88" s="55">
        <f t="shared" si="5"/>
        <v>2916000</v>
      </c>
      <c r="J88" s="56">
        <f t="shared" si="6"/>
        <v>0</v>
      </c>
      <c r="K88" s="75"/>
      <c r="L88" s="204"/>
      <c r="M88" s="62"/>
      <c r="N88" s="62"/>
    </row>
    <row r="89" spans="1:14" ht="24" customHeight="1">
      <c r="A89" s="71">
        <v>16</v>
      </c>
      <c r="B89" s="73" t="s">
        <v>80</v>
      </c>
      <c r="C89" s="61" t="s">
        <v>22</v>
      </c>
      <c r="D89" s="196">
        <f>IF(D106&gt;=10000,1.8%,2%)</f>
        <v>0.02</v>
      </c>
      <c r="E89" s="199">
        <f>E63</f>
        <v>4860</v>
      </c>
      <c r="F89" s="199">
        <f t="shared" si="8"/>
        <v>97.2</v>
      </c>
      <c r="G89" s="199">
        <v>890000</v>
      </c>
      <c r="H89" s="199">
        <v>300000</v>
      </c>
      <c r="I89" s="55">
        <f t="shared" si="5"/>
        <v>86508000</v>
      </c>
      <c r="J89" s="56">
        <f t="shared" si="6"/>
        <v>29160000</v>
      </c>
      <c r="K89" s="75"/>
      <c r="L89" s="204"/>
      <c r="M89" s="62"/>
      <c r="N89" s="62"/>
    </row>
    <row r="90" spans="1:14" ht="24" customHeight="1">
      <c r="A90" s="71">
        <v>17</v>
      </c>
      <c r="B90" s="63" t="s">
        <v>81</v>
      </c>
      <c r="C90" s="61" t="s">
        <v>22</v>
      </c>
      <c r="D90" s="196">
        <v>1.7999999999999999E-2</v>
      </c>
      <c r="E90" s="200">
        <f>E63</f>
        <v>4860</v>
      </c>
      <c r="F90" s="199">
        <f t="shared" si="8"/>
        <v>87.47999999999999</v>
      </c>
      <c r="G90" s="199">
        <v>680000</v>
      </c>
      <c r="H90" s="199">
        <v>250000</v>
      </c>
      <c r="I90" s="55">
        <f t="shared" si="5"/>
        <v>59486399.999999993</v>
      </c>
      <c r="J90" s="56">
        <f t="shared" si="6"/>
        <v>21869999.999999996</v>
      </c>
      <c r="K90" s="77" t="s">
        <v>82</v>
      </c>
      <c r="L90" s="62"/>
      <c r="M90" s="62"/>
      <c r="N90" s="62"/>
    </row>
    <row r="91" spans="1:14" ht="24" customHeight="1">
      <c r="A91" s="71">
        <v>18</v>
      </c>
      <c r="B91" s="63" t="s">
        <v>83</v>
      </c>
      <c r="C91" s="61" t="s">
        <v>52</v>
      </c>
      <c r="D91" s="205">
        <v>1E-3</v>
      </c>
      <c r="E91" s="193">
        <f>E63</f>
        <v>4860</v>
      </c>
      <c r="F91" s="199">
        <f t="shared" si="8"/>
        <v>4.8600000000000003</v>
      </c>
      <c r="G91" s="199">
        <v>2800000</v>
      </c>
      <c r="H91" s="199"/>
      <c r="I91" s="55">
        <f t="shared" si="5"/>
        <v>13608000</v>
      </c>
      <c r="J91" s="56">
        <f t="shared" si="6"/>
        <v>0</v>
      </c>
      <c r="K91" s="78"/>
      <c r="L91" s="62"/>
      <c r="M91" s="62"/>
      <c r="N91" s="62"/>
    </row>
    <row r="92" spans="1:14" ht="24" customHeight="1">
      <c r="A92" s="71">
        <v>19</v>
      </c>
      <c r="B92" s="79" t="s">
        <v>84</v>
      </c>
      <c r="C92" s="80" t="s">
        <v>52</v>
      </c>
      <c r="D92" s="205">
        <v>1E-3</v>
      </c>
      <c r="E92" s="193">
        <f>E63</f>
        <v>4860</v>
      </c>
      <c r="F92" s="199">
        <f t="shared" si="8"/>
        <v>4.8600000000000003</v>
      </c>
      <c r="G92" s="199">
        <v>3600000</v>
      </c>
      <c r="H92" s="199"/>
      <c r="I92" s="55">
        <f t="shared" si="5"/>
        <v>17496000</v>
      </c>
      <c r="J92" s="56">
        <f t="shared" si="6"/>
        <v>0</v>
      </c>
      <c r="K92" s="78"/>
      <c r="L92" s="62"/>
      <c r="M92" s="81"/>
      <c r="N92" s="81"/>
    </row>
    <row r="93" spans="1:14" ht="24" customHeight="1">
      <c r="A93" s="82" t="s">
        <v>14</v>
      </c>
      <c r="B93" s="69" t="s">
        <v>85</v>
      </c>
      <c r="C93" s="83"/>
      <c r="D93" s="84"/>
      <c r="E93" s="206"/>
      <c r="F93" s="84"/>
      <c r="G93" s="84"/>
      <c r="H93" s="84"/>
      <c r="I93" s="85">
        <f>SUM(I63:I92)</f>
        <v>3761049960</v>
      </c>
      <c r="J93" s="86">
        <f>SUM(J63:J92)</f>
        <v>1538001720</v>
      </c>
      <c r="K93" s="78"/>
      <c r="L93" s="62"/>
      <c r="M93" s="6"/>
      <c r="N93" s="6"/>
    </row>
    <row r="94" spans="1:14">
      <c r="A94" s="82" t="s">
        <v>36</v>
      </c>
      <c r="B94" s="87" t="s">
        <v>86</v>
      </c>
      <c r="C94" s="88"/>
      <c r="D94" s="84"/>
      <c r="E94" s="206"/>
      <c r="F94" s="89"/>
      <c r="G94" s="89"/>
      <c r="H94" s="89"/>
      <c r="I94" s="247">
        <f>I93+J93</f>
        <v>5299051680</v>
      </c>
      <c r="J94" s="248"/>
      <c r="K94" s="58"/>
      <c r="L94" s="62"/>
      <c r="M94" s="6"/>
      <c r="N94" s="6"/>
    </row>
    <row r="95" spans="1:14">
      <c r="A95" s="90" t="s">
        <v>38</v>
      </c>
      <c r="B95" s="91" t="s">
        <v>87</v>
      </c>
      <c r="C95" s="88"/>
      <c r="D95" s="84"/>
      <c r="E95" s="206"/>
      <c r="F95" s="89"/>
      <c r="G95" s="89"/>
      <c r="H95" s="89"/>
      <c r="I95" s="242">
        <f>I94*10%</f>
        <v>529905168</v>
      </c>
      <c r="J95" s="248"/>
      <c r="K95" s="58"/>
      <c r="L95" s="62"/>
      <c r="M95" s="6"/>
      <c r="N95" s="6"/>
    </row>
    <row r="96" spans="1:14" ht="14.4" customHeight="1" thickBot="1">
      <c r="A96" s="92" t="s">
        <v>40</v>
      </c>
      <c r="B96" s="91" t="s">
        <v>37</v>
      </c>
      <c r="C96" s="88"/>
      <c r="D96" s="93"/>
      <c r="E96" s="93"/>
      <c r="F96" s="93"/>
      <c r="G96" s="93"/>
      <c r="H96" s="93"/>
      <c r="I96" s="247">
        <f>I94+I95</f>
        <v>5828956848</v>
      </c>
      <c r="J96" s="248"/>
      <c r="K96" s="58"/>
      <c r="L96" s="207"/>
      <c r="M96" s="94"/>
      <c r="N96" s="6"/>
    </row>
    <row r="97" spans="1:14" ht="14.4" customHeight="1" thickTop="1">
      <c r="A97" s="58"/>
      <c r="B97" s="6" t="s">
        <v>10</v>
      </c>
      <c r="C97" s="95"/>
      <c r="D97" s="6"/>
      <c r="E97" s="96"/>
      <c r="F97" s="96"/>
      <c r="G97" s="96"/>
      <c r="H97" s="96"/>
      <c r="I97" s="96"/>
      <c r="J97" s="96"/>
      <c r="K97" s="97"/>
      <c r="L97" s="6"/>
      <c r="M97" s="6"/>
      <c r="N97" s="6"/>
    </row>
    <row r="98" spans="1:14" ht="16.2" customHeight="1">
      <c r="A98" s="98">
        <v>1</v>
      </c>
      <c r="B98" s="6" t="s">
        <v>88</v>
      </c>
      <c r="C98" s="95"/>
      <c r="D98" s="208">
        <f>I96/E92</f>
        <v>1199373.8370370371</v>
      </c>
      <c r="E98" s="99" t="s">
        <v>89</v>
      </c>
      <c r="F98" s="99"/>
      <c r="G98" s="99"/>
      <c r="H98" s="99"/>
      <c r="I98" s="209">
        <f>I96+I38</f>
        <v>9091267156.6966476</v>
      </c>
      <c r="J98" s="99"/>
      <c r="K98" s="96"/>
      <c r="L98" s="6"/>
      <c r="M98" s="6"/>
      <c r="N98" s="6"/>
    </row>
    <row r="99" spans="1:14" ht="16.2" customHeight="1">
      <c r="A99" s="98">
        <v>2</v>
      </c>
      <c r="B99" s="6" t="s">
        <v>90</v>
      </c>
      <c r="C99" s="95"/>
      <c r="D99" s="6"/>
      <c r="E99" s="6"/>
      <c r="F99" s="6"/>
      <c r="G99" s="6"/>
      <c r="H99" s="6"/>
      <c r="I99" s="210">
        <f>I98/D106</f>
        <v>1870631.1022009563</v>
      </c>
      <c r="J99" s="6"/>
      <c r="K99" s="99"/>
      <c r="L99" s="6"/>
      <c r="M99" s="6"/>
      <c r="N99" s="6"/>
    </row>
    <row r="100" spans="1:14">
      <c r="A100" s="98">
        <v>3</v>
      </c>
      <c r="B100" s="6" t="s">
        <v>91</v>
      </c>
      <c r="C100" s="95"/>
      <c r="D100" s="6"/>
      <c r="E100" s="6"/>
      <c r="F100" s="6"/>
      <c r="G100" s="6"/>
      <c r="H100" s="6"/>
      <c r="I100" s="6"/>
      <c r="J100" s="6"/>
      <c r="K100" s="58"/>
      <c r="L100" s="6"/>
      <c r="M100" s="6"/>
      <c r="N100" s="6"/>
    </row>
    <row r="101" spans="1:14">
      <c r="A101" s="98">
        <v>4</v>
      </c>
      <c r="B101" s="6" t="s">
        <v>92</v>
      </c>
      <c r="C101" s="95"/>
      <c r="D101" s="6"/>
      <c r="E101" s="6"/>
      <c r="F101" s="6"/>
      <c r="G101" s="6"/>
      <c r="H101" s="6"/>
      <c r="I101" s="6"/>
      <c r="J101" s="6"/>
      <c r="K101" s="58"/>
      <c r="L101" s="6"/>
      <c r="M101" s="6"/>
      <c r="N101" s="6"/>
    </row>
    <row r="102" spans="1:14">
      <c r="A102" s="98">
        <v>5</v>
      </c>
      <c r="B102" s="6" t="s">
        <v>93</v>
      </c>
      <c r="C102" s="95"/>
      <c r="D102" s="6"/>
      <c r="E102" s="6"/>
      <c r="F102" s="211"/>
      <c r="G102" s="211"/>
      <c r="H102" s="211"/>
      <c r="I102" s="6"/>
      <c r="J102" s="6"/>
      <c r="K102" s="58"/>
      <c r="L102" s="6"/>
      <c r="M102" s="6"/>
      <c r="N102" s="6"/>
    </row>
    <row r="106" spans="1:14" ht="17.399999999999999" customHeight="1">
      <c r="D106" s="100">
        <f>D108*D110</f>
        <v>4860</v>
      </c>
      <c r="E106" s="35"/>
      <c r="F106" s="35"/>
    </row>
    <row r="107" spans="1:14" ht="18" customHeight="1">
      <c r="D107" s="31" t="s">
        <v>94</v>
      </c>
      <c r="E107" s="35"/>
      <c r="F107" s="35"/>
    </row>
    <row r="108" spans="1:14" ht="17.399999999999999" customHeight="1">
      <c r="D108" s="101">
        <v>54</v>
      </c>
      <c r="E108" s="35"/>
      <c r="F108" s="35"/>
    </row>
    <row r="109" spans="1:14">
      <c r="D109" s="102" t="s">
        <v>95</v>
      </c>
      <c r="E109" s="103"/>
    </row>
    <row r="110" spans="1:14" ht="17.399999999999999" customHeight="1">
      <c r="D110" s="101">
        <v>90</v>
      </c>
    </row>
    <row r="111" spans="1:14" ht="14.4" customHeight="1">
      <c r="E111" s="104"/>
      <c r="F111" s="104"/>
    </row>
    <row r="112" spans="1:14" ht="14.4" customHeight="1">
      <c r="D112" s="104" t="s">
        <v>96</v>
      </c>
      <c r="E112" s="105">
        <f>D110*2</f>
        <v>180</v>
      </c>
    </row>
    <row r="113" spans="4:7">
      <c r="D113" t="s">
        <v>97</v>
      </c>
      <c r="E113" s="105">
        <f>D108*2</f>
        <v>108</v>
      </c>
      <c r="G113" s="105"/>
    </row>
    <row r="114" spans="4:7">
      <c r="D114" t="s">
        <v>98</v>
      </c>
      <c r="E114" s="106">
        <f>E112+E113</f>
        <v>288</v>
      </c>
    </row>
    <row r="115" spans="4:7">
      <c r="D115" t="s">
        <v>99</v>
      </c>
      <c r="G115" s="53"/>
    </row>
    <row r="116" spans="4:7">
      <c r="D116" t="s">
        <v>100</v>
      </c>
      <c r="F116" s="107"/>
    </row>
    <row r="117" spans="4:7">
      <c r="D117">
        <f>D110*2</f>
        <v>180</v>
      </c>
      <c r="E117" s="107" t="s">
        <v>101</v>
      </c>
      <c r="F117" s="107" t="s">
        <v>102</v>
      </c>
    </row>
    <row r="118" spans="4:7">
      <c r="D118" t="s">
        <v>103</v>
      </c>
      <c r="E118">
        <v>6</v>
      </c>
      <c r="F118" s="108">
        <f>D119/E118</f>
        <v>30</v>
      </c>
      <c r="G118" s="107" t="s">
        <v>104</v>
      </c>
    </row>
    <row r="119" spans="4:7">
      <c r="D119" s="109">
        <f>D110*2</f>
        <v>180</v>
      </c>
      <c r="G119" s="110">
        <v>4</v>
      </c>
    </row>
    <row r="120" spans="4:7">
      <c r="D120" t="s">
        <v>105</v>
      </c>
      <c r="F120" s="108"/>
      <c r="G120" s="111">
        <f>G119*F118</f>
        <v>120</v>
      </c>
    </row>
    <row r="121" spans="4:7">
      <c r="D121" t="s">
        <v>106</v>
      </c>
      <c r="E121">
        <f>E118</f>
        <v>6</v>
      </c>
      <c r="F121" s="108">
        <f>D122/E121</f>
        <v>18</v>
      </c>
    </row>
    <row r="122" spans="4:7">
      <c r="D122" s="109">
        <f>D108*2</f>
        <v>108</v>
      </c>
      <c r="E122" t="s">
        <v>107</v>
      </c>
      <c r="G122" s="110">
        <v>4</v>
      </c>
    </row>
    <row r="123" spans="4:7">
      <c r="D123" t="s">
        <v>108</v>
      </c>
      <c r="F123" s="108"/>
      <c r="G123" s="111">
        <f>G122*F121</f>
        <v>72</v>
      </c>
    </row>
    <row r="124" spans="4:7">
      <c r="D124" t="s">
        <v>109</v>
      </c>
      <c r="E124">
        <v>10</v>
      </c>
      <c r="F124" s="108">
        <f>D125/E124</f>
        <v>18</v>
      </c>
    </row>
    <row r="125" spans="4:7">
      <c r="D125">
        <f>D117</f>
        <v>180</v>
      </c>
      <c r="F125" s="108"/>
      <c r="G125" s="110">
        <v>9</v>
      </c>
    </row>
    <row r="126" spans="4:7">
      <c r="E126" t="s">
        <v>110</v>
      </c>
      <c r="F126" s="108"/>
      <c r="G126" s="111">
        <f>G125*F124</f>
        <v>162</v>
      </c>
    </row>
    <row r="127" spans="4:7">
      <c r="D127" t="s">
        <v>111</v>
      </c>
      <c r="E127">
        <v>6.5</v>
      </c>
      <c r="F127" s="108"/>
      <c r="G127" s="110"/>
    </row>
    <row r="128" spans="4:7">
      <c r="D128" s="105">
        <f>E114</f>
        <v>288</v>
      </c>
      <c r="E128" t="s">
        <v>110</v>
      </c>
      <c r="F128" s="108"/>
      <c r="G128" s="110">
        <f>E127*D128</f>
        <v>1872</v>
      </c>
    </row>
    <row r="129" spans="2:7">
      <c r="D129" t="s">
        <v>112</v>
      </c>
      <c r="E129">
        <v>1.6</v>
      </c>
      <c r="G129" s="110"/>
    </row>
    <row r="130" spans="2:7">
      <c r="D130" s="108">
        <f>G128</f>
        <v>1872</v>
      </c>
      <c r="F130" t="s">
        <v>113</v>
      </c>
      <c r="G130" s="212">
        <f>E129*D130/1000</f>
        <v>2.9952000000000001</v>
      </c>
    </row>
    <row r="131" spans="2:7">
      <c r="D131" s="108" t="s">
        <v>114</v>
      </c>
      <c r="E131">
        <f>E124-E127</f>
        <v>3.5</v>
      </c>
      <c r="F131">
        <f>E131*E114</f>
        <v>1008</v>
      </c>
      <c r="G131" s="212"/>
    </row>
    <row r="132" spans="2:7">
      <c r="D132" s="108"/>
      <c r="G132" s="212"/>
    </row>
    <row r="133" spans="2:7">
      <c r="E133" t="s">
        <v>115</v>
      </c>
      <c r="F133" t="s">
        <v>116</v>
      </c>
    </row>
    <row r="134" spans="2:7">
      <c r="C134" t="s">
        <v>117</v>
      </c>
      <c r="D134" t="s">
        <v>118</v>
      </c>
      <c r="E134" t="s">
        <v>119</v>
      </c>
    </row>
    <row r="135" spans="2:7">
      <c r="B135" t="s">
        <v>120</v>
      </c>
      <c r="C135" s="53">
        <v>11</v>
      </c>
      <c r="D135" s="53">
        <v>15</v>
      </c>
    </row>
    <row r="136" spans="2:7">
      <c r="B136" t="s">
        <v>121</v>
      </c>
      <c r="C136" s="53">
        <v>2.8</v>
      </c>
      <c r="D136" s="53">
        <v>3.4</v>
      </c>
    </row>
    <row r="137" spans="2:7">
      <c r="C137" s="53"/>
      <c r="D137" s="53"/>
      <c r="E137" t="str">
        <f>E140</f>
        <v>5575/2012</v>
      </c>
    </row>
    <row r="138" spans="2:7">
      <c r="B138" t="s">
        <v>122</v>
      </c>
      <c r="C138" s="53">
        <v>14</v>
      </c>
      <c r="D138" s="53">
        <v>18</v>
      </c>
    </row>
    <row r="139" spans="2:7">
      <c r="B139" t="s">
        <v>121</v>
      </c>
      <c r="C139" s="53">
        <v>3.8</v>
      </c>
      <c r="D139" s="53">
        <v>4.8</v>
      </c>
    </row>
    <row r="140" spans="2:7">
      <c r="E140" t="s">
        <v>123</v>
      </c>
    </row>
    <row r="141" spans="2:7">
      <c r="B141" t="s">
        <v>124</v>
      </c>
      <c r="C141">
        <v>18</v>
      </c>
      <c r="D141">
        <v>22</v>
      </c>
    </row>
    <row r="142" spans="2:7">
      <c r="B142" t="s">
        <v>121</v>
      </c>
      <c r="C142">
        <v>5.6</v>
      </c>
      <c r="D142">
        <v>6.8</v>
      </c>
    </row>
    <row r="151" spans="1:10" ht="15.6" customHeight="1">
      <c r="A151" s="112"/>
      <c r="B151" s="113"/>
      <c r="C151" s="113"/>
      <c r="D151" s="113"/>
      <c r="E151" s="243" t="s">
        <v>125</v>
      </c>
      <c r="F151" s="230"/>
      <c r="G151" s="230"/>
      <c r="H151" s="230"/>
      <c r="I151" s="230"/>
      <c r="J151" s="230"/>
    </row>
    <row r="152" spans="1:10" ht="15.6" customHeight="1">
      <c r="A152" s="112"/>
      <c r="B152" s="114"/>
      <c r="C152" s="114"/>
      <c r="D152" s="114"/>
      <c r="E152" s="257" t="s">
        <v>126</v>
      </c>
      <c r="F152" s="230"/>
      <c r="G152" s="230"/>
      <c r="H152" s="230"/>
      <c r="I152" s="230"/>
      <c r="J152" s="230"/>
    </row>
    <row r="153" spans="1:10" ht="15.6" customHeight="1">
      <c r="A153" s="112"/>
      <c r="B153" s="113"/>
      <c r="C153" s="113"/>
      <c r="D153" s="113"/>
      <c r="E153" s="243" t="s">
        <v>127</v>
      </c>
      <c r="F153" s="230"/>
      <c r="G153" s="230"/>
      <c r="H153" s="230"/>
      <c r="I153" s="230"/>
      <c r="J153" s="230"/>
    </row>
    <row r="154" spans="1:10" ht="22.8" customHeight="1">
      <c r="A154" s="115"/>
      <c r="B154" s="116"/>
      <c r="C154" s="116"/>
      <c r="D154" s="116"/>
      <c r="E154" s="252" t="s">
        <v>128</v>
      </c>
      <c r="F154" s="230"/>
      <c r="G154" s="230"/>
      <c r="H154" s="230"/>
      <c r="I154" s="230"/>
      <c r="J154" s="230"/>
    </row>
    <row r="155" spans="1:10" ht="18" customHeight="1">
      <c r="A155" s="117"/>
      <c r="B155" s="1" t="s">
        <v>0</v>
      </c>
      <c r="C155" s="117"/>
      <c r="D155" s="117"/>
      <c r="E155" s="117"/>
      <c r="F155" s="117"/>
      <c r="G155" s="117"/>
      <c r="H155" s="117"/>
      <c r="I155" s="117"/>
      <c r="J155" s="117"/>
    </row>
    <row r="156" spans="1:10" ht="18" customHeight="1">
      <c r="A156" s="117"/>
      <c r="B156" s="1" t="s">
        <v>1</v>
      </c>
      <c r="C156" s="213"/>
      <c r="D156" s="213"/>
      <c r="E156" s="213"/>
      <c r="F156" s="213"/>
      <c r="G156" s="213"/>
      <c r="H156" s="213"/>
      <c r="I156" s="118"/>
      <c r="J156" s="214"/>
    </row>
    <row r="157" spans="1:10" ht="18" customHeight="1">
      <c r="A157" s="119"/>
      <c r="B157" s="1" t="s">
        <v>2</v>
      </c>
      <c r="C157" s="215"/>
      <c r="D157" s="215"/>
      <c r="E157" s="215"/>
      <c r="F157" s="215"/>
      <c r="G157" s="215"/>
      <c r="H157" s="215"/>
      <c r="I157" s="120"/>
      <c r="J157" s="216"/>
    </row>
    <row r="158" spans="1:10" ht="18.600000000000001" customHeight="1" thickBot="1">
      <c r="A158" s="119"/>
      <c r="B158" s="3"/>
      <c r="C158" s="215"/>
      <c r="D158" s="215"/>
      <c r="E158" s="215"/>
      <c r="F158" s="215"/>
      <c r="G158" s="215"/>
      <c r="H158" s="215"/>
      <c r="I158" s="120"/>
      <c r="J158" s="216"/>
    </row>
    <row r="159" spans="1:10" ht="16.2" customHeight="1" thickTop="1">
      <c r="A159" s="236" t="s">
        <v>129</v>
      </c>
      <c r="B159" s="249" t="s">
        <v>130</v>
      </c>
      <c r="C159" s="231" t="s">
        <v>131</v>
      </c>
      <c r="D159" s="231" t="s">
        <v>132</v>
      </c>
      <c r="E159" s="253"/>
      <c r="F159" s="253"/>
      <c r="G159" s="254"/>
      <c r="H159" s="231" t="s">
        <v>133</v>
      </c>
      <c r="I159" s="250" t="s">
        <v>7</v>
      </c>
      <c r="J159" s="245" t="s">
        <v>134</v>
      </c>
    </row>
    <row r="160" spans="1:10" ht="16.2" customHeight="1" thickBot="1">
      <c r="A160" s="237"/>
      <c r="B160" s="232"/>
      <c r="C160" s="232"/>
      <c r="D160" s="217" t="s">
        <v>135</v>
      </c>
      <c r="E160" s="217" t="s">
        <v>136</v>
      </c>
      <c r="F160" s="217" t="s">
        <v>94</v>
      </c>
      <c r="G160" s="217" t="s">
        <v>137</v>
      </c>
      <c r="H160" s="232"/>
      <c r="I160" s="232"/>
      <c r="J160" s="246"/>
    </row>
    <row r="161" spans="1:10" ht="14.4" customHeight="1" thickTop="1">
      <c r="A161" s="121" t="s">
        <v>14</v>
      </c>
      <c r="B161" s="122" t="s">
        <v>138</v>
      </c>
      <c r="C161" s="123"/>
      <c r="D161" s="123"/>
      <c r="E161" s="123"/>
      <c r="F161" s="124"/>
      <c r="G161" s="123"/>
      <c r="H161" s="123"/>
      <c r="I161" s="125"/>
      <c r="J161" s="218"/>
    </row>
    <row r="162" spans="1:10">
      <c r="A162" s="126">
        <v>1</v>
      </c>
      <c r="B162" s="127" t="s">
        <v>139</v>
      </c>
      <c r="C162" s="128" t="s">
        <v>17</v>
      </c>
      <c r="D162" s="129" t="s">
        <v>140</v>
      </c>
      <c r="E162" s="128"/>
      <c r="F162" s="130"/>
      <c r="G162" s="128"/>
      <c r="H162" s="128"/>
      <c r="I162" s="137"/>
      <c r="J162" s="219">
        <f>SUM(I163:I164)*C222</f>
        <v>359.42400000000009</v>
      </c>
    </row>
    <row r="163" spans="1:10">
      <c r="A163" s="131"/>
      <c r="B163" s="132" t="s">
        <v>141</v>
      </c>
      <c r="C163" s="133"/>
      <c r="D163" s="134">
        <f>F118</f>
        <v>30</v>
      </c>
      <c r="E163" s="133">
        <v>1.6</v>
      </c>
      <c r="F163" s="133">
        <v>1.6</v>
      </c>
      <c r="G163" s="135">
        <v>1.8</v>
      </c>
      <c r="H163" s="133">
        <v>2</v>
      </c>
      <c r="I163" s="145">
        <f>PRODUCT(D163:H163)</f>
        <v>276.48000000000008</v>
      </c>
      <c r="J163" s="220"/>
    </row>
    <row r="164" spans="1:10">
      <c r="A164" s="131"/>
      <c r="B164" s="132" t="s">
        <v>142</v>
      </c>
      <c r="C164" s="133"/>
      <c r="D164" s="134">
        <f>F121</f>
        <v>18</v>
      </c>
      <c r="E164" s="133">
        <v>1.2</v>
      </c>
      <c r="F164" s="133">
        <v>1.2</v>
      </c>
      <c r="G164" s="135">
        <v>1.6</v>
      </c>
      <c r="H164" s="133">
        <v>2</v>
      </c>
      <c r="I164" s="145">
        <f>PRODUCT(D164:H164)</f>
        <v>82.944000000000003</v>
      </c>
      <c r="J164" s="220"/>
    </row>
    <row r="165" spans="1:10">
      <c r="A165" s="126">
        <v>2</v>
      </c>
      <c r="B165" s="136" t="s">
        <v>143</v>
      </c>
      <c r="C165" s="128" t="s">
        <v>17</v>
      </c>
      <c r="D165" s="128"/>
      <c r="E165" s="128"/>
      <c r="F165" s="128"/>
      <c r="G165" s="130"/>
      <c r="H165" s="128"/>
      <c r="I165" s="137"/>
      <c r="J165" s="219">
        <f>SUM(I166)*C222</f>
        <v>51.911999999999999</v>
      </c>
    </row>
    <row r="166" spans="1:10">
      <c r="A166" s="138"/>
      <c r="B166" s="139" t="s">
        <v>144</v>
      </c>
      <c r="C166" s="140"/>
      <c r="D166" s="140">
        <v>1</v>
      </c>
      <c r="E166" s="141">
        <f>E114</f>
        <v>288</v>
      </c>
      <c r="F166" s="140">
        <v>0.25</v>
      </c>
      <c r="G166" s="142">
        <v>0.35</v>
      </c>
      <c r="H166" s="140">
        <v>2</v>
      </c>
      <c r="I166" s="143">
        <f>PRODUCT(D166:H166)*1.03</f>
        <v>51.911999999999999</v>
      </c>
      <c r="J166" s="221"/>
    </row>
    <row r="167" spans="1:10">
      <c r="A167" s="126">
        <v>3</v>
      </c>
      <c r="B167" s="127" t="s">
        <v>145</v>
      </c>
      <c r="C167" s="128" t="s">
        <v>17</v>
      </c>
      <c r="D167" s="128"/>
      <c r="E167" s="128"/>
      <c r="F167" s="130"/>
      <c r="G167" s="128"/>
      <c r="H167" s="128"/>
      <c r="I167" s="137"/>
      <c r="J167" s="219">
        <f>SUM(I168:I169)*C222</f>
        <v>10.785600000000002</v>
      </c>
    </row>
    <row r="168" spans="1:10">
      <c r="A168" s="131"/>
      <c r="B168" s="144" t="s">
        <v>146</v>
      </c>
      <c r="C168" s="133"/>
      <c r="D168" s="134">
        <f t="shared" ref="D168:F169" si="9">D163</f>
        <v>30</v>
      </c>
      <c r="E168" s="133">
        <f t="shared" si="9"/>
        <v>1.6</v>
      </c>
      <c r="F168" s="133">
        <f t="shared" si="9"/>
        <v>1.6</v>
      </c>
      <c r="G168" s="135">
        <v>0.1</v>
      </c>
      <c r="H168" s="133">
        <v>1.05</v>
      </c>
      <c r="I168" s="145">
        <f>PRODUCT(D168:H168)</f>
        <v>8.0640000000000018</v>
      </c>
      <c r="J168" s="220"/>
    </row>
    <row r="169" spans="1:10">
      <c r="A169" s="131"/>
      <c r="B169" s="144" t="s">
        <v>147</v>
      </c>
      <c r="C169" s="133"/>
      <c r="D169" s="134">
        <f t="shared" si="9"/>
        <v>18</v>
      </c>
      <c r="E169" s="133">
        <f t="shared" si="9"/>
        <v>1.2</v>
      </c>
      <c r="F169" s="133">
        <f t="shared" si="9"/>
        <v>1.2</v>
      </c>
      <c r="G169" s="135">
        <v>0.1</v>
      </c>
      <c r="H169" s="133">
        <v>1.05</v>
      </c>
      <c r="I169" s="145">
        <f>PRODUCT(D169:H169)</f>
        <v>2.7216</v>
      </c>
      <c r="J169" s="220"/>
    </row>
    <row r="170" spans="1:10">
      <c r="A170" s="146">
        <v>4</v>
      </c>
      <c r="B170" s="147" t="s">
        <v>148</v>
      </c>
      <c r="C170" s="148" t="s">
        <v>17</v>
      </c>
      <c r="D170" s="149"/>
      <c r="E170" s="149"/>
      <c r="F170" s="150"/>
      <c r="G170" s="149"/>
      <c r="H170" s="148"/>
      <c r="I170" s="176"/>
      <c r="J170" s="222">
        <f>I171*C222</f>
        <v>7.5600000000000005</v>
      </c>
    </row>
    <row r="171" spans="1:10">
      <c r="A171" s="151"/>
      <c r="B171" s="152" t="s">
        <v>149</v>
      </c>
      <c r="C171" s="148"/>
      <c r="D171" s="149">
        <v>1</v>
      </c>
      <c r="E171" s="149">
        <f>E166</f>
        <v>288</v>
      </c>
      <c r="F171" s="149">
        <f>F166</f>
        <v>0.25</v>
      </c>
      <c r="G171" s="150">
        <v>0.1</v>
      </c>
      <c r="H171" s="149">
        <v>1.05</v>
      </c>
      <c r="I171" s="176">
        <f>PRODUCT(D171:H171)</f>
        <v>7.5600000000000005</v>
      </c>
      <c r="J171" s="222"/>
    </row>
    <row r="172" spans="1:10">
      <c r="A172" s="126">
        <v>5</v>
      </c>
      <c r="B172" s="136" t="s">
        <v>150</v>
      </c>
      <c r="C172" s="128" t="s">
        <v>20</v>
      </c>
      <c r="D172" s="128"/>
      <c r="E172" s="128"/>
      <c r="F172" s="128"/>
      <c r="G172" s="130"/>
      <c r="H172" s="128"/>
      <c r="I172" s="137"/>
      <c r="J172" s="219">
        <f>SUM(I173:I182)/1000*1.05</f>
        <v>2.9380833113939997</v>
      </c>
    </row>
    <row r="173" spans="1:10">
      <c r="A173" s="131"/>
      <c r="B173" s="153" t="s">
        <v>146</v>
      </c>
      <c r="C173" s="135"/>
      <c r="D173" s="154">
        <f>D168</f>
        <v>30</v>
      </c>
      <c r="E173" s="135"/>
      <c r="F173" s="135"/>
      <c r="G173" s="135"/>
      <c r="H173" s="135"/>
      <c r="I173" s="155"/>
      <c r="J173" s="223"/>
    </row>
    <row r="174" spans="1:10">
      <c r="A174" s="131"/>
      <c r="B174" s="156" t="s">
        <v>151</v>
      </c>
      <c r="C174" s="135"/>
      <c r="D174" s="154">
        <f>D173</f>
        <v>30</v>
      </c>
      <c r="E174" s="135">
        <f>ROUNDUP((E168-0.2)/0.15+1,0)</f>
        <v>11</v>
      </c>
      <c r="F174" s="135">
        <v>14</v>
      </c>
      <c r="G174" s="135">
        <f>F168-0.25</f>
        <v>1.35</v>
      </c>
      <c r="H174" s="157">
        <f>3.1416*(F174/1000)^2/4*7850</f>
        <v>1.2084164399999999</v>
      </c>
      <c r="I174" s="155">
        <f>H174*G174*D174*E174</f>
        <v>538.34952401999999</v>
      </c>
      <c r="J174" s="223"/>
    </row>
    <row r="175" spans="1:10">
      <c r="A175" s="131"/>
      <c r="B175" s="156" t="s">
        <v>152</v>
      </c>
      <c r="C175" s="135"/>
      <c r="D175" s="154">
        <f>D173</f>
        <v>30</v>
      </c>
      <c r="E175" s="135">
        <f>ROUNDUP((F168-0.2)/0.15+1,0)</f>
        <v>11</v>
      </c>
      <c r="F175" s="135">
        <v>14</v>
      </c>
      <c r="G175" s="135">
        <f>E168-0.25</f>
        <v>1.35</v>
      </c>
      <c r="H175" s="157">
        <f>3.1416*(F175/1000)^2/4*7850</f>
        <v>1.2084164399999999</v>
      </c>
      <c r="I175" s="155">
        <f>H175*G175*D175*E175</f>
        <v>538.34952401999999</v>
      </c>
      <c r="J175" s="223"/>
    </row>
    <row r="176" spans="1:10">
      <c r="A176" s="131"/>
      <c r="B176" s="156" t="s">
        <v>153</v>
      </c>
      <c r="C176" s="135"/>
      <c r="D176" s="154">
        <f>D173</f>
        <v>30</v>
      </c>
      <c r="E176" s="135">
        <v>6</v>
      </c>
      <c r="F176" s="135">
        <v>16</v>
      </c>
      <c r="G176" s="135">
        <f>2-0.15+0.35</f>
        <v>2.2000000000000002</v>
      </c>
      <c r="H176" s="157">
        <f>3.1416*(F176/1000)^2/4*7850</f>
        <v>1.5783398399999999</v>
      </c>
      <c r="I176" s="155">
        <f>H176*G176*D176*E176</f>
        <v>625.0225766399999</v>
      </c>
      <c r="J176" s="223"/>
    </row>
    <row r="177" spans="1:10">
      <c r="A177" s="131"/>
      <c r="B177" s="158" t="s">
        <v>154</v>
      </c>
      <c r="C177" s="135"/>
      <c r="D177" s="154">
        <f>D173</f>
        <v>30</v>
      </c>
      <c r="E177" s="135">
        <f>ROUNDUP((2/0.15)+1,0)</f>
        <v>15</v>
      </c>
      <c r="F177" s="135">
        <v>8</v>
      </c>
      <c r="G177" s="159">
        <f>(0.55+0.35)*2+0.05*2</f>
        <v>1.9000000000000001</v>
      </c>
      <c r="H177" s="157">
        <f>3.1416*(F177/1000)^2/4*7850</f>
        <v>0.39458495999999998</v>
      </c>
      <c r="I177" s="155">
        <f>H177*G177*D177*E177</f>
        <v>337.3701408</v>
      </c>
      <c r="J177" s="223"/>
    </row>
    <row r="178" spans="1:10">
      <c r="A178" s="131"/>
      <c r="B178" s="153" t="s">
        <v>147</v>
      </c>
      <c r="C178" s="135"/>
      <c r="D178" s="154">
        <f>D169</f>
        <v>18</v>
      </c>
      <c r="E178" s="135"/>
      <c r="F178" s="135"/>
      <c r="G178" s="135"/>
      <c r="H178" s="135"/>
      <c r="I178" s="155"/>
      <c r="J178" s="223"/>
    </row>
    <row r="179" spans="1:10">
      <c r="A179" s="131"/>
      <c r="B179" s="156" t="s">
        <v>151</v>
      </c>
      <c r="C179" s="135"/>
      <c r="D179" s="154">
        <f>D178</f>
        <v>18</v>
      </c>
      <c r="E179" s="135">
        <f>ROUNDUP((E169-0.25)/0.15+1,0)</f>
        <v>8</v>
      </c>
      <c r="F179" s="135">
        <v>12</v>
      </c>
      <c r="G179" s="135">
        <f>F169-0.25+0.35</f>
        <v>1.2999999999999998</v>
      </c>
      <c r="H179" s="157">
        <f>3.1416*(F179/1000)^2/4*7850</f>
        <v>0.88781616000000008</v>
      </c>
      <c r="I179" s="155">
        <f>H179*G179*D179*E179</f>
        <v>166.19918515199998</v>
      </c>
      <c r="J179" s="223"/>
    </row>
    <row r="180" spans="1:10">
      <c r="A180" s="131"/>
      <c r="B180" s="156" t="s">
        <v>152</v>
      </c>
      <c r="C180" s="135"/>
      <c r="D180" s="154">
        <f>D178</f>
        <v>18</v>
      </c>
      <c r="E180" s="135">
        <f>ROUNDUP((F169-0.25)/0.15+1,0)</f>
        <v>8</v>
      </c>
      <c r="F180" s="135">
        <v>12</v>
      </c>
      <c r="G180" s="135">
        <f>E169-0.25+0.35</f>
        <v>1.2999999999999998</v>
      </c>
      <c r="H180" s="157">
        <f>3.1416*(F180/1000)^2/4*7850</f>
        <v>0.88781616000000008</v>
      </c>
      <c r="I180" s="155">
        <f>H180*G180*D180*E180</f>
        <v>166.19918515199998</v>
      </c>
      <c r="J180" s="223"/>
    </row>
    <row r="181" spans="1:10">
      <c r="A181" s="131"/>
      <c r="B181" s="156" t="s">
        <v>153</v>
      </c>
      <c r="C181" s="135"/>
      <c r="D181" s="154">
        <f>D178</f>
        <v>18</v>
      </c>
      <c r="E181" s="135">
        <v>6</v>
      </c>
      <c r="F181" s="135">
        <v>16</v>
      </c>
      <c r="G181" s="135">
        <f>G163</f>
        <v>1.8</v>
      </c>
      <c r="H181" s="157">
        <f>3.1416*(F181/1000)^2/4*7850</f>
        <v>1.5783398399999999</v>
      </c>
      <c r="I181" s="155">
        <f>H181*G181*D181*E181</f>
        <v>306.82926489599998</v>
      </c>
      <c r="J181" s="223"/>
    </row>
    <row r="182" spans="1:10">
      <c r="A182" s="131"/>
      <c r="B182" s="158" t="s">
        <v>154</v>
      </c>
      <c r="C182" s="135"/>
      <c r="D182" s="154">
        <f>D178</f>
        <v>18</v>
      </c>
      <c r="E182" s="135">
        <f>ROUNDUP((2/0.15)+1,0)</f>
        <v>15</v>
      </c>
      <c r="F182" s="135">
        <v>6</v>
      </c>
      <c r="G182" s="135">
        <f>(0.6+0.35)*2+0.05*2</f>
        <v>2</v>
      </c>
      <c r="H182" s="157">
        <f>3.1416*(F182/1000)^2/4*7850</f>
        <v>0.22195404000000002</v>
      </c>
      <c r="I182" s="155">
        <f>H182*G182*D182*E182</f>
        <v>119.85518160000001</v>
      </c>
      <c r="J182" s="223"/>
    </row>
    <row r="183" spans="1:10">
      <c r="A183" s="126">
        <v>6</v>
      </c>
      <c r="B183" s="136" t="s">
        <v>155</v>
      </c>
      <c r="C183" s="128" t="s">
        <v>20</v>
      </c>
      <c r="D183" s="128"/>
      <c r="E183" s="128"/>
      <c r="F183" s="128"/>
      <c r="G183" s="130"/>
      <c r="H183" s="128"/>
      <c r="I183" s="137"/>
      <c r="J183" s="219">
        <f>SUM(I184:I185)*0.001*1.05</f>
        <v>3.6492998613953538</v>
      </c>
    </row>
    <row r="184" spans="1:10">
      <c r="A184" s="131"/>
      <c r="B184" s="160" t="s">
        <v>156</v>
      </c>
      <c r="C184" s="133"/>
      <c r="D184" s="133">
        <v>1</v>
      </c>
      <c r="E184" s="133">
        <v>6</v>
      </c>
      <c r="F184" s="133">
        <v>16</v>
      </c>
      <c r="G184" s="134">
        <f>E171+(E171/11.7)*0.6</f>
        <v>302.76923076923077</v>
      </c>
      <c r="H184" s="157">
        <f>3.1416*(F184/1000)^2/4*7850</f>
        <v>1.5783398399999999</v>
      </c>
      <c r="I184" s="145">
        <f>H184*G184*D184*E184</f>
        <v>2867.2364354953843</v>
      </c>
      <c r="J184" s="220"/>
    </row>
    <row r="185" spans="1:10">
      <c r="A185" s="138"/>
      <c r="B185" s="161" t="s">
        <v>157</v>
      </c>
      <c r="C185" s="140"/>
      <c r="D185" s="140">
        <v>1</v>
      </c>
      <c r="E185" s="162">
        <f>E171/0.15+10</f>
        <v>1930</v>
      </c>
      <c r="F185" s="140">
        <v>6</v>
      </c>
      <c r="G185" s="140">
        <f>(0.2+0.45)*2+0.12</f>
        <v>1.42</v>
      </c>
      <c r="H185" s="163">
        <f>3.1416*(F185/1000)^2/4*7850</f>
        <v>0.22195404000000002</v>
      </c>
      <c r="I185" s="143">
        <f>H185*G185*D185*E185</f>
        <v>608.28724202400008</v>
      </c>
      <c r="J185" s="221"/>
    </row>
    <row r="186" spans="1:10">
      <c r="A186" s="126">
        <v>7</v>
      </c>
      <c r="B186" s="127" t="s">
        <v>158</v>
      </c>
      <c r="C186" s="128" t="s">
        <v>22</v>
      </c>
      <c r="D186" s="128"/>
      <c r="E186" s="128"/>
      <c r="F186" s="130"/>
      <c r="G186" s="128"/>
      <c r="H186" s="128"/>
      <c r="I186" s="137"/>
      <c r="J186" s="219">
        <f>SUM(I187:I190)*C222</f>
        <v>208.79999999999995</v>
      </c>
    </row>
    <row r="187" spans="1:10">
      <c r="A187" s="131"/>
      <c r="B187" s="164" t="s">
        <v>146</v>
      </c>
      <c r="C187" s="133"/>
      <c r="D187" s="134">
        <f>D173</f>
        <v>30</v>
      </c>
      <c r="E187" s="133">
        <f>E163-0.2</f>
        <v>1.4000000000000001</v>
      </c>
      <c r="F187" s="133">
        <f>F163-0.2</f>
        <v>1.4000000000000001</v>
      </c>
      <c r="G187" s="133">
        <v>0.3</v>
      </c>
      <c r="H187" s="133"/>
      <c r="I187" s="145">
        <f>(E187+F187)*2*G187*D187</f>
        <v>50.400000000000006</v>
      </c>
      <c r="J187" s="220"/>
    </row>
    <row r="188" spans="1:10">
      <c r="A188" s="131"/>
      <c r="B188" s="164" t="s">
        <v>159</v>
      </c>
      <c r="C188" s="133"/>
      <c r="D188" s="134">
        <f>D187</f>
        <v>30</v>
      </c>
      <c r="E188" s="133">
        <v>0.6</v>
      </c>
      <c r="F188" s="133">
        <v>0.35</v>
      </c>
      <c r="G188" s="133">
        <f>1.8-G187</f>
        <v>1.5</v>
      </c>
      <c r="H188" s="133"/>
      <c r="I188" s="145">
        <f>(E188+F188)*2*G188*D188</f>
        <v>85.499999999999986</v>
      </c>
      <c r="J188" s="220"/>
    </row>
    <row r="189" spans="1:10">
      <c r="A189" s="131"/>
      <c r="B189" s="164" t="s">
        <v>147</v>
      </c>
      <c r="C189" s="133"/>
      <c r="D189" s="134">
        <f>D164</f>
        <v>18</v>
      </c>
      <c r="E189" s="133">
        <f>E164-0.2</f>
        <v>1</v>
      </c>
      <c r="F189" s="133">
        <f>F164-0.2</f>
        <v>1</v>
      </c>
      <c r="G189" s="133">
        <v>0.3</v>
      </c>
      <c r="H189" s="133"/>
      <c r="I189" s="145">
        <f>(E189+F189)*2*G189*D189</f>
        <v>21.599999999999998</v>
      </c>
      <c r="J189" s="220"/>
    </row>
    <row r="190" spans="1:10">
      <c r="A190" s="131"/>
      <c r="B190" s="164" t="s">
        <v>160</v>
      </c>
      <c r="C190" s="133"/>
      <c r="D190" s="134">
        <f>D189</f>
        <v>18</v>
      </c>
      <c r="E190" s="133">
        <v>0.6</v>
      </c>
      <c r="F190" s="133">
        <v>0.35</v>
      </c>
      <c r="G190" s="133">
        <f>1.8-G189</f>
        <v>1.5</v>
      </c>
      <c r="H190" s="133"/>
      <c r="I190" s="145">
        <f>(E190+F190)*2*G190*D190</f>
        <v>51.3</v>
      </c>
      <c r="J190" s="220"/>
    </row>
    <row r="191" spans="1:10">
      <c r="A191" s="126">
        <v>8</v>
      </c>
      <c r="B191" s="127" t="s">
        <v>161</v>
      </c>
      <c r="C191" s="128" t="s">
        <v>22</v>
      </c>
      <c r="D191" s="128"/>
      <c r="E191" s="128"/>
      <c r="F191" s="130"/>
      <c r="G191" s="128"/>
      <c r="H191" s="128"/>
      <c r="I191" s="137"/>
      <c r="J191" s="219">
        <f>I192*C222</f>
        <v>143.99999999999997</v>
      </c>
    </row>
    <row r="192" spans="1:10">
      <c r="A192" s="138"/>
      <c r="B192" s="139" t="s">
        <v>144</v>
      </c>
      <c r="C192" s="140"/>
      <c r="D192" s="140">
        <v>1</v>
      </c>
      <c r="E192" s="140">
        <f>E166</f>
        <v>288</v>
      </c>
      <c r="F192" s="140">
        <f>F166-0.2</f>
        <v>4.9999999999999989E-2</v>
      </c>
      <c r="G192" s="140">
        <f>G166-0.1</f>
        <v>0.24999999999999997</v>
      </c>
      <c r="H192" s="140"/>
      <c r="I192" s="143">
        <f>G192*2*E192*D192</f>
        <v>143.99999999999997</v>
      </c>
      <c r="J192" s="221"/>
    </row>
    <row r="193" spans="1:10">
      <c r="A193" s="126">
        <v>9</v>
      </c>
      <c r="B193" s="127" t="s">
        <v>162</v>
      </c>
      <c r="C193" s="128" t="s">
        <v>17</v>
      </c>
      <c r="D193" s="128"/>
      <c r="E193" s="128"/>
      <c r="F193" s="130"/>
      <c r="G193" s="128"/>
      <c r="H193" s="128"/>
      <c r="I193" s="137"/>
      <c r="J193" s="219">
        <f>SUM(I195:I200)*C222</f>
        <v>40.068000000000005</v>
      </c>
    </row>
    <row r="194" spans="1:10" ht="14.4" customHeight="1">
      <c r="A194" s="131"/>
      <c r="B194" s="144" t="s">
        <v>146</v>
      </c>
      <c r="C194" s="133"/>
      <c r="D194" s="165"/>
      <c r="E194" s="165"/>
      <c r="F194" s="165"/>
      <c r="G194" s="165"/>
      <c r="H194" s="165"/>
      <c r="I194" s="166"/>
      <c r="J194" s="220"/>
    </row>
    <row r="195" spans="1:10">
      <c r="A195" s="131"/>
      <c r="B195" s="160" t="s">
        <v>163</v>
      </c>
      <c r="C195" s="133"/>
      <c r="D195" s="134">
        <f>D187</f>
        <v>30</v>
      </c>
      <c r="E195" s="133">
        <f>E187</f>
        <v>1.4000000000000001</v>
      </c>
      <c r="F195" s="133">
        <f>F187</f>
        <v>1.4000000000000001</v>
      </c>
      <c r="G195" s="135">
        <f>G187</f>
        <v>0.3</v>
      </c>
      <c r="H195" s="133">
        <v>1.05</v>
      </c>
      <c r="I195" s="145">
        <f>PRODUCT(D195:H195)</f>
        <v>18.522000000000006</v>
      </c>
      <c r="J195" s="220"/>
    </row>
    <row r="196" spans="1:10">
      <c r="A196" s="131"/>
      <c r="B196" s="160" t="s">
        <v>164</v>
      </c>
      <c r="C196" s="133"/>
      <c r="D196" s="134">
        <f>D195</f>
        <v>30</v>
      </c>
      <c r="E196" s="133">
        <f>E188</f>
        <v>0.6</v>
      </c>
      <c r="F196" s="133">
        <f>F188</f>
        <v>0.35</v>
      </c>
      <c r="G196" s="135">
        <f>G188</f>
        <v>1.5</v>
      </c>
      <c r="H196" s="133">
        <v>1.05</v>
      </c>
      <c r="I196" s="145">
        <f>PRODUCT(D196:H196)</f>
        <v>9.9224999999999994</v>
      </c>
      <c r="J196" s="220"/>
    </row>
    <row r="197" spans="1:10" ht="14.4" customHeight="1">
      <c r="A197" s="131"/>
      <c r="B197" s="144" t="s">
        <v>147</v>
      </c>
      <c r="C197" s="133"/>
      <c r="D197" s="167"/>
      <c r="E197" s="165"/>
      <c r="F197" s="165"/>
      <c r="G197" s="165"/>
      <c r="H197" s="165"/>
      <c r="I197" s="166"/>
      <c r="J197" s="220"/>
    </row>
    <row r="198" spans="1:10">
      <c r="A198" s="131"/>
      <c r="B198" s="160" t="s">
        <v>163</v>
      </c>
      <c r="C198" s="133"/>
      <c r="D198" s="134">
        <f>D189</f>
        <v>18</v>
      </c>
      <c r="E198" s="133">
        <f>E189</f>
        <v>1</v>
      </c>
      <c r="F198" s="133">
        <f>F189</f>
        <v>1</v>
      </c>
      <c r="G198" s="135">
        <f>G189</f>
        <v>0.3</v>
      </c>
      <c r="H198" s="133">
        <v>1.05</v>
      </c>
      <c r="I198" s="145">
        <f>PRODUCT(D198:H198)</f>
        <v>5.67</v>
      </c>
      <c r="J198" s="220"/>
    </row>
    <row r="199" spans="1:10">
      <c r="A199" s="131"/>
      <c r="B199" s="160" t="s">
        <v>164</v>
      </c>
      <c r="C199" s="133"/>
      <c r="D199" s="134">
        <f>D198</f>
        <v>18</v>
      </c>
      <c r="E199" s="133">
        <f>E190</f>
        <v>0.6</v>
      </c>
      <c r="F199" s="133">
        <f>F190</f>
        <v>0.35</v>
      </c>
      <c r="G199" s="135">
        <f>G190</f>
        <v>1.5</v>
      </c>
      <c r="H199" s="133">
        <v>1.05</v>
      </c>
      <c r="I199" s="145">
        <f>PRODUCT(D199:H199)</f>
        <v>5.9534999999999991</v>
      </c>
      <c r="J199" s="220"/>
    </row>
    <row r="200" spans="1:10" ht="14.4" customHeight="1">
      <c r="A200" s="131"/>
      <c r="B200" s="144" t="s">
        <v>165</v>
      </c>
      <c r="C200" s="133"/>
      <c r="D200" s="165"/>
      <c r="E200" s="165"/>
      <c r="F200" s="165"/>
      <c r="G200" s="165"/>
      <c r="H200" s="165"/>
      <c r="I200" s="166"/>
      <c r="J200" s="220"/>
    </row>
    <row r="201" spans="1:10">
      <c r="A201" s="126">
        <v>10</v>
      </c>
      <c r="B201" s="127" t="s">
        <v>166</v>
      </c>
      <c r="C201" s="128" t="s">
        <v>17</v>
      </c>
      <c r="D201" s="128"/>
      <c r="E201" s="128"/>
      <c r="F201" s="128"/>
      <c r="G201" s="130"/>
      <c r="H201" s="128"/>
      <c r="I201" s="137"/>
      <c r="J201" s="219">
        <f>I202*C222</f>
        <v>3.7799999999999989</v>
      </c>
    </row>
    <row r="202" spans="1:10">
      <c r="A202" s="138"/>
      <c r="B202" s="161" t="s">
        <v>144</v>
      </c>
      <c r="C202" s="140"/>
      <c r="D202" s="140">
        <v>1</v>
      </c>
      <c r="E202" s="140">
        <f>E166</f>
        <v>288</v>
      </c>
      <c r="F202" s="140">
        <f>F192</f>
        <v>4.9999999999999989E-2</v>
      </c>
      <c r="G202" s="142">
        <f>G192</f>
        <v>0.24999999999999997</v>
      </c>
      <c r="H202" s="140">
        <v>1.05</v>
      </c>
      <c r="I202" s="143">
        <f>PRODUCT(D202:H202)</f>
        <v>3.7799999999999989</v>
      </c>
      <c r="J202" s="221"/>
    </row>
    <row r="203" spans="1:10">
      <c r="A203" s="126">
        <v>11</v>
      </c>
      <c r="B203" s="136" t="s">
        <v>167</v>
      </c>
      <c r="C203" s="128" t="s">
        <v>17</v>
      </c>
      <c r="D203" s="128"/>
      <c r="E203" s="128"/>
      <c r="F203" s="128"/>
      <c r="G203" s="130"/>
      <c r="H203" s="128"/>
      <c r="I203" s="137"/>
      <c r="J203" s="219">
        <f>SUM(I204:I205)*C222</f>
        <v>349.14240000000007</v>
      </c>
    </row>
    <row r="204" spans="1:10">
      <c r="A204" s="131"/>
      <c r="B204" s="164" t="s">
        <v>168</v>
      </c>
      <c r="C204" s="133"/>
      <c r="D204" s="165"/>
      <c r="E204" s="224">
        <f>J162+J165</f>
        <v>411.33600000000007</v>
      </c>
      <c r="F204" s="133"/>
      <c r="G204" s="135"/>
      <c r="H204" s="133">
        <v>1</v>
      </c>
      <c r="I204" s="145">
        <f>PRODUCT(E204:H204)</f>
        <v>411.33600000000007</v>
      </c>
      <c r="J204" s="220"/>
    </row>
    <row r="205" spans="1:10">
      <c r="A205" s="138"/>
      <c r="B205" s="139" t="s">
        <v>169</v>
      </c>
      <c r="C205" s="140"/>
      <c r="D205" s="168"/>
      <c r="E205" s="225">
        <f>J167+J193+J201+J170</f>
        <v>62.193600000000011</v>
      </c>
      <c r="F205" s="140"/>
      <c r="G205" s="142"/>
      <c r="H205" s="140">
        <v>-1</v>
      </c>
      <c r="I205" s="143">
        <f>PRODUCT(E205:H205)</f>
        <v>-62.193600000000011</v>
      </c>
      <c r="J205" s="221"/>
    </row>
    <row r="206" spans="1:10">
      <c r="A206" s="126">
        <v>12</v>
      </c>
      <c r="B206" s="136" t="s">
        <v>170</v>
      </c>
      <c r="C206" s="128" t="s">
        <v>17</v>
      </c>
      <c r="D206" s="128"/>
      <c r="E206" s="128"/>
      <c r="F206" s="128"/>
      <c r="G206" s="130"/>
      <c r="H206" s="128"/>
      <c r="I206" s="137"/>
      <c r="J206" s="169">
        <f>SUM(I207:I208)*C222</f>
        <v>62.193600000000004</v>
      </c>
    </row>
    <row r="207" spans="1:10">
      <c r="A207" s="131"/>
      <c r="B207" s="164" t="s">
        <v>168</v>
      </c>
      <c r="C207" s="133"/>
      <c r="D207" s="170"/>
      <c r="E207" s="224">
        <f>E204</f>
        <v>411.33600000000007</v>
      </c>
      <c r="F207" s="133"/>
      <c r="G207" s="135"/>
      <c r="H207" s="133">
        <v>1</v>
      </c>
      <c r="I207" s="145">
        <f>PRODUCT(E207:H207)</f>
        <v>411.33600000000007</v>
      </c>
      <c r="J207" s="220"/>
    </row>
    <row r="208" spans="1:10">
      <c r="A208" s="138"/>
      <c r="B208" s="139" t="s">
        <v>171</v>
      </c>
      <c r="C208" s="140"/>
      <c r="D208" s="171"/>
      <c r="E208" s="225">
        <f>J203</f>
        <v>349.14240000000007</v>
      </c>
      <c r="F208" s="140"/>
      <c r="G208" s="142"/>
      <c r="H208" s="140">
        <v>-1</v>
      </c>
      <c r="I208" s="143">
        <f>PRODUCT(E208:H208)</f>
        <v>-349.14240000000007</v>
      </c>
      <c r="J208" s="221"/>
    </row>
    <row r="209" spans="1:10">
      <c r="A209" s="126">
        <v>13</v>
      </c>
      <c r="B209" s="136" t="s">
        <v>172</v>
      </c>
      <c r="C209" s="128" t="s">
        <v>17</v>
      </c>
      <c r="D209" s="128"/>
      <c r="E209" s="128"/>
      <c r="F209" s="128"/>
      <c r="G209" s="130"/>
      <c r="H209" s="128"/>
      <c r="I209" s="137"/>
      <c r="J209" s="169">
        <f>SUM(I210:I210)*C222</f>
        <v>947.7</v>
      </c>
    </row>
    <row r="210" spans="1:10">
      <c r="A210" s="131"/>
      <c r="B210" s="164" t="s">
        <v>173</v>
      </c>
      <c r="C210" s="133"/>
      <c r="D210" s="172">
        <v>1</v>
      </c>
      <c r="E210" s="224">
        <f>D110</f>
        <v>90</v>
      </c>
      <c r="F210" s="173">
        <f>D108</f>
        <v>54</v>
      </c>
      <c r="G210" s="135">
        <v>0.15</v>
      </c>
      <c r="H210" s="133">
        <v>1.3</v>
      </c>
      <c r="I210" s="145">
        <f>PRODUCT(D210:H210)</f>
        <v>947.7</v>
      </c>
      <c r="J210" s="220"/>
    </row>
    <row r="211" spans="1:10">
      <c r="A211" s="126">
        <v>14</v>
      </c>
      <c r="B211" s="136" t="s">
        <v>29</v>
      </c>
      <c r="C211" s="128" t="s">
        <v>17</v>
      </c>
      <c r="D211" s="128"/>
      <c r="E211" s="128"/>
      <c r="F211" s="128"/>
      <c r="G211" s="130"/>
      <c r="H211" s="128"/>
      <c r="I211" s="137"/>
      <c r="J211" s="169">
        <f>SUM(I212:I212)*C222</f>
        <v>874.8</v>
      </c>
    </row>
    <row r="212" spans="1:10">
      <c r="A212" s="131"/>
      <c r="B212" s="164" t="s">
        <v>173</v>
      </c>
      <c r="C212" s="133"/>
      <c r="D212" s="172">
        <v>1</v>
      </c>
      <c r="E212" s="224">
        <f>E210</f>
        <v>90</v>
      </c>
      <c r="F212" s="173">
        <f>F210</f>
        <v>54</v>
      </c>
      <c r="G212" s="135">
        <v>0.15</v>
      </c>
      <c r="H212" s="133">
        <v>1.2</v>
      </c>
      <c r="I212" s="145">
        <f>PRODUCT(D212:H212)</f>
        <v>874.8</v>
      </c>
      <c r="J212" s="220"/>
    </row>
    <row r="213" spans="1:10">
      <c r="A213" s="126">
        <v>15</v>
      </c>
      <c r="B213" s="136" t="s">
        <v>30</v>
      </c>
      <c r="C213" s="128" t="s">
        <v>22</v>
      </c>
      <c r="D213" s="128"/>
      <c r="E213" s="128"/>
      <c r="F213" s="128"/>
      <c r="G213" s="130"/>
      <c r="H213" s="128"/>
      <c r="I213" s="137"/>
      <c r="J213" s="169">
        <f>SUM(I214:I214)*C222</f>
        <v>4860</v>
      </c>
    </row>
    <row r="214" spans="1:10">
      <c r="A214" s="131"/>
      <c r="B214" s="164" t="s">
        <v>173</v>
      </c>
      <c r="C214" s="133"/>
      <c r="D214" s="172">
        <v>1</v>
      </c>
      <c r="E214" s="224">
        <f>E210</f>
        <v>90</v>
      </c>
      <c r="F214" s="133">
        <f>F210</f>
        <v>54</v>
      </c>
      <c r="G214" s="135"/>
      <c r="H214" s="133">
        <v>1</v>
      </c>
      <c r="I214" s="145">
        <f>PRODUCT(D214:H214)</f>
        <v>4860</v>
      </c>
      <c r="J214" s="220"/>
    </row>
    <row r="215" spans="1:10">
      <c r="A215" s="146">
        <v>16</v>
      </c>
      <c r="B215" s="174" t="s">
        <v>174</v>
      </c>
      <c r="C215" s="148" t="s">
        <v>20</v>
      </c>
      <c r="D215" s="149"/>
      <c r="E215" s="148"/>
      <c r="F215" s="148"/>
      <c r="G215" s="175"/>
      <c r="H215" s="148"/>
      <c r="I215" s="176"/>
      <c r="J215" s="222">
        <f>SUM(I216:I217)*0.001*1.05</f>
        <v>28.480808533218458</v>
      </c>
    </row>
    <row r="216" spans="1:10">
      <c r="A216" s="151"/>
      <c r="B216" s="177" t="s">
        <v>175</v>
      </c>
      <c r="C216" s="148"/>
      <c r="D216" s="149">
        <v>1</v>
      </c>
      <c r="E216" s="149">
        <f>ROUNDUP((F214)/0.2+5,0)</f>
        <v>275</v>
      </c>
      <c r="F216" s="148">
        <v>8</v>
      </c>
      <c r="G216" s="148">
        <f>150+(150/11.7)*0.6+2</f>
        <v>159.69230769230768</v>
      </c>
      <c r="H216" s="178">
        <f>3.1416*(F216/1000)^2/4*7850</f>
        <v>0.39458495999999998</v>
      </c>
      <c r="I216" s="176">
        <f>H216*G216*D216*E216</f>
        <v>17328.350281846153</v>
      </c>
      <c r="J216" s="222"/>
    </row>
    <row r="217" spans="1:10">
      <c r="A217" s="151"/>
      <c r="B217" s="177" t="s">
        <v>176</v>
      </c>
      <c r="C217" s="148"/>
      <c r="D217" s="149">
        <v>1</v>
      </c>
      <c r="E217" s="149">
        <f>ROUNDUP((E214)/0.2+5,0)</f>
        <v>455</v>
      </c>
      <c r="F217" s="148">
        <v>8</v>
      </c>
      <c r="G217" s="148">
        <f>50+(50/11.7)*0.6+2</f>
        <v>54.564102564102562</v>
      </c>
      <c r="H217" s="178">
        <f>3.1416*(F217/1000)^2/4*7850</f>
        <v>0.39458495999999998</v>
      </c>
      <c r="I217" s="176">
        <f>H217*G217*D217*E217</f>
        <v>9796.2292735999999</v>
      </c>
      <c r="J217" s="222"/>
    </row>
    <row r="218" spans="1:10" ht="27.6" customHeight="1">
      <c r="A218" s="146">
        <v>17</v>
      </c>
      <c r="B218" s="174" t="s">
        <v>32</v>
      </c>
      <c r="C218" s="148" t="s">
        <v>20</v>
      </c>
      <c r="D218" s="149"/>
      <c r="E218" s="148"/>
      <c r="F218" s="148"/>
      <c r="G218" s="175"/>
      <c r="H218" s="148"/>
      <c r="I218" s="176"/>
      <c r="J218" s="222">
        <f>SUM(I219:I219)</f>
        <v>510.3</v>
      </c>
    </row>
    <row r="219" spans="1:10">
      <c r="A219" s="151"/>
      <c r="B219" s="152" t="s">
        <v>173</v>
      </c>
      <c r="C219" s="148"/>
      <c r="D219" s="149">
        <v>1</v>
      </c>
      <c r="E219" s="226">
        <f>E212</f>
        <v>90</v>
      </c>
      <c r="F219" s="179">
        <f>F212</f>
        <v>54</v>
      </c>
      <c r="G219" s="175">
        <v>0.1</v>
      </c>
      <c r="H219" s="148">
        <v>1.05</v>
      </c>
      <c r="I219" s="176">
        <f>PRODUCT(D219:H219)</f>
        <v>510.3</v>
      </c>
      <c r="J219" s="222"/>
    </row>
    <row r="220" spans="1:10">
      <c r="A220" s="146">
        <v>18</v>
      </c>
      <c r="B220" s="174" t="s">
        <v>177</v>
      </c>
      <c r="C220" s="148" t="s">
        <v>22</v>
      </c>
      <c r="D220" s="149"/>
      <c r="E220" s="148"/>
      <c r="F220" s="148"/>
      <c r="G220" s="175"/>
      <c r="H220" s="148"/>
      <c r="I220" s="176"/>
      <c r="J220" s="222">
        <f>SUM(I221:I221)</f>
        <v>4860</v>
      </c>
    </row>
    <row r="221" spans="1:10">
      <c r="A221" s="151"/>
      <c r="B221" s="152" t="s">
        <v>173</v>
      </c>
      <c r="C221" s="148"/>
      <c r="D221" s="149">
        <v>1</v>
      </c>
      <c r="E221" s="226">
        <f>E210</f>
        <v>90</v>
      </c>
      <c r="F221" s="148">
        <f>F210</f>
        <v>54</v>
      </c>
      <c r="G221" s="175">
        <v>1</v>
      </c>
      <c r="H221" s="148">
        <v>1</v>
      </c>
      <c r="I221" s="176">
        <f>PRODUCT(D221:H221)</f>
        <v>4860</v>
      </c>
      <c r="J221" s="222"/>
    </row>
    <row r="222" spans="1:10" ht="15.6" customHeight="1">
      <c r="A222" s="180" t="s">
        <v>36</v>
      </c>
      <c r="B222" s="181" t="s">
        <v>178</v>
      </c>
      <c r="C222" s="227">
        <v>1</v>
      </c>
      <c r="D222" s="227" t="s">
        <v>55</v>
      </c>
      <c r="E222" s="148"/>
      <c r="F222" s="175"/>
      <c r="G222" s="148"/>
      <c r="H222" s="148"/>
      <c r="I222" s="176"/>
      <c r="J222" s="228"/>
    </row>
  </sheetData>
  <mergeCells count="33">
    <mergeCell ref="A60:A61"/>
    <mergeCell ref="I36:J36"/>
    <mergeCell ref="B14:B15"/>
    <mergeCell ref="A14:A15"/>
    <mergeCell ref="C14:C15"/>
    <mergeCell ref="E14:E15"/>
    <mergeCell ref="I159:I160"/>
    <mergeCell ref="H159:H160"/>
    <mergeCell ref="B60:B61"/>
    <mergeCell ref="E154:J154"/>
    <mergeCell ref="I37:J37"/>
    <mergeCell ref="I96:J96"/>
    <mergeCell ref="D159:G159"/>
    <mergeCell ref="I60:J60"/>
    <mergeCell ref="E153:J153"/>
    <mergeCell ref="E152:J152"/>
    <mergeCell ref="I95:J95"/>
    <mergeCell ref="L60:L61"/>
    <mergeCell ref="C159:C160"/>
    <mergeCell ref="C60:C61"/>
    <mergeCell ref="G14:H14"/>
    <mergeCell ref="A159:A160"/>
    <mergeCell ref="I14:J14"/>
    <mergeCell ref="I39:J39"/>
    <mergeCell ref="D14:D15"/>
    <mergeCell ref="F14:F15"/>
    <mergeCell ref="E151:J151"/>
    <mergeCell ref="I38:J38"/>
    <mergeCell ref="J159:J160"/>
    <mergeCell ref="D60:D61"/>
    <mergeCell ref="I94:J94"/>
    <mergeCell ref="G60:H60"/>
    <mergeCell ref="B159:B16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TxN</dc:creator>
  <cp:lastModifiedBy>Trinh TxN</cp:lastModifiedBy>
  <dcterms:created xsi:type="dcterms:W3CDTF">2024-11-18T04:05:41Z</dcterms:created>
  <dcterms:modified xsi:type="dcterms:W3CDTF">2024-11-18T05:41:43Z</dcterms:modified>
</cp:coreProperties>
</file>