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sonstolze\Desktop\TEMPLATES\002 - EXCELL SHEETS\1-25-17\"/>
    </mc:Choice>
  </mc:AlternateContent>
  <bookViews>
    <workbookView xWindow="0" yWindow="0" windowWidth="28800" windowHeight="11610"/>
  </bookViews>
  <sheets>
    <sheet name="FORM" sheetId="4" r:id="rId1"/>
    <sheet name="SMALL TABLES" sheetId="5" state="hidden" r:id="rId2"/>
    <sheet name="MODULES" sheetId="2" r:id="rId3"/>
    <sheet name="INVERTERS" sheetId="3" r:id="rId4"/>
    <sheet name="UTILITY &amp; DEALS" sheetId="15" r:id="rId5"/>
    <sheet name="CALCULATORS" sheetId="8" r:id="rId6"/>
    <sheet name="CALCULATIONS" sheetId="1" state="hidden" r:id="rId7"/>
    <sheet name="LARGE TABLE" sheetId="6" state="hidden" r:id="rId8"/>
    <sheet name="MATERIAL LIST" sheetId="7" state="hidden" r:id="rId9"/>
    <sheet name="Sheet1" sheetId="14" state="hidden" r:id="rId10"/>
  </sheets>
  <definedNames>
    <definedName name="COVERTITLE">'SMALL TABLES'!$D$71:$D$72</definedName>
    <definedName name="DELETE">'SMALL TABLES'!$D$76</definedName>
    <definedName name="EQUIPMENTLOCATION">'SMALL TABLES'!$A$90:$C$92</definedName>
    <definedName name="EQUIPMENTSCHEDULE">'SMALL TABLES'!$Q$2:$R$7</definedName>
    <definedName name="FIVEMICROINVERTERS">'SMALL TABLES'!$I$8:$I$18</definedName>
    <definedName name="FOURMICROINVERTERS">'SMALL TABLES'!$I$8:$I$16</definedName>
    <definedName name="INVERTER1">'SMALL TABLES'!$A$8:$D$13</definedName>
    <definedName name="INVERTER2">'SMALL TABLES'!$A$16:$D$21</definedName>
    <definedName name="INVERTER3">'SMALL TABLES'!$A$24:$D$29</definedName>
    <definedName name="INVERTER4">'SMALL TABLES'!$A$32:$D$37</definedName>
    <definedName name="INVERTER5">'SMALL TABLES'!$A$40:$D$45</definedName>
    <definedName name="KEYTABLEHALF">'SMALL TABLES'!$A$60:$B$65</definedName>
    <definedName name="KEYTABLEWHOLE">'SMALL TABLES'!$A$60:$D$65</definedName>
    <definedName name="LARGETABLE">'LARGE TABLE'!$A$1:$B$50</definedName>
    <definedName name="MATERIAL">'MATERIAL LIST'!$A$1:$H$44</definedName>
    <definedName name="MODULESPEC">'SMALL TABLES'!$A$49:$B$54</definedName>
    <definedName name="NEWROOFLAYOUTTITLEBLOCK">'SMALL TABLES'!$M$2:$P$29</definedName>
    <definedName name="ONELINETITLEBLOCK1">'SMALL TABLES'!$A$2:$C$5</definedName>
    <definedName name="ONELINETITLEBLOCK2">'SMALL TABLES'!$E$2:$G$4</definedName>
    <definedName name="ONEMICROINVERTER">'SMALL TABLES'!$I$8:$I$10</definedName>
    <definedName name="ROOFLAYOUTTITLEBLOCK">'SMALL TABLES'!$A$71:$B$88</definedName>
    <definedName name="ROOFSCHEDULE">'SMALL TABLES'!$A$98:$A$105</definedName>
    <definedName name="SMALLKEYTABLE">'SMALL TABLES'!$F$60:$G$66</definedName>
    <definedName name="STRINGING1INVERTER">'SMALL TABLES'!$G$8:$G$9</definedName>
    <definedName name="STRINGING2INVERTERS">'SMALL TABLES'!$G$8:$G$10</definedName>
    <definedName name="STRINGING3INVERTERS">'SMALL TABLES'!$G$8:$G$11</definedName>
    <definedName name="STRINGING4INVERTERS">'SMALL TABLES'!$G$8:$G$12</definedName>
    <definedName name="STRINGING5INVERTERS">'SMALL TABLES'!$G$8:$G$13</definedName>
    <definedName name="THREEMICROINVERTERS">'SMALL TABLES'!$I$8:$I$14</definedName>
    <definedName name="TWOMICROINVERTERS">'SMALL TABLES'!$I$8:$I$12</definedName>
    <definedName name="WHICHDRAWING">'SMALL TABLES'!$D$79:$D$82</definedName>
  </definedNames>
  <calcPr calcId="152511"/>
</workbook>
</file>

<file path=xl/calcChain.xml><?xml version="1.0" encoding="utf-8"?>
<calcChain xmlns="http://schemas.openxmlformats.org/spreadsheetml/2006/main">
  <c r="C69" i="1" l="1"/>
  <c r="C68" i="1"/>
  <c r="C67" i="1"/>
  <c r="C66" i="1"/>
  <c r="R6" i="5"/>
  <c r="R5" i="5"/>
  <c r="R4" i="5"/>
  <c r="R3" i="5"/>
  <c r="A32" i="5"/>
  <c r="A24" i="5"/>
  <c r="A16" i="5"/>
  <c r="A8" i="5"/>
  <c r="F37" i="1" l="1"/>
  <c r="E37" i="1"/>
  <c r="D37" i="1"/>
  <c r="C37" i="1"/>
  <c r="P37" i="1" l="1"/>
  <c r="O37" i="1"/>
  <c r="N37" i="1"/>
  <c r="M37" i="1"/>
  <c r="E84" i="1" l="1"/>
  <c r="C87" i="1"/>
  <c r="B2" i="1" l="1"/>
  <c r="O26" i="5" l="1"/>
  <c r="O27" i="5"/>
  <c r="B39" i="6" l="1"/>
  <c r="C18" i="4" l="1"/>
  <c r="F12" i="4"/>
  <c r="C26" i="4" l="1"/>
  <c r="C22" i="4"/>
  <c r="C23" i="4"/>
  <c r="B38" i="6" l="1"/>
  <c r="B37" i="6"/>
  <c r="B36" i="6"/>
  <c r="B35" i="6"/>
  <c r="B34" i="6"/>
  <c r="B33" i="6"/>
  <c r="B32" i="6"/>
  <c r="B31" i="6"/>
  <c r="B30" i="6"/>
  <c r="B29" i="6"/>
  <c r="B3" i="6"/>
  <c r="D79" i="5"/>
  <c r="D13" i="5"/>
  <c r="D25" i="3" l="1"/>
  <c r="C57" i="1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6" i="3"/>
  <c r="D3" i="3"/>
  <c r="D2" i="3"/>
  <c r="C1" i="4" l="1"/>
  <c r="A26" i="2" l="1"/>
  <c r="A25" i="2"/>
  <c r="A24" i="2"/>
  <c r="A23" i="2"/>
  <c r="A22" i="2"/>
  <c r="A21" i="2"/>
  <c r="A2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B14" i="1" l="1"/>
  <c r="B13" i="1"/>
  <c r="B15" i="1" l="1"/>
  <c r="A40" i="5" l="1"/>
  <c r="A75" i="5"/>
  <c r="D71" i="5"/>
  <c r="B28" i="1"/>
  <c r="Q3" i="5"/>
  <c r="D84" i="5"/>
  <c r="A104" i="5"/>
  <c r="A102" i="5"/>
  <c r="A100" i="5"/>
  <c r="A98" i="5"/>
  <c r="D45" i="5"/>
  <c r="D37" i="5"/>
  <c r="D29" i="5"/>
  <c r="D21" i="5"/>
  <c r="A105" i="5"/>
  <c r="A103" i="5"/>
  <c r="A101" i="5"/>
  <c r="A99" i="5"/>
  <c r="D89" i="5"/>
  <c r="B37" i="1" l="1"/>
  <c r="L37" i="1"/>
  <c r="M32" i="5"/>
  <c r="B33" i="1"/>
  <c r="D11" i="5" s="1"/>
  <c r="D12" i="5" s="1"/>
  <c r="D10" i="5"/>
  <c r="B6" i="6" l="1"/>
  <c r="F19" i="4" l="1"/>
  <c r="R12" i="14" l="1"/>
  <c r="R11" i="14"/>
  <c r="R10" i="14"/>
  <c r="R9" i="14"/>
  <c r="G11" i="14" s="1"/>
  <c r="I11" i="14" s="1"/>
  <c r="G10" i="14"/>
  <c r="G17" i="14"/>
  <c r="I16" i="14"/>
  <c r="G15" i="14"/>
  <c r="G14" i="14"/>
  <c r="I14" i="14" s="1"/>
  <c r="M36" i="14"/>
  <c r="M35" i="14"/>
  <c r="M34" i="14"/>
  <c r="M33" i="14"/>
  <c r="M32" i="14"/>
  <c r="M31" i="14"/>
  <c r="M30" i="14"/>
  <c r="M29" i="14"/>
  <c r="M28" i="14"/>
  <c r="I17" i="14" l="1"/>
  <c r="F18" i="4" l="1"/>
  <c r="D18" i="4"/>
  <c r="D17" i="4"/>
  <c r="B6" i="7" l="1"/>
  <c r="C91" i="1" l="1"/>
  <c r="C86" i="1"/>
  <c r="D106" i="1"/>
  <c r="D105" i="1"/>
  <c r="D104" i="1"/>
  <c r="D103" i="1"/>
  <c r="D102" i="1"/>
  <c r="D101" i="1"/>
  <c r="D100" i="1"/>
  <c r="D99" i="1"/>
  <c r="D98" i="1"/>
  <c r="D97" i="1"/>
  <c r="C90" i="1"/>
  <c r="C89" i="1"/>
  <c r="B12" i="7" l="1"/>
  <c r="A12" i="7" s="1"/>
  <c r="B11" i="7" l="1"/>
  <c r="B10" i="7"/>
  <c r="B9" i="7"/>
  <c r="B7" i="7"/>
  <c r="A7" i="7" s="1"/>
  <c r="A6" i="7" l="1"/>
  <c r="C7" i="8" l="1"/>
  <c r="C6" i="8" s="1"/>
  <c r="C8" i="8" s="1"/>
  <c r="D17" i="8"/>
  <c r="E17" i="8" s="1"/>
  <c r="D18" i="8"/>
  <c r="E18" i="8" s="1"/>
  <c r="D19" i="8"/>
  <c r="E19" i="8" s="1"/>
  <c r="D16" i="8"/>
  <c r="E16" i="8" s="1"/>
  <c r="B20" i="8"/>
  <c r="F5" i="8"/>
  <c r="C10" i="8" l="1"/>
  <c r="C11" i="8" s="1"/>
  <c r="E20" i="8"/>
  <c r="C25" i="8" s="1"/>
  <c r="C9" i="8"/>
  <c r="B110" i="1"/>
  <c r="C27" i="8" l="1"/>
  <c r="C26" i="8"/>
  <c r="C28" i="8"/>
  <c r="B25" i="4"/>
  <c r="I3" i="4"/>
  <c r="M29" i="5" l="1"/>
  <c r="D76" i="5"/>
  <c r="C92" i="5" l="1"/>
  <c r="C90" i="5"/>
  <c r="A90" i="5" l="1"/>
  <c r="A58" i="7" l="1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P3" i="5" l="1"/>
  <c r="P4" i="5"/>
  <c r="P2" i="5"/>
  <c r="N3" i="5"/>
  <c r="N4" i="5"/>
  <c r="N5" i="5"/>
  <c r="N2" i="5"/>
  <c r="M3" i="5"/>
  <c r="M4" i="5"/>
  <c r="M5" i="5"/>
  <c r="M2" i="5"/>
  <c r="F27" i="4"/>
  <c r="P5" i="5" l="1"/>
  <c r="B27" i="4"/>
  <c r="C55" i="1"/>
  <c r="I67" i="1" l="1"/>
  <c r="I65" i="1" l="1"/>
  <c r="B81" i="5"/>
  <c r="B79" i="5"/>
  <c r="C72" i="1" l="1"/>
  <c r="D72" i="1" s="1"/>
  <c r="D69" i="1"/>
  <c r="D68" i="1"/>
  <c r="D67" i="1"/>
  <c r="I41" i="1" l="1"/>
  <c r="C54" i="1" s="1"/>
  <c r="D54" i="1" l="1"/>
  <c r="C93" i="1"/>
  <c r="D58" i="1"/>
  <c r="D55" i="1"/>
  <c r="D44" i="1"/>
  <c r="I29" i="1" l="1"/>
  <c r="I30" i="1"/>
  <c r="I31" i="1"/>
  <c r="I32" i="1"/>
  <c r="I28" i="1"/>
  <c r="I27" i="1"/>
  <c r="E71" i="1" s="1"/>
  <c r="E26" i="1"/>
  <c r="E86" i="1" s="1"/>
  <c r="D86" i="1" l="1"/>
  <c r="J32" i="1"/>
  <c r="J31" i="1"/>
  <c r="J30" i="1"/>
  <c r="J29" i="1"/>
  <c r="J28" i="1"/>
  <c r="B25" i="1"/>
  <c r="A5" i="5" s="1"/>
  <c r="I26" i="1" l="1"/>
  <c r="C47" i="1" s="1"/>
  <c r="B16" i="1"/>
  <c r="C84" i="1" s="1"/>
  <c r="B24" i="1"/>
  <c r="O17" i="5" s="1"/>
  <c r="B23" i="1"/>
  <c r="A4" i="5" s="1"/>
  <c r="B22" i="1"/>
  <c r="B20" i="1"/>
  <c r="B88" i="5" s="1"/>
  <c r="O25" i="5" s="1"/>
  <c r="B21" i="1"/>
  <c r="B19" i="1"/>
  <c r="B87" i="5" s="1"/>
  <c r="O24" i="5" s="1"/>
  <c r="D72" i="5"/>
  <c r="B17" i="1"/>
  <c r="B18" i="1"/>
  <c r="M9" i="5" s="1"/>
  <c r="A71" i="5"/>
  <c r="M8" i="5" s="1"/>
  <c r="C12" i="1"/>
  <c r="B3" i="1"/>
  <c r="C3" i="1"/>
  <c r="C49" i="1" s="1"/>
  <c r="D3" i="1"/>
  <c r="C50" i="1" s="1"/>
  <c r="E3" i="1"/>
  <c r="F3" i="1"/>
  <c r="B4" i="1"/>
  <c r="C4" i="1"/>
  <c r="D4" i="1"/>
  <c r="D7" i="1" s="1"/>
  <c r="E4" i="1"/>
  <c r="E7" i="1" s="1"/>
  <c r="F4" i="1"/>
  <c r="F7" i="1" s="1"/>
  <c r="B5" i="1"/>
  <c r="B41" i="1" s="1"/>
  <c r="C5" i="1"/>
  <c r="D5" i="1"/>
  <c r="D41" i="1" s="1"/>
  <c r="E5" i="1"/>
  <c r="E41" i="1" s="1"/>
  <c r="F5" i="1"/>
  <c r="F41" i="1" s="1"/>
  <c r="C6" i="1"/>
  <c r="D6" i="1"/>
  <c r="E6" i="1"/>
  <c r="F6" i="1"/>
  <c r="C2" i="1"/>
  <c r="D2" i="1"/>
  <c r="E2" i="1"/>
  <c r="F2" i="1"/>
  <c r="Q6" i="5" l="1"/>
  <c r="Q5" i="5"/>
  <c r="Q4" i="5"/>
  <c r="D84" i="1"/>
  <c r="F40" i="1"/>
  <c r="G13" i="5" s="1"/>
  <c r="E40" i="1"/>
  <c r="G12" i="5" s="1"/>
  <c r="I10" i="5"/>
  <c r="I16" i="5"/>
  <c r="I14" i="5"/>
  <c r="I18" i="5"/>
  <c r="I12" i="5"/>
  <c r="C48" i="1"/>
  <c r="D48" i="1" s="1"/>
  <c r="R2" i="5"/>
  <c r="A50" i="5"/>
  <c r="B7" i="1"/>
  <c r="B40" i="1"/>
  <c r="G9" i="5" s="1"/>
  <c r="H14" i="1"/>
  <c r="B31" i="1" s="1"/>
  <c r="B12" i="5" s="1"/>
  <c r="H10" i="1"/>
  <c r="H8" i="1"/>
  <c r="H7" i="1"/>
  <c r="H13" i="1"/>
  <c r="H11" i="1"/>
  <c r="H9" i="1"/>
  <c r="H12" i="1"/>
  <c r="B53" i="5" s="1"/>
  <c r="G3" i="5"/>
  <c r="C7" i="1"/>
  <c r="E93" i="1"/>
  <c r="B60" i="1"/>
  <c r="C46" i="1" s="1"/>
  <c r="I43" i="1"/>
  <c r="D47" i="1"/>
  <c r="I42" i="1"/>
  <c r="B16" i="6" s="1"/>
  <c r="A3" i="5"/>
  <c r="D93" i="1"/>
  <c r="C5" i="5"/>
  <c r="B80" i="5"/>
  <c r="C3" i="5"/>
  <c r="B78" i="5"/>
  <c r="O16" i="5" s="1"/>
  <c r="A73" i="5"/>
  <c r="M11" i="5" s="1"/>
  <c r="B2" i="7"/>
  <c r="E28" i="1"/>
  <c r="O2" i="1"/>
  <c r="M2" i="1"/>
  <c r="N2" i="1"/>
  <c r="L2" i="1"/>
  <c r="D49" i="1"/>
  <c r="D50" i="1"/>
  <c r="C2" i="5"/>
  <c r="B77" i="5"/>
  <c r="O15" i="5" s="1"/>
  <c r="A2" i="5"/>
  <c r="F28" i="1"/>
  <c r="P2" i="1"/>
  <c r="C51" i="1"/>
  <c r="D51" i="1" s="1"/>
  <c r="G2" i="5"/>
  <c r="B1" i="7"/>
  <c r="D28" i="1"/>
  <c r="C53" i="1"/>
  <c r="D53" i="1" s="1"/>
  <c r="C28" i="1"/>
  <c r="C52" i="1"/>
  <c r="D52" i="1" s="1"/>
  <c r="E8" i="1"/>
  <c r="C11" i="1"/>
  <c r="C10" i="1"/>
  <c r="F8" i="1"/>
  <c r="F10" i="1"/>
  <c r="B8" i="1"/>
  <c r="F11" i="1"/>
  <c r="B11" i="1"/>
  <c r="D10" i="1"/>
  <c r="D11" i="1"/>
  <c r="D9" i="1"/>
  <c r="C9" i="1"/>
  <c r="E9" i="1"/>
  <c r="E11" i="1"/>
  <c r="D8" i="1"/>
  <c r="E10" i="1"/>
  <c r="B9" i="1"/>
  <c r="C8" i="1"/>
  <c r="F9" i="1"/>
  <c r="B10" i="1"/>
  <c r="B29" i="1" l="1"/>
  <c r="B10" i="5" s="1"/>
  <c r="B51" i="5"/>
  <c r="Q32" i="5"/>
  <c r="D33" i="1"/>
  <c r="B8" i="6" s="1"/>
  <c r="O32" i="5"/>
  <c r="C33" i="1"/>
  <c r="B7" i="6" s="1"/>
  <c r="N32" i="5"/>
  <c r="E10" i="4"/>
  <c r="D10" i="4"/>
  <c r="E33" i="1"/>
  <c r="B9" i="6" s="1"/>
  <c r="C77" i="1" s="1"/>
  <c r="D77" i="1" s="1"/>
  <c r="P32" i="5"/>
  <c r="F33" i="1"/>
  <c r="B10" i="6" s="1"/>
  <c r="R7" i="5"/>
  <c r="Q7" i="5" s="1"/>
  <c r="B28" i="6"/>
  <c r="B15" i="6"/>
  <c r="B12" i="6"/>
  <c r="B14" i="6"/>
  <c r="B13" i="6"/>
  <c r="B11" i="6"/>
  <c r="B19" i="6"/>
  <c r="B20" i="6" s="1"/>
  <c r="A29" i="4"/>
  <c r="B30" i="1"/>
  <c r="B11" i="5" s="1"/>
  <c r="B52" i="5"/>
  <c r="B32" i="1"/>
  <c r="B13" i="5" s="1"/>
  <c r="B27" i="6"/>
  <c r="B54" i="5"/>
  <c r="B17" i="6"/>
  <c r="B38" i="1"/>
  <c r="G33" i="1"/>
  <c r="D42" i="5"/>
  <c r="D34" i="5"/>
  <c r="D26" i="5"/>
  <c r="C70" i="1"/>
  <c r="D70" i="1" s="1"/>
  <c r="D18" i="5"/>
  <c r="F6" i="8"/>
  <c r="C95" i="1"/>
  <c r="D95" i="1" s="1"/>
  <c r="C83" i="1"/>
  <c r="D83" i="1" s="1"/>
  <c r="C94" i="1"/>
  <c r="D94" i="1" s="1"/>
  <c r="C82" i="1"/>
  <c r="C78" i="1"/>
  <c r="C81" i="1"/>
  <c r="D81" i="1" s="1"/>
  <c r="C96" i="1"/>
  <c r="D96" i="1" s="1"/>
  <c r="C71" i="1"/>
  <c r="D71" i="1" s="1"/>
  <c r="C79" i="1"/>
  <c r="D79" i="1" s="1"/>
  <c r="C80" i="1"/>
  <c r="D80" i="1" s="1"/>
  <c r="I5" i="4"/>
  <c r="H10" i="4"/>
  <c r="H6" i="4"/>
  <c r="H9" i="4"/>
  <c r="H5" i="4"/>
  <c r="H8" i="4"/>
  <c r="H7" i="4"/>
  <c r="I4" i="4"/>
  <c r="B9" i="4"/>
  <c r="B8" i="7" s="1"/>
  <c r="C40" i="1"/>
  <c r="F10" i="4"/>
  <c r="B12" i="1"/>
  <c r="G8" i="5" s="1"/>
  <c r="I39" i="1"/>
  <c r="I40" i="1"/>
  <c r="B86" i="5"/>
  <c r="O23" i="5" s="1"/>
  <c r="O20" i="5" l="1"/>
  <c r="D43" i="5"/>
  <c r="D44" i="5" s="1"/>
  <c r="B23" i="6"/>
  <c r="B24" i="6" s="1"/>
  <c r="B25" i="6" s="1"/>
  <c r="B26" i="6" s="1"/>
  <c r="B35" i="1"/>
  <c r="B5" i="6" s="1"/>
  <c r="B18" i="6"/>
  <c r="B21" i="6" s="1"/>
  <c r="B22" i="6" s="1"/>
  <c r="B34" i="1"/>
  <c r="D34" i="1" s="1"/>
  <c r="Q2" i="5"/>
  <c r="I8" i="5"/>
  <c r="D35" i="5"/>
  <c r="D36" i="5" s="1"/>
  <c r="D27" i="5"/>
  <c r="D28" i="5" s="1"/>
  <c r="C75" i="1"/>
  <c r="D75" i="1" s="1"/>
  <c r="D19" i="5"/>
  <c r="D20" i="5" s="1"/>
  <c r="E65" i="1"/>
  <c r="I4" i="5"/>
  <c r="D46" i="1"/>
  <c r="D81" i="5"/>
  <c r="D82" i="5" s="1"/>
  <c r="C65" i="1"/>
  <c r="D65" i="1" s="1"/>
  <c r="D92" i="1"/>
  <c r="B10" i="4"/>
  <c r="C10" i="4"/>
  <c r="G5" i="4"/>
  <c r="D82" i="1"/>
  <c r="A8" i="7"/>
  <c r="B85" i="5"/>
  <c r="O22" i="5" s="1"/>
  <c r="B6" i="1"/>
  <c r="B109" i="1"/>
  <c r="B108" i="1"/>
  <c r="A10" i="4"/>
  <c r="D78" i="1"/>
  <c r="C76" i="1"/>
  <c r="D76" i="1" s="1"/>
  <c r="D32" i="1"/>
  <c r="B29" i="5" s="1"/>
  <c r="D30" i="1"/>
  <c r="B27" i="5" s="1"/>
  <c r="D31" i="1"/>
  <c r="B28" i="5" s="1"/>
  <c r="C41" i="1"/>
  <c r="G10" i="5" s="1"/>
  <c r="D40" i="1"/>
  <c r="G11" i="5" s="1"/>
  <c r="F32" i="1"/>
  <c r="B45" i="5" s="1"/>
  <c r="E32" i="1"/>
  <c r="B37" i="5" s="1"/>
  <c r="C32" i="1"/>
  <c r="B21" i="5" s="1"/>
  <c r="F30" i="1"/>
  <c r="B43" i="5" s="1"/>
  <c r="E30" i="1"/>
  <c r="B35" i="5" s="1"/>
  <c r="C30" i="1"/>
  <c r="B19" i="5" s="1"/>
  <c r="C29" i="1"/>
  <c r="E29" i="1"/>
  <c r="B34" i="5" s="1"/>
  <c r="F29" i="1"/>
  <c r="B42" i="5" s="1"/>
  <c r="F31" i="1"/>
  <c r="B44" i="5" s="1"/>
  <c r="E31" i="1"/>
  <c r="B36" i="5" s="1"/>
  <c r="C31" i="1"/>
  <c r="B20" i="5" s="1"/>
  <c r="D29" i="1"/>
  <c r="B26" i="5" s="1"/>
  <c r="I66" i="1"/>
  <c r="B84" i="5"/>
  <c r="O21" i="5" s="1"/>
  <c r="C45" i="1" l="1"/>
  <c r="D45" i="1" s="1"/>
  <c r="B4" i="6"/>
  <c r="B40" i="6" s="1"/>
  <c r="B2" i="6"/>
  <c r="B36" i="1"/>
  <c r="B1" i="6" s="1"/>
  <c r="C74" i="1"/>
  <c r="D74" i="1" s="1"/>
  <c r="B18" i="5"/>
  <c r="I3" i="5"/>
  <c r="E2" i="5" s="1"/>
  <c r="M13" i="5"/>
  <c r="D86" i="5"/>
  <c r="G9" i="14"/>
  <c r="G10" i="4"/>
  <c r="E89" i="1"/>
  <c r="E91" i="1"/>
  <c r="E90" i="1"/>
  <c r="B5" i="7"/>
  <c r="B111" i="1"/>
  <c r="B112" i="1" s="1"/>
  <c r="D91" i="1"/>
  <c r="D90" i="1"/>
  <c r="D89" i="1"/>
  <c r="I68" i="1"/>
  <c r="I69" i="1" s="1"/>
  <c r="I70" i="1" s="1"/>
  <c r="E87" i="1" s="1"/>
  <c r="F11" i="4"/>
  <c r="D85" i="5" s="1"/>
  <c r="B83" i="5"/>
  <c r="O19" i="5" s="1"/>
  <c r="C85" i="1" l="1"/>
  <c r="D85" i="1" s="1"/>
  <c r="D80" i="5"/>
  <c r="I9" i="14"/>
  <c r="I12" i="14"/>
  <c r="I13" i="14"/>
  <c r="I15" i="14"/>
  <c r="I10" i="14"/>
  <c r="E25" i="1"/>
  <c r="C56" i="1" s="1"/>
  <c r="D87" i="5"/>
  <c r="D88" i="5" s="1"/>
  <c r="D112" i="1"/>
  <c r="C112" i="1"/>
  <c r="B114" i="1" s="1"/>
  <c r="B115" i="1" s="1"/>
  <c r="B113" i="1"/>
  <c r="D87" i="1"/>
  <c r="D4" i="14" l="1"/>
  <c r="C88" i="1"/>
  <c r="D88" i="1" s="1"/>
  <c r="D56" i="1"/>
  <c r="C73" i="1"/>
  <c r="D73" i="1" s="1"/>
  <c r="D57" i="1"/>
  <c r="D62" i="5" l="1"/>
  <c r="C62" i="5" s="1"/>
  <c r="B60" i="5"/>
  <c r="A60" i="5" s="1"/>
  <c r="D64" i="5"/>
  <c r="C64" i="5" s="1"/>
  <c r="B62" i="5"/>
  <c r="A62" i="5" s="1"/>
  <c r="D61" i="5"/>
  <c r="C61" i="5" s="1"/>
  <c r="B61" i="5"/>
  <c r="G61" i="5" s="1"/>
  <c r="F61" i="5" s="1"/>
  <c r="B63" i="5"/>
  <c r="A63" i="5" s="1"/>
  <c r="B65" i="5"/>
  <c r="A65" i="5" s="1"/>
  <c r="D60" i="5"/>
  <c r="C60" i="5" s="1"/>
  <c r="D65" i="5"/>
  <c r="C65" i="5" s="1"/>
  <c r="D63" i="5"/>
  <c r="C63" i="5" s="1"/>
  <c r="B64" i="5"/>
  <c r="G64" i="5" s="1"/>
  <c r="F64" i="5" s="1"/>
  <c r="I6" i="14"/>
  <c r="D4" i="7" s="1"/>
  <c r="I4" i="14"/>
  <c r="H4" i="7" s="1"/>
  <c r="I5" i="14"/>
  <c r="F4" i="7" s="1"/>
  <c r="B4" i="7"/>
  <c r="A61" i="5" l="1"/>
  <c r="G63" i="5"/>
  <c r="F63" i="5" s="1"/>
  <c r="G60" i="5"/>
  <c r="F60" i="5" s="1"/>
  <c r="G62" i="5"/>
  <c r="F62" i="5" s="1"/>
  <c r="G65" i="5"/>
  <c r="F65" i="5" s="1"/>
  <c r="G66" i="5"/>
  <c r="F66" i="5" s="1"/>
  <c r="A64" i="5"/>
  <c r="D66" i="1"/>
  <c r="D41" i="7" l="1"/>
  <c r="B16" i="7"/>
  <c r="B21" i="7"/>
  <c r="A21" i="7" s="1"/>
  <c r="B20" i="7"/>
  <c r="H20" i="7" s="1"/>
  <c r="B23" i="7"/>
  <c r="F23" i="7" s="1"/>
  <c r="B40" i="7"/>
  <c r="H40" i="7" s="1"/>
  <c r="B43" i="7"/>
  <c r="F43" i="7" s="1"/>
  <c r="B26" i="7"/>
  <c r="F26" i="7" s="1"/>
  <c r="B42" i="7"/>
  <c r="F42" i="7" s="1"/>
  <c r="B30" i="7"/>
  <c r="F30" i="7" s="1"/>
  <c r="B24" i="7"/>
  <c r="A24" i="7" s="1"/>
  <c r="B28" i="7"/>
  <c r="H28" i="7" s="1"/>
  <c r="B37" i="7"/>
  <c r="H37" i="7" s="1"/>
  <c r="B15" i="7"/>
  <c r="H15" i="7" s="1"/>
  <c r="B44" i="7"/>
  <c r="F44" i="7" s="1"/>
  <c r="B27" i="7"/>
  <c r="H27" i="7" s="1"/>
  <c r="B29" i="7"/>
  <c r="H29" i="7" s="1"/>
  <c r="B25" i="7"/>
  <c r="A25" i="7" s="1"/>
  <c r="B39" i="7"/>
  <c r="B38" i="7"/>
  <c r="B34" i="7"/>
  <c r="B17" i="7"/>
  <c r="B35" i="7"/>
  <c r="B33" i="7"/>
  <c r="B31" i="7"/>
  <c r="B32" i="7"/>
  <c r="B41" i="7"/>
  <c r="B36" i="7"/>
  <c r="B22" i="7"/>
  <c r="B19" i="7"/>
  <c r="B18" i="7"/>
  <c r="D20" i="7"/>
  <c r="D36" i="7"/>
  <c r="D18" i="7"/>
  <c r="D21" i="7"/>
  <c r="D28" i="7"/>
  <c r="D40" i="7"/>
  <c r="D25" i="7"/>
  <c r="D23" i="7"/>
  <c r="D26" i="7"/>
  <c r="D24" i="7"/>
  <c r="D19" i="7"/>
  <c r="D34" i="7"/>
  <c r="D39" i="7"/>
  <c r="D22" i="7"/>
  <c r="D31" i="7"/>
  <c r="D35" i="7"/>
  <c r="D17" i="7"/>
  <c r="D38" i="7"/>
  <c r="D30" i="7"/>
  <c r="D27" i="7"/>
  <c r="D37" i="7"/>
  <c r="D29" i="7"/>
  <c r="H43" i="7"/>
  <c r="D32" i="7"/>
  <c r="D16" i="7"/>
  <c r="D42" i="7"/>
  <c r="D44" i="7"/>
  <c r="D43" i="7"/>
  <c r="D15" i="7"/>
  <c r="D33" i="7"/>
  <c r="A44" i="7" l="1"/>
  <c r="H21" i="7"/>
  <c r="H44" i="7"/>
  <c r="A43" i="7"/>
  <c r="F21" i="7"/>
  <c r="H24" i="7"/>
  <c r="F24" i="7"/>
  <c r="F20" i="7"/>
  <c r="A20" i="7"/>
  <c r="H42" i="7"/>
  <c r="H23" i="7"/>
  <c r="F28" i="7"/>
  <c r="F40" i="7"/>
  <c r="A40" i="7"/>
  <c r="F29" i="7"/>
  <c r="A29" i="7"/>
  <c r="F37" i="7"/>
  <c r="A42" i="7"/>
  <c r="A37" i="7"/>
  <c r="F25" i="7"/>
  <c r="A15" i="7"/>
  <c r="A30" i="7"/>
  <c r="F15" i="7"/>
  <c r="H30" i="7"/>
  <c r="H25" i="7"/>
  <c r="A28" i="7"/>
  <c r="A23" i="7"/>
  <c r="H26" i="7"/>
  <c r="A26" i="7"/>
  <c r="A27" i="7"/>
  <c r="F27" i="7"/>
  <c r="F22" i="7"/>
  <c r="A22" i="7"/>
  <c r="H22" i="7"/>
  <c r="A31" i="7"/>
  <c r="F31" i="7"/>
  <c r="H31" i="7"/>
  <c r="A17" i="7"/>
  <c r="F17" i="7"/>
  <c r="H17" i="7"/>
  <c r="A36" i="7"/>
  <c r="H36" i="7"/>
  <c r="F36" i="7"/>
  <c r="H16" i="7"/>
  <c r="A16" i="7"/>
  <c r="F16" i="7"/>
  <c r="F34" i="7"/>
  <c r="H34" i="7"/>
  <c r="A34" i="7"/>
  <c r="F18" i="7"/>
  <c r="A18" i="7"/>
  <c r="H18" i="7"/>
  <c r="A41" i="7"/>
  <c r="H41" i="7"/>
  <c r="F41" i="7"/>
  <c r="A33" i="7"/>
  <c r="F33" i="7"/>
  <c r="H33" i="7"/>
  <c r="H38" i="7"/>
  <c r="F38" i="7"/>
  <c r="A38" i="7"/>
  <c r="H19" i="7"/>
  <c r="F19" i="7"/>
  <c r="A19" i="7"/>
  <c r="A32" i="7"/>
  <c r="H32" i="7"/>
  <c r="F32" i="7"/>
  <c r="A35" i="7"/>
  <c r="F35" i="7"/>
  <c r="H35" i="7"/>
  <c r="H39" i="7"/>
  <c r="F39" i="7"/>
  <c r="A39" i="7"/>
</calcChain>
</file>

<file path=xl/sharedStrings.xml><?xml version="1.0" encoding="utf-8"?>
<sst xmlns="http://schemas.openxmlformats.org/spreadsheetml/2006/main" count="544" uniqueCount="368">
  <si>
    <t>INVERTER</t>
  </si>
  <si>
    <t>WATTAGE</t>
  </si>
  <si>
    <t>MODULE</t>
  </si>
  <si>
    <t>Imp</t>
  </si>
  <si>
    <t>Vmp</t>
  </si>
  <si>
    <t>Voc</t>
  </si>
  <si>
    <t>Isc</t>
  </si>
  <si>
    <t>MODEL NUMBER</t>
  </si>
  <si>
    <t>LIST</t>
  </si>
  <si>
    <t>LG 280</t>
  </si>
  <si>
    <t>LG 290</t>
  </si>
  <si>
    <t>SUNPOWER 327</t>
  </si>
  <si>
    <t>LG280N1C-G3</t>
  </si>
  <si>
    <t>LG290N1C-G3</t>
  </si>
  <si>
    <t>SPR-327NE-WHT-D</t>
  </si>
  <si>
    <t>INVERTER 1</t>
  </si>
  <si>
    <t>INVERTER 2</t>
  </si>
  <si>
    <t>INVERTER 3</t>
  </si>
  <si>
    <t>INVERTER 4</t>
  </si>
  <si>
    <t>INVERTER 5</t>
  </si>
  <si>
    <t>INVERTER MODEL:</t>
  </si>
  <si>
    <t># OF STRINGS:</t>
  </si>
  <si>
    <t># OF MODULES ON LARGEST STRING:</t>
  </si>
  <si>
    <t>MODULE TYPE:</t>
  </si>
  <si>
    <t>DEAL:</t>
  </si>
  <si>
    <t>SERVICE AMPERAGE:</t>
  </si>
  <si>
    <t>JOB NAME:</t>
  </si>
  <si>
    <t>ADDRESS:</t>
  </si>
  <si>
    <t>TRINITY ACCOUNT #:</t>
  </si>
  <si>
    <t>UTILITY COMPANY:</t>
  </si>
  <si>
    <t>UTILITY ACCOUNT #:</t>
  </si>
  <si>
    <t>UTILITY METER #:</t>
  </si>
  <si>
    <t>DRAWER'S INITIALS:</t>
  </si>
  <si>
    <t>DATE:</t>
  </si>
  <si>
    <t># OF MICROINVERTERS:</t>
  </si>
  <si>
    <t># OF MODULES ON ADDITIONAL STRING
(ONLY IF DIFFERENT THAN LARGEST STRING):</t>
  </si>
  <si>
    <t>REVISION #:</t>
  </si>
  <si>
    <t>REVISION DRAWER'S INITIALS:</t>
  </si>
  <si>
    <t>MODULES:</t>
  </si>
  <si>
    <t>N/A</t>
  </si>
  <si>
    <t>REVISION DATE:</t>
  </si>
  <si>
    <t>SYSTEM SIZE:</t>
  </si>
  <si>
    <t>MODULE WATTAGE:</t>
  </si>
  <si>
    <t>MODULE :</t>
  </si>
  <si>
    <t>MODEL #:</t>
  </si>
  <si>
    <t>Imp:</t>
  </si>
  <si>
    <t>Vmp:</t>
  </si>
  <si>
    <t>Voc:</t>
  </si>
  <si>
    <t>Isc:</t>
  </si>
  <si>
    <t>CALCULATED Voc:</t>
  </si>
  <si>
    <t>CALCULATED Voc</t>
  </si>
  <si>
    <t>M215 MICROINVERTERS</t>
  </si>
  <si>
    <t>ONELINE TITLE BLOCK 1</t>
  </si>
  <si>
    <t>ONELINE TITLE BLOCK 2</t>
  </si>
  <si>
    <t>W</t>
  </si>
  <si>
    <t>kW</t>
  </si>
  <si>
    <t>(USE 5 FOR MICROS)</t>
  </si>
  <si>
    <t>TRINA 260</t>
  </si>
  <si>
    <t>Iout</t>
  </si>
  <si>
    <t>TOTAL AMPERAGE:</t>
  </si>
  <si>
    <t>Iout:</t>
  </si>
  <si>
    <t># OF ARRAYS:</t>
  </si>
  <si>
    <t>TOTAL MICROINVERTERS:</t>
  </si>
  <si>
    <t>CIRCUIT 1:</t>
  </si>
  <si>
    <t>CIRCUIT 2:</t>
  </si>
  <si>
    <t>CIRCUIT 3:</t>
  </si>
  <si>
    <t>CIRCUIT 4:</t>
  </si>
  <si>
    <t>CIRCUIT 5:</t>
  </si>
  <si>
    <t>MAIN BREAKER/FUSE:</t>
  </si>
  <si>
    <t>MAIN BREAKER/FUSE SIZE:</t>
  </si>
  <si>
    <t>INVERTER 1 SPEC</t>
  </si>
  <si>
    <t>DC</t>
  </si>
  <si>
    <t>AC</t>
  </si>
  <si>
    <t>Pout</t>
  </si>
  <si>
    <t>Vnom</t>
  </si>
  <si>
    <t>Imax</t>
  </si>
  <si>
    <t>INVERTER 2 SPEC</t>
  </si>
  <si>
    <t>INVERTER 3 SPEC</t>
  </si>
  <si>
    <t>INVERTER 4 SPEC</t>
  </si>
  <si>
    <t>INVERTER 5 SPEC</t>
  </si>
  <si>
    <t>STRING 1:</t>
  </si>
  <si>
    <t>STRING 2:</t>
  </si>
  <si>
    <t>MODULE STRINGING SPEC</t>
  </si>
  <si>
    <t>MODULE SPEC</t>
  </si>
  <si>
    <t>PV MODULE SPECIFICATIONS</t>
  </si>
  <si>
    <t>MAIN DISCONNECT:</t>
  </si>
  <si>
    <t>MICROINVERTER TOP LEFT TITLE BLOCK</t>
  </si>
  <si>
    <t>KEY TABLE</t>
  </si>
  <si>
    <t>#6 THWN-2 GEC TO EXISTING GROUND ROD</t>
  </si>
  <si>
    <t>KEY TABLE:</t>
  </si>
  <si>
    <t>NEW SMA's?</t>
  </si>
  <si>
    <t>LINE TAPS OR BREAKER:</t>
  </si>
  <si>
    <t>TAPS OR BREAKER:</t>
  </si>
  <si>
    <t>ONLY PVP's?</t>
  </si>
  <si>
    <t>TOTAL MICRO STRINGS:</t>
  </si>
  <si>
    <t>#10</t>
  </si>
  <si>
    <t>DC WIRE:</t>
  </si>
  <si>
    <t>ONLY MICRO's?</t>
  </si>
  <si>
    <t>UTILITY DISCO AMPERAGE:</t>
  </si>
  <si>
    <t>SUBPANEL AMPERAGE:</t>
  </si>
  <si>
    <t>INV 1 BREAKER:</t>
  </si>
  <si>
    <t>INV 2 BREAKER:</t>
  </si>
  <si>
    <t>INV 3 BREAKER:</t>
  </si>
  <si>
    <t>INV 4 BREAKER:</t>
  </si>
  <si>
    <t>INV 5 BREAKER:</t>
  </si>
  <si>
    <t>MICRO 1 BREAKER:</t>
  </si>
  <si>
    <t>MICRO 2 BREAKER:</t>
  </si>
  <si>
    <t>MICRO 3 BREAKER:</t>
  </si>
  <si>
    <t>MICRO 4 BREAKER:</t>
  </si>
  <si>
    <t>MICRO 5 BREAKER:</t>
  </si>
  <si>
    <t>MATERIAL LIST:</t>
  </si>
  <si>
    <t>LAYOUT TITLE BLOCK</t>
  </si>
  <si>
    <t>SUBPANEL OUTSIDE?:</t>
  </si>
  <si>
    <t>WATTAGE:</t>
  </si>
  <si>
    <t>HOW MANY MODULES ARE LANDSCAPED?:</t>
  </si>
  <si>
    <t>INVERTER/SUBPANEL OUTSIDE?:</t>
  </si>
  <si>
    <t>MODULES PORTRAIT:</t>
  </si>
  <si>
    <t>MODULES LANDSCAPE:</t>
  </si>
  <si>
    <t>RAIL LENGTH:</t>
  </si>
  <si>
    <t>FULL RAILS:</t>
  </si>
  <si>
    <t>ROUNDED UP:</t>
  </si>
  <si>
    <t>SMALL KEY TABLE</t>
  </si>
  <si>
    <t>SE3800A-US</t>
  </si>
  <si>
    <t>SE5000A-US</t>
  </si>
  <si>
    <t>SE6000A-US</t>
  </si>
  <si>
    <t>SE7600A-US</t>
  </si>
  <si>
    <t>SE10000A-US</t>
  </si>
  <si>
    <t>SE11400A-US</t>
  </si>
  <si>
    <t>SE?:</t>
  </si>
  <si>
    <t>SE ADC MAX:</t>
  </si>
  <si>
    <t>SE MAX IMP:</t>
  </si>
  <si>
    <t>MODULE COUNT:</t>
  </si>
  <si>
    <r>
      <t xml:space="preserve"># OF MODULES ON LARGEST STRING:
</t>
    </r>
    <r>
      <rPr>
        <i/>
        <sz val="12"/>
        <color theme="3" tint="0.39997558519241921"/>
        <rFont val="Calibri"/>
        <family val="2"/>
        <scheme val="minor"/>
      </rPr>
      <t>(IF SOLAR EDGE W/ 3 STINGS, 2 OF:)</t>
    </r>
  </si>
  <si>
    <r>
      <t xml:space="preserve"># OF MODULES ON ADDITIONAL STRING
(ONLY IF DIFFERENT THAN LARGEST STRING):
</t>
    </r>
    <r>
      <rPr>
        <i/>
        <sz val="12"/>
        <color theme="3" tint="0.39997558519241921"/>
        <rFont val="Calibri"/>
        <family val="2"/>
        <scheme val="minor"/>
      </rPr>
      <t>(IF SOLAR EDGE W/ 3 STRINGS, 1 OF:)</t>
    </r>
  </si>
  <si>
    <t>SOLAR EDGE</t>
  </si>
  <si>
    <t>DC REQUIRED CONDUCTOR AMP:</t>
  </si>
  <si>
    <t>DC WIRE SIZE:</t>
  </si>
  <si>
    <t># OF CCC:</t>
  </si>
  <si>
    <t>DERATE %:</t>
  </si>
  <si>
    <t>DC CONDUCTOR AMP:</t>
  </si>
  <si>
    <t>DERATED CONDUCTOR AMP:</t>
  </si>
  <si>
    <t>TOTAL INVERTER AMP:</t>
  </si>
  <si>
    <t>^ * 1.25:</t>
  </si>
  <si>
    <t>AC WIRE SIZE:</t>
  </si>
  <si>
    <t>AC CONDUCTOR AMP:</t>
  </si>
  <si>
    <t>MULTIPLY ^ BY:</t>
  </si>
  <si>
    <t>CS6P-255P</t>
  </si>
  <si>
    <t>CANADIAN SOLAR 255</t>
  </si>
  <si>
    <t>NO.</t>
  </si>
  <si>
    <t>DESCRIPTION</t>
  </si>
  <si>
    <t>DATE</t>
  </si>
  <si>
    <t>ISSUED/REVISIONS</t>
  </si>
  <si>
    <t>P1</t>
  </si>
  <si>
    <t>ISSUED TO TOWNSHIP FOR PERMIT</t>
  </si>
  <si>
    <t>NEW LAYOUT TITLE BLOCK</t>
  </si>
  <si>
    <t>DRAWING DATE:</t>
  </si>
  <si>
    <t>DRAWN BY:</t>
  </si>
  <si>
    <t>REVISED BY:</t>
  </si>
  <si>
    <t>TOTAL MODULE COUNT:</t>
  </si>
  <si>
    <t>MODULES USED:</t>
  </si>
  <si>
    <t>MODULE SPEC #:</t>
  </si>
  <si>
    <t>EQUIPMENT SCHEDULE</t>
  </si>
  <si>
    <t>ELECTRICAL 3 LINE DIAGRAM</t>
  </si>
  <si>
    <t>SE3000A-US</t>
  </si>
  <si>
    <t>UTILITY ACCT #:</t>
  </si>
  <si>
    <t>COVER TITLE</t>
  </si>
  <si>
    <t>DEAL TYPE:</t>
  </si>
  <si>
    <t>PEAK TO GROUND:</t>
  </si>
  <si>
    <t>FEET</t>
  </si>
  <si>
    <t>INCHES</t>
  </si>
  <si>
    <t>R1 ORIENTATION:</t>
  </si>
  <si>
    <t>R2 ORIENTATION:</t>
  </si>
  <si>
    <t>PITCH:</t>
  </si>
  <si>
    <t>R3 ORIENTATION:</t>
  </si>
  <si>
    <t>R4 ORIENTATION:</t>
  </si>
  <si>
    <t>°</t>
  </si>
  <si>
    <t>PEAK TO GROUND(FT):</t>
  </si>
  <si>
    <t>PEAK TO GROUND(IN):</t>
  </si>
  <si>
    <t>R1 ORIENT:</t>
  </si>
  <si>
    <t>R2 ORIENT:</t>
  </si>
  <si>
    <t>R3 ORIENT:</t>
  </si>
  <si>
    <t>R4 ORIENT:</t>
  </si>
  <si>
    <t>STREET:</t>
  </si>
  <si>
    <t>MAIN BREAKER LOCATION:</t>
  </si>
  <si>
    <t>EQUIPMENT LOCATION</t>
  </si>
  <si>
    <t>INVERTER LOCATION:</t>
  </si>
  <si>
    <t>ROOF SCHEDULE</t>
  </si>
  <si>
    <t>ROOF MOUNT OR GROUND MOUNT?:</t>
  </si>
  <si>
    <t>GOOD/DELETE</t>
  </si>
  <si>
    <t>WHICH DRAWING?</t>
  </si>
  <si>
    <t>LG 275</t>
  </si>
  <si>
    <t>LG275S1C-B3</t>
  </si>
  <si>
    <t>CANADIAN SOLAR 260</t>
  </si>
  <si>
    <t>CS6P-260P</t>
  </si>
  <si>
    <t>M250 MICROINVERTERS</t>
  </si>
  <si>
    <t>MICROS?</t>
  </si>
  <si>
    <t>MODEL?</t>
  </si>
  <si>
    <t># OF STRINGS COMBINED:</t>
  </si>
  <si>
    <t>MODULE ISC OR SE 15A:</t>
  </si>
  <si>
    <t>TRENCH?:</t>
  </si>
  <si>
    <t>VOLTAGE DROP</t>
  </si>
  <si>
    <t>VOLTAGE:</t>
  </si>
  <si>
    <t>AMPERAGE:</t>
  </si>
  <si>
    <t>DISTANCE:</t>
  </si>
  <si>
    <t>CMILS:</t>
  </si>
  <si>
    <t>CONDUCTOR SIZE:</t>
  </si>
  <si>
    <t>EGC/NEUTRAL SIZE:</t>
  </si>
  <si>
    <t>VD%:</t>
  </si>
  <si>
    <t>VOLTS DROPPED:</t>
  </si>
  <si>
    <t>NO</t>
  </si>
  <si>
    <t>AMPERAGE AT END OF RUN:</t>
  </si>
  <si>
    <t>DISTANCE OF TRENCH IN FEET:</t>
  </si>
  <si>
    <t>SINGLE PHASE VOLTAGE DROP CALCULATOR</t>
  </si>
  <si>
    <t>ACTUAL CMILS:</t>
  </si>
  <si>
    <t>REQUIRED MINIMUM CMILS:</t>
  </si>
  <si>
    <t>DC STRING VOLTS/AMPS CALCULATOR</t>
  </si>
  <si>
    <t>MODULE:</t>
  </si>
  <si>
    <t># OF MODULES IN STRING:</t>
  </si>
  <si>
    <t># OF WIRES</t>
  </si>
  <si>
    <t>WIRE SIZE</t>
  </si>
  <si>
    <t>DIAMETER</t>
  </si>
  <si>
    <t>*(# OF WIRES)</t>
  </si>
  <si>
    <t>NIPPLE? (12" OR LESS)</t>
  </si>
  <si>
    <t>EMT=</t>
  </si>
  <si>
    <t>FMC=</t>
  </si>
  <si>
    <t>PVC (SCHED 40)=</t>
  </si>
  <si>
    <t>PVC (SCHED 80)=</t>
  </si>
  <si>
    <t>MINIMUM CONDUIT SIZE CALCULATOR</t>
  </si>
  <si>
    <t>IS JOB CLOSE TO SALT WATER?:</t>
  </si>
  <si>
    <t>BACKFEED BREAKER TYPE:</t>
  </si>
  <si>
    <t>^^^</t>
  </si>
  <si>
    <t>•</t>
  </si>
  <si>
    <t># OF PIPES/VENTS BEING RELOCATED OR REMOVED:</t>
  </si>
  <si>
    <t>T-BOLTS</t>
  </si>
  <si>
    <t>MID CLIPS</t>
  </si>
  <si>
    <t>END CLIPS</t>
  </si>
  <si>
    <t>SPLICE KITS</t>
  </si>
  <si>
    <t>GROUND LUGS</t>
  </si>
  <si>
    <t>___</t>
  </si>
  <si>
    <t>ESTIMATED</t>
  </si>
  <si>
    <t>SENT TO JOB</t>
  </si>
  <si>
    <t>USED</t>
  </si>
  <si>
    <t>ROOF MOUNT</t>
  </si>
  <si>
    <t>"-TEMPLATE CODE"</t>
  </si>
  <si>
    <t>STATE?:</t>
  </si>
  <si>
    <t>Man hours</t>
  </si>
  <si>
    <t>Days with 6 men</t>
  </si>
  <si>
    <t>Days with 4 men</t>
  </si>
  <si>
    <t>Days with 3 men</t>
  </si>
  <si>
    <t>Install Size (kw)</t>
  </si>
  <si>
    <t>man hours</t>
  </si>
  <si>
    <t>Stories</t>
  </si>
  <si>
    <t>man hours added</t>
  </si>
  <si>
    <t>Roof Pitch</t>
  </si>
  <si>
    <t>Inverter location</t>
  </si>
  <si>
    <t>Conduit location</t>
  </si>
  <si>
    <t>attic</t>
  </si>
  <si>
    <t># of Arrays</t>
  </si>
  <si>
    <t># of Vent pipes</t>
  </si>
  <si>
    <t xml:space="preserve">Standard Sheathing </t>
  </si>
  <si>
    <t>Trenching ft</t>
  </si>
  <si>
    <t>Assumptions</t>
  </si>
  <si>
    <t>10kw or less, ranch, less than 35 degree pitch, inverter outside, conduit outside, 1 array, no existing vents to move, Standard sheathing</t>
  </si>
  <si>
    <t>Standard install</t>
  </si>
  <si>
    <t>man hours per 10kw standard install</t>
  </si>
  <si>
    <t>Watts per man hour</t>
  </si>
  <si>
    <t>2 story house</t>
  </si>
  <si>
    <t>man hours per 10kw install per story adder</t>
  </si>
  <si>
    <t>man hours per kilowatt, per story</t>
  </si>
  <si>
    <t>&gt;35 degree pitch</t>
  </si>
  <si>
    <t>man hours per 10kw install over 35 degrees adder</t>
  </si>
  <si>
    <t>man hours per kilowatt, per degree</t>
  </si>
  <si>
    <t>inverter inside</t>
  </si>
  <si>
    <t>man hours per 10kw install adder</t>
  </si>
  <si>
    <t>man hours per kilowatt</t>
  </si>
  <si>
    <t>Conduit though attic</t>
  </si>
  <si>
    <t>multiple arrays</t>
  </si>
  <si>
    <t>man hours per 10kw install per array adder</t>
  </si>
  <si>
    <t>man hours per kilowatt, per array</t>
  </si>
  <si>
    <t>Vent pipes</t>
  </si>
  <si>
    <t>man hours per 10kw install per vent pipe adder</t>
  </si>
  <si>
    <t>man hours per kilowatt, per vent pipe</t>
  </si>
  <si>
    <t>Non-standard Sheathing</t>
  </si>
  <si>
    <t>man hours per ft</t>
  </si>
  <si>
    <t>STANDARD SHEATHING?:</t>
  </si>
  <si>
    <t>YES</t>
  </si>
  <si>
    <t>TSM-260 PD05.08</t>
  </si>
  <si>
    <t>SUNEDISON 265</t>
  </si>
  <si>
    <t>SUNEDSION 270</t>
  </si>
  <si>
    <t>SUNIVA 270</t>
  </si>
  <si>
    <t>OPT 270-60-4-1B0</t>
  </si>
  <si>
    <t>F265KzD-3y</t>
  </si>
  <si>
    <t>F270KzD-3y</t>
  </si>
  <si>
    <t>"-delete 2nd string?"</t>
  </si>
  <si>
    <t>OUTSIDE</t>
  </si>
  <si>
    <t>unfusedDiscoPartNum</t>
  </si>
  <si>
    <t>CENTRO 280</t>
  </si>
  <si>
    <t>CM60 280</t>
  </si>
  <si>
    <t>CENTRO 285</t>
  </si>
  <si>
    <t>CM60 285</t>
  </si>
  <si>
    <t>CENTRO 290</t>
  </si>
  <si>
    <t>CM60 290</t>
  </si>
  <si>
    <t>SILFAB SOLAR</t>
  </si>
  <si>
    <t>SLA280M</t>
  </si>
  <si>
    <t>UTILITY COMPANY</t>
  </si>
  <si>
    <t>DEAL TYPE</t>
  </si>
  <si>
    <t>SUNRUN</t>
  </si>
  <si>
    <t>SUNNOVA</t>
  </si>
  <si>
    <t>CT LEASE</t>
  </si>
  <si>
    <t>SUNEDISON</t>
  </si>
  <si>
    <t>MOSAIC</t>
  </si>
  <si>
    <t>DIVIDEND</t>
  </si>
  <si>
    <t>CASH</t>
  </si>
  <si>
    <t>SUNLIGHT</t>
  </si>
  <si>
    <t>EFS</t>
  </si>
  <si>
    <t>FINANCE</t>
  </si>
  <si>
    <t>MASS SOLAR LOAN</t>
  </si>
  <si>
    <t>JCP&amp;L</t>
  </si>
  <si>
    <t>PSE&amp;G</t>
  </si>
  <si>
    <t>ACE</t>
  </si>
  <si>
    <t>LIPA</t>
  </si>
  <si>
    <t>CON EDISON</t>
  </si>
  <si>
    <t>UI</t>
  </si>
  <si>
    <t>PSEG-LI</t>
  </si>
  <si>
    <t>ROCKLAND ELECTRIC CO.</t>
  </si>
  <si>
    <t>NAT'L GRID</t>
  </si>
  <si>
    <t>UNITIL</t>
  </si>
  <si>
    <t>EVERSOURCE</t>
  </si>
  <si>
    <t>CENTRAL HUDSON G&amp;E</t>
  </si>
  <si>
    <t>BGE</t>
  </si>
  <si>
    <t>SMECO</t>
  </si>
  <si>
    <t>PEPCO</t>
  </si>
  <si>
    <t>DELMARVA</t>
  </si>
  <si>
    <t>NYSEG</t>
  </si>
  <si>
    <t>MILLTOWN ELECTRIC</t>
  </si>
  <si>
    <t>LG 315</t>
  </si>
  <si>
    <t>LG315N1C-G4</t>
  </si>
  <si>
    <t>AC WIRES (NOT MICROS) INPUTS HERE!</t>
  </si>
  <si>
    <t xml:space="preserve"> NO TOUCHY!!!!!!</t>
  </si>
  <si>
    <t>IGS</t>
  </si>
  <si>
    <t>TRINA 280</t>
  </si>
  <si>
    <t>TRINA 285</t>
  </si>
  <si>
    <t>CONDUIT PICK LIST!!</t>
  </si>
  <si>
    <t>STANDARD SIZING</t>
  </si>
  <si>
    <t>CONDUIT SIZING:</t>
  </si>
  <si>
    <t>3/4" CONDUIT W/ 3-#10 THWN-2, 1-#10 THWN-2 GROUND</t>
  </si>
  <si>
    <t>3/4" CONDUIT W/ 2-#8 THWN-2, 1-#10 THWN-2, 1-#10 THWN-2 GROUND</t>
  </si>
  <si>
    <t>3/4" CONDUIT W/ 2-#6 THWN-2, 1-#10 THWN-2, 1-#10 THWN-2 GROUND</t>
  </si>
  <si>
    <t>1 INCH</t>
  </si>
  <si>
    <t>TSM-280 DD05A.05</t>
  </si>
  <si>
    <t>TSM-285 DD05A.05</t>
  </si>
  <si>
    <t>CANADIAN SOLAR 265</t>
  </si>
  <si>
    <t>CS6P-265P</t>
  </si>
  <si>
    <t>OCPDmin</t>
  </si>
  <si>
    <t>DC SYSTEM SIZE:</t>
  </si>
  <si>
    <t>AC SYSTEM SIZE:</t>
  </si>
  <si>
    <t>IN1</t>
  </si>
  <si>
    <t>IN2</t>
  </si>
  <si>
    <t>IN3</t>
  </si>
  <si>
    <t>IN4</t>
  </si>
  <si>
    <t>IN5</t>
  </si>
  <si>
    <t>RACKING:</t>
  </si>
  <si>
    <t>MONITORING:</t>
  </si>
  <si>
    <t>HANWHA</t>
  </si>
  <si>
    <t>Q.PEAK-BLK G4.1 285</t>
  </si>
  <si>
    <t>SE3000H-US</t>
  </si>
  <si>
    <t>SE3800H-US</t>
  </si>
  <si>
    <t>VINELAND 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</si>
</sst>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2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72"/>
      <color rgb="FF92D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theme="4" tint="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3" applyNumberFormat="0" applyFont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3" borderId="4" applyNumberFormat="0" applyAlignment="0" applyProtection="0"/>
    <xf numFmtId="0" fontId="1" fillId="4" borderId="0" applyNumberFormat="0" applyBorder="0" applyAlignment="0" applyProtection="0"/>
    <xf numFmtId="0" fontId="4" fillId="5" borderId="4" applyNumberFormat="0" applyAlignment="0" applyProtection="0"/>
    <xf numFmtId="0" fontId="18" fillId="3" borderId="21" applyNumberFormat="0" applyAlignment="0" applyProtection="0"/>
    <xf numFmtId="0" fontId="19" fillId="6" borderId="0" applyNumberFormat="0" applyBorder="0" applyAlignment="0" applyProtection="0"/>
  </cellStyleXfs>
  <cellXfs count="235">
    <xf numFmtId="0" fontId="0" fillId="0" borderId="0" xfId="0"/>
    <xf numFmtId="0" fontId="2" fillId="0" borderId="1" xfId="1" applyAlignment="1">
      <alignment horizontal="center"/>
    </xf>
    <xf numFmtId="0" fontId="3" fillId="0" borderId="2" xfId="2" applyAlignment="1">
      <alignment horizontal="center"/>
    </xf>
    <xf numFmtId="0" fontId="6" fillId="0" borderId="0" xfId="5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9" fillId="0" borderId="0" xfId="5" applyFont="1" applyBorder="1" applyAlignment="1">
      <alignment horizontal="right"/>
    </xf>
    <xf numFmtId="0" fontId="10" fillId="0" borderId="0" xfId="0" applyFont="1" applyBorder="1"/>
    <xf numFmtId="0" fontId="11" fillId="0" borderId="0" xfId="6" applyFont="1" applyBorder="1" applyAlignment="1">
      <alignment horizontal="right"/>
    </xf>
    <xf numFmtId="0" fontId="6" fillId="0" borderId="0" xfId="5" applyBorder="1" applyAlignment="1">
      <alignment horizontal="right"/>
    </xf>
    <xf numFmtId="0" fontId="9" fillId="0" borderId="0" xfId="5" applyFont="1" applyFill="1" applyBorder="1" applyAlignment="1">
      <alignment horizontal="right"/>
    </xf>
    <xf numFmtId="0" fontId="2" fillId="0" borderId="0" xfId="1" applyBorder="1" applyAlignment="1">
      <alignment horizontal="center"/>
    </xf>
    <xf numFmtId="0" fontId="9" fillId="0" borderId="0" xfId="5" applyFont="1" applyBorder="1" applyAlignment="1">
      <alignment horizontal="right" wrapText="1"/>
    </xf>
    <xf numFmtId="0" fontId="3" fillId="0" borderId="2" xfId="2" applyFill="1" applyAlignment="1">
      <alignment horizontal="center"/>
    </xf>
    <xf numFmtId="0" fontId="11" fillId="0" borderId="0" xfId="6" applyFont="1" applyBorder="1" applyAlignment="1">
      <alignment horizontal="center"/>
    </xf>
    <xf numFmtId="0" fontId="3" fillId="0" borderId="2" xfId="2"/>
    <xf numFmtId="0" fontId="3" fillId="0" borderId="2" xfId="2" applyAlignment="1">
      <alignment horizontal="center"/>
    </xf>
    <xf numFmtId="0" fontId="2" fillId="0" borderId="0" xfId="1" applyFill="1" applyBorder="1" applyAlignment="1" applyProtection="1">
      <alignment horizontal="center"/>
      <protection hidden="1"/>
    </xf>
    <xf numFmtId="0" fontId="7" fillId="0" borderId="0" xfId="6" applyBorder="1" applyAlignment="1" applyProtection="1">
      <alignment horizontal="left"/>
      <protection hidden="1"/>
    </xf>
    <xf numFmtId="0" fontId="1" fillId="4" borderId="5" xfId="8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1" fillId="4" borderId="5" xfId="8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 wrapText="1"/>
      <protection locked="0"/>
    </xf>
    <xf numFmtId="14" fontId="0" fillId="0" borderId="0" xfId="0" applyNumberFormat="1" applyBorder="1" applyAlignment="1" applyProtection="1">
      <alignment horizontal="left"/>
      <protection locked="0"/>
    </xf>
    <xf numFmtId="0" fontId="1" fillId="4" borderId="5" xfId="8" applyBorder="1" applyAlignment="1" applyProtection="1">
      <alignment horizontal="left"/>
      <protection locked="0"/>
    </xf>
    <xf numFmtId="0" fontId="0" fillId="4" borderId="5" xfId="8" applyFont="1" applyBorder="1" applyAlignment="1" applyProtection="1">
      <alignment horizontal="center"/>
      <protection locked="0"/>
    </xf>
    <xf numFmtId="0" fontId="0" fillId="2" borderId="3" xfId="3" applyFont="1" applyProtection="1">
      <protection locked="0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6" fillId="0" borderId="0" xfId="5" applyAlignment="1" applyProtection="1">
      <alignment horizontal="right"/>
      <protection hidden="1"/>
    </xf>
    <xf numFmtId="0" fontId="8" fillId="3" borderId="4" xfId="7" applyProtection="1">
      <protection hidden="1"/>
    </xf>
    <xf numFmtId="0" fontId="3" fillId="0" borderId="0" xfId="2" applyBorder="1" applyAlignment="1" applyProtection="1">
      <protection hidden="1"/>
    </xf>
    <xf numFmtId="1" fontId="0" fillId="0" borderId="0" xfId="0" applyNumberFormat="1" applyBorder="1" applyProtection="1">
      <protection hidden="1"/>
    </xf>
    <xf numFmtId="14" fontId="0" fillId="0" borderId="0" xfId="0" applyNumberForma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 applyProtection="1">
      <protection hidden="1"/>
    </xf>
    <xf numFmtId="0" fontId="3" fillId="0" borderId="2" xfId="2" applyAlignment="1" applyProtection="1">
      <alignment horizontal="center"/>
      <protection hidden="1"/>
    </xf>
    <xf numFmtId="0" fontId="3" fillId="0" borderId="2" xfId="2" applyProtection="1"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5" xfId="0" applyBorder="1" applyProtection="1">
      <protection hidden="1"/>
    </xf>
    <xf numFmtId="14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right"/>
      <protection hidden="1"/>
    </xf>
    <xf numFmtId="0" fontId="6" fillId="0" borderId="0" xfId="5" applyFill="1" applyBorder="1" applyAlignment="1">
      <alignment horizontal="right"/>
    </xf>
    <xf numFmtId="0" fontId="0" fillId="0" borderId="0" xfId="0" applyBorder="1" applyProtection="1">
      <protection locked="0"/>
    </xf>
    <xf numFmtId="0" fontId="4" fillId="2" borderId="3" xfId="3" applyFont="1" applyProtection="1">
      <protection locked="0"/>
    </xf>
    <xf numFmtId="0" fontId="4" fillId="2" borderId="3" xfId="3" applyFont="1" applyAlignment="1" applyProtection="1">
      <alignment horizontal="center"/>
      <protection locked="0"/>
    </xf>
    <xf numFmtId="0" fontId="0" fillId="2" borderId="3" xfId="3" applyFont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 wrapText="1"/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7" fillId="0" borderId="0" xfId="0" applyFont="1" applyBorder="1" applyProtection="1">
      <protection hidden="1"/>
    </xf>
    <xf numFmtId="0" fontId="14" fillId="0" borderId="0" xfId="0" applyFont="1" applyBorder="1" applyAlignment="1" applyProtection="1">
      <alignment horizontal="center"/>
      <protection hidden="1"/>
    </xf>
    <xf numFmtId="14" fontId="0" fillId="0" borderId="5" xfId="0" applyNumberFormat="1" applyBorder="1" applyProtection="1"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0" fillId="0" borderId="9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0" fillId="0" borderId="5" xfId="0" applyNumberFormat="1" applyBorder="1" applyAlignment="1" applyProtection="1">
      <alignment horizontal="center"/>
      <protection hidden="1"/>
    </xf>
    <xf numFmtId="14" fontId="0" fillId="0" borderId="5" xfId="0" applyNumberFormat="1" applyBorder="1" applyProtection="1">
      <protection locked="0"/>
    </xf>
    <xf numFmtId="0" fontId="0" fillId="4" borderId="5" xfId="8" applyFont="1" applyBorder="1" applyAlignment="1" applyProtection="1">
      <alignment horizontal="left"/>
      <protection locked="0"/>
    </xf>
    <xf numFmtId="0" fontId="14" fillId="0" borderId="0" xfId="0" applyFont="1" applyBorder="1" applyAlignment="1" applyProtection="1">
      <alignment horizontal="right" vertical="center"/>
      <protection hidden="1"/>
    </xf>
    <xf numFmtId="0" fontId="14" fillId="0" borderId="0" xfId="0" applyFont="1" applyBorder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3" fillId="0" borderId="2" xfId="2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5" fillId="0" borderId="0" xfId="0" applyFont="1"/>
    <xf numFmtId="0" fontId="6" fillId="0" borderId="0" xfId="5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center" vertical="center" wrapText="1"/>
      <protection hidden="1"/>
    </xf>
    <xf numFmtId="0" fontId="15" fillId="0" borderId="0" xfId="0" applyFont="1" applyProtection="1">
      <protection hidden="1"/>
    </xf>
    <xf numFmtId="0" fontId="16" fillId="0" borderId="0" xfId="0" applyFont="1" applyAlignment="1" applyProtection="1">
      <alignment wrapText="1"/>
      <protection hidden="1"/>
    </xf>
    <xf numFmtId="0" fontId="16" fillId="0" borderId="0" xfId="0" applyFont="1" applyBorder="1" applyAlignment="1" applyProtection="1">
      <alignment wrapText="1"/>
      <protection hidden="1"/>
    </xf>
    <xf numFmtId="0" fontId="3" fillId="0" borderId="2" xfId="2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4" fontId="0" fillId="2" borderId="3" xfId="3" applyNumberFormat="1" applyFont="1" applyAlignment="1" applyProtection="1">
      <alignment horizontal="center"/>
      <protection locked="0"/>
    </xf>
    <xf numFmtId="2" fontId="0" fillId="0" borderId="0" xfId="0" applyNumberFormat="1" applyProtection="1">
      <protection hidden="1"/>
    </xf>
    <xf numFmtId="0" fontId="7" fillId="0" borderId="0" xfId="0" applyNumberFormat="1" applyFont="1" applyAlignment="1" applyProtection="1">
      <alignment horizontal="center" vertical="center"/>
      <protection hidden="1"/>
    </xf>
    <xf numFmtId="0" fontId="7" fillId="0" borderId="0" xfId="0" applyFont="1" applyProtection="1">
      <protection hidden="1"/>
    </xf>
    <xf numFmtId="14" fontId="6" fillId="0" borderId="0" xfId="5" applyNumberFormat="1" applyAlignment="1" applyProtection="1">
      <alignment horizontal="left"/>
      <protection hidden="1"/>
    </xf>
    <xf numFmtId="0" fontId="6" fillId="0" borderId="0" xfId="5" applyBorder="1" applyProtection="1">
      <protection hidden="1"/>
    </xf>
    <xf numFmtId="0" fontId="0" fillId="0" borderId="5" xfId="0" applyBorder="1" applyProtection="1">
      <protection locked="0"/>
    </xf>
    <xf numFmtId="0" fontId="0" fillId="4" borderId="5" xfId="8" applyFont="1" applyBorder="1" applyProtection="1">
      <protection locked="0" hidden="1"/>
    </xf>
    <xf numFmtId="0" fontId="17" fillId="0" borderId="0" xfId="5" applyFont="1" applyBorder="1" applyAlignment="1" applyProtection="1">
      <alignment horizontal="right"/>
      <protection hidden="1"/>
    </xf>
    <xf numFmtId="0" fontId="0" fillId="0" borderId="0" xfId="0" applyBorder="1" applyAlignment="1" applyProtection="1">
      <alignment horizontal="left"/>
      <protection locked="0" hidden="1"/>
    </xf>
    <xf numFmtId="0" fontId="0" fillId="8" borderId="5" xfId="0" applyFill="1" applyBorder="1" applyAlignment="1">
      <alignment horizontal="right"/>
    </xf>
    <xf numFmtId="0" fontId="6" fillId="8" borderId="5" xfId="5" applyFill="1" applyBorder="1" applyAlignment="1">
      <alignment horizontal="right"/>
    </xf>
    <xf numFmtId="0" fontId="0" fillId="0" borderId="0" xfId="0" applyAlignment="1"/>
    <xf numFmtId="0" fontId="0" fillId="0" borderId="0" xfId="0"/>
    <xf numFmtId="0" fontId="0" fillId="0" borderId="0" xfId="0"/>
    <xf numFmtId="12" fontId="18" fillId="3" borderId="5" xfId="10" applyNumberFormat="1" applyBorder="1" applyAlignment="1" applyProtection="1">
      <alignment horizontal="center" vertical="center"/>
      <protection hidden="1"/>
    </xf>
    <xf numFmtId="0" fontId="4" fillId="5" borderId="5" xfId="9" applyBorder="1" applyAlignment="1" applyProtection="1">
      <alignment horizontal="center" vertical="center"/>
      <protection locked="0"/>
    </xf>
    <xf numFmtId="0" fontId="4" fillId="5" borderId="5" xfId="9" quotePrefix="1" applyNumberFormat="1" applyBorder="1" applyAlignment="1" applyProtection="1">
      <alignment horizontal="center" vertical="center"/>
      <protection locked="0"/>
    </xf>
    <xf numFmtId="0" fontId="18" fillId="3" borderId="5" xfId="10" applyBorder="1" applyAlignment="1" applyProtection="1">
      <alignment horizontal="center" vertical="center"/>
      <protection hidden="1"/>
    </xf>
    <xf numFmtId="0" fontId="1" fillId="8" borderId="5" xfId="11" applyFont="1" applyFill="1" applyBorder="1" applyAlignment="1">
      <alignment horizontal="center" vertical="center"/>
    </xf>
    <xf numFmtId="0" fontId="1" fillId="8" borderId="20" xfId="11" applyFont="1" applyFill="1" applyBorder="1" applyAlignment="1">
      <alignment horizontal="center" vertical="center"/>
    </xf>
    <xf numFmtId="0" fontId="0" fillId="8" borderId="5" xfId="0" applyFill="1" applyBorder="1" applyAlignment="1" applyProtection="1">
      <alignment horizontal="right"/>
      <protection hidden="1"/>
    </xf>
    <xf numFmtId="0" fontId="6" fillId="8" borderId="5" xfId="5" applyFill="1" applyBorder="1" applyAlignment="1" applyProtection="1">
      <alignment horizontal="right"/>
      <protection hidden="1"/>
    </xf>
    <xf numFmtId="0" fontId="18" fillId="7" borderId="5" xfId="10" applyFill="1" applyBorder="1" applyAlignment="1" applyProtection="1">
      <alignment horizontal="center" vertical="center"/>
      <protection hidden="1"/>
    </xf>
    <xf numFmtId="2" fontId="18" fillId="3" borderId="5" xfId="10" applyNumberFormat="1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right"/>
      <protection hidden="1"/>
    </xf>
    <xf numFmtId="0" fontId="4" fillId="5" borderId="20" xfId="9" applyBorder="1" applyAlignment="1" applyProtection="1">
      <alignment horizontal="center" vertical="center"/>
      <protection locked="0"/>
    </xf>
    <xf numFmtId="0" fontId="4" fillId="5" borderId="5" xfId="9" applyBorder="1" applyProtection="1">
      <protection locked="0"/>
    </xf>
    <xf numFmtId="0" fontId="18" fillId="3" borderId="5" xfId="10" applyBorder="1" applyProtection="1">
      <protection hidden="1"/>
    </xf>
    <xf numFmtId="0" fontId="0" fillId="8" borderId="20" xfId="0" applyFill="1" applyBorder="1" applyAlignment="1">
      <alignment horizontal="right"/>
    </xf>
    <xf numFmtId="0" fontId="4" fillId="5" borderId="20" xfId="9" applyBorder="1" applyProtection="1">
      <protection locked="0"/>
    </xf>
    <xf numFmtId="49" fontId="18" fillId="3" borderId="5" xfId="10" applyNumberFormat="1" applyBorder="1" applyAlignment="1" applyProtection="1">
      <alignment horizontal="center" vertical="center"/>
      <protection hidden="1"/>
    </xf>
    <xf numFmtId="0" fontId="15" fillId="0" borderId="0" xfId="0" applyFont="1" applyAlignment="1">
      <alignment horizontal="right"/>
    </xf>
    <xf numFmtId="0" fontId="0" fillId="4" borderId="5" xfId="8" applyFont="1" applyBorder="1" applyProtection="1">
      <protection locked="0"/>
    </xf>
    <xf numFmtId="0" fontId="21" fillId="0" borderId="0" xfId="0" applyFont="1" applyProtection="1">
      <protection hidden="1"/>
    </xf>
    <xf numFmtId="0" fontId="0" fillId="0" borderId="0" xfId="0" applyProtection="1">
      <protection locked="0" hidden="1"/>
    </xf>
    <xf numFmtId="0" fontId="22" fillId="0" borderId="0" xfId="0" applyFont="1" applyBorder="1" applyProtection="1">
      <protection hidden="1"/>
    </xf>
    <xf numFmtId="0" fontId="0" fillId="0" borderId="0" xfId="0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2" fontId="23" fillId="0" borderId="22" xfId="0" applyNumberFormat="1" applyFont="1" applyBorder="1"/>
    <xf numFmtId="0" fontId="23" fillId="0" borderId="0" xfId="0" applyFont="1" applyBorder="1"/>
    <xf numFmtId="0" fontId="23" fillId="0" borderId="0" xfId="0" applyFont="1" applyBorder="1" applyAlignment="1"/>
    <xf numFmtId="0" fontId="23" fillId="0" borderId="22" xfId="0" applyFont="1" applyBorder="1"/>
    <xf numFmtId="0" fontId="24" fillId="0" borderId="26" xfId="0" applyFont="1" applyBorder="1"/>
    <xf numFmtId="0" fontId="24" fillId="0" borderId="23" xfId="0" applyFont="1" applyBorder="1" applyAlignment="1">
      <alignment horizontal="center"/>
    </xf>
    <xf numFmtId="0" fontId="24" fillId="0" borderId="0" xfId="0" applyFont="1" applyBorder="1"/>
    <xf numFmtId="2" fontId="24" fillId="0" borderId="22" xfId="0" applyNumberFormat="1" applyFont="1" applyBorder="1"/>
    <xf numFmtId="0" fontId="0" fillId="0" borderId="26" xfId="0" applyBorder="1"/>
    <xf numFmtId="0" fontId="24" fillId="0" borderId="22" xfId="0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2" fontId="0" fillId="0" borderId="0" xfId="0" applyNumberFormat="1"/>
    <xf numFmtId="0" fontId="0" fillId="0" borderId="0" xfId="0" applyNumberFormat="1"/>
    <xf numFmtId="0" fontId="25" fillId="0" borderId="0" xfId="0" applyFont="1" applyBorder="1" applyProtection="1">
      <protection hidden="1"/>
    </xf>
    <xf numFmtId="14" fontId="19" fillId="0" borderId="0" xfId="0" applyNumberFormat="1" applyFont="1" applyBorder="1" applyProtection="1">
      <protection hidden="1"/>
    </xf>
    <xf numFmtId="0" fontId="27" fillId="0" borderId="0" xfId="5" applyFon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27" fillId="0" borderId="0" xfId="5" applyFont="1" applyBorder="1" applyAlignment="1" applyProtection="1">
      <alignment horizontal="righ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27" fillId="0" borderId="0" xfId="5" applyFont="1" applyAlignment="1" applyProtection="1">
      <alignment horizontal="right"/>
      <protection hidden="1"/>
    </xf>
    <xf numFmtId="0" fontId="27" fillId="0" borderId="0" xfId="5" applyFont="1" applyBorder="1" applyAlignment="1" applyProtection="1">
      <alignment horizontal="right" wrapText="1"/>
      <protection hidden="1"/>
    </xf>
    <xf numFmtId="0" fontId="26" fillId="9" borderId="4" xfId="7" applyFont="1" applyFill="1" applyProtection="1">
      <protection hidden="1"/>
    </xf>
    <xf numFmtId="0" fontId="0" fillId="0" borderId="12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0" xfId="0" applyFont="1" applyAlignment="1" applyProtection="1">
      <alignment horizontal="left"/>
      <protection hidden="1"/>
    </xf>
    <xf numFmtId="0" fontId="27" fillId="0" borderId="0" xfId="5" applyFont="1" applyFill="1" applyBorder="1" applyAlignment="1" applyProtection="1">
      <alignment horizontal="right"/>
      <protection hidden="1"/>
    </xf>
    <xf numFmtId="0" fontId="28" fillId="0" borderId="0" xfId="5" applyFont="1" applyBorder="1" applyAlignment="1" applyProtection="1">
      <alignment horizontal="right"/>
      <protection hidden="1"/>
    </xf>
    <xf numFmtId="14" fontId="0" fillId="0" borderId="0" xfId="0" applyNumberFormat="1" applyFont="1" applyProtection="1">
      <protection hidden="1"/>
    </xf>
    <xf numFmtId="1" fontId="0" fillId="0" borderId="0" xfId="0" applyNumberFormat="1" applyFont="1" applyProtection="1"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0" fillId="0" borderId="16" xfId="0" applyFont="1" applyBorder="1" applyProtection="1">
      <protection hidden="1"/>
    </xf>
    <xf numFmtId="0" fontId="28" fillId="0" borderId="0" xfId="5" applyFont="1" applyFill="1" applyBorder="1" applyAlignment="1" applyProtection="1">
      <alignment horizontal="right"/>
      <protection hidden="1"/>
    </xf>
    <xf numFmtId="0" fontId="0" fillId="0" borderId="0" xfId="6" applyFont="1" applyProtection="1">
      <protection hidden="1"/>
    </xf>
    <xf numFmtId="0" fontId="0" fillId="0" borderId="0" xfId="0" applyNumberFormat="1" applyFont="1" applyProtection="1">
      <protection hidden="1"/>
    </xf>
    <xf numFmtId="0" fontId="16" fillId="0" borderId="0" xfId="0" applyFont="1" applyProtection="1">
      <protection hidden="1"/>
    </xf>
    <xf numFmtId="0" fontId="0" fillId="0" borderId="0" xfId="0" applyFont="1" applyAlignment="1" applyProtection="1">
      <alignment horizontal="right"/>
      <protection hidden="1"/>
    </xf>
    <xf numFmtId="0" fontId="0" fillId="0" borderId="0" xfId="0" applyFont="1" applyAlignment="1" applyProtection="1">
      <alignment horizontal="center"/>
      <protection hidden="1"/>
    </xf>
    <xf numFmtId="2" fontId="0" fillId="0" borderId="0" xfId="0" applyNumberFormat="1" applyFont="1" applyProtection="1">
      <protection hidden="1"/>
    </xf>
    <xf numFmtId="0" fontId="0" fillId="0" borderId="0" xfId="0"/>
    <xf numFmtId="0" fontId="0" fillId="2" borderId="3" xfId="3" applyFont="1" applyProtection="1">
      <protection hidden="1"/>
    </xf>
    <xf numFmtId="0" fontId="5" fillId="0" borderId="0" xfId="4"/>
    <xf numFmtId="0" fontId="1" fillId="4" borderId="4" xfId="8" applyBorder="1" applyProtection="1">
      <protection locked="0"/>
    </xf>
    <xf numFmtId="0" fontId="0" fillId="2" borderId="3" xfId="3" applyFont="1" applyProtection="1"/>
    <xf numFmtId="14" fontId="0" fillId="0" borderId="0" xfId="0" applyNumberFormat="1"/>
    <xf numFmtId="0" fontId="29" fillId="0" borderId="0" xfId="5" applyFont="1" applyAlignment="1" applyProtection="1">
      <alignment horizontal="center"/>
      <protection hidden="1"/>
    </xf>
    <xf numFmtId="0" fontId="0" fillId="0" borderId="0" xfId="0"/>
    <xf numFmtId="0" fontId="3" fillId="0" borderId="2" xfId="2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3" fillId="0" borderId="0" xfId="2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17" xfId="0" applyFill="1" applyBorder="1" applyAlignment="1" applyProtection="1">
      <alignment horizontal="center"/>
      <protection hidden="1"/>
    </xf>
    <xf numFmtId="0" fontId="0" fillId="0" borderId="18" xfId="0" applyFill="1" applyBorder="1" applyAlignment="1" applyProtection="1">
      <alignment horizontal="center"/>
      <protection hidden="1"/>
    </xf>
    <xf numFmtId="0" fontId="0" fillId="0" borderId="8" xfId="0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18" xfId="0" applyBorder="1" applyAlignment="1" applyProtection="1">
      <alignment horizontal="center" vertical="center" wrapText="1"/>
      <protection hidden="1"/>
    </xf>
    <xf numFmtId="0" fontId="0" fillId="0" borderId="8" xfId="0" applyBorder="1" applyAlignment="1" applyProtection="1">
      <alignment horizontal="center" vertical="center" wrapText="1"/>
      <protection hidden="1"/>
    </xf>
    <xf numFmtId="0" fontId="0" fillId="0" borderId="17" xfId="0" applyBorder="1" applyAlignment="1" applyProtection="1">
      <alignment horizontal="left"/>
      <protection hidden="1"/>
    </xf>
    <xf numFmtId="0" fontId="0" fillId="0" borderId="8" xfId="0" applyBorder="1" applyAlignment="1" applyProtection="1">
      <alignment horizontal="left"/>
      <protection hidden="1"/>
    </xf>
    <xf numFmtId="0" fontId="0" fillId="0" borderId="17" xfId="0" applyFont="1" applyBorder="1" applyAlignment="1" applyProtection="1">
      <alignment horizontal="center"/>
      <protection hidden="1"/>
    </xf>
    <xf numFmtId="0" fontId="0" fillId="0" borderId="8" xfId="0" applyFont="1" applyBorder="1" applyAlignment="1" applyProtection="1">
      <alignment horizontal="center"/>
      <protection hidden="1"/>
    </xf>
    <xf numFmtId="0" fontId="0" fillId="0" borderId="5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left"/>
      <protection hidden="1"/>
    </xf>
    <xf numFmtId="0" fontId="0" fillId="0" borderId="17" xfId="0" applyFill="1" applyBorder="1" applyAlignment="1" applyProtection="1">
      <alignment horizontal="center" vertical="center"/>
      <protection hidden="1"/>
    </xf>
    <xf numFmtId="0" fontId="0" fillId="0" borderId="18" xfId="0" applyFill="1" applyBorder="1" applyAlignment="1" applyProtection="1">
      <alignment horizontal="center" vertical="center"/>
      <protection hidden="1"/>
    </xf>
    <xf numFmtId="0" fontId="0" fillId="0" borderId="8" xfId="0" applyFill="1" applyBorder="1" applyAlignment="1" applyProtection="1">
      <alignment horizontal="center" vertical="center"/>
      <protection hidden="1"/>
    </xf>
    <xf numFmtId="0" fontId="0" fillId="0" borderId="17" xfId="0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 applyProtection="1">
      <alignment horizontal="left" vertical="center"/>
      <protection hidden="1"/>
    </xf>
    <xf numFmtId="0" fontId="0" fillId="0" borderId="17" xfId="0" applyBorder="1" applyAlignment="1" applyProtection="1">
      <alignment horizontal="left" vertical="center"/>
      <protection hidden="1"/>
    </xf>
    <xf numFmtId="0" fontId="0" fillId="0" borderId="8" xfId="0" applyBorder="1" applyAlignment="1" applyProtection="1">
      <alignment horizontal="left" vertical="center"/>
      <protection hidden="1"/>
    </xf>
    <xf numFmtId="14" fontId="0" fillId="0" borderId="17" xfId="0" applyNumberFormat="1" applyBorder="1" applyAlignment="1" applyProtection="1">
      <alignment horizontal="center"/>
      <protection hidden="1"/>
    </xf>
    <xf numFmtId="14" fontId="0" fillId="0" borderId="8" xfId="0" applyNumberFormat="1" applyBorder="1" applyAlignment="1" applyProtection="1">
      <alignment horizontal="center"/>
      <protection hidden="1"/>
    </xf>
    <xf numFmtId="1" fontId="0" fillId="0" borderId="17" xfId="0" applyNumberFormat="1" applyBorder="1" applyAlignment="1" applyProtection="1">
      <alignment horizontal="center"/>
      <protection hidden="1"/>
    </xf>
    <xf numFmtId="1" fontId="0" fillId="0" borderId="8" xfId="0" applyNumberForma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0" fillId="8" borderId="24" xfId="0" applyFont="1" applyFill="1" applyBorder="1" applyAlignment="1" applyProtection="1">
      <alignment horizontal="center"/>
      <protection hidden="1"/>
    </xf>
    <xf numFmtId="0" fontId="20" fillId="8" borderId="25" xfId="0" applyFont="1" applyFill="1" applyBorder="1" applyAlignment="1" applyProtection="1">
      <alignment horizontal="center"/>
      <protection hidden="1"/>
    </xf>
    <xf numFmtId="0" fontId="20" fillId="8" borderId="22" xfId="0" applyFont="1" applyFill="1" applyBorder="1" applyAlignment="1" applyProtection="1">
      <alignment horizontal="center"/>
      <protection hidden="1"/>
    </xf>
    <xf numFmtId="0" fontId="20" fillId="8" borderId="26" xfId="0" applyFont="1" applyFill="1" applyBorder="1" applyAlignment="1" applyProtection="1">
      <alignment horizontal="center"/>
      <protection hidden="1"/>
    </xf>
    <xf numFmtId="0" fontId="20" fillId="8" borderId="23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24" fillId="0" borderId="22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24" fillId="0" borderId="26" xfId="0" applyFont="1" applyBorder="1" applyAlignment="1">
      <alignment horizontal="left"/>
    </xf>
    <xf numFmtId="0" fontId="24" fillId="0" borderId="23" xfId="0" applyFont="1" applyBorder="1" applyAlignment="1">
      <alignment horizontal="left"/>
    </xf>
    <xf numFmtId="0" fontId="23" fillId="0" borderId="26" xfId="0" applyFont="1" applyBorder="1" applyAlignment="1">
      <alignment horizontal="center"/>
    </xf>
    <xf numFmtId="0" fontId="23" fillId="0" borderId="23" xfId="0" applyFont="1" applyBorder="1" applyAlignment="1">
      <alignment horizontal="center"/>
    </xf>
  </cellXfs>
  <cellStyles count="12">
    <cellStyle name="20% - Accent1" xfId="8" builtinId="30"/>
    <cellStyle name="Accent2" xfId="11" builtinId="33"/>
    <cellStyle name="Calculation" xfId="7" builtinId="22"/>
    <cellStyle name="Explanatory Text" xfId="5" builtinId="53"/>
    <cellStyle name="Heading 1" xfId="1" builtinId="16"/>
    <cellStyle name="Heading 2" xfId="2" builtinId="17"/>
    <cellStyle name="Input" xfId="9" builtinId="20"/>
    <cellStyle name="Normal" xfId="0" builtinId="0"/>
    <cellStyle name="Normal 2" xfId="4"/>
    <cellStyle name="Note" xfId="3" builtinId="10"/>
    <cellStyle name="Output" xfId="10" builtinId="21"/>
    <cellStyle name="Warning Text" xfId="6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4"/>
  <sheetViews>
    <sheetView tabSelected="1" zoomScaleNormal="100" workbookViewId="0">
      <selection activeCell="B11" sqref="B11"/>
    </sheetView>
  </sheetViews>
  <sheetFormatPr defaultRowHeight="15" x14ac:dyDescent="0.25"/>
  <cols>
    <col min="1" max="1" width="44.7109375" customWidth="1"/>
    <col min="2" max="2" width="33.5703125" bestFit="1" customWidth="1"/>
    <col min="3" max="3" width="29.85546875" customWidth="1"/>
    <col min="4" max="4" width="26.7109375" customWidth="1"/>
    <col min="5" max="5" width="28.5703125" customWidth="1"/>
    <col min="6" max="6" width="37.140625" customWidth="1"/>
    <col min="7" max="7" width="7.85546875" customWidth="1"/>
    <col min="8" max="8" width="18.140625" customWidth="1"/>
    <col min="9" max="9" width="31.7109375" customWidth="1"/>
    <col min="10" max="10" width="7.7109375" customWidth="1"/>
  </cols>
  <sheetData>
    <row r="1" spans="1:10" x14ac:dyDescent="0.25">
      <c r="A1" s="4"/>
      <c r="B1" s="176"/>
      <c r="C1" s="5" t="str">
        <f>""</f>
        <v/>
      </c>
      <c r="D1" s="5"/>
      <c r="E1" s="5"/>
      <c r="F1" s="5"/>
      <c r="G1" s="4"/>
    </row>
    <row r="2" spans="1:10" ht="15.75" x14ac:dyDescent="0.25">
      <c r="A2" s="11" t="s">
        <v>23</v>
      </c>
      <c r="B2" s="30"/>
      <c r="C2" s="4"/>
      <c r="D2" s="4"/>
      <c r="E2" s="4"/>
      <c r="F2" s="4"/>
      <c r="G2" s="4"/>
    </row>
    <row r="3" spans="1:10" ht="15.75" x14ac:dyDescent="0.25">
      <c r="A3" s="8"/>
      <c r="B3" s="4"/>
      <c r="C3" s="4"/>
      <c r="D3" s="4"/>
      <c r="E3" s="4"/>
      <c r="F3" s="15" t="s">
        <v>56</v>
      </c>
      <c r="G3" s="4"/>
      <c r="I3" s="91" t="str">
        <f>IF(F5="","",IF(F5="M215 MICROINVERTERS","1-13=15A, 14-17=20A",IF(F5="M250 MICROINVERTERS","1-11=15A, 12-15=20A")))</f>
        <v/>
      </c>
    </row>
    <row r="4" spans="1:10" ht="19.5" x14ac:dyDescent="0.3">
      <c r="A4" s="7"/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19</v>
      </c>
      <c r="I4" s="18" t="str">
        <f>IF(CALCULATIONS!I42="YES","MICROINVERTER STRINGING","")</f>
        <v/>
      </c>
    </row>
    <row r="5" spans="1:10" ht="15.75" x14ac:dyDescent="0.25">
      <c r="A5" s="7" t="s">
        <v>20</v>
      </c>
      <c r="B5" s="20"/>
      <c r="C5" s="20"/>
      <c r="D5" s="20"/>
      <c r="E5" s="20"/>
      <c r="F5" s="30"/>
      <c r="G5" s="92" t="str">
        <f>IF(B14="SUNRUN",IF(CALCULATIONS!H9=0,"",IF(CALCULATIONS!H9&lt;236,"M215","M250")),
IF(CALCULATIONS!H9=0,"",IF(CALCULATIONS!H9&lt;270,"M215","M250")))</f>
        <v/>
      </c>
      <c r="H5" s="3" t="str">
        <f>IF(CALCULATIONS!I42="YES","REMAING:","")</f>
        <v/>
      </c>
      <c r="I5" s="19" t="str">
        <f>IF(CALCULATIONS!I42="YES",F9-SUM(I6:I10),"")</f>
        <v/>
      </c>
    </row>
    <row r="6" spans="1:10" ht="15.75" x14ac:dyDescent="0.25">
      <c r="A6" s="7" t="s">
        <v>21</v>
      </c>
      <c r="B6" s="21"/>
      <c r="C6" s="21"/>
      <c r="D6" s="21"/>
      <c r="E6" s="22"/>
      <c r="F6" s="21"/>
      <c r="H6" s="3" t="str">
        <f>IF(CALCULATIONS!I42="YES","CIRCUIT 1:","")</f>
        <v/>
      </c>
      <c r="I6" s="26"/>
    </row>
    <row r="7" spans="1:10" ht="31.5" x14ac:dyDescent="0.25">
      <c r="A7" s="13" t="s">
        <v>132</v>
      </c>
      <c r="B7" s="23"/>
      <c r="C7" s="23"/>
      <c r="D7" s="23"/>
      <c r="E7" s="23"/>
      <c r="F7" s="21"/>
      <c r="H7" s="3" t="str">
        <f>IF(CALCULATIONS!I42="YES","CIRCUIT 2:","")</f>
        <v/>
      </c>
      <c r="I7" s="26"/>
    </row>
    <row r="8" spans="1:10" ht="63" x14ac:dyDescent="0.25">
      <c r="A8" s="13" t="s">
        <v>133</v>
      </c>
      <c r="B8" s="21"/>
      <c r="C8" s="21"/>
      <c r="D8" s="21"/>
      <c r="E8" s="21"/>
      <c r="F8" s="24"/>
      <c r="H8" s="3" t="str">
        <f>IF(CALCULATIONS!I42="YES","CIRCUIT 3:","")</f>
        <v/>
      </c>
      <c r="I8" s="26"/>
    </row>
    <row r="9" spans="1:10" ht="15.75" x14ac:dyDescent="0.25">
      <c r="A9" s="11" t="s">
        <v>131</v>
      </c>
      <c r="B9" s="59">
        <f>SUM(CALCULATIONS!B7:F11)+F9</f>
        <v>0</v>
      </c>
      <c r="C9" s="6"/>
      <c r="D9" s="6"/>
      <c r="E9" s="7" t="s">
        <v>34</v>
      </c>
      <c r="F9" s="21"/>
      <c r="H9" s="3" t="str">
        <f>IF(CALCULATIONS!I42="YES","CIRCUIT 4:","")</f>
        <v/>
      </c>
      <c r="I9" s="26"/>
    </row>
    <row r="10" spans="1:10" x14ac:dyDescent="0.25">
      <c r="A10" s="73" t="str">
        <f>IF(A29="","","↓ CHECK ALERT WINDOW! ↓")</f>
        <v/>
      </c>
      <c r="B10" s="74" t="str">
        <f>IF(B5="","",ROUNDUP(((SUM(CALCULATIONS!B7:B11)*CALCULATIONS!H9)*100)/CALCULATIONS!L2,0)&amp;"%")</f>
        <v/>
      </c>
      <c r="C10" s="74" t="str">
        <f>IF(C5="","",ROUNDUP(((SUM(CALCULATIONS!C7:C11)*CALCULATIONS!H9)*100)/CALCULATIONS!M2,0)&amp;"%")</f>
        <v/>
      </c>
      <c r="D10" s="74" t="str">
        <f>IF(D5="","",ROUNDUP(((SUM(CALCULATIONS!D7:D11)*CALCULATIONS!H9)*100)/CALCULATIONS!N2,0)&amp;"%")</f>
        <v/>
      </c>
      <c r="E10" s="74" t="str">
        <f>IF(E5="","",ROUNDUP(((SUM(CALCULATIONS!E7:E11)*CALCULATIONS!H9)*100)/CALCULATIONS!O2,0)&amp;"%")</f>
        <v/>
      </c>
      <c r="F10" s="74" t="str">
        <f>IF(F5="","",ROUNDUP(((SUM(CALCULATIONS!F7:F11)*CALCULATIONS!H9)*100)/CALCULATIONS!P2,0)&amp;"%")</f>
        <v/>
      </c>
      <c r="G10" s="74" t="str">
        <f>IF(A29="","","↓ CHECK ALERT WINDOW! ↓")</f>
        <v/>
      </c>
      <c r="H10" s="3" t="str">
        <f>IF(CALCULATIONS!I42="YES","CIRCUIT 5:","")</f>
        <v/>
      </c>
      <c r="I10" s="26"/>
    </row>
    <row r="11" spans="1:10" ht="15.75" x14ac:dyDescent="0.25">
      <c r="A11" s="7" t="s">
        <v>26</v>
      </c>
      <c r="B11" s="26"/>
      <c r="C11" s="4"/>
      <c r="D11" s="10" t="s">
        <v>91</v>
      </c>
      <c r="E11" s="122"/>
      <c r="F11" s="61" t="str">
        <f>IF(B15="","",IF((B15*0.2)&gt;=CALCULATIONS!B35,"USE BREAKER *IF THERE'S SPACE*","USE LINE TAPS"))</f>
        <v/>
      </c>
    </row>
    <row r="12" spans="1:10" ht="15.75" x14ac:dyDescent="0.25">
      <c r="A12" s="7" t="s">
        <v>27</v>
      </c>
      <c r="B12" s="27"/>
      <c r="C12" s="4"/>
      <c r="D12" s="10" t="s">
        <v>244</v>
      </c>
      <c r="E12" s="122"/>
      <c r="F12" s="61" t="str">
        <f>IF(E12="NY", "   IF LONG ISLAND 1” CONDUITS!",IF(E12="CT", "   1” CONDUIT!",""))</f>
        <v/>
      </c>
    </row>
    <row r="13" spans="1:10" ht="15.75" x14ac:dyDescent="0.25">
      <c r="A13" s="7" t="s">
        <v>33</v>
      </c>
      <c r="B13" s="28"/>
      <c r="C13" s="4"/>
      <c r="D13" s="10" t="s">
        <v>115</v>
      </c>
      <c r="E13" s="122" t="s">
        <v>285</v>
      </c>
      <c r="F13" s="4"/>
      <c r="H13" s="81"/>
      <c r="I13" s="60"/>
    </row>
    <row r="14" spans="1:10" ht="15.75" x14ac:dyDescent="0.25">
      <c r="A14" s="7" t="s">
        <v>24</v>
      </c>
      <c r="B14" s="72"/>
      <c r="C14" s="4"/>
      <c r="D14" s="53" t="s">
        <v>114</v>
      </c>
      <c r="E14" s="54"/>
      <c r="F14" s="4"/>
      <c r="H14" s="81" t="s">
        <v>167</v>
      </c>
      <c r="I14" s="82"/>
      <c r="J14" s="78" t="s">
        <v>168</v>
      </c>
    </row>
    <row r="15" spans="1:10" ht="15.75" x14ac:dyDescent="0.25">
      <c r="A15" s="7" t="s">
        <v>25</v>
      </c>
      <c r="B15" s="29"/>
      <c r="C15" s="4"/>
      <c r="D15" s="53" t="s">
        <v>187</v>
      </c>
      <c r="E15" s="25" t="s">
        <v>242</v>
      </c>
      <c r="F15" s="4"/>
      <c r="H15" s="81"/>
      <c r="I15" s="82"/>
      <c r="J15" s="79" t="s">
        <v>169</v>
      </c>
    </row>
    <row r="16" spans="1:10" ht="15.75" x14ac:dyDescent="0.25">
      <c r="A16" s="7" t="s">
        <v>28</v>
      </c>
      <c r="B16" s="26"/>
      <c r="C16" s="4"/>
      <c r="D16" s="53" t="s">
        <v>199</v>
      </c>
      <c r="E16" s="96" t="s">
        <v>209</v>
      </c>
      <c r="F16" s="4"/>
      <c r="H16" s="81" t="s">
        <v>170</v>
      </c>
      <c r="I16" s="82"/>
      <c r="J16" s="80" t="s">
        <v>175</v>
      </c>
    </row>
    <row r="17" spans="1:11" ht="15.75" x14ac:dyDescent="0.25">
      <c r="A17" s="7" t="s">
        <v>362</v>
      </c>
      <c r="B17" s="29"/>
      <c r="C17" s="4"/>
      <c r="D17" s="97" t="str">
        <f>IF(OR(E16="NO",E16=""),"","TRENCH DISTANCE IN FEET?:")</f>
        <v/>
      </c>
      <c r="E17" s="98"/>
      <c r="F17" s="4"/>
      <c r="H17" s="81" t="s">
        <v>172</v>
      </c>
      <c r="I17" s="82"/>
      <c r="J17" s="80" t="s">
        <v>175</v>
      </c>
    </row>
    <row r="18" spans="1:11" ht="15.75" x14ac:dyDescent="0.25">
      <c r="A18" s="7" t="s">
        <v>29</v>
      </c>
      <c r="B18" s="29"/>
      <c r="C18" s="61" t="str">
        <f>IF(B18="EVERSOURCE", "   PROPERTY LINES!", " ")</f>
        <v xml:space="preserve"> </v>
      </c>
      <c r="D18" s="97" t="str">
        <f>IF(OR(E16="NO",E16=""),"","PANELS ON MORE THAN ONE BUILDING?:")</f>
        <v/>
      </c>
      <c r="E18" s="124"/>
      <c r="F18" s="125" t="str">
        <f>IF(E18="YES", "TRENCH IS DC","")</f>
        <v/>
      </c>
      <c r="H18" s="81" t="s">
        <v>171</v>
      </c>
      <c r="I18" s="82"/>
      <c r="J18" s="80" t="s">
        <v>175</v>
      </c>
    </row>
    <row r="19" spans="1:11" ht="15.75" x14ac:dyDescent="0.25">
      <c r="A19" s="7" t="s">
        <v>30</v>
      </c>
      <c r="B19" s="26"/>
      <c r="C19" s="4"/>
      <c r="D19" s="53" t="s">
        <v>232</v>
      </c>
      <c r="E19" s="54"/>
      <c r="F19" s="147" t="str">
        <f>IF(OR(E19="YES",E19="NO"),"Dave, that is not a number.","")</f>
        <v/>
      </c>
      <c r="H19" s="81" t="s">
        <v>172</v>
      </c>
      <c r="I19" s="82"/>
      <c r="J19" s="80" t="s">
        <v>175</v>
      </c>
    </row>
    <row r="20" spans="1:11" ht="15.75" x14ac:dyDescent="0.25">
      <c r="A20" s="7" t="s">
        <v>31</v>
      </c>
      <c r="B20" s="26"/>
      <c r="C20" s="4"/>
      <c r="D20" s="53" t="s">
        <v>229</v>
      </c>
      <c r="E20" s="96"/>
      <c r="F20" s="32"/>
      <c r="H20" s="81" t="s">
        <v>173</v>
      </c>
      <c r="I20" s="82"/>
      <c r="J20" s="80" t="s">
        <v>175</v>
      </c>
    </row>
    <row r="21" spans="1:11" ht="15.75" x14ac:dyDescent="0.25">
      <c r="A21" s="7" t="s">
        <v>361</v>
      </c>
      <c r="B21" s="29"/>
      <c r="C21" s="4"/>
      <c r="D21" s="53" t="s">
        <v>228</v>
      </c>
      <c r="E21" s="96"/>
      <c r="F21" s="32"/>
      <c r="H21" s="81" t="s">
        <v>172</v>
      </c>
      <c r="I21" s="82"/>
      <c r="J21" s="80" t="s">
        <v>175</v>
      </c>
    </row>
    <row r="22" spans="1:11" ht="15.75" x14ac:dyDescent="0.25">
      <c r="A22" s="7" t="s">
        <v>32</v>
      </c>
      <c r="B22" s="26"/>
      <c r="C22" s="61" t="str">
        <f>IF(B22="JC","JUST DO IT",IF(B22="KB","DO YOU MAD BRO?",IF(B22="RTC","SCIENCE!",IF(B22="RF","NOOB",IF(B22="JMS","GOTTA CATCH ALL",IF(B22="DMR","STOP BREAKING THINGS",IF(B22="JES","THE WET DOG","")))))))</f>
        <v/>
      </c>
      <c r="D22" s="53" t="s">
        <v>284</v>
      </c>
      <c r="E22" s="96" t="s">
        <v>285</v>
      </c>
      <c r="F22" s="32"/>
      <c r="H22" s="81" t="s">
        <v>174</v>
      </c>
      <c r="I22" s="82"/>
      <c r="J22" s="80" t="s">
        <v>175</v>
      </c>
    </row>
    <row r="23" spans="1:11" x14ac:dyDescent="0.25">
      <c r="A23" s="10" t="s">
        <v>61</v>
      </c>
      <c r="B23" s="26"/>
      <c r="C23" s="61" t="str">
        <f>IF(B23&gt;4, "FIX ARRAY SCHEDULE", " ")</f>
        <v xml:space="preserve"> </v>
      </c>
      <c r="D23" s="32"/>
      <c r="E23" s="62" t="s">
        <v>151</v>
      </c>
      <c r="F23" s="32"/>
      <c r="H23" s="81" t="s">
        <v>172</v>
      </c>
      <c r="I23" s="82"/>
      <c r="J23" s="80" t="s">
        <v>175</v>
      </c>
    </row>
    <row r="24" spans="1:11" ht="15.75" x14ac:dyDescent="0.25">
      <c r="A24" s="8"/>
      <c r="B24" s="26"/>
      <c r="C24" s="54"/>
      <c r="D24" s="25"/>
      <c r="E24" s="95"/>
      <c r="F24" s="71"/>
      <c r="H24" s="81" t="s">
        <v>344</v>
      </c>
      <c r="I24" s="177" t="s">
        <v>343</v>
      </c>
    </row>
    <row r="25" spans="1:11" x14ac:dyDescent="0.25">
      <c r="A25" s="10" t="s">
        <v>36</v>
      </c>
      <c r="B25" s="94" t="str">
        <f>IF(D24&lt;&gt;"",D24,IF(D25&lt;&gt;"",D25,IF(D26&lt;&gt;"",D26,IF(D27&lt;&gt;"",D27,""))))</f>
        <v>P1</v>
      </c>
      <c r="C25" s="54"/>
      <c r="D25" s="25"/>
      <c r="E25" s="95"/>
      <c r="F25" s="71"/>
      <c r="H25" s="81" t="s">
        <v>182</v>
      </c>
      <c r="I25" s="60"/>
    </row>
    <row r="26" spans="1:11" ht="15.75" x14ac:dyDescent="0.25">
      <c r="A26" s="9" t="s">
        <v>37</v>
      </c>
      <c r="B26" s="26"/>
      <c r="C26" s="61" t="str">
        <f>IF(B26="JC","JUST DO IT",IF(B26="KB","DO YOU MAD BRO?",IF(B26="RTC","SCIENCE!",IF(B26="RF","NOOB",IF(B26="JMS","GOTTA CATCH ALL",IF(B26="DMR","STOP BREAKING THINGS",IF(B26="JES","THE WET DOG","")))))))</f>
        <v/>
      </c>
      <c r="D26" s="25"/>
      <c r="E26" s="95"/>
      <c r="F26" s="71"/>
      <c r="H26" s="81" t="s">
        <v>183</v>
      </c>
      <c r="I26" s="60"/>
    </row>
    <row r="27" spans="1:11" x14ac:dyDescent="0.25">
      <c r="A27" s="3" t="s">
        <v>40</v>
      </c>
      <c r="B27" s="93" t="str">
        <f>IF(F24&lt;&gt;"",F24,IF(F25&lt;&gt;"",F25,IF(F26&lt;&gt;"",F26,IF(F27&lt;&gt;"",F27,""))))</f>
        <v/>
      </c>
      <c r="C27" s="60"/>
      <c r="D27" s="48" t="s">
        <v>152</v>
      </c>
      <c r="E27" s="48" t="s">
        <v>153</v>
      </c>
      <c r="F27" s="63" t="str">
        <f>IF(B13="","",B13)</f>
        <v/>
      </c>
      <c r="H27" s="81" t="s">
        <v>185</v>
      </c>
      <c r="I27" s="60" t="s">
        <v>294</v>
      </c>
    </row>
    <row r="28" spans="1:11" x14ac:dyDescent="0.25">
      <c r="C28" s="60"/>
      <c r="D28" s="64" t="s">
        <v>148</v>
      </c>
      <c r="E28" s="64" t="s">
        <v>149</v>
      </c>
      <c r="F28" s="64" t="s">
        <v>150</v>
      </c>
    </row>
    <row r="29" spans="1:11" ht="92.25" x14ac:dyDescent="1.35">
      <c r="A29" s="180" t="str">
        <f>IF(CALCULATIONS!I26&gt;4,"MANUAL CALC REQUIRED(5 MICROS)",
IF(AND(CALCULATIONS!B37="YES",FORM!B6&gt;2,FORM!C6&gt;0),"SIZE DC WIRES MANUALLY",
IF(OR((SUM(CALCULATIONS!B7:B11)*CALCULATIONS!H9)&gt;(CALCULATIONS!L2*1.35),
(SUM(CALCULATIONS!C7:C11)*CALCULATIONS!H9)&gt;(CALCULATIONS!M2*1.35),
(SUM(CALCULATIONS!D7:D11)*CALCULATIONS!H9)&gt;(CALCULATIONS!N2*1.35),
(SUM(CALCULATIONS!E7:E11)*CALCULATIONS!H9)&gt;(CALCULATIONS!O2*1.35),
(SUM(CALCULATIONS!F7:F11)*CALCULATIONS!H9)&gt;(CALCULATIONS!P2*1.35)),
"INVERTER OVER 135%!",
IF(AND(CALCULATIONS!B37="YES",OR(B7*CALCULATIONS!H9&gt;5250,B8*CALCULATIONS!H9&gt;5250,C7*CALCULATIONS!H9&gt;5250,C8*CALCULATIONS!H9&gt;5250,D7*CALCULATIONS!H9&gt;5250,D8*CALCULATIONS!H9&gt;5250,E7*CALCULATIONS!H9&gt;5250,E8*CALCULATIONS!H9&gt;5250,F7*CALCULATIONS!H9&gt;5250,F8*CALCULATIONS!H9&gt;5250)),"OVERSIZED STRING(S)",
IF(AND(CALCULATIONS!B37="YES",OR(AND(B7&lt;8,B7&gt;0),AND(B8&lt;8,B8&gt;0),AND(C7&lt;8,C7&gt;0),AND(C8&lt;8,C8&gt;0),AND(D7&lt;8,D7&gt;0),AND(D8&lt;8,D8&gt;0),AND(E7&lt;8,E7&gt;0),AND(E8&lt;8,E8&gt;0),AND(F7&lt;8,F7&gt;0),AND(F8&lt;8,F8&gt;0))),"STRING(S) TOO SMALL","")))))</f>
        <v/>
      </c>
      <c r="B29" s="180"/>
      <c r="C29" s="180"/>
      <c r="D29" s="180"/>
      <c r="E29" s="180"/>
      <c r="F29" s="180"/>
      <c r="G29" s="180"/>
      <c r="H29" s="180"/>
      <c r="I29" s="180"/>
      <c r="J29" s="180"/>
      <c r="K29" s="180"/>
    </row>
    <row r="30" spans="1:11" x14ac:dyDescent="0.25">
      <c r="A30" s="3"/>
      <c r="B30" s="179"/>
    </row>
    <row r="31" spans="1:11" x14ac:dyDescent="0.25">
      <c r="A31" s="3"/>
    </row>
    <row r="32" spans="1:11" x14ac:dyDescent="0.25">
      <c r="A32" s="3"/>
    </row>
    <row r="34" spans="1:5" x14ac:dyDescent="0.25">
      <c r="A34" s="101"/>
      <c r="B34" s="101"/>
      <c r="D34" s="181"/>
      <c r="E34" s="181"/>
    </row>
  </sheetData>
  <sheetProtection algorithmName="SHA-512" hashValue="NKzsbhKD4i9urQ9dYBxWwC1ddcX0HVgQLgYzAd4cLZWN4uSy6MS2Xf9rMgSFWlLVI3Bji1T3th/tbBmusGtIjg==" saltValue="+GXwbMtc4uOMcHXgrkK7bw==" spinCount="100000" sheet="1" objects="1" scenarios="1" selectLockedCells="1"/>
  <dataConsolidate/>
  <mergeCells count="2">
    <mergeCell ref="A29:K29"/>
    <mergeCell ref="D34:E34"/>
  </mergeCells>
  <dataValidations count="13">
    <dataValidation type="list" allowBlank="1" showInputMessage="1" showErrorMessage="1" sqref="B15">
      <formula1>"60,100,125,150,200,225"</formula1>
    </dataValidation>
    <dataValidation type="list" allowBlank="1" showInputMessage="1" showErrorMessage="1" sqref="E11">
      <formula1>"LINE TAPS,BREAKER"</formula1>
    </dataValidation>
    <dataValidation type="list" allowBlank="1" showInputMessage="1" showErrorMessage="1" sqref="E18 E13 E21:E22">
      <formula1>"YES,NO"</formula1>
    </dataValidation>
    <dataValidation type="list" allowBlank="1" showInputMessage="1" showErrorMessage="1" sqref="D24:D26">
      <formula1>"P2,P3,R1,R2,R3,R4,A1,A2,A3"</formula1>
    </dataValidation>
    <dataValidation type="list" allowBlank="1" showInputMessage="1" showErrorMessage="1" sqref="E15">
      <formula1>"ROOF MOUNT, GROUND MOUNT"</formula1>
    </dataValidation>
    <dataValidation type="list" allowBlank="1" showInputMessage="1" showErrorMessage="1" sqref="E16">
      <formula1>"NO,AC,DC"</formula1>
    </dataValidation>
    <dataValidation type="list" allowBlank="1" showInputMessage="1" showErrorMessage="1" sqref="E20">
      <formula1>"UNKOWN BRAND,SQUARE D QO,SQUARE D HOMELINE,SIEMENS,CUTLER HAMMER CH,CUTLER HAMMER BR,GE,STAB-LOK,CHALLENGER,MURRAY,BRYANT"</formula1>
    </dataValidation>
    <dataValidation type="list" allowBlank="1" showInputMessage="1" showErrorMessage="1" sqref="E12">
      <formula1>"NJ,NY,CT,MA,MD,RI"</formula1>
    </dataValidation>
    <dataValidation type="whole" errorStyle="warning" allowBlank="1" showInputMessage="1" showErrorMessage="1" error="THAT'S NOT A NUMBER! ... DUH" sqref="E14">
      <formula1>0</formula1>
      <formula2>999999999999999</formula2>
    </dataValidation>
    <dataValidation allowBlank="1" showInputMessage="1" showErrorMessage="1" error="THAT'S YOUR NAME?" sqref="B22"/>
    <dataValidation type="whole" allowBlank="1" showInputMessage="1" showErrorMessage="1" error="PRETTY SURE THAT'S NOT A NUMBER BRAH " sqref="B23">
      <formula1>0</formula1>
      <formula2>100</formula2>
    </dataValidation>
    <dataValidation type="list" allowBlank="1" showInputMessage="1" showErrorMessage="1" sqref="B17">
      <formula1>"INTERNAL, EXTERNAL"</formula1>
    </dataValidation>
    <dataValidation type="list" allowBlank="1" showInputMessage="1" showErrorMessage="1" sqref="B21">
      <formula1>"ECOLIBRIUM, OTHER"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;)">
          <x14:formula1>
            <xm:f>'UTILITY &amp; DEALS'!$C$2:$C$50</xm:f>
          </x14:formula1>
          <xm:sqref>B14</xm:sqref>
        </x14:dataValidation>
        <x14:dataValidation type="list" allowBlank="1" showInputMessage="1" showErrorMessage="1">
          <x14:formula1>
            <xm:f>MODULES!$A$2:$A$26</xm:f>
          </x14:formula1>
          <xm:sqref>B2</xm:sqref>
        </x14:dataValidation>
        <x14:dataValidation type="list" allowBlank="1" showInputMessage="1" showErrorMessage="1">
          <x14:formula1>
            <xm:f>MODULES!$A$6:$A$19</xm:f>
          </x14:formula1>
          <xm:sqref>E35</xm:sqref>
        </x14:dataValidation>
        <x14:dataValidation type="list" allowBlank="1" showErrorMessage="1" errorTitle="SELECT FROM DROPDOWN MENU" error="SELECT FROM DROPDOWN MENU">
          <x14:formula1>
            <xm:f>INVERTERS!$A$2:$A$26</xm:f>
          </x14:formula1>
          <xm:sqref>B5:F5</xm:sqref>
        </x14:dataValidation>
        <x14:dataValidation type="list" allowBlank="1" showInputMessage="1">
          <x14:formula1>
            <xm:f>CALCULATIONS!$R$2:$R$3</xm:f>
          </x14:formula1>
          <xm:sqref>I24</xm:sqref>
        </x14:dataValidation>
        <x14:dataValidation type="list" allowBlank="1" showInputMessage="1" showErrorMessage="1" error="WTF">
          <x14:formula1>
            <xm:f>'UTILITY &amp; DEALS'!$A$2:$A$50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T36"/>
  <sheetViews>
    <sheetView showGridLines="0" topLeftCell="A28" workbookViewId="0">
      <selection activeCell="I6" sqref="I6"/>
    </sheetView>
  </sheetViews>
  <sheetFormatPr defaultRowHeight="15" x14ac:dyDescent="0.25"/>
  <cols>
    <col min="1" max="3" width="9.140625" style="126"/>
    <col min="4" max="4" width="16.7109375" style="126" customWidth="1"/>
    <col min="5" max="5" width="9.140625" style="126"/>
    <col min="6" max="6" width="3.85546875" style="126" customWidth="1"/>
    <col min="7" max="7" width="10.42578125" style="126" customWidth="1"/>
    <col min="8" max="8" width="10.85546875" style="126" bestFit="1" customWidth="1"/>
    <col min="9" max="9" width="11.85546875" style="126" customWidth="1"/>
    <col min="10" max="16384" width="9.140625" style="126"/>
  </cols>
  <sheetData>
    <row r="1" spans="2:20" ht="15.75" thickBot="1" x14ac:dyDescent="0.3"/>
    <row r="2" spans="2:20" x14ac:dyDescent="0.25">
      <c r="B2" s="4"/>
      <c r="C2" s="127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9"/>
      <c r="O2" s="4"/>
    </row>
    <row r="3" spans="2:20" ht="15.75" thickBot="1" x14ac:dyDescent="0.3">
      <c r="B3" s="4"/>
      <c r="C3" s="130"/>
      <c r="D3" s="4"/>
      <c r="E3" s="4"/>
      <c r="F3" s="4"/>
      <c r="G3" s="4"/>
      <c r="H3" s="4"/>
      <c r="I3" s="4"/>
      <c r="J3" s="4"/>
      <c r="K3" s="4"/>
      <c r="L3" s="4"/>
      <c r="M3" s="4"/>
      <c r="N3" s="131"/>
      <c r="O3" s="4"/>
    </row>
    <row r="4" spans="2:20" ht="34.5" thickBot="1" x14ac:dyDescent="0.55000000000000004">
      <c r="B4" s="4"/>
      <c r="C4" s="130"/>
      <c r="D4" s="132">
        <f>SUM(I9:I17)</f>
        <v>2</v>
      </c>
      <c r="E4" s="233" t="s">
        <v>245</v>
      </c>
      <c r="F4" s="233"/>
      <c r="G4" s="234"/>
      <c r="H4" s="4"/>
      <c r="I4" s="132">
        <f>ROUND((D4/48),2)</f>
        <v>0.04</v>
      </c>
      <c r="J4" s="233" t="s">
        <v>246</v>
      </c>
      <c r="K4" s="233"/>
      <c r="L4" s="233"/>
      <c r="M4" s="234"/>
      <c r="N4" s="131"/>
      <c r="O4" s="4"/>
    </row>
    <row r="5" spans="2:20" ht="34.5" thickBot="1" x14ac:dyDescent="0.55000000000000004">
      <c r="B5" s="4"/>
      <c r="C5" s="130"/>
      <c r="D5" s="4"/>
      <c r="E5" s="4"/>
      <c r="F5" s="133"/>
      <c r="G5" s="133"/>
      <c r="H5" s="134"/>
      <c r="I5" s="135">
        <f>ROUND((D4/32),2)</f>
        <v>0.06</v>
      </c>
      <c r="J5" s="233" t="s">
        <v>247</v>
      </c>
      <c r="K5" s="233"/>
      <c r="L5" s="233"/>
      <c r="M5" s="234"/>
      <c r="N5" s="131"/>
      <c r="O5" s="4"/>
      <c r="P5" s="4"/>
      <c r="Q5" s="4"/>
      <c r="R5" s="4"/>
      <c r="S5" s="4"/>
    </row>
    <row r="6" spans="2:20" ht="34.5" thickBot="1" x14ac:dyDescent="0.55000000000000004">
      <c r="B6" s="4"/>
      <c r="C6" s="130"/>
      <c r="D6" s="4"/>
      <c r="E6" s="4"/>
      <c r="F6" s="4"/>
      <c r="G6" s="4"/>
      <c r="H6" s="4"/>
      <c r="I6" s="135">
        <f>ROUND((D4/24),2)</f>
        <v>0.08</v>
      </c>
      <c r="J6" s="233" t="s">
        <v>248</v>
      </c>
      <c r="K6" s="233"/>
      <c r="L6" s="233"/>
      <c r="M6" s="234"/>
      <c r="N6" s="131"/>
      <c r="O6" s="4"/>
      <c r="P6" s="4"/>
      <c r="Q6" s="4"/>
      <c r="R6" s="4"/>
      <c r="S6" s="4"/>
    </row>
    <row r="7" spans="2:20" x14ac:dyDescent="0.25">
      <c r="C7" s="130"/>
      <c r="D7" s="4"/>
      <c r="E7" s="4"/>
      <c r="F7" s="4"/>
      <c r="G7" s="4"/>
      <c r="H7" s="4"/>
      <c r="I7" s="4"/>
      <c r="J7" s="4"/>
      <c r="K7" s="4"/>
      <c r="L7" s="4"/>
      <c r="M7" s="4"/>
      <c r="N7" s="131"/>
      <c r="O7" s="4"/>
      <c r="P7" s="4"/>
      <c r="Q7" s="4"/>
      <c r="R7" s="4"/>
      <c r="S7" s="4"/>
    </row>
    <row r="8" spans="2:20" ht="15.75" thickBot="1" x14ac:dyDescent="0.3">
      <c r="C8" s="130"/>
      <c r="D8" s="4"/>
      <c r="E8" s="4"/>
      <c r="F8" s="4"/>
      <c r="G8" s="4"/>
      <c r="H8" s="4"/>
      <c r="I8" s="4"/>
      <c r="J8" s="4"/>
      <c r="K8" s="4"/>
      <c r="L8" s="4"/>
      <c r="M8" s="4"/>
      <c r="N8" s="131"/>
      <c r="O8" s="4"/>
      <c r="P8" s="4"/>
      <c r="Q8" s="4"/>
      <c r="R8" s="4"/>
      <c r="S8" s="4"/>
    </row>
    <row r="9" spans="2:20" ht="21.75" thickBot="1" x14ac:dyDescent="0.4">
      <c r="C9" s="130"/>
      <c r="D9" s="229" t="s">
        <v>249</v>
      </c>
      <c r="E9" s="230"/>
      <c r="F9" s="136"/>
      <c r="G9" s="137">
        <f>CALCULATIONS!D34</f>
        <v>0</v>
      </c>
      <c r="H9" s="138"/>
      <c r="I9" s="139">
        <f>(G9*1000)/M28+2</f>
        <v>2</v>
      </c>
      <c r="J9" s="231" t="s">
        <v>250</v>
      </c>
      <c r="K9" s="231"/>
      <c r="L9" s="232"/>
      <c r="M9" s="4"/>
      <c r="N9" s="131"/>
      <c r="O9" s="4"/>
      <c r="P9" s="4"/>
      <c r="Q9" s="4"/>
      <c r="R9" s="4">
        <f>FORM!I17</f>
        <v>0</v>
      </c>
      <c r="S9" s="4"/>
      <c r="T9" s="4"/>
    </row>
    <row r="10" spans="2:20" ht="21.75" thickBot="1" x14ac:dyDescent="0.4">
      <c r="C10" s="130"/>
      <c r="D10" s="229" t="s">
        <v>251</v>
      </c>
      <c r="E10" s="230"/>
      <c r="F10" s="136"/>
      <c r="G10" s="137">
        <f>IF(FORM!I14&gt;19,2,1)</f>
        <v>1</v>
      </c>
      <c r="H10" s="138"/>
      <c r="I10" s="139">
        <f>IF(G10&gt;1,G9*M29,0)</f>
        <v>0</v>
      </c>
      <c r="J10" s="231" t="s">
        <v>252</v>
      </c>
      <c r="K10" s="231"/>
      <c r="L10" s="232"/>
      <c r="M10" s="4"/>
      <c r="N10" s="131"/>
      <c r="O10" s="4"/>
      <c r="P10" s="4"/>
      <c r="Q10" s="4"/>
      <c r="R10" s="4">
        <f>FORM!I19</f>
        <v>0</v>
      </c>
      <c r="S10" s="4"/>
      <c r="T10" s="4"/>
    </row>
    <row r="11" spans="2:20" ht="21.75" thickBot="1" x14ac:dyDescent="0.4">
      <c r="C11" s="130"/>
      <c r="D11" s="229" t="s">
        <v>253</v>
      </c>
      <c r="E11" s="230"/>
      <c r="F11" s="136"/>
      <c r="G11" s="137">
        <f>LARGE(R9:R12,1)</f>
        <v>0</v>
      </c>
      <c r="H11" s="138"/>
      <c r="I11" s="139">
        <f>IF(G11&gt;35,(M30*G9),0)</f>
        <v>0</v>
      </c>
      <c r="J11" s="231" t="s">
        <v>252</v>
      </c>
      <c r="K11" s="231"/>
      <c r="L11" s="232"/>
      <c r="M11" s="4"/>
      <c r="N11" s="131"/>
      <c r="O11" s="4"/>
      <c r="P11" s="4"/>
      <c r="Q11" s="4"/>
      <c r="R11" s="4">
        <f>FORM!I21</f>
        <v>0</v>
      </c>
      <c r="S11" s="4"/>
      <c r="T11" s="4"/>
    </row>
    <row r="12" spans="2:20" ht="21.75" thickBot="1" x14ac:dyDescent="0.4">
      <c r="C12" s="130"/>
      <c r="D12" s="229" t="s">
        <v>254</v>
      </c>
      <c r="E12" s="230"/>
      <c r="F12" s="136"/>
      <c r="G12" s="137"/>
      <c r="H12" s="138"/>
      <c r="I12" s="139">
        <f>IF(FORM!E13="YES",0,M31*G9)</f>
        <v>0</v>
      </c>
      <c r="J12" s="231" t="s">
        <v>252</v>
      </c>
      <c r="K12" s="231"/>
      <c r="L12" s="232"/>
      <c r="M12" s="4"/>
      <c r="N12" s="131"/>
      <c r="O12" s="4"/>
      <c r="P12" s="4"/>
      <c r="Q12" s="4"/>
      <c r="R12" s="4">
        <f>FORM!I23</f>
        <v>0</v>
      </c>
      <c r="S12" s="4"/>
      <c r="T12" s="4"/>
    </row>
    <row r="13" spans="2:20" ht="21.75" thickBot="1" x14ac:dyDescent="0.4">
      <c r="C13" s="130"/>
      <c r="D13" s="229" t="s">
        <v>255</v>
      </c>
      <c r="E13" s="230"/>
      <c r="F13" s="136"/>
      <c r="G13" s="137" t="s">
        <v>256</v>
      </c>
      <c r="H13" s="138"/>
      <c r="I13" s="139">
        <f>IF(G13="attic",M32*G9,0)</f>
        <v>0</v>
      </c>
      <c r="J13" s="231" t="s">
        <v>252</v>
      </c>
      <c r="K13" s="231"/>
      <c r="L13" s="232"/>
      <c r="M13" s="4"/>
      <c r="N13" s="131"/>
      <c r="O13" s="4"/>
      <c r="Q13" s="4"/>
      <c r="R13" s="4"/>
      <c r="S13" s="4"/>
      <c r="T13" s="4"/>
    </row>
    <row r="14" spans="2:20" ht="21.75" thickBot="1" x14ac:dyDescent="0.4">
      <c r="C14" s="130"/>
      <c r="D14" s="229" t="s">
        <v>257</v>
      </c>
      <c r="E14" s="230"/>
      <c r="F14" s="136"/>
      <c r="G14" s="137">
        <f>FORM!B23</f>
        <v>0</v>
      </c>
      <c r="H14" s="138"/>
      <c r="I14" s="139">
        <f>IF(G14&gt;1,(G14*(M33*G9)),0)</f>
        <v>0</v>
      </c>
      <c r="J14" s="231" t="s">
        <v>252</v>
      </c>
      <c r="K14" s="231"/>
      <c r="L14" s="232"/>
      <c r="M14" s="4"/>
      <c r="N14" s="131"/>
      <c r="O14" s="4"/>
      <c r="Q14" s="4"/>
      <c r="R14" s="4"/>
      <c r="S14" s="4"/>
      <c r="T14" s="4"/>
    </row>
    <row r="15" spans="2:20" ht="21.75" thickBot="1" x14ac:dyDescent="0.4">
      <c r="C15" s="130"/>
      <c r="D15" s="229" t="s">
        <v>258</v>
      </c>
      <c r="E15" s="230"/>
      <c r="F15" s="136"/>
      <c r="G15" s="137">
        <f>FORM!E19</f>
        <v>0</v>
      </c>
      <c r="H15" s="138"/>
      <c r="I15" s="139">
        <f>G15*(M34*G9)</f>
        <v>0</v>
      </c>
      <c r="J15" s="231" t="s">
        <v>252</v>
      </c>
      <c r="K15" s="231"/>
      <c r="L15" s="232"/>
      <c r="M15" s="4"/>
      <c r="N15" s="131"/>
      <c r="O15" s="4"/>
      <c r="Q15" s="4"/>
      <c r="R15" s="4"/>
      <c r="S15" s="4"/>
      <c r="T15" s="4"/>
    </row>
    <row r="16" spans="2:20" ht="21.75" thickBot="1" x14ac:dyDescent="0.4">
      <c r="C16" s="130"/>
      <c r="D16" s="229" t="s">
        <v>259</v>
      </c>
      <c r="E16" s="230"/>
      <c r="F16" s="136"/>
      <c r="G16" s="137"/>
      <c r="H16" s="138"/>
      <c r="I16" s="139">
        <f>IF(FORM!E22="NO",M35*G9,0)</f>
        <v>0</v>
      </c>
      <c r="J16" s="231" t="s">
        <v>252</v>
      </c>
      <c r="K16" s="231"/>
      <c r="L16" s="232"/>
      <c r="M16" s="4"/>
      <c r="N16" s="131"/>
      <c r="O16" s="4"/>
      <c r="Q16" s="4"/>
      <c r="R16" s="4"/>
      <c r="S16" s="4"/>
      <c r="T16" s="4"/>
    </row>
    <row r="17" spans="3:20" ht="21.75" thickBot="1" x14ac:dyDescent="0.4">
      <c r="C17" s="130"/>
      <c r="D17" s="229" t="s">
        <v>260</v>
      </c>
      <c r="E17" s="230"/>
      <c r="F17" s="140"/>
      <c r="G17" s="137">
        <f>FORM!E17</f>
        <v>0</v>
      </c>
      <c r="H17" s="4"/>
      <c r="I17" s="141">
        <f>M36*G17</f>
        <v>0</v>
      </c>
      <c r="J17" s="231" t="s">
        <v>252</v>
      </c>
      <c r="K17" s="231"/>
      <c r="L17" s="232"/>
      <c r="M17" s="4"/>
      <c r="N17" s="131"/>
      <c r="O17" s="4"/>
      <c r="Q17" s="4"/>
      <c r="R17" s="4"/>
      <c r="S17" s="4"/>
      <c r="T17" s="4"/>
    </row>
    <row r="18" spans="3:20" ht="15.75" thickBot="1" x14ac:dyDescent="0.3">
      <c r="C18" s="142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4"/>
      <c r="O18" s="4"/>
      <c r="Q18" s="4"/>
      <c r="R18" s="4"/>
      <c r="S18" s="4"/>
      <c r="T18" s="4"/>
    </row>
    <row r="19" spans="3:20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/>
      <c r="S19" s="4"/>
      <c r="T19" s="4"/>
    </row>
    <row r="20" spans="3:20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Q20" s="4"/>
      <c r="R20" s="4"/>
      <c r="S20" s="4"/>
      <c r="T20" s="4"/>
    </row>
    <row r="21" spans="3:20" x14ac:dyDescent="0.25">
      <c r="S21" s="4"/>
      <c r="T21" s="4"/>
    </row>
    <row r="24" spans="3:20" x14ac:dyDescent="0.25">
      <c r="D24" s="126" t="s">
        <v>261</v>
      </c>
    </row>
    <row r="25" spans="3:20" x14ac:dyDescent="0.25">
      <c r="D25" s="126" t="s">
        <v>262</v>
      </c>
    </row>
    <row r="28" spans="3:20" x14ac:dyDescent="0.25">
      <c r="D28" s="126" t="s">
        <v>263</v>
      </c>
      <c r="G28" s="126">
        <v>48</v>
      </c>
      <c r="H28" s="101" t="s">
        <v>264</v>
      </c>
      <c r="I28" s="101"/>
      <c r="J28" s="101"/>
      <c r="K28" s="101"/>
      <c r="M28" s="145">
        <f>10000/G28</f>
        <v>208.33333333333334</v>
      </c>
      <c r="N28" s="126" t="s">
        <v>265</v>
      </c>
    </row>
    <row r="29" spans="3:20" x14ac:dyDescent="0.25">
      <c r="D29" s="126" t="s">
        <v>266</v>
      </c>
      <c r="G29" s="126">
        <v>2</v>
      </c>
      <c r="H29" s="101" t="s">
        <v>267</v>
      </c>
      <c r="I29" s="101"/>
      <c r="J29" s="101"/>
      <c r="K29" s="101"/>
      <c r="M29" s="146">
        <f t="shared" ref="M29:M35" si="0">G29/10</f>
        <v>0.2</v>
      </c>
      <c r="N29" s="126" t="s">
        <v>268</v>
      </c>
    </row>
    <row r="30" spans="3:20" x14ac:dyDescent="0.25">
      <c r="D30" s="126" t="s">
        <v>269</v>
      </c>
      <c r="G30" s="126">
        <v>12</v>
      </c>
      <c r="H30" s="101" t="s">
        <v>270</v>
      </c>
      <c r="I30" s="101"/>
      <c r="J30" s="101"/>
      <c r="K30" s="101"/>
      <c r="M30" s="146">
        <f t="shared" si="0"/>
        <v>1.2</v>
      </c>
      <c r="N30" s="126" t="s">
        <v>271</v>
      </c>
    </row>
    <row r="31" spans="3:20" x14ac:dyDescent="0.25">
      <c r="D31" s="126" t="s">
        <v>272</v>
      </c>
      <c r="G31" s="126">
        <v>2</v>
      </c>
      <c r="H31" s="101" t="s">
        <v>273</v>
      </c>
      <c r="I31" s="101"/>
      <c r="J31" s="101"/>
      <c r="K31" s="101"/>
      <c r="M31" s="146">
        <f t="shared" si="0"/>
        <v>0.2</v>
      </c>
      <c r="N31" s="126" t="s">
        <v>274</v>
      </c>
    </row>
    <row r="32" spans="3:20" x14ac:dyDescent="0.25">
      <c r="D32" s="126" t="s">
        <v>275</v>
      </c>
      <c r="G32" s="126">
        <v>2</v>
      </c>
      <c r="H32" s="101" t="s">
        <v>273</v>
      </c>
      <c r="I32" s="101"/>
      <c r="J32" s="101"/>
      <c r="K32" s="101"/>
      <c r="M32" s="146">
        <f t="shared" si="0"/>
        <v>0.2</v>
      </c>
      <c r="N32" s="126" t="s">
        <v>274</v>
      </c>
    </row>
    <row r="33" spans="4:14" x14ac:dyDescent="0.25">
      <c r="D33" s="126" t="s">
        <v>276</v>
      </c>
      <c r="G33" s="126">
        <v>1</v>
      </c>
      <c r="H33" s="101" t="s">
        <v>277</v>
      </c>
      <c r="I33" s="101"/>
      <c r="J33" s="101"/>
      <c r="K33" s="101"/>
      <c r="M33" s="146">
        <f t="shared" si="0"/>
        <v>0.1</v>
      </c>
      <c r="N33" s="126" t="s">
        <v>278</v>
      </c>
    </row>
    <row r="34" spans="4:14" x14ac:dyDescent="0.25">
      <c r="D34" s="126" t="s">
        <v>279</v>
      </c>
      <c r="G34" s="126">
        <v>1</v>
      </c>
      <c r="H34" s="101" t="s">
        <v>280</v>
      </c>
      <c r="I34" s="101"/>
      <c r="J34" s="101"/>
      <c r="K34" s="101"/>
      <c r="M34" s="146">
        <f t="shared" si="0"/>
        <v>0.1</v>
      </c>
      <c r="N34" s="126" t="s">
        <v>281</v>
      </c>
    </row>
    <row r="35" spans="4:14" x14ac:dyDescent="0.25">
      <c r="D35" s="126" t="s">
        <v>282</v>
      </c>
      <c r="G35" s="126">
        <v>32</v>
      </c>
      <c r="H35" s="101" t="s">
        <v>273</v>
      </c>
      <c r="I35" s="101"/>
      <c r="J35" s="101"/>
      <c r="K35" s="101"/>
      <c r="M35" s="146">
        <f t="shared" si="0"/>
        <v>3.2</v>
      </c>
      <c r="N35" s="126" t="s">
        <v>274</v>
      </c>
    </row>
    <row r="36" spans="4:14" x14ac:dyDescent="0.25">
      <c r="D36" s="126" t="s">
        <v>260</v>
      </c>
      <c r="G36" s="126">
        <v>8.3000000000000004E-2</v>
      </c>
      <c r="H36" s="101" t="s">
        <v>283</v>
      </c>
      <c r="M36" s="146">
        <f>G36</f>
        <v>8.3000000000000004E-2</v>
      </c>
      <c r="N36" s="126" t="s">
        <v>283</v>
      </c>
    </row>
  </sheetData>
  <sheetProtection algorithmName="SHA-512" hashValue="lRSC78d9IMzA+pLTcBGlSy+y/u+u9rmmg/5zXcT+ulLcYnhMm+0L+NYPVSXXeb5DicVgi1vWeDdNR5CnLbl8Aw==" saltValue="yOYEjqPe2BrO3nkkhCseSA==" spinCount="100000" sheet="1" objects="1" scenarios="1"/>
  <dataConsolidate/>
  <mergeCells count="22">
    <mergeCell ref="E4:G4"/>
    <mergeCell ref="J4:M4"/>
    <mergeCell ref="J5:M5"/>
    <mergeCell ref="J6:M6"/>
    <mergeCell ref="D9:E9"/>
    <mergeCell ref="J9:L9"/>
    <mergeCell ref="D10:E10"/>
    <mergeCell ref="J10:L10"/>
    <mergeCell ref="D11:E11"/>
    <mergeCell ref="J11:L11"/>
    <mergeCell ref="D12:E12"/>
    <mergeCell ref="J12:L12"/>
    <mergeCell ref="D16:E16"/>
    <mergeCell ref="J16:L16"/>
    <mergeCell ref="D17:E17"/>
    <mergeCell ref="J17:L17"/>
    <mergeCell ref="D13:E13"/>
    <mergeCell ref="J13:L13"/>
    <mergeCell ref="D14:E14"/>
    <mergeCell ref="J14:L14"/>
    <mergeCell ref="D15:E15"/>
    <mergeCell ref="J15:L15"/>
  </mergeCells>
  <dataValidations count="3">
    <dataValidation type="list" allowBlank="1" showInputMessage="1" showErrorMessage="1" sqref="G16">
      <formula1>"yes,no"</formula1>
    </dataValidation>
    <dataValidation type="list" allowBlank="1" showInputMessage="1" showErrorMessage="1" sqref="G13">
      <formula1>"attic, outside"</formula1>
    </dataValidation>
    <dataValidation type="list" allowBlank="1" showInputMessage="1" showErrorMessage="1" sqref="G12">
      <formula1>"inside,outside"</formula1>
    </dataValidation>
  </dataValidations>
  <pageMargins left="0.7" right="0.7" top="0.75" bottom="0.75" header="0.3" footer="0.3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5"/>
  <sheetViews>
    <sheetView zoomScale="85" zoomScaleNormal="85" workbookViewId="0">
      <selection activeCell="R7" sqref="R7"/>
    </sheetView>
  </sheetViews>
  <sheetFormatPr defaultRowHeight="15" x14ac:dyDescent="0.25"/>
  <cols>
    <col min="1" max="1" width="25.7109375" style="33" bestFit="1" customWidth="1"/>
    <col min="2" max="2" width="40.140625" style="33" bestFit="1" customWidth="1"/>
    <col min="3" max="3" width="26.140625" style="33" customWidth="1"/>
    <col min="4" max="4" width="42.28515625" style="33" customWidth="1"/>
    <col min="5" max="5" width="31.85546875" style="33" customWidth="1"/>
    <col min="6" max="6" width="6.85546875" style="33" customWidth="1"/>
    <col min="7" max="7" width="46" style="33" customWidth="1"/>
    <col min="8" max="8" width="9.140625" style="33"/>
    <col min="9" max="9" width="47" style="33" bestFit="1" customWidth="1"/>
    <col min="10" max="12" width="9.140625" style="33"/>
    <col min="13" max="14" width="9.140625" style="33" customWidth="1"/>
    <col min="15" max="15" width="9.140625" style="33"/>
    <col min="16" max="16" width="12.85546875" style="33" customWidth="1"/>
    <col min="17" max="17" width="9.140625" style="33"/>
    <col min="18" max="18" width="37.85546875" style="33" customWidth="1"/>
    <col min="19" max="16384" width="9.140625" style="33"/>
  </cols>
  <sheetData>
    <row r="1" spans="1:18" ht="18" thickBot="1" x14ac:dyDescent="0.35">
      <c r="A1" s="182" t="s">
        <v>52</v>
      </c>
      <c r="B1" s="182"/>
      <c r="C1" s="182"/>
      <c r="D1" s="36"/>
      <c r="E1" s="182" t="s">
        <v>53</v>
      </c>
      <c r="F1" s="182"/>
      <c r="G1" s="182"/>
      <c r="H1" s="32"/>
      <c r="I1" s="32"/>
      <c r="M1" s="192" t="s">
        <v>154</v>
      </c>
      <c r="N1" s="192"/>
      <c r="O1" s="192"/>
      <c r="P1" s="192"/>
      <c r="Q1" s="182" t="s">
        <v>161</v>
      </c>
      <c r="R1" s="182"/>
    </row>
    <row r="2" spans="1:18" ht="15.75" thickTop="1" x14ac:dyDescent="0.25">
      <c r="A2" s="37" t="str">
        <f>IF(CALCULATIONS!B20=0,"",CALCULATIONS!B20)</f>
        <v/>
      </c>
      <c r="B2" s="32"/>
      <c r="C2" s="38" t="str">
        <f>CALCULATIONS!B15</f>
        <v>NODATE</v>
      </c>
      <c r="D2" s="32"/>
      <c r="E2" s="193" t="str">
        <f ca="1">I2&amp;CHAR(10)&amp;I3&amp;CHAR(10)&amp;I4</f>
        <v>ELECTRICAL 3 LINE DIAGRAM
0kW PV SYSTEM 
0 - 0</v>
      </c>
      <c r="F2" s="196"/>
      <c r="G2" s="32" t="str">
        <f>CALCULATIONS!B13</f>
        <v/>
      </c>
      <c r="H2" s="32"/>
      <c r="I2" s="32" t="s">
        <v>162</v>
      </c>
      <c r="M2" s="65" t="str">
        <f>IF(FORM!D24="","",FORM!D24)</f>
        <v/>
      </c>
      <c r="N2" s="208" t="str">
        <f>IF(FORM!E24="","",FORM!E24)</f>
        <v/>
      </c>
      <c r="O2" s="208"/>
      <c r="P2" s="70" t="str">
        <f>IF(FORM!F24="","",FORM!F24)</f>
        <v/>
      </c>
      <c r="Q2" s="67">
        <f>(
CALCULATIONS!B12
)</f>
        <v>0</v>
      </c>
      <c r="R2" s="67">
        <f>(
CALCULATIONS!C12
)</f>
        <v>0</v>
      </c>
    </row>
    <row r="3" spans="1:18" x14ac:dyDescent="0.25">
      <c r="A3" s="37" t="str">
        <f>IF(CALCULATIONS!B21=0,"",CALCULATIONS!B21)</f>
        <v/>
      </c>
      <c r="B3" s="32"/>
      <c r="C3" s="32">
        <f>CALCULATIONS!B22</f>
        <v>0</v>
      </c>
      <c r="D3" s="32"/>
      <c r="E3" s="194"/>
      <c r="F3" s="189"/>
      <c r="G3" s="195" t="str">
        <f ca="1">IF(AND(CALCULATIONS!A1&lt;TODAY(),OR(CALCULATIONS!B15="NODATE", CALCULATIONS!A1&lt; CALCULATIONS!B15)),"",
CALCULATIONS!B14&amp;CHAR(10)&amp;"TRINITY ACCOUNT #: "&amp;CALCULATIONS!B18
)</f>
        <v xml:space="preserve">
TRINITY ACCOUNT #: 0</v>
      </c>
      <c r="H3" s="32"/>
      <c r="I3" s="32" t="str">
        <f ca="1">IF(AND(CALCULATIONS!A1&lt;TODAY(),OR(CALCULATIONS!B15="NODATE", CALCULATIONS!A1&lt; CALCULATIONS!B15)),"",
CALCULATIONS!D34&amp;"kW PV SYSTEM "&amp;CALCULATIONS!B16
)</f>
        <v xml:space="preserve">0kW PV SYSTEM </v>
      </c>
      <c r="M3" s="65" t="str">
        <f>IF(FORM!D25="","",FORM!D25)</f>
        <v/>
      </c>
      <c r="N3" s="208" t="str">
        <f>IF(FORM!E25="","",FORM!E25)</f>
        <v/>
      </c>
      <c r="O3" s="208"/>
      <c r="P3" s="70" t="str">
        <f>IF(FORM!F25="","",FORM!F25)</f>
        <v/>
      </c>
      <c r="Q3" s="68" t="str">
        <f>(
IF(R3="","",1)
)</f>
        <v/>
      </c>
      <c r="R3" s="68" t="str">
        <f>(IF(CALCULATIONS!B2=0,"",IF(FORM!B17="INTERNAL",
IF(CALCULATIONS!B2="SE7600A-US",CALCULATIONS!B2&amp;"002NNR2",IF(OR(CALCULATIONS!B2="SE3000A-US", CALCULATIONS!B2="SE3800A-US", CALCULATIONS!B2="SE5000A-US", CALCULATIONS!B2="SE6000A-US", CALCULATIONS!B2="SE10000A-US", CALCULATIONS!B2="SE11400A-US"),CALCULATIONS!B2&amp;"000NNR2", IF(OR(CALCULATIONS!B2="SE3000H-US", CALCULATIONS!B2="SE3800H-US", CALCULATIONS!B2="SE5000H-US", CALCULATIONS!B2="SE6000H-US", CALCULATIONS!B2="SE7600H-US", CALCULATIONS!B2="SE10000H-US", CALCULATIONS!B2="SE11400H-US"), CALCULATIONS!B2&amp;"000NNC2", CALCULATIONS!B2))),
CALCULATIONS!B2)))</f>
        <v/>
      </c>
    </row>
    <row r="4" spans="1:18" x14ac:dyDescent="0.25">
      <c r="A4" s="32" t="str">
        <f>IF(CALCULATIONS!B23=0,"",IF(CALCULATIONS!B23="A1","AS BUILT 1",IF(CALCULATIONS!B23="A2","AS BUILT 2",IF(CALCULATIONS!B23="A3","AS BUILT 3",CALCULATIONS!B23))))</f>
        <v>P1</v>
      </c>
      <c r="B4" s="32"/>
      <c r="C4" s="32"/>
      <c r="D4" s="32"/>
      <c r="E4" s="194"/>
      <c r="F4" s="189"/>
      <c r="G4" s="195"/>
      <c r="H4" s="32"/>
      <c r="I4" s="32" t="str">
        <f ca="1">IF(AND(CALCULATIONS!A1&lt;TODAY(),OR(CALCULATIONS!B15="NODATE", CALCULATIONS!A1&lt; CALCULATIONS!B15)),"",
CALCULATIONS!B12&amp;" - "&amp;CALCULATIONS!C12
)</f>
        <v>0 - 0</v>
      </c>
      <c r="M4" s="65" t="str">
        <f>IF(FORM!D26="","",FORM!D26)</f>
        <v/>
      </c>
      <c r="N4" s="208" t="str">
        <f>IF(FORM!E26="","",FORM!E26)</f>
        <v/>
      </c>
      <c r="O4" s="208"/>
      <c r="P4" s="70" t="str">
        <f>IF(FORM!F26="","",FORM!F26)</f>
        <v/>
      </c>
      <c r="Q4" s="68" t="str">
        <f t="shared" ref="Q4:Q6" si="0">IF(R4="","",1)</f>
        <v/>
      </c>
      <c r="R4" s="68" t="str">
        <f>(IF(CALCULATIONS!C2=0,"",
IF(FORM!B17="INTERNAL",
IF(CALCULATIONS!C2="SE7600A-US",CALCULATIONS!C2&amp;"002NNR2",IF(OR(CALCULATIONS!C2="SE3000A-US", CALCULATIONS!C2="SE3800A-US", CALCULATIONS!C2="SE5000A-US", CALCULATIONS!C2="SE6000A-US", CALCULATIONS!C2="SE10000A-US", CALCULATIONS!C2="SE11400A-US"),CALCULATIONS!C2&amp;"000NNR2", IF(OR(CALCULATIONS!C2="SE3000H-US", CALCULATIONS!C2="SE3800H-US", CALCULATIONS!C2="SE5000H-US", CALCULATIONS!C2="SE6000H-US", CALCULATIONS!C2="SE7600H-US", CALCULATIONS!C2="SE10000H-US", CALCULATIONS!C2="SE11400H-US"), CALCULATIONS!C2&amp;"000NNC2", CALCULATIONS!C2))),
CALCULATIONS!C2)))</f>
        <v/>
      </c>
    </row>
    <row r="5" spans="1:18" x14ac:dyDescent="0.25">
      <c r="A5" s="38" t="str">
        <f>IF(CALCULATIONS!B25="","",CALCULATIONS!B25)</f>
        <v/>
      </c>
      <c r="B5" s="32"/>
      <c r="C5" s="32" t="str">
        <f>IF(CALCULATIONS!B24=0,"",CALCULATIONS!B24)</f>
        <v/>
      </c>
      <c r="D5" s="32"/>
      <c r="E5" s="39"/>
      <c r="F5" s="32"/>
      <c r="G5" s="40"/>
      <c r="H5" s="32"/>
      <c r="I5" s="32"/>
      <c r="M5" s="65" t="str">
        <f>IF(FORM!D27="","",FORM!D27)</f>
        <v>P1</v>
      </c>
      <c r="N5" s="208" t="str">
        <f>IF(FORM!E27="","",FORM!E27)</f>
        <v>ISSUED TO TOWNSHIP FOR PERMIT</v>
      </c>
      <c r="O5" s="208"/>
      <c r="P5" s="70" t="str">
        <f>IF(FORM!F27="","",FORM!F27)</f>
        <v/>
      </c>
      <c r="Q5" s="68" t="str">
        <f t="shared" si="0"/>
        <v/>
      </c>
      <c r="R5" s="68" t="str">
        <f>(IF(CALCULATIONS!D2=0,"",
IF(FORM!B17="INTERNAL",
IF(CALCULATIONS!D2="SE7600A-US",CALCULATIONS!D2&amp;"002NNR2",IF(OR(CALCULATIONS!D2="SE3000A-US", CALCULATIONS!D2="SE3800A-US", CALCULATIONS!D2="SE5000A-US", CALCULATIONS!D2="SE6000A-US", CALCULATIONS!D2="SE10000A-US", CALCULATIONS!D2="SE11400A-US"),CALCULATIONS!D2&amp;"000NNR2", IF(OR(CALCULATIONS!D2="SE3000H-US", CALCULATIONS!D2="SE3800H-US", CALCULATIONS!D2="SE5000H-US", CALCULATIONS!D2="SE6000H-US", CALCULATIONS!D2="SE7600H-US", CALCULATIONS!D2="SE10000H-US", CALCULATIONS!D2="SE11400H-US"), CALCULATIONS!D2&amp;"000NNC2", CALCULATIONS!D2))),
CALCULATIONS!D2)))</f>
        <v/>
      </c>
    </row>
    <row r="6" spans="1:18" x14ac:dyDescent="0.25">
      <c r="A6" s="32"/>
      <c r="B6" s="32"/>
      <c r="C6" s="32"/>
      <c r="D6" s="32"/>
      <c r="E6" s="32"/>
      <c r="F6" s="32"/>
      <c r="G6" s="32"/>
      <c r="H6" s="32"/>
      <c r="I6" s="32"/>
      <c r="M6" s="66" t="s">
        <v>148</v>
      </c>
      <c r="N6" s="205" t="s">
        <v>149</v>
      </c>
      <c r="O6" s="206"/>
      <c r="P6" s="66" t="s">
        <v>150</v>
      </c>
      <c r="Q6" s="68" t="str">
        <f t="shared" si="0"/>
        <v/>
      </c>
      <c r="R6" s="68" t="str">
        <f>(IF(CALCULATIONS!E2=0,"",
IF(FORM!B17="INTERNAL",
IF(CALCULATIONS!E2="SE7600A-US",CALCULATIONS!E2&amp;"002NNR2",IF(OR(CALCULATIONS!E2="SE3000A-US", CALCULATIONS!E2="SE3800A-US", CALCULATIONS!E2="SE5000A-US", CALCULATIONS!E2="SE6000A-US", CALCULATIONS!E2="SE10000A-US", CALCULATIONS!E2="SE11400A-US"),CALCULATIONS!E2&amp;"000NNR2", IF(OR(CALCULATIONS!E2="SE3000H-US", CALCULATIONS!E2="SE3800H-US", CALCULATIONS!E2="SE5000H-US", CALCULATIONS!E2="SE6000H-US", CALCULATIONS!E2="SE7600H-US", CALCULATIONS!E2="SE10000H-US", CALCULATIONS!E2="SE11400H-US"), CALCULATIONS!E2&amp;"000NNC2", CALCULATIONS!E2))),
CALCULATIONS!E2)))</f>
        <v/>
      </c>
    </row>
    <row r="7" spans="1:18" ht="18" thickBot="1" x14ac:dyDescent="0.35">
      <c r="A7" s="182" t="s">
        <v>70</v>
      </c>
      <c r="B7" s="182"/>
      <c r="C7" s="182"/>
      <c r="D7" s="182"/>
      <c r="E7" s="32"/>
      <c r="F7" s="32"/>
      <c r="G7" s="41" t="s">
        <v>82</v>
      </c>
      <c r="H7" s="32"/>
      <c r="I7" s="42" t="s">
        <v>86</v>
      </c>
      <c r="M7" s="207"/>
      <c r="N7" s="207"/>
      <c r="O7" s="207"/>
      <c r="P7" s="207"/>
      <c r="Q7" s="69" t="str">
        <f>(
IF(CALCULATIONS!I42="YES",FORM!F9,IF(R7="","",1))
)</f>
        <v/>
      </c>
      <c r="R7" s="69" t="str">
        <f>(
IF(CALCULATIONS!I42="YES","ENPHASE "&amp;FORM!F5,
IF(CALCULATIONS!F2=0,"",CALCULATIONS!F2))&amp;IF(CALCULATIONS!F2=0,"",IF(FORM!F5="M250 MICROINVERTERS"," (M250-60-2LL-S22/S23/S24)"," (M215-60-2LL-S22/S23)"))
)</f>
        <v/>
      </c>
    </row>
    <row r="8" spans="1:18" ht="75.75" thickTop="1" x14ac:dyDescent="0.25">
      <c r="A8" s="196" t="str">
        <f>IF(CALCULATIONS!B28&gt;0,IF(FORM!B17="", "INVERTER #1 - "&amp;CALCULATIONS!B28,IF(FORM!B17="INTERNAL",IF(CALCULATIONS!B28="SE7600A-US","INVERTER #1 - "&amp;CALCULATIONS!B28&amp;"002NNR2",IF(OR(CALCULATIONS!B28="SE3000A-US", CALCULATIONS!B28="SE3800A-US", CALCULATIONS!B28="SE5000A-US", CALCULATIONS!B28="SE6000A-US", CALCULATIONS!B28="SE10000A-US", CALCULATIONS!B28="SE11400A-US"),"INVERTER #1 - "&amp;CALCULATIONS!B28&amp;"000NNR2", IF(OR(CALCULATIONS!B28="SE3000H-US", CALCULATIONS!B28="SE3800H-US", CALCULATIONS!B28="SE5000H-US", CALCULATIONS!B28="SE6000H-US", CALCULATIONS!B28="SE7600H-US", CALCULATIONS!B28="SE10000H-US", CALCULATIONS!B28="SE11400H-US"), "INVERTER #1 - "&amp;CALCULATIONS!B28&amp;"000NNC2", "INVERTER #1 - "&amp;CALCULATIONS!B28))),"INVERTER #1 - "&amp;CALCULATIONS!B28)), "INVERTER #1 - "&amp;CALCULATIONS!B28)</f>
        <v>INVERTER #1 - 0</v>
      </c>
      <c r="B8" s="196"/>
      <c r="C8" s="196"/>
      <c r="D8" s="196"/>
      <c r="E8" s="32"/>
      <c r="F8" s="32"/>
      <c r="G8" s="58" t="e">
        <f>(
IF(FORM!E15="GROUND MOUNT","SOLAR MODULES GROUND MOUNTED ON ","SOLAR MODULES MOUNTED TO ROOF ON ")&amp;CALCULATIONS!E26&amp;IF(CALCULATIONS!E26=1," ARRAY"," ARRAYS")&amp;CHAR(10)&amp;CALCULATIONS!B12&amp;" - "&amp;CALCULATIONS!H9&amp;"W MODULES"&amp;IF(CALCULATIONS!B37="YES"," W/ 1 SOLAR EDGE P300 PER MODULE","")&amp;CHAR(10)&amp;IF(CALCULATIONS!B37="YES",15,CALCULATIONS!H13*1.25)&amp;" ADC MAX PER STRING"
)</f>
        <v>#VALUE!</v>
      </c>
      <c r="H8" s="32"/>
      <c r="I8" s="44" t="str">
        <f>(
IF(FORM!E15="GROUND MOUNT","SOLAR MODULES GROUND MOUNTED ON ","SOLAR MODULES MOUNTED TO ROOF ON ")&amp;CALCULATIONS!E26&amp;
IF(CALCULATIONS!E26=1," ARRAY"," ARRAYS")&amp;CHAR(10)&amp;
CALCULATIONS!B12&amp;" - "&amp;CALCULATIONS!H9&amp;"W MODULES"&amp;CHAR(10)&amp;
CALCULATIONS!I27&amp;" - ENPHASE "&amp;CALCULATIONS!F2&amp;
IF(FORM!F5="M250 MICROINVERTERS"," (M250-60-2LL-S22/S23/S24)"," (M215-60-2LL-S22/S23)")
)</f>
        <v>SOLAR MODULES MOUNTED TO ROOF ON 0 ARRAYS
0 - 0W MODULES
0 - ENPHASE 0 (M215-60-2LL-S22/S23)</v>
      </c>
      <c r="M8" s="200" t="str">
        <f>(UPPER(
A71
))</f>
        <v/>
      </c>
      <c r="N8" s="201"/>
      <c r="O8" s="201"/>
      <c r="P8" s="202"/>
    </row>
    <row r="9" spans="1:18" ht="45" x14ac:dyDescent="0.25">
      <c r="A9" s="189" t="s">
        <v>71</v>
      </c>
      <c r="B9" s="189"/>
      <c r="C9" s="189" t="s">
        <v>72</v>
      </c>
      <c r="D9" s="189"/>
      <c r="E9" s="45"/>
      <c r="F9" s="32"/>
      <c r="G9" s="43" t="str">
        <f>(
CALCULATIONS!B40&amp;CHAR(10)&amp;CALCULATIONS!B41&amp;CHAR(10)&amp;IF(CALCULATIONS!B3&gt;1,"*"&amp;CALCULATIONS!B3&amp;" STRINGS TO BE TERMINATED IN PARALLEL INSIDE INVERTER 1","*TERMINATED INSIDE INVERTER 1")
)</f>
        <v xml:space="preserve">
*TERMINATED INSIDE INVERTER 1</v>
      </c>
      <c r="H9" s="43"/>
      <c r="I9" s="44"/>
      <c r="J9" s="43"/>
      <c r="K9" s="43"/>
      <c r="M9" s="197" t="str">
        <f>(
"TRINITY ACCT #: "&amp;CALCULATIONS!B18
)</f>
        <v>TRINITY ACCT #: 0</v>
      </c>
      <c r="N9" s="198"/>
      <c r="O9" s="198"/>
      <c r="P9" s="199"/>
    </row>
    <row r="10" spans="1:18" ht="45" x14ac:dyDescent="0.25">
      <c r="A10" s="33" t="s">
        <v>3</v>
      </c>
      <c r="B10" s="33" t="e">
        <f ca="1">IF(AND(CALCULATIONS!A1&lt;TODAY(),OR(CALCULATIONS!B15="NODATE",CALCULATIONS!A1&lt;CALCULATIONS!B15)),"#VALUE!",
CALCULATIONS!B29
)</f>
        <v>#VALUE!</v>
      </c>
      <c r="C10" s="33" t="s">
        <v>73</v>
      </c>
      <c r="D10" s="33" t="str">
        <f>(
IF(CALCULATIONS!B28=INVERTERS!A11,INVERTERS!B11,IF(CALCULATIONS!B28=INVERTERS!A12,INVERTERS!B12,IF(CALCULATIONS!B28=INVERTERS!A13,INVERTERS!B13,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9,INVERTERS!B9,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10,INVERTERS!B10,IF(CALCULATIONS!B28=INVERTERS!A25,INVERTERS!B25,IF(CALCULATIONS!B28=INVERTERS!A26,INVERTERS!B26,"")))))))))))))))))))))))))
)</f>
        <v/>
      </c>
      <c r="G10" s="46" t="str">
        <f>(
CALCULATIONS!C40&amp;CHAR(10)&amp;CALCULATIONS!C41&amp;CHAR(10)&amp;IF(CALCULATIONS!C3&gt;1,"*"&amp;CALCULATIONS!C3&amp;" STRINGS TO BE TERMINATED IN PARALLEL INSIDE INVERTER 2","*TERMINATED INSIDE INVERTER 2")
)</f>
        <v xml:space="preserve">
*TERMINATED INSIDE INVERTER 2</v>
      </c>
      <c r="I10" s="47" t="str">
        <f>(
CALCULATIONS!I28&amp;" MODULES ON "&amp;CALCULATIONS!I28&amp;" ENPHASE "&amp;CALCULATIONS!F2
)</f>
        <v>0 MODULES ON 0 ENPHASE 0</v>
      </c>
      <c r="M10" s="184"/>
      <c r="N10" s="220"/>
      <c r="O10" s="220"/>
      <c r="P10" s="185"/>
    </row>
    <row r="11" spans="1:18" ht="60" customHeight="1" x14ac:dyDescent="0.25">
      <c r="A11" s="33" t="s">
        <v>4</v>
      </c>
      <c r="B11" s="33" t="e">
        <f>(
CALCULATIONS!B30
)</f>
        <v>#VALUE!</v>
      </c>
      <c r="C11" s="33" t="s">
        <v>75</v>
      </c>
      <c r="D11" s="33">
        <f>(
CALCULATIONS!B33
)</f>
        <v>0</v>
      </c>
      <c r="G11" s="46" t="str">
        <f>(
CALCULATIONS!D40&amp;CHAR(10)&amp;CALCULATIONS!D41&amp;CHAR(10)&amp;IF(CALCULATIONS!D3&gt;1,"*"&amp;CALCULATIONS!D3&amp;" STRINGS TO BE TERMINATED IN PARALLEL INSIDE INVERTER 3","*TERMINATED INSIDE INVERTER 3")
)</f>
        <v xml:space="preserve">
*TERMINATED INSIDE INVERTER 3</v>
      </c>
      <c r="I11" s="47"/>
      <c r="M11" s="200" t="str">
        <f>(UPPER(
A73
))</f>
        <v/>
      </c>
      <c r="N11" s="201"/>
      <c r="O11" s="201"/>
      <c r="P11" s="202"/>
    </row>
    <row r="12" spans="1:18" ht="75" customHeight="1" x14ac:dyDescent="0.25">
      <c r="A12" s="33" t="s">
        <v>5</v>
      </c>
      <c r="B12" s="33" t="e">
        <f>(
CALCULATIONS!B31
)</f>
        <v>#VALUE!</v>
      </c>
      <c r="C12" s="33" t="s">
        <v>353</v>
      </c>
      <c r="D12" s="33">
        <f>(
D11*1.25
)</f>
        <v>0</v>
      </c>
      <c r="G12" s="46" t="str">
        <f>(
CALCULATIONS!E40&amp;CHAR(10)&amp;CALCULATIONS!E41&amp;CHAR(10)&amp;IF(CALCULATIONS!E3&gt;1,"*"&amp;CALCULATIONS!E3&amp;" STRINGS TO BE TERMINATED IN PARALLEL INSIDE INVERTER 4","*TERMINATED INSIDE INVERTER 4")
)</f>
        <v xml:space="preserve">
*TERMINATED INSIDE INVERTER 4</v>
      </c>
      <c r="I12" s="47" t="str">
        <f>(
CALCULATIONS!I29&amp;" MODULES ON "&amp;CALCULATIONS!I29&amp;" ENPHASE "&amp;CALCULATIONS!F2
)</f>
        <v>0 MODULES ON 0 ENPHASE 0</v>
      </c>
      <c r="M12" s="197"/>
      <c r="N12" s="198"/>
      <c r="O12" s="198"/>
      <c r="P12" s="199"/>
    </row>
    <row r="13" spans="1:18" ht="60" customHeight="1" x14ac:dyDescent="0.25">
      <c r="A13" s="33" t="s">
        <v>6</v>
      </c>
      <c r="B13" s="33" t="e">
        <f>(
CALCULATIONS!B32
)</f>
        <v>#VALUE!</v>
      </c>
      <c r="C13" s="33" t="s">
        <v>74</v>
      </c>
      <c r="D13" s="33">
        <f>(
240
)</f>
        <v>240</v>
      </c>
      <c r="G13" s="46" t="str">
        <f>(
CALCULATIONS!F40&amp;CHAR(10)&amp;CALCULATIONS!F41&amp;CHAR(10)&amp;IF(CALCULATIONS!F3&gt;1,"*"&amp;CALCULATIONS!F3&amp;" STRINGS TO BE TERMINATED IN PARALLEL INSIDE INVERTER 5","*TERMINATED INSIDE INVERTER 5")
)</f>
        <v xml:space="preserve">
*TERMINATED INSIDE INVERTER 5</v>
      </c>
      <c r="I13" s="47"/>
      <c r="M13" s="200" t="str">
        <f ca="1">(
A75
)</f>
        <v>PROPOSED PV SOLAR SYSTEM</v>
      </c>
      <c r="N13" s="201"/>
      <c r="O13" s="201"/>
      <c r="P13" s="202"/>
    </row>
    <row r="14" spans="1:18" x14ac:dyDescent="0.25">
      <c r="I14" s="47" t="str">
        <f>(
CALCULATIONS!I30&amp;" MODULES ON "&amp;CALCULATIONS!I30&amp;" ENPHASE "&amp;CALCULATIONS!F2
)</f>
        <v>0 MODULES ON 0 ENPHASE 0</v>
      </c>
      <c r="M14" s="197"/>
      <c r="N14" s="198"/>
      <c r="O14" s="198"/>
      <c r="P14" s="199"/>
    </row>
    <row r="15" spans="1:18" ht="18" thickBot="1" x14ac:dyDescent="0.35">
      <c r="A15" s="182" t="s">
        <v>76</v>
      </c>
      <c r="B15" s="182"/>
      <c r="C15" s="182"/>
      <c r="D15" s="182"/>
      <c r="I15" s="47"/>
      <c r="M15" s="203" t="s">
        <v>155</v>
      </c>
      <c r="N15" s="204"/>
      <c r="O15" s="216" t="str">
        <f>(
B77
)</f>
        <v>NODATE</v>
      </c>
      <c r="P15" s="217"/>
    </row>
    <row r="16" spans="1:18" ht="15.75" thickTop="1" x14ac:dyDescent="0.25">
      <c r="A16" s="196" t="str">
        <f ca="1">IF(AND(CALCULATIONS!A1&lt;TODAY(),OR(CALCULATIONS!B15="NODATE",CALCULATIONS!A1&lt;CALCULATIONS!B15)),"",IF(CALCULATIONS!C28&gt;0,IF(FORM!B17="","INVERTER #2 - "&amp;CALCULATIONS!C28,IF(FORM!B17="INTERNAL",
IF(CALCULATIONS!C28="SE7600A-US","INVERTER #2 - "&amp;CALCULATIONS!C28&amp;"002NNR2",IF(OR(CALCULATIONS!C28="SE3000A-US", CALCULATIONS!C28="SE3800A-US", CALCULATIONS!C28="SE5000A-US", CALCULATIONS!C28="SE6000A-US", CALCULATIONS!C28="SE10000A-US", CALCULATIONS!C28="SE11400A-US"),"INVERTER #2 - "&amp;CALCULATIONS!C28&amp;"000NNR2", IF(OR(CALCULATIONS!C28="SE3000H-US", CALCULATIONS!C28="SE3800H-US", CALCULATIONS!C28="SE5000H-US", CALCULATIONS!C28="SE6000H-US", CALCULATIONS!C28="SE7600H-US", CALCULATIONS!C28="SE10000H-US", CALCULATIONS!C28="SE11400H-US"), "INVERTER #2 - "&amp;CALCULATIONS!C28&amp;"000NNC2", "INVERTER #2 - "&amp;CALCULATIONS!C28))),
"INVERTER #2 - "&amp;CALCULATIONS!C28)),"INVERTER #2 - "&amp;CALCULATIONS!C28))</f>
        <v>INVERTER #2 - 0</v>
      </c>
      <c r="B16" s="196"/>
      <c r="C16" s="196"/>
      <c r="D16" s="196"/>
      <c r="I16" s="47" t="str">
        <f>(
CALCULATIONS!I31&amp;" MODULES ON "&amp;CALCULATIONS!I31&amp;" ENPHASE "&amp;CALCULATIONS!F2
)</f>
        <v>0 MODULES ON 0 ENPHASE 0</v>
      </c>
      <c r="M16" s="203" t="s">
        <v>156</v>
      </c>
      <c r="N16" s="204"/>
      <c r="O16" s="184" t="str">
        <f>(UPPER(
B78
))</f>
        <v>0</v>
      </c>
      <c r="P16" s="185"/>
    </row>
    <row r="17" spans="1:17" x14ac:dyDescent="0.25">
      <c r="A17" s="189" t="s">
        <v>71</v>
      </c>
      <c r="B17" s="189"/>
      <c r="C17" s="189" t="s">
        <v>72</v>
      </c>
      <c r="D17" s="189"/>
      <c r="I17" s="47"/>
      <c r="M17" s="203" t="s">
        <v>157</v>
      </c>
      <c r="N17" s="204"/>
      <c r="O17" s="184" t="str">
        <f>(UPPER(
IF(CALCULATIONS!B24=0,"",CALCULATIONS!B24)
))</f>
        <v/>
      </c>
      <c r="P17" s="185"/>
    </row>
    <row r="18" spans="1:17" x14ac:dyDescent="0.25">
      <c r="A18" s="33" t="s">
        <v>3</v>
      </c>
      <c r="B18" s="33" t="e">
        <f ca="1">IF(AND(CALCULATIONS!A1&lt;TODAY(),OR(CALCULATIONS!B15="NODATE", CALCULATIONS!A1&lt; CALCULATIONS!B15)),"",
CALCULATIONS!C29
)</f>
        <v>#VALUE!</v>
      </c>
      <c r="C18" s="33" t="s">
        <v>73</v>
      </c>
      <c r="D18" s="33" t="str">
        <f ca="1">IF(AND(CALCULATIONS!A1&lt;TODAY(),OR(CALCULATIONS!B15="NODATE", CALCULATIONS!A1&lt; CALCULATIONS!B15)),"",
IF(CALCULATIONS!C28=INVERTERS!A11,INVERTERS!B11,IF(CALCULATIONS!C28=INVERTERS!A12,INVERTERS!B12,IF(CALCULATIONS!C28=INVERTERS!A13,INVERTERS!B13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9,INVERTERS!B9,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10,INVERTERS!B10,IF(CALCULATIONS!C28=INVERTERS!A25,INVERTERS!B25,IF(CALCULATIONS!C28=INVERTERS!A26,INVERTERS!B26,"")))))))))))))))))))))))))
)</f>
        <v/>
      </c>
      <c r="I18" s="47" t="str">
        <f>(
CALCULATIONS!I32&amp;" MODULES ON "&amp;CALCULATIONS!I32&amp;" ENPHASE "&amp;CALCULATIONS!F2
)</f>
        <v>0 MODULES ON 0 ENPHASE 0</v>
      </c>
      <c r="M18" s="184"/>
      <c r="N18" s="220"/>
      <c r="O18" s="220"/>
      <c r="P18" s="185"/>
    </row>
    <row r="19" spans="1:17" x14ac:dyDescent="0.25">
      <c r="A19" s="33" t="s">
        <v>4</v>
      </c>
      <c r="B19" s="33" t="e">
        <f ca="1">IF(AND(CALCULATIONS!A1&lt;TODAY(),OR(CALCULATIONS!B15="NODATE", CALCULATIONS!A1&lt; CALCULATIONS!B15)),"",
CALCULATIONS!C30
)</f>
        <v>#VALUE!</v>
      </c>
      <c r="C19" s="33" t="s">
        <v>75</v>
      </c>
      <c r="D19" s="33">
        <f ca="1">IF(AND(CALCULATIONS!A1&lt;TODAY(),OR(CALCULATIONS!B15="NODATE", CALCULATIONS!A1&lt; CALCULATIONS!B15)),"",
CALCULATIONS!C33
)</f>
        <v>0</v>
      </c>
      <c r="M19" s="203" t="s">
        <v>354</v>
      </c>
      <c r="N19" s="204"/>
      <c r="O19" s="184" t="str">
        <f t="shared" ref="O19" si="1">(
B83
)</f>
        <v>0kW</v>
      </c>
      <c r="P19" s="185"/>
    </row>
    <row r="20" spans="1:17" x14ac:dyDescent="0.25">
      <c r="A20" s="33" t="s">
        <v>5</v>
      </c>
      <c r="B20" s="33" t="e">
        <f ca="1">IF(AND(CALCULATIONS!A1&lt;TODAY(),OR(CALCULATIONS!B15="NODATE", CALCULATIONS!A1&lt; CALCULATIONS!B15)),"",
CALCULATIONS!C31
)</f>
        <v>#VALUE!</v>
      </c>
      <c r="C20" s="33" t="s">
        <v>353</v>
      </c>
      <c r="D20" s="33">
        <f ca="1">IF(AND(CALCULATIONS!A1&lt;TODAY(),OR(CALCULATIONS!B15="NODATE", CALCULATIONS!A1&lt; CALCULATIONS!B15)),"",
D19*1.25
)</f>
        <v>0</v>
      </c>
      <c r="M20" s="203" t="s">
        <v>355</v>
      </c>
      <c r="N20" s="204"/>
      <c r="O20" s="184" t="str">
        <f>(SUM(M32:Q32)/1000)&amp;"kW"</f>
        <v>0kW</v>
      </c>
      <c r="P20" s="185"/>
    </row>
    <row r="21" spans="1:17" x14ac:dyDescent="0.25">
      <c r="A21" s="33" t="s">
        <v>6</v>
      </c>
      <c r="B21" s="33" t="e">
        <f ca="1">IF(AND(CALCULATIONS!A1&lt;TODAY(),OR(CALCULATIONS!B15="NODATE", CALCULATIONS!A1&lt; CALCULATIONS!B15)),"",
CALCULATIONS!C32
)</f>
        <v>#VALUE!</v>
      </c>
      <c r="C21" s="33" t="s">
        <v>74</v>
      </c>
      <c r="D21" s="33">
        <f ca="1">IF(AND(CALCULATIONS!A1&lt;TODAY(),OR(CALCULATIONS!B15="NODATE", CALCULATIONS!A1&lt; CALCULATIONS!B15)),"",
240
)</f>
        <v>240</v>
      </c>
      <c r="M21" s="203" t="s">
        <v>158</v>
      </c>
      <c r="N21" s="204"/>
      <c r="O21" s="184">
        <f>(
B84
)</f>
        <v>0</v>
      </c>
      <c r="P21" s="185"/>
    </row>
    <row r="22" spans="1:17" x14ac:dyDescent="0.25">
      <c r="M22" s="203" t="s">
        <v>159</v>
      </c>
      <c r="N22" s="204"/>
      <c r="O22" s="184" t="str">
        <f>(
B85
)</f>
        <v/>
      </c>
      <c r="P22" s="185"/>
    </row>
    <row r="23" spans="1:17" ht="18" thickBot="1" x14ac:dyDescent="0.35">
      <c r="A23" s="182" t="s">
        <v>77</v>
      </c>
      <c r="B23" s="182"/>
      <c r="C23" s="182"/>
      <c r="D23" s="182"/>
      <c r="M23" s="214" t="s">
        <v>160</v>
      </c>
      <c r="N23" s="215"/>
      <c r="O23" s="184" t="str">
        <f>(
B86
)</f>
        <v/>
      </c>
      <c r="P23" s="185"/>
    </row>
    <row r="24" spans="1:17" ht="15.75" thickTop="1" x14ac:dyDescent="0.25">
      <c r="A24" s="196" t="str">
        <f ca="1">IF(AND(CALCULATIONS!A1&lt;TODAY(),OR(CALCULATIONS!B15="NODATE",CALCULATIONS!A1&lt;CALCULATIONS!B15)),"",IF(CALCULATIONS!D28&gt;0,IF(FORM!B17="","INVERTER #3 - "&amp;CALCULATIONS!D28,IF(FORM!B17="INTERNAL",
IF(CALCULATIONS!D28="SE7600A-US","INVERTER #3 - "&amp;CALCULATIONS!D28&amp;"002NNR2",IF(OR(CALCULATIONS!D28="SE3000A-US", CALCULATIONS!D28="SE3800A-US", CALCULATIONS!D28="SE5000A-US", CALCULATIONS!D28="SE6000A-US", CALCULATIONS!D28="SE10000A-US", CALCULATIONS!D28="SE11400A-US"),"INVERTER #3 - "&amp;CALCULATIONS!D28&amp;"000NNR2", IF(OR(CALCULATIONS!D28="SE3000H-US", CALCULATIONS!D28="SE3800H-US", CALCULATIONS!D28="SE5000H-US", CALCULATIONS!D28="SE6000H-US", CALCULATIONS!D28="SE7600H-US", CALCULATIONS!D28="SE10000H-US", CALCULATIONS!D28="SE11400H-US"), "INVERTER #3 - "&amp;CALCULATIONS!D28&amp;"000NNC2", "INVERTER #3 - "&amp;CALCULATIONS!D28))),
"INVERTER #3 - "&amp;CALCULATIONS!D28)),"INVERTER #3 - "&amp;CALCULATIONS!D28))</f>
        <v>INVERTER #3 - 0</v>
      </c>
      <c r="B24" s="196"/>
      <c r="C24" s="196"/>
      <c r="D24" s="196"/>
      <c r="M24" s="214" t="s">
        <v>29</v>
      </c>
      <c r="N24" s="215"/>
      <c r="O24" s="218" t="str">
        <f>(
B87
)</f>
        <v/>
      </c>
      <c r="P24" s="219"/>
    </row>
    <row r="25" spans="1:17" x14ac:dyDescent="0.25">
      <c r="A25" s="189" t="s">
        <v>71</v>
      </c>
      <c r="B25" s="189"/>
      <c r="C25" s="189" t="s">
        <v>72</v>
      </c>
      <c r="D25" s="189"/>
      <c r="M25" s="214" t="s">
        <v>164</v>
      </c>
      <c r="N25" s="215"/>
      <c r="O25" s="184" t="str">
        <f>(
UPPER(
B88
)
)</f>
        <v/>
      </c>
      <c r="P25" s="185"/>
    </row>
    <row r="26" spans="1:17" x14ac:dyDescent="0.25">
      <c r="A26" s="33" t="s">
        <v>3</v>
      </c>
      <c r="B26" s="33" t="e">
        <f ca="1">IF(AND(CALCULATIONS!A1&lt;TODAY(),OR(CALCULATIONS!B15="NODATE", CALCULATIONS!A1&lt; CALCULATIONS!B15)),"",
CALCULATIONS!D29
)</f>
        <v>#VALUE!</v>
      </c>
      <c r="C26" s="33" t="s">
        <v>73</v>
      </c>
      <c r="D26" s="33" t="str">
        <f ca="1">IF(AND(CALCULATIONS!A1&lt;TODAY(),OR(CALCULATIONS!B15="NODATE", CALCULATIONS!A1&lt; CALCULATIONS!B15)),"",
IF(CALCULATIONS!D28=INVERTERS!A11,INVERTERS!B11,IF(CALCULATIONS!D28=INVERTERS!A12,INVERTERS!B12,IF(CALCULATIONS!D28=INVERTERS!A13,INVERTERS!B13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9,INVERTERS!B9,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10,INVERTERS!B10,IF(CALCULATIONS!D28=INVERTERS!A25,INVERTERS!B25,IF(CALCULATIONS!D28=INVERTERS!A26,INVERTERS!B26,"")))))))))))))))))))))))))
)</f>
        <v/>
      </c>
      <c r="M26" s="214" t="s">
        <v>31</v>
      </c>
      <c r="N26" s="215"/>
      <c r="O26" s="197" t="str">
        <f>(
UPPER(
IF(CALCULATIONS!B21=0,"",CALCULATIONS!B21)
)
)</f>
        <v/>
      </c>
      <c r="P26" s="199"/>
    </row>
    <row r="27" spans="1:17" ht="20.25" customHeight="1" x14ac:dyDescent="0.25">
      <c r="A27" s="33" t="s">
        <v>4</v>
      </c>
      <c r="B27" s="33" t="e">
        <f ca="1">IF(AND(CALCULATIONS!A1&lt;TODAY(),OR(CALCULATIONS!B15="NODATE", CALCULATIONS!A1&lt; CALCULATIONS!B15)),"",
CALCULATIONS!D30
)</f>
        <v>#VALUE!</v>
      </c>
      <c r="C27" s="33" t="s">
        <v>75</v>
      </c>
      <c r="D27" s="33">
        <f ca="1">IF(AND(CALCULATIONS!A1&lt;TODAY(),OR(CALCULATIONS!B15="NODATE", CALCULATIONS!A1&lt; CALCULATIONS!B15)),"",
CALCULATIONS!D33
)</f>
        <v>0</v>
      </c>
      <c r="M27" s="212" t="s">
        <v>166</v>
      </c>
      <c r="N27" s="213"/>
      <c r="O27" s="197" t="str">
        <f>(
IF(FORM!B14="","",FORM!B14)
)</f>
        <v/>
      </c>
      <c r="P27" s="199"/>
    </row>
    <row r="28" spans="1:17" x14ac:dyDescent="0.25">
      <c r="A28" s="33" t="s">
        <v>5</v>
      </c>
      <c r="B28" s="33" t="e">
        <f ca="1">IF(AND(CALCULATIONS!A1&lt;TODAY(),OR(CALCULATIONS!B15="NODATE", CALCULATIONS!A1&lt; CALCULATIONS!B15)),"",
CALCULATIONS!D31
)</f>
        <v>#VALUE!</v>
      </c>
      <c r="C28" s="33" t="s">
        <v>353</v>
      </c>
      <c r="D28" s="33">
        <f ca="1">IF(AND(CALCULATIONS!A1&lt;TODAY(),OR(CALCULATIONS!B15="NODATE", CALCULATIONS!A1&lt; CALCULATIONS!B15)),"",
D27*1.25
)</f>
        <v>0</v>
      </c>
      <c r="M28" s="209"/>
      <c r="N28" s="210"/>
      <c r="O28" s="210"/>
      <c r="P28" s="211"/>
    </row>
    <row r="29" spans="1:17" ht="39.75" customHeight="1" x14ac:dyDescent="0.25">
      <c r="A29" s="33" t="s">
        <v>6</v>
      </c>
      <c r="B29" s="33" t="e">
        <f ca="1">IF(AND(CALCULATIONS!A1&lt;TODAY(),OR(CALCULATIONS!B15="NODATE", CALCULATIONS!A1&lt; CALCULATIONS!B15)),"",
CALCULATIONS!D32
)</f>
        <v>#VALUE!</v>
      </c>
      <c r="C29" s="33" t="s">
        <v>74</v>
      </c>
      <c r="D29" s="33">
        <f ca="1">IF(AND(CALCULATIONS!A1&lt;TODAY(),OR(CALCULATIONS!B15="NODATE", CALCULATIONS!A1&lt; CALCULATIONS!B15)),"",
240
)</f>
        <v>240</v>
      </c>
      <c r="M29" s="186" t="str">
        <f ca="1">IF(AND(CALCULATIONS!A1&lt;TODAY(),OR(CALCULATIONS!B15="NODATE", CALCULATIONS!A1&lt; CALCULATIONS!B15)),"",
IF(FORM!B25="","P1",FORM!B25)
)</f>
        <v>P1</v>
      </c>
      <c r="N29" s="187"/>
      <c r="O29" s="184"/>
      <c r="P29" s="185"/>
    </row>
    <row r="31" spans="1:17" ht="18" thickBot="1" x14ac:dyDescent="0.35">
      <c r="A31" s="182" t="s">
        <v>78</v>
      </c>
      <c r="B31" s="182"/>
      <c r="C31" s="182"/>
      <c r="D31" s="182"/>
      <c r="M31" s="33" t="s">
        <v>356</v>
      </c>
      <c r="N31" s="33" t="s">
        <v>357</v>
      </c>
      <c r="O31" s="33" t="s">
        <v>358</v>
      </c>
      <c r="P31" s="33" t="s">
        <v>359</v>
      </c>
      <c r="Q31" s="33" t="s">
        <v>360</v>
      </c>
    </row>
    <row r="32" spans="1:17" ht="15.75" thickTop="1" x14ac:dyDescent="0.25">
      <c r="A32" s="196" t="str">
        <f ca="1">IF(AND(CALCULATIONS!A1&lt;TODAY(),OR(CALCULATIONS!B15="NODATE",CALCULATIONS!A1&lt;CALCULATIONS!B15)),"",IF(CALCULATIONS!E28&gt;0,IF(FORM!B17="","INVERTER #4 - "&amp;CALCULATIONS!E28,IF(FORM!B17="INTERNAL",
IF(CALCULATIONS!E28="SE7600A-US","INVERTER #4 - "&amp;CALCULATIONS!E28&amp;"002NNR2",IF(OR(CALCULATIONS!E28="SE3000A-US", CALCULATIONS!E28="SE3800A-US", CALCULATIONS!E28="SE5000A-US", CALCULATIONS!E28="SE6000A-US", CALCULATIONS!E28="SE10000A-US", CALCULATIONS!E28="SE11400A-US"),"INVERTER #4 - "&amp;CALCULATIONS!E28&amp;"000NNR2", IF(OR(CALCULATIONS!E28="SE3000H-US", CALCULATIONS!E28="SE3800H-US", CALCULATIONS!E28="SE5000H-US", CALCULATIONS!E28="SE6000H-US", CALCULATIONS!E28="SE7600H-US", CALCULATIONS!E28="SE10000H-US", CALCULATIONS!E28="SE11400H-US"), "INVERTER #4 - "&amp;CALCULATIONS!E28&amp;"000NNC2", "INVERTER #4 - "&amp;CALCULATIONS!E28))),
"INVERTER #4 - "&amp;CALCULATIONS!E28)),"INVERTER #4 - "&amp;CALCULATIONS!E28))</f>
        <v>INVERTER #4 - 0</v>
      </c>
      <c r="B32" s="196"/>
      <c r="C32" s="196"/>
      <c r="D32" s="196"/>
      <c r="M32" s="33">
        <f>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12,INVERTERS!B12,IF(CALCULATIONS!B28=INVERTERS!A13,INVERTERS!B13,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CALCULATIONS!B28)))))))))))))))))))))))))</f>
        <v>0</v>
      </c>
      <c r="N32" s="33">
        <f>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12,INVERTERS!B12,IF(CALCULATIONS!C28=INVERTERS!A13,INVERTERS!B13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CALCULATIONS!C28)))))))))))))))))))))))))</f>
        <v>0</v>
      </c>
      <c r="O32" s="33">
        <f>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12,INVERTERS!B12,IF(CALCULATIONS!D28=INVERTERS!A13,INVERTERS!B13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CALCULATIONS!D28)))))))))))))))))))))))))</f>
        <v>0</v>
      </c>
      <c r="P32" s="33">
        <f>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12,INVERTERS!B12,IF(CALCULATIONS!E28=INVERTERS!A13,INVERTERS!B13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CALCULATIONS!E28)))))))))))))))))))))))))</f>
        <v>0</v>
      </c>
      <c r="Q32" s="33">
        <f>IF(CALCULATIONS!F28=INVERTERS!A2,INVERTERS!B2,IF(CALCULATIONS!F28=INVERTERS!A3,INVERTERS!B3,IF(CALCULATIONS!F28=INVERTERS!A4,INVERTERS!B4,IF(CALCULATIONS!F28=INVERTERS!A5,INVERTERS!B5,IF(CALCULATIONS!F28=INVERTERS!A6,INVERTERS!B6,IF(CALCULATIONS!F28=INVERTERS!A7,INVERTERS!B7,IF(CALCULATIONS!F28=INVERTERS!A8,INVERTERS!B8,IF(CALCULATIONS!F28=INVERTERS!A9,INVERTERS!B9,IF(CALCULATIONS!F28=INVERTERS!A10,INVERTERS!B10,IF(CALCULATIONS!F28=INVERTERS!A11,INVERTERS!B11,IF(CALCULATIONS!F28=INVERTERS!A12,INVERTERS!B12,IF(CALCULATIONS!F28=INVERTERS!A13,INVERTERS!B13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CALCULATIONS!F28)))))))))))))))))))))))))*FORM!F9</f>
        <v>0</v>
      </c>
    </row>
    <row r="33" spans="1:4" x14ac:dyDescent="0.25">
      <c r="A33" s="189" t="s">
        <v>71</v>
      </c>
      <c r="B33" s="189"/>
      <c r="C33" s="189" t="s">
        <v>72</v>
      </c>
      <c r="D33" s="189"/>
    </row>
    <row r="34" spans="1:4" x14ac:dyDescent="0.25">
      <c r="A34" s="33" t="s">
        <v>3</v>
      </c>
      <c r="B34" s="33" t="e">
        <f ca="1">IF(AND(CALCULATIONS!A1&lt;TODAY(),OR(CALCULATIONS!B15="NODATE", CALCULATIONS!A1&lt; CALCULATIONS!B15)),"",
CALCULATIONS!E29
)</f>
        <v>#VALUE!</v>
      </c>
      <c r="C34" s="33" t="s">
        <v>73</v>
      </c>
      <c r="D34" s="33" t="str">
        <f ca="1">IF(AND(CALCULATIONS!A1&lt;TODAY(),OR(CALCULATIONS!B15="NODATE", CALCULATIONS!A1&lt; CALCULATIONS!B15)),"",
IF(CALCULATIONS!E28=INVERTERS!A11,INVERTERS!B11,IF(CALCULATIONS!E28=INVERTERS!A12,INVERTERS!B12,IF(CALCULATIONS!E28=INVERTERS!A13,INVERTERS!B13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9,INVERTERS!B9,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10,INVERTERS!B10,IF(CALCULATIONS!E28=INVERTERS!A25,INVERTERS!B25,IF(CALCULATIONS!E28=INVERTERS!A26,INVERTERS!B26,"")))))))))))))))))))))))))
)</f>
        <v/>
      </c>
    </row>
    <row r="35" spans="1:4" x14ac:dyDescent="0.25">
      <c r="A35" s="33" t="s">
        <v>4</v>
      </c>
      <c r="B35" s="33" t="e">
        <f ca="1">IF(AND(CALCULATIONS!A1&lt;TODAY(),OR(CALCULATIONS!B15="NODATE", CALCULATIONS!A1&lt; CALCULATIONS!B15)),"",
CALCULATIONS!E30
)</f>
        <v>#VALUE!</v>
      </c>
      <c r="C35" s="33" t="s">
        <v>75</v>
      </c>
      <c r="D35" s="33">
        <f ca="1">IF(AND(CALCULATIONS!A1&lt;TODAY(),OR(CALCULATIONS!B15="NODATE", CALCULATIONS!A1&lt; CALCULATIONS!B15)),"",
CALCULATIONS!E33
)</f>
        <v>0</v>
      </c>
    </row>
    <row r="36" spans="1:4" x14ac:dyDescent="0.25">
      <c r="A36" s="33" t="s">
        <v>5</v>
      </c>
      <c r="B36" s="33" t="e">
        <f ca="1">IF(AND(CALCULATIONS!A1&lt;TODAY(),OR(CALCULATIONS!B15="NODATE", CALCULATIONS!A1&lt; CALCULATIONS!B15)),"",
CALCULATIONS!E31
)</f>
        <v>#VALUE!</v>
      </c>
      <c r="C36" s="33" t="s">
        <v>353</v>
      </c>
      <c r="D36" s="33">
        <f ca="1">IF(AND(CALCULATIONS!A1&lt;TODAY(),OR(CALCULATIONS!B15="NODATE", CALCULATIONS!A1&lt; CALCULATIONS!B15)),"",
D35*1.25
)</f>
        <v>0</v>
      </c>
    </row>
    <row r="37" spans="1:4" x14ac:dyDescent="0.25">
      <c r="A37" s="33" t="s">
        <v>6</v>
      </c>
      <c r="B37" s="33" t="e">
        <f ca="1">IF(AND(CALCULATIONS!A1&lt;TODAY(),OR(CALCULATIONS!B15="NODATE", CALCULATIONS!A1&lt; CALCULATIONS!B15)),"",
CALCULATIONS!E32
)</f>
        <v>#VALUE!</v>
      </c>
      <c r="C37" s="33" t="s">
        <v>74</v>
      </c>
      <c r="D37" s="33">
        <f ca="1">IF(AND(CALCULATIONS!A1&lt;TODAY(),OR(CALCULATIONS!B15="NODATE", CALCULATIONS!A1&lt; CALCULATIONS!B15)),"",
240
)</f>
        <v>240</v>
      </c>
    </row>
    <row r="39" spans="1:4" ht="18" thickBot="1" x14ac:dyDescent="0.35">
      <c r="A39" s="182" t="s">
        <v>79</v>
      </c>
      <c r="B39" s="182"/>
      <c r="C39" s="182"/>
      <c r="D39" s="182"/>
    </row>
    <row r="40" spans="1:4" ht="15.75" thickTop="1" x14ac:dyDescent="0.25">
      <c r="A40" s="196" t="str">
        <f ca="1">IF(AND(CALCULATIONS!A1&lt;TODAY(),OR(CALCULATIONS!B15="NODATE", CALCULATIONS!A1&lt; CALCULATIONS!B15)),"",
"INVERTER #5 - "&amp;CALCULATIONS!F28
)</f>
        <v>INVERTER #5 - 0</v>
      </c>
      <c r="B40" s="196"/>
      <c r="C40" s="196"/>
      <c r="D40" s="196"/>
    </row>
    <row r="41" spans="1:4" x14ac:dyDescent="0.25">
      <c r="A41" s="189" t="s">
        <v>71</v>
      </c>
      <c r="B41" s="189"/>
      <c r="C41" s="189" t="s">
        <v>72</v>
      </c>
      <c r="D41" s="189"/>
    </row>
    <row r="42" spans="1:4" x14ac:dyDescent="0.25">
      <c r="A42" s="33" t="s">
        <v>3</v>
      </c>
      <c r="B42" s="33" t="e">
        <f ca="1">IF(AND(CALCULATIONS!A1&lt;TODAY(),OR(CALCULATIONS!B15="NODATE", CALCULATIONS!A1&lt; CALCULATIONS!B15)),"",
CALCULATIONS!F29
)</f>
        <v>#VALUE!</v>
      </c>
      <c r="C42" s="33" t="s">
        <v>73</v>
      </c>
      <c r="D42" s="33" t="str">
        <f ca="1">IF(AND(CALCULATIONS!A1&lt;TODAY(),OR(CALCULATIONS!B15="NODATE", CALCULATIONS!A1&lt; CALCULATIONS!B15)),"",
IF(CALCULATIONS!F28=INVERTERS!A11,INVERTERS!B11,IF(CALCULATIONS!F28=INVERTERS!A12,INVERTERS!B12,IF(CALCULATIONS!F28=INVERTERS!A13,INVERTERS!B13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9,INVERTERS!B9,IF(CALCULATIONS!F28=INVERTERS!A2,INVERTERS!B2,IF(CALCULATIONS!F28=INVERTERS!A3,INVERTERS!B3,IF(CALCULATIONS!F28=INVERTERS!A4,INVERTERS!B4,IF(CALCULATIONS!F28=INVERTERS!A5,INVERTERS!B5,IF(CALCULATIONS!F28=INVERTERS!A6,INVERTERS!B6,IF(CALCULATIONS!F28=INVERTERS!A7,INVERTERS!B7,IF(CALCULATIONS!F28=INVERTERS!A8,INVERTERS!B8,IF(CALCULATIONS!F28=INVERTERS!A10,INVERTERS!B10,IF(CALCULATIONS!F28=INVERTERS!A25,INVERTERS!B25,IF(CALCULATIONS!F28=INVERTERS!A26,INVERTERS!B26,"")))))))))))))))))))))))))
)</f>
        <v/>
      </c>
    </row>
    <row r="43" spans="1:4" x14ac:dyDescent="0.25">
      <c r="A43" s="33" t="s">
        <v>4</v>
      </c>
      <c r="B43" s="33" t="e">
        <f ca="1">IF(AND(CALCULATIONS!A1&lt;TODAY(),OR(CALCULATIONS!B15="NODATE", CALCULATIONS!A1&lt; CALCULATIONS!B15)),"",
CALCULATIONS!F30
)</f>
        <v>#VALUE!</v>
      </c>
      <c r="C43" s="33" t="s">
        <v>75</v>
      </c>
      <c r="D43" s="33">
        <f ca="1">IF(AND(CALCULATIONS!A1&lt;TODAY(),OR(CALCULATIONS!B15="NODATE", CALCULATIONS!A1&lt; CALCULATIONS!B15)),"",
CALCULATIONS!F33
)</f>
        <v>0</v>
      </c>
    </row>
    <row r="44" spans="1:4" x14ac:dyDescent="0.25">
      <c r="A44" s="33" t="s">
        <v>5</v>
      </c>
      <c r="B44" s="33" t="e">
        <f ca="1">IF(AND(CALCULATIONS!A1&lt;TODAY(),OR(CALCULATIONS!B15="NODATE", CALCULATIONS!A1&lt; CALCULATIONS!B15)),"",
CALCULATIONS!F31
)</f>
        <v>#VALUE!</v>
      </c>
      <c r="C44" s="33" t="s">
        <v>353</v>
      </c>
      <c r="D44" s="33">
        <f ca="1">IF(AND(CALCULATIONS!A1&lt;TODAY(),OR(CALCULATIONS!B15="NODATE", CALCULATIONS!A1&lt; CALCULATIONS!B15)),"",
D43*1.25
)</f>
        <v>0</v>
      </c>
    </row>
    <row r="45" spans="1:4" x14ac:dyDescent="0.25">
      <c r="A45" s="33" t="s">
        <v>6</v>
      </c>
      <c r="B45" s="33" t="e">
        <f ca="1">IF(AND(CALCULATIONS!A1&lt;TODAY(),OR(CALCULATIONS!B15="NODATE", CALCULATIONS!A1&lt; CALCULATIONS!B15)),"",
CALCULATIONS!F32
)</f>
        <v>#VALUE!</v>
      </c>
      <c r="C45" s="33" t="s">
        <v>74</v>
      </c>
      <c r="D45" s="33">
        <f ca="1">IF(AND(CALCULATIONS!A1&lt;TODAY(),OR(CALCULATIONS!B15="NODATE", CALCULATIONS!A1&lt; CALCULATIONS!B15)),"",
240
)</f>
        <v>240</v>
      </c>
    </row>
    <row r="48" spans="1:4" ht="18" thickBot="1" x14ac:dyDescent="0.35">
      <c r="A48" s="182" t="s">
        <v>83</v>
      </c>
      <c r="B48" s="182"/>
    </row>
    <row r="49" spans="1:7" ht="15.75" thickTop="1" x14ac:dyDescent="0.25">
      <c r="A49" s="183" t="s">
        <v>84</v>
      </c>
      <c r="B49" s="183"/>
    </row>
    <row r="50" spans="1:7" x14ac:dyDescent="0.25">
      <c r="A50" s="183">
        <f>(
CALCULATIONS!C12
)</f>
        <v>0</v>
      </c>
      <c r="B50" s="183"/>
    </row>
    <row r="51" spans="1:7" x14ac:dyDescent="0.25">
      <c r="A51" s="33" t="s">
        <v>3</v>
      </c>
      <c r="B51" s="33" t="str">
        <f>(
CALCULATIONS!H10
)</f>
        <v/>
      </c>
    </row>
    <row r="52" spans="1:7" x14ac:dyDescent="0.25">
      <c r="A52" s="33" t="s">
        <v>4</v>
      </c>
      <c r="B52" s="33" t="str">
        <f>(
CALCULATIONS!H11
)</f>
        <v/>
      </c>
    </row>
    <row r="53" spans="1:7" x14ac:dyDescent="0.25">
      <c r="A53" s="33" t="s">
        <v>5</v>
      </c>
      <c r="B53" s="33" t="str">
        <f>(
CALCULATIONS!H12
)</f>
        <v/>
      </c>
    </row>
    <row r="54" spans="1:7" x14ac:dyDescent="0.25">
      <c r="A54" s="33" t="s">
        <v>6</v>
      </c>
      <c r="B54" s="33" t="str">
        <f>(
CALCULATIONS!H13
)</f>
        <v/>
      </c>
    </row>
    <row r="59" spans="1:7" ht="17.25" x14ac:dyDescent="0.3">
      <c r="A59" s="192" t="s">
        <v>87</v>
      </c>
      <c r="B59" s="192"/>
      <c r="C59" s="192"/>
      <c r="D59" s="192"/>
      <c r="G59" s="33" t="s">
        <v>121</v>
      </c>
    </row>
    <row r="60" spans="1:7" x14ac:dyDescent="0.25">
      <c r="A60" s="48" t="str">
        <f>IF(B60="","","A")</f>
        <v>A</v>
      </c>
      <c r="B60" s="48" t="str">
        <f>(
IF(COUNT(CALCULATIONS!D44:D58)&gt;=1,
IF(SMALL(CALCULATIONS!D44:D58,1)=1,CALCULATIONS!C44,
IF(SMALL(CALCULATIONS!D44:D58,1)=2,CALCULATIONS!C45,
IF(SMALL(CALCULATIONS!D44:D58,1)=3,CALCULATIONS!C46,
IF(SMALL(CALCULATIONS!D44:D58,1)=4,CALCULATIONS!C47,
IF(SMALL(CALCULATIONS!D44:D58,1)=5,CALCULATIONS!C48,
IF(SMALL(CALCULATIONS!D44:D58,1)=6,CALCULATIONS!C49,
IF(SMALL(CALCULATIONS!D44:D58,1)=7,CALCULATIONS!C50,
IF(SMALL(CALCULATIONS!D44:D58,1)=8,CALCULATIONS!C51,
IF(SMALL(CALCULATIONS!D44:D58,1)=9,CALCULATIONS!C52,
IF(SMALL(CALCULATIONS!D44:D58,1)=10,CALCULATIONS!C53,
IF(SMALL(CALCULATIONS!D44:D58,1)=11,CALCULATIONS!C54,
IF(SMALL(CALCULATIONS!D44:D58,1)=12,CALCULATIONS!C55,
IF(SMALL(CALCULATIONS!D44:D58,1)=13,CALCULATIONS!C56,
IF(SMALL(CALCULATIONS!D44:D58,1)=14,CALCULATIONS!C57,
IF(SMALL(CALCULATIONS!D44:D58,1)=15,CALCULATIONS!C58))))))))))))))),"")
)</f>
        <v>#6 THWN-2 GEC TO EXISTING GROUND ROD</v>
      </c>
      <c r="C60" s="48" t="str">
        <f>IF(D60="","","G")</f>
        <v/>
      </c>
      <c r="D60" s="48" t="str">
        <f>(
IF(COUNT(CALCULATIONS!D44:D58)&gt;=7,
IF(SMALL(CALCULATIONS!D44:D58,7)=1,CALCULATIONS!C44,
IF(SMALL(CALCULATIONS!D44:D58,7)=2,CALCULATIONS!C45,
IF(SMALL(CALCULATIONS!D44:D58,7)=3,CALCULATIONS!C46,
IF(SMALL(CALCULATIONS!D44:D58,7)=4,CALCULATIONS!C47,
IF(SMALL(CALCULATIONS!D44:D58,7)=5,CALCULATIONS!C48,
IF(SMALL(CALCULATIONS!D44:D58,7)=6,CALCULATIONS!C49,
IF(SMALL(CALCULATIONS!D44:D58,7)=7,CALCULATIONS!C50,
IF(SMALL(CALCULATIONS!D44:D58,7)=8,CALCULATIONS!C51,
IF(SMALL(CALCULATIONS!D44:D58,7)=9,CALCULATIONS!C52,
IF(SMALL(CALCULATIONS!D44:D58,7)=10,CALCULATIONS!C53,
IF(SMALL(CALCULATIONS!D44:D58,7)=11,CALCULATIONS!C54,
IF(SMALL(CALCULATIONS!D44:D58,7)=12,CALCULATIONS!C55,
IF(SMALL(CALCULATIONS!D44:D58,7)=13,CALCULATIONS!C56,
IF(SMALL(CALCULATIONS!D44:D58,7)=14,CALCULATIONS!C57,
IF(SMALL(CALCULATIONS!D44:D58,7)=15,CALCULATIONS!C58))))))))))))))),"")
)</f>
        <v/>
      </c>
      <c r="F60" s="48" t="str">
        <f>IF(G60="","","A")</f>
        <v>A</v>
      </c>
      <c r="G60" s="48" t="str">
        <f t="shared" ref="G60:G65" si="2">B60</f>
        <v>#6 THWN-2 GEC TO EXISTING GROUND ROD</v>
      </c>
    </row>
    <row r="61" spans="1:7" x14ac:dyDescent="0.25">
      <c r="A61" s="48" t="str">
        <f>IF(B61="","","B")</f>
        <v>B</v>
      </c>
      <c r="B61" s="48" t="str">
        <f>(
IF(COUNT(CALCULATIONS!D44:D58)&gt;=2,
IF(SMALL(CALCULATIONS!D44:D58,2)=1,CALCULATIONS!C44,
IF(SMALL(CALCULATIONS!D44:D58,2)=2,CALCULATIONS!C45,
IF(SMALL(CALCULATIONS!D44:D58,2)=3,CALCULATIONS!C46,
IF(SMALL(CALCULATIONS!D44:D58,2)=4,CALCULATIONS!C47,
IF(SMALL(CALCULATIONS!D44:D58,2)=5,CALCULATIONS!C48,
IF(SMALL(CALCULATIONS!D44:D58,2)=6,CALCULATIONS!C49,
IF(SMALL(CALCULATIONS!D44:D58,2)=7,CALCULATIONS!C50,
IF(SMALL(CALCULATIONS!D44:D58,2)=8,CALCULATIONS!C51,
IF(SMALL(CALCULATIONS!D44:D58,2)=9,CALCULATIONS!C52,
IF(SMALL(CALCULATIONS!D44:D58,2)=10,CALCULATIONS!C53,
IF(SMALL(CALCULATIONS!D44:D58,2)=11,CALCULATIONS!C54,
IF(SMALL(CALCULATIONS!D44:D58,2)=12,CALCULATIONS!C55,
IF(SMALL(CALCULATIONS!D44:D58,2)=13,CALCULATIONS!C56,
IF(SMALL(CALCULATIONS!D44:D58,2)=14,CALCULATIONS!C57,
IF(SMALL(CALCULATIONS!D44:D58,2)=15,CALCULATIONS!C58))))))))))))))),"")
)</f>
        <v>3/4'' CONDUIT W/ 3-#10 THWN-2, 1-#10 THWN-2 GROUND</v>
      </c>
      <c r="C61" s="48" t="str">
        <f>IF(D61="","","H")</f>
        <v/>
      </c>
      <c r="D61" s="48" t="str">
        <f>(
IF(COUNT(CALCULATIONS!D44:D58)&gt;=8,
IF(SMALL(CALCULATIONS!D44:D58,8)=1,CALCULATIONS!C44,
IF(SMALL(CALCULATIONS!D44:D58,8)=2,CALCULATIONS!C45,
IF(SMALL(CALCULATIONS!D44:D58,8)=3,CALCULATIONS!C46,
IF(SMALL(CALCULATIONS!D44:D58,8)=4,CALCULATIONS!C47,
IF(SMALL(CALCULATIONS!D44:D58,8)=5,CALCULATIONS!C48,
IF(SMALL(CALCULATIONS!D44:D58,8)=6,CALCULATIONS!C49,
IF(SMALL(CALCULATIONS!D44:D58,8)=7,CALCULATIONS!C50,
IF(SMALL(CALCULATIONS!D44:D58,8)=8,CALCULATIONS!C51,
IF(SMALL(CALCULATIONS!D44:D58,8)=9,CALCULATIONS!C52,
IF(SMALL(CALCULATIONS!D44:D58,8)=10,CALCULATIONS!C53,
IF(SMALL(CALCULATIONS!D44:D58,8)=11,CALCULATIONS!C54,
IF(SMALL(CALCULATIONS!D44:D58,8)=12,CALCULATIONS!C55,
IF(SMALL(CALCULATIONS!D44:D58,8)=13,CALCULATIONS!C56,
IF(SMALL(CALCULATIONS!D44:D58,8)=14,CALCULATIONS!C57,
IF(SMALL(CALCULATIONS!D44:D58,8)=15,CALCULATIONS!C58))))))))))))))),"")
)</f>
        <v/>
      </c>
      <c r="F61" s="48" t="str">
        <f>IF(G61="","","B")</f>
        <v>B</v>
      </c>
      <c r="G61" s="48" t="str">
        <f t="shared" si="2"/>
        <v>3/4'' CONDUIT W/ 3-#10 THWN-2, 1-#10 THWN-2 GROUND</v>
      </c>
    </row>
    <row r="62" spans="1:7" x14ac:dyDescent="0.25">
      <c r="A62" s="48" t="str">
        <f>IF(B62="","","C")</f>
        <v>C</v>
      </c>
      <c r="B62" s="48" t="str">
        <f>(
IF(COUNT(CALCULATIONS!D44:D58)&gt;=3,
IF(SMALL(CALCULATIONS!D44:D58,3)=1,CALCULATIONS!C44,
IF(SMALL(CALCULATIONS!D44:D58,3)=2,CALCULATIONS!C45,
IF(SMALL(CALCULATIONS!D44:D58,3)=3,CALCULATIONS!C46,
IF(SMALL(CALCULATIONS!D44:D58,3)=4,CALCULATIONS!C47,
IF(SMALL(CALCULATIONS!D44:D58,3)=5,CALCULATIONS!C48,
IF(SMALL(CALCULATIONS!D44:D58,3)=6,CALCULATIONS!C49,
IF(SMALL(CALCULATIONS!D44:D58,3)=7,CALCULATIONS!C50,
IF(SMALL(CALCULATIONS!D44:D58,3)=8,CALCULATIONS!C51,
IF(SMALL(CALCULATIONS!D44:D58,3)=9,CALCULATIONS!C52,
IF(SMALL(CALCULATIONS!D44:D58,3)=10,CALCULATIONS!C53,
IF(SMALL(CALCULATIONS!D44:D58,3)=11,CALCULATIONS!C54,
IF(SMALL(CALCULATIONS!D44:D58,3)=12,CALCULATIONS!C55,
IF(SMALL(CALCULATIONS!D44:D58,3)=13,CALCULATIONS!C56,
IF(SMALL(CALCULATIONS!D44:D58,3)=14,CALCULATIONS!C57,
IF(SMALL(CALCULATIONS!D44:D58,3)=15,CALCULATIONS!C58))))))))))))))),"")
)</f>
        <v>#10 PV WIRE (FREE AIR) W/ #6 BARE COPPER BOND TO ARRAY</v>
      </c>
      <c r="C62" s="48" t="str">
        <f>IF(D62="","","I")</f>
        <v/>
      </c>
      <c r="D62" s="48" t="str">
        <f>(
IF(COUNT(CALCULATIONS!D44:D58)&gt;=9,
IF(SMALL(CALCULATIONS!D44:D58,9)=1,CALCULATIONS!C44,
IF(SMALL(CALCULATIONS!D44:D58,9)=2,CALCULATIONS!C45,
IF(SMALL(CALCULATIONS!D44:D58,9)=3,CALCULATIONS!C46,
IF(SMALL(CALCULATIONS!D44:D58,9)=4,CALCULATIONS!C47,
IF(SMALL(CALCULATIONS!D44:D58,9)=5,CALCULATIONS!C48,
IF(SMALL(CALCULATIONS!D44:D58,9)=6,CALCULATIONS!C49,
IF(SMALL(CALCULATIONS!D44:D58,9)=7,CALCULATIONS!C50,
IF(SMALL(CALCULATIONS!D44:D58,9)=8,CALCULATIONS!C51,
IF(SMALL(CALCULATIONS!D44:D58,9)=9,CALCULATIONS!C52,
IF(SMALL(CALCULATIONS!D44:D58,9)=10,CALCULATIONS!C53,
IF(SMALL(CALCULATIONS!D44:D58,9)=11,CALCULATIONS!C54,
IF(SMALL(CALCULATIONS!D44:D58,9)=12,CALCULATIONS!C55,
IF(SMALL(CALCULATIONS!D44:D58,9)=13,CALCULATIONS!C56,
IF(SMALL(CALCULATIONS!D44:D58,9)=14,CALCULATIONS!C57,
IF(SMALL(CALCULATIONS!D44:D58,9)=15,CALCULATIONS!C58))))))))))))))),"")
)</f>
        <v/>
      </c>
      <c r="F62" s="48" t="str">
        <f>IF(G62="","","C")</f>
        <v>C</v>
      </c>
      <c r="G62" s="48" t="str">
        <f t="shared" si="2"/>
        <v>#10 PV WIRE (FREE AIR) W/ #6 BARE COPPER BOND TO ARRAY</v>
      </c>
    </row>
    <row r="63" spans="1:7" x14ac:dyDescent="0.25">
      <c r="A63" s="48" t="str">
        <f>IF(B63="","","D")</f>
        <v/>
      </c>
      <c r="B63" s="48" t="str">
        <f>(
IF(COUNT(CALCULATIONS!D44:D58)&gt;=4,
IF(SMALL(CALCULATIONS!D44:D58,4)=1,CALCULATIONS!C44,
IF(SMALL(CALCULATIONS!D44:D58,4)=2,CALCULATIONS!C45,
IF(SMALL(CALCULATIONS!D44:D58,4)=3,CALCULATIONS!C46,
IF(SMALL(CALCULATIONS!D44:D58,4)=4,CALCULATIONS!C47,
IF(SMALL(CALCULATIONS!D44:D58,4)=5,CALCULATIONS!C48,
IF(SMALL(CALCULATIONS!D44:D58,4)=6,CALCULATIONS!C49,
IF(SMALL(CALCULATIONS!D44:D58,4)=7,CALCULATIONS!C50,
IF(SMALL(CALCULATIONS!D44:D58,4)=8,CALCULATIONS!C51,
IF(SMALL(CALCULATIONS!D44:D58,4)=9,CALCULATIONS!C52,
IF(SMALL(CALCULATIONS!D44:D58,4)=10,CALCULATIONS!C53,
IF(SMALL(CALCULATIONS!D44:D58,4)=11,CALCULATIONS!C54,
IF(SMALL(CALCULATIONS!D44:D58,4)=12,CALCULATIONS!C55,
IF(SMALL(CALCULATIONS!D44:D58,4)=13,CALCULATIONS!C56,
IF(SMALL(CALCULATIONS!D44:D58,4)=14,CALCULATIONS!C57,
IF(SMALL(CALCULATIONS!D44:D58,4)=15,CALCULATIONS!C58))))))))))))))),"")
)</f>
        <v/>
      </c>
      <c r="C63" s="48" t="str">
        <f>IF(D63="","","J")</f>
        <v/>
      </c>
      <c r="D63" s="48" t="str">
        <f>(
IF(COUNT(CALCULATIONS!D44:D58)&gt;=10,
IF(SMALL(CALCULATIONS!D44:D58,10)=1,CALCULATIONS!C44,
IF(SMALL(CALCULATIONS!D44:D58,10)=2,CALCULATIONS!C45,
IF(SMALL(CALCULATIONS!D44:D58,10)=3,CALCULATIONS!C46,
IF(SMALL(CALCULATIONS!D44:D58,10)=4,CALCULATIONS!C47,
IF(SMALL(CALCULATIONS!D44:D58,10)=5,CALCULATIONS!C48,
IF(SMALL(CALCULATIONS!D44:D58,10)=6,CALCULATIONS!C49,
IF(SMALL(CALCULATIONS!D44:D58,10)=7,CALCULATIONS!C50,
IF(SMALL(CALCULATIONS!D44:D58,10)=8,CALCULATIONS!C51,
IF(SMALL(CALCULATIONS!D44:D58,10)=9,CALCULATIONS!C52,
IF(SMALL(CALCULATIONS!D44:D58,10)=10,CALCULATIONS!C53,
IF(SMALL(CALCULATIONS!D44:D58,10)=11,CALCULATIONS!C54,
IF(SMALL(CALCULATIONS!D44:D58,10)=12,CALCULATIONS!C55,
IF(SMALL(CALCULATIONS!D44:D58,10)=13,CALCULATIONS!C56,
IF(SMALL(CALCULATIONS!D44:D58,10)=14,CALCULATIONS!C57,
IF(SMALL(CALCULATIONS!D44:D58,10)=15,CALCULATIONS!C58))))))))))))))),"")
)</f>
        <v/>
      </c>
      <c r="F63" s="48" t="str">
        <f>IF(G63="","","D")</f>
        <v/>
      </c>
      <c r="G63" s="48" t="str">
        <f t="shared" si="2"/>
        <v/>
      </c>
    </row>
    <row r="64" spans="1:7" x14ac:dyDescent="0.25">
      <c r="A64" s="48" t="str">
        <f>IF(B64="","","E")</f>
        <v/>
      </c>
      <c r="B64" s="48" t="str">
        <f>(
IF(COUNT(CALCULATIONS!D44:D58)&gt;=5,
IF(SMALL(CALCULATIONS!D44:D58,5)=1,CALCULATIONS!C44,
IF(SMALL(CALCULATIONS!D44:D58,5)=2,CALCULATIONS!C45,
IF(SMALL(CALCULATIONS!D44:D58,5)=3,CALCULATIONS!C46,
IF(SMALL(CALCULATIONS!D44:D58,5)=4,CALCULATIONS!C47,
IF(SMALL(CALCULATIONS!D44:D58,5)=5,CALCULATIONS!C48,
IF(SMALL(CALCULATIONS!D44:D58,5)=6,CALCULATIONS!C49,
IF(SMALL(CALCULATIONS!D44:D58,5)=7,CALCULATIONS!C50,
IF(SMALL(CALCULATIONS!D44:D58,5)=8,CALCULATIONS!C51,
IF(SMALL(CALCULATIONS!D44:D58,5)=9,CALCULATIONS!C52,
IF(SMALL(CALCULATIONS!D44:D58,5)=10,CALCULATIONS!C53,
IF(SMALL(CALCULATIONS!D44:D58,5)=11,CALCULATIONS!C54,
IF(SMALL(CALCULATIONS!D44:D58,5)=12,CALCULATIONS!C55,
IF(SMALL(CALCULATIONS!D44:D58,5)=13,CALCULATIONS!C56,
IF(SMALL(CALCULATIONS!D44:D58,5)=14,CALCULATIONS!C57,
IF(SMALL(CALCULATIONS!D44:D58,5)=15,CALCULATIONS!C58))))))))))))))),"")
)</f>
        <v/>
      </c>
      <c r="C64" s="48" t="str">
        <f>IF(D64="","","K")</f>
        <v/>
      </c>
      <c r="D64" s="48" t="str">
        <f>(
IF(COUNT(CALCULATIONS!D44:D58)&gt;=11,
IF(SMALL(CALCULATIONS!D44:D58,11)=1,CALCULATIONS!C44,
IF(SMALL(CALCULATIONS!D44:D58,11)=2,CALCULATIONS!C45,
IF(SMALL(CALCULATIONS!D44:D58,11)=3,CALCULATIONS!C46,
IF(SMALL(CALCULATIONS!D44:D58,11)=4,CALCULATIONS!C47,
IF(SMALL(CALCULATIONS!D44:D58,11)=5,CALCULATIONS!C48,
IF(SMALL(CALCULATIONS!D44:D58,11)=6,CALCULATIONS!C49,
IF(SMALL(CALCULATIONS!D44:D58,11)=7,CALCULATIONS!C50,
IF(SMALL(CALCULATIONS!D44:D58,11)=8,CALCULATIONS!C51,
IF(SMALL(CALCULATIONS!D44:D58,11)=9,CALCULATIONS!C52,
IF(SMALL(CALCULATIONS!D44:D58,11)=10,CALCULATIONS!C53,
IF(SMALL(CALCULATIONS!D44:D58,11)=11,CALCULATIONS!C54,
IF(SMALL(CALCULATIONS!D44:D58,11)=12,CALCULATIONS!C55,
IF(SMALL(CALCULATIONS!D44:D58,11)=13,CALCULATIONS!C56,
IF(SMALL(CALCULATIONS!D44:D58,11)=14,CALCULATIONS!C57,
IF(SMALL(CALCULATIONS!D44:D58,11)=15,CALCULATIONS!C58))))))))))))))),"")
)</f>
        <v/>
      </c>
      <c r="F64" s="48" t="str">
        <f>IF(G64="","","E")</f>
        <v/>
      </c>
      <c r="G64" s="48" t="str">
        <f t="shared" si="2"/>
        <v/>
      </c>
    </row>
    <row r="65" spans="1:7" x14ac:dyDescent="0.25">
      <c r="A65" s="48" t="str">
        <f>IF(B65="","","F")</f>
        <v/>
      </c>
      <c r="B65" s="48" t="str">
        <f>(
IF(COUNT(CALCULATIONS!D44:D58)&gt;=6,
IF(SMALL(CALCULATIONS!D44:D58,6)=1,CALCULATIONS!C44,
IF(SMALL(CALCULATIONS!D44:D58,6)=2,CALCULATIONS!C45,
IF(SMALL(CALCULATIONS!D44:D58,6)=3,CALCULATIONS!C46,
IF(SMALL(CALCULATIONS!D44:D58,6)=4,CALCULATIONS!C47,
IF(SMALL(CALCULATIONS!D44:D58,6)=5,CALCULATIONS!C48,
IF(SMALL(CALCULATIONS!D44:D58,6)=6,CALCULATIONS!C49,
IF(SMALL(CALCULATIONS!D44:D58,6)=7,CALCULATIONS!C50,
IF(SMALL(CALCULATIONS!D44:D58,6)=8,CALCULATIONS!C51,
IF(SMALL(CALCULATIONS!D44:D58,6)=9,CALCULATIONS!C52,
IF(SMALL(CALCULATIONS!D44:D58,6)=10,CALCULATIONS!C53,
IF(SMALL(CALCULATIONS!D44:D58,6)=11,CALCULATIONS!C54,
IF(SMALL(CALCULATIONS!D44:D58,6)=12,CALCULATIONS!C55,
IF(SMALL(CALCULATIONS!D44:D58,6)=13,CALCULATIONS!C56,
IF(SMALL(CALCULATIONS!D44:D58,6)=14,CALCULATIONS!C57,
IF(SMALL(CALCULATIONS!D44:D58,6)=15,CALCULATIONS!C58))))))))))))))),"")
)</f>
        <v/>
      </c>
      <c r="C65" s="48" t="str">
        <f>IF(D65="","","L")</f>
        <v/>
      </c>
      <c r="D65" s="48" t="str">
        <f>(
IF(COUNT(CALCULATIONS!D44:D58)&gt;=12,
IF(SMALL(CALCULATIONS!D44:D58,12)=1,CALCULATIONS!C44,
IF(SMALL(CALCULATIONS!D44:D58,12)=2,CALCULATIONS!C45,
IF(SMALL(CALCULATIONS!D44:D58,12)=3,CALCULATIONS!C46,
IF(SMALL(CALCULATIONS!D44:D58,12)=4,CALCULATIONS!C47,
IF(SMALL(CALCULATIONS!D44:D58,12)=5,CALCULATIONS!C48,
IF(SMALL(CALCULATIONS!D44:D58,12)=6,CALCULATIONS!C49,
IF(SMALL(CALCULATIONS!D44:D58,12)=7,CALCULATIONS!C50,
IF(SMALL(CALCULATIONS!D44:D58,12)=8,CALCULATIONS!C51,
IF(SMALL(CALCULATIONS!D44:D58,12)=9,CALCULATIONS!C52,
IF(SMALL(CALCULATIONS!D44:D58,12)=10,CALCULATIONS!C53,
IF(SMALL(CALCULATIONS!D44:D58,12)=11,CALCULATIONS!C54,
IF(SMALL(CALCULATIONS!D44:D58,12)=12,CALCULATIONS!C55,
IF(SMALL(CALCULATIONS!D44:D58,12)=13,CALCULATIONS!C56,
IF(SMALL(CALCULATIONS!D44:D58,12)=14,CALCULATIONS!C57,
IF(SMALL(CALCULATIONS!D44:D58,12)=15,CALCULATIONS!C58))))))))))))))),"")
)</f>
        <v/>
      </c>
      <c r="F65" s="48" t="str">
        <f>IF(G65="","","F")</f>
        <v/>
      </c>
      <c r="G65" s="48" t="str">
        <f t="shared" si="2"/>
        <v/>
      </c>
    </row>
    <row r="66" spans="1:7" x14ac:dyDescent="0.25">
      <c r="A66" s="32"/>
      <c r="B66" s="32"/>
      <c r="C66" s="32"/>
      <c r="D66" s="32"/>
      <c r="F66" s="48" t="str">
        <f>IF(G66="","","G")</f>
        <v/>
      </c>
      <c r="G66" s="48" t="str">
        <f>D60</f>
        <v/>
      </c>
    </row>
    <row r="70" spans="1:7" ht="18" thickBot="1" x14ac:dyDescent="0.35">
      <c r="A70" s="182" t="s">
        <v>111</v>
      </c>
      <c r="B70" s="182"/>
      <c r="D70" s="76" t="s">
        <v>165</v>
      </c>
    </row>
    <row r="71" spans="1:7" ht="30.75" thickTop="1" x14ac:dyDescent="0.25">
      <c r="A71" s="188" t="str">
        <f>CALCULATIONS!B13</f>
        <v/>
      </c>
      <c r="B71" s="188"/>
      <c r="D71" s="83" t="str">
        <f ca="1">IF(AND(CALCULATIONS!A1&lt;TODAY(),OR(CALCULATIONS!B15="NODATE", CALCULATIONS!A1&lt; CALCULATIONS!B15)),"",
IF(FORM!E15="GROUND MOUNT","INSTALLATION OF NEW" &amp; CHAR(10) &amp; " GROUND MOUNTED PV SOLAR SYSTEM","INSTALLATION OF NEW" &amp; CHAR(10) &amp; "ROOF MOUNTED PV SOLAR SYSTEM")
)</f>
        <v>INSTALLATION OF NEW
ROOF MOUNTED PV SOLAR SYSTEM</v>
      </c>
    </row>
    <row r="72" spans="1:7" ht="44.25" customHeight="1" x14ac:dyDescent="0.25">
      <c r="D72" s="77" t="str">
        <f>CALCULATIONS!B14</f>
        <v/>
      </c>
    </row>
    <row r="73" spans="1:7" ht="15.75" customHeight="1" x14ac:dyDescent="0.25">
      <c r="A73" s="190" t="str">
        <f>CALCULATIONS!B14</f>
        <v/>
      </c>
      <c r="B73" s="190"/>
    </row>
    <row r="75" spans="1:7" ht="18" thickBot="1" x14ac:dyDescent="0.35">
      <c r="A75" s="191" t="str">
        <f ca="1">IF(AND(CALCULATIONS!A1&lt;TODAY(),OR(CALCULATIONS!B15="NODATE",CALCULATIONS!A1&lt;CALCULATIONS!B15)),"",
IF(OR(FORM!B25="A1",FORM!B25="A2",FORM!B25="A3"),"AS BUILT ","PROPOSED ")
&amp;"PV SOLAR SYSTEM"
)</f>
        <v>PROPOSED PV SOLAR SYSTEM</v>
      </c>
      <c r="B75" s="191"/>
      <c r="D75" s="87" t="s">
        <v>188</v>
      </c>
    </row>
    <row r="76" spans="1:7" ht="15.75" thickTop="1" x14ac:dyDescent="0.25">
      <c r="D76" s="88" t="str">
        <f>IF(FORM!E15="GROUND MOUNT","DELETE!","GOOD")</f>
        <v>GOOD</v>
      </c>
    </row>
    <row r="77" spans="1:7" x14ac:dyDescent="0.25">
      <c r="B77" s="49" t="str">
        <f>CALCULATIONS!B15</f>
        <v>NODATE</v>
      </c>
    </row>
    <row r="78" spans="1:7" ht="18" thickBot="1" x14ac:dyDescent="0.35">
      <c r="B78" s="50">
        <f>CALCULATIONS!B22</f>
        <v>0</v>
      </c>
      <c r="D78" s="87" t="s">
        <v>189</v>
      </c>
    </row>
    <row r="79" spans="1:7" ht="15.75" thickTop="1" x14ac:dyDescent="0.25">
      <c r="B79" s="50" t="str">
        <f>""</f>
        <v/>
      </c>
      <c r="D79" s="33" t="str">
        <f>(
IF(
         OR(
                   FORM!E12="CT",
                   FORM!E12="MA",
                   FORM!E12="MD",
               ),
"UTILITY DISCONNECT","NO UTILITY DISCONNECT")
)</f>
        <v>NO UTILITY DISCONNECT</v>
      </c>
    </row>
    <row r="80" spans="1:7" x14ac:dyDescent="0.25">
      <c r="B80" s="50" t="str">
        <f>IF(CALCULATIONS!B24=0,"",CALCULATIONS!B24)</f>
        <v/>
      </c>
      <c r="D80" s="33" t="str">
        <f ca="1">IF(AND(CALCULATIONS!A1&lt;TODAY(),OR(CALCULATIONS!B15="NODATE", CALCULATIONS!A1&lt; CALCULATIONS!B15)),"",
IF(FORM!F11="USE LINE TAPS","LINE TAPS",
IF(FORM!E11="","",FORM!E11))
)</f>
        <v/>
      </c>
    </row>
    <row r="81" spans="1:5" x14ac:dyDescent="0.25">
      <c r="B81" s="50" t="str">
        <f>"N.T.S"</f>
        <v>N.T.S</v>
      </c>
      <c r="D81" s="33" t="str">
        <f ca="1">IF(AND(CALCULATIONS!A1&lt;TODAY(),OR(CALCULATIONS!B15="NODATE", CALCULATIONS!A1&lt; CALCULATIONS!B15)),"",
IF(CALCULATIONS!I42="YES","MICROINVERTERS",
IF(AND(CALCULATIONS!B37="YES",FORM!B6=3),"COMBINER",
COUNTA(FORM!B5:F5)&amp;" INVERETER(S)"))
)</f>
        <v>0 INVERETER(S)</v>
      </c>
    </row>
    <row r="82" spans="1:5" x14ac:dyDescent="0.25">
      <c r="B82" s="50"/>
      <c r="D82" s="33" t="str">
        <f ca="1">IF(AND(CALCULATIONS!A1&lt;TODAY(),OR(CALCULATIONS!B15="NODATE", CALCULATIONS!A1&lt; CALCULATIONS!B15)),"",
IF(D81="MICROINVERTERS",COUNT(FORM!I6:I10)&amp;" MICRO STRINGS",
IF(D81="COMBINER",COUNTA(FORM!B5:C5)&amp;" INVERTER(S)"&amp;IF(AND(FORM!C6&lt;3,FORM!C6&gt;0)," 1 COMBINED",""),""))
)</f>
        <v/>
      </c>
    </row>
    <row r="83" spans="1:5" x14ac:dyDescent="0.25">
      <c r="B83" s="50" t="str">
        <f>CALCULATIONS!D34&amp;"kW"</f>
        <v>0kW</v>
      </c>
    </row>
    <row r="84" spans="1:5" x14ac:dyDescent="0.25">
      <c r="B84" s="50">
        <f>CALCULATIONS!B12</f>
        <v>0</v>
      </c>
      <c r="D84" s="33" t="str">
        <f ca="1">IF(AND(CALCULATIONS!A1&lt;TODAY(),OR(CALCULATIONS!B15="NODATE", CALCULATIONS!A1&lt; CALCULATIONS!B15)),"",
IF((OR(FORM!E16="AC",FORM!E16="DC")),"T",
IF(D79="UTILITY DISCONNECT","U","N"))
)</f>
        <v>N</v>
      </c>
    </row>
    <row r="85" spans="1:5" x14ac:dyDescent="0.25">
      <c r="B85" s="50" t="str">
        <f>CALCULATIONS!H7</f>
        <v/>
      </c>
      <c r="D85" s="33" t="str">
        <f ca="1">IF(AND(CALCULATIONS!A1&lt;TODAY(),OR(CALCULATIONS!B15="NODATE", CALCULATIONS!A1&lt; CALCULATIONS!B15)),"",
IF(FORM!E12="RI","L",
IF(FORM!F11="USE LINE TAPS","L",
IF(FORM!E11="LINE TAPS","L","B")))
)</f>
        <v>B</v>
      </c>
    </row>
    <row r="86" spans="1:5" x14ac:dyDescent="0.25">
      <c r="B86" s="50" t="str">
        <f>CALCULATIONS!H8</f>
        <v/>
      </c>
      <c r="D86" s="33">
        <f ca="1">IF(AND(D84="T",FORM!B6=3),
     COUNTA(FORM!B5:F5)&amp;"C",
IF(D84="T",
     COUNTA(FORM!B5:F5),
IF(OR(D84="U",D84="N"),
     IF(D81="MICROINVERTERS","M",
     IF(D81="COMBINER","C",
     COUNTA(FORM!B5:F5))))))</f>
        <v>0</v>
      </c>
    </row>
    <row r="87" spans="1:5" x14ac:dyDescent="0.25">
      <c r="B87" s="50" t="str">
        <f>IF(CALCULATIONS!B19=0,"",CALCULATIONS!B19)</f>
        <v/>
      </c>
      <c r="D87" s="33" t="str">
        <f ca="1">IF(D84="T",
     FORM!E16
          &amp; IF(FORM!E18="YES","SS",""),
IF(OR(D84="U",D84="N"),
     IF(D86="C",
          IF(D82="2 INVERTER(S) 1 COMBINED","21C",
          COUNTA(FORM!B5:C5)),
     IF(D86="M",COUNT(FORM!I6:I10),""))))</f>
        <v/>
      </c>
    </row>
    <row r="88" spans="1:5" x14ac:dyDescent="0.25">
      <c r="B88" s="51" t="str">
        <f>IF(CALCULATIONS!B20=0,"",CALCULATIONS!B20)</f>
        <v/>
      </c>
      <c r="D88" s="33" t="str">
        <f ca="1">(
D84&amp;D85&amp;D86&amp;D87
)</f>
        <v>NB0</v>
      </c>
      <c r="E88" s="33" t="s">
        <v>243</v>
      </c>
    </row>
    <row r="89" spans="1:5" ht="18" thickBot="1" x14ac:dyDescent="0.35">
      <c r="A89" s="182" t="s">
        <v>184</v>
      </c>
      <c r="B89" s="182"/>
      <c r="C89" s="182"/>
      <c r="D89" s="33" t="str">
        <f ca="1">IF(AND(CALCULATIONS!A1&lt;TODAY(),OR(CALCULATIONS!B15="NODATE", CALCULATIONS!A1&lt; CALCULATIONS!B15)),"",
IF(AND(COUNTA(FORM!B5:F5)=1,SUM(FORM!B6:F6)=1),"1","0")
)</f>
        <v>0</v>
      </c>
      <c r="E89" s="33" t="s">
        <v>293</v>
      </c>
    </row>
    <row r="90" spans="1:5" ht="15.75" thickTop="1" x14ac:dyDescent="0.25">
      <c r="A90" s="33">
        <f>FORM!I26</f>
        <v>0</v>
      </c>
      <c r="B90" s="50"/>
      <c r="C90" s="33" t="str">
        <f>IF(FORM!B14="SUNRUN","OUTSIDE",IF(FORM!F5="M215 MICROINVERTERS",FORM!I26,FORM!I27))&amp;"."</f>
        <v>OUTSIDE.</v>
      </c>
    </row>
    <row r="91" spans="1:5" x14ac:dyDescent="0.25">
      <c r="B91" s="50"/>
    </row>
    <row r="92" spans="1:5" x14ac:dyDescent="0.25">
      <c r="B92" s="50"/>
      <c r="C92" s="33" t="str">
        <f>IF(FORM!F5="M215 MICROINVERTERS","N/A",FORM!I27)&amp;"."</f>
        <v>OUTSIDE.</v>
      </c>
    </row>
    <row r="93" spans="1:5" x14ac:dyDescent="0.25">
      <c r="B93" s="50"/>
    </row>
    <row r="94" spans="1:5" x14ac:dyDescent="0.25">
      <c r="B94" s="50"/>
    </row>
    <row r="95" spans="1:5" x14ac:dyDescent="0.25">
      <c r="B95" s="50"/>
    </row>
    <row r="97" spans="1:2" ht="18" thickBot="1" x14ac:dyDescent="0.35">
      <c r="A97" s="42" t="s">
        <v>186</v>
      </c>
    </row>
    <row r="98" spans="1:2" ht="15.75" thickTop="1" x14ac:dyDescent="0.25">
      <c r="A98" s="85" t="str">
        <f ca="1">IF(AND(CALCULATIONS!A1&lt;TODAY(),OR(CALCULATIONS!B15="NODATE", CALCULATIONS!A1&lt; CALCULATIONS!B15)),"",
IF(AND(NOT(FORM!I16=""),FORM!E15="GROUND MOUNT"),"ARRAY 1",IF(FORM!I16="","","R1"))
)</f>
        <v/>
      </c>
    </row>
    <row r="99" spans="1:2" x14ac:dyDescent="0.25">
      <c r="A99" s="46" t="str">
        <f ca="1">IF(AND(CALCULATIONS!A1&lt;TODAY(),OR(CALCULATIONS!B15="NODATE", CALCULATIONS!A1&lt; CALCULATIONS!B15)),"",
IF(FORM!I16="","","ARRAY ORIENTATION = "&amp;FORM!I16&amp;"°"&amp;CHAR(10)&amp;"MODULE PITCH = "&amp;FORM!I17&amp;"°")
)</f>
        <v/>
      </c>
      <c r="B99" s="84"/>
    </row>
    <row r="100" spans="1:2" x14ac:dyDescent="0.25">
      <c r="A100" s="85" t="str">
        <f ca="1">IF(AND(CALCULATIONS!A1&lt;TODAY(),OR(CALCULATIONS!B15="NODATE", CALCULATIONS!A1&lt; CALCULATIONS!B15)),"",
IF(AND(NOT(FORM!I18=""),FORM!E15="GROUND MOUNT"),"ARRAY 2",IF(FORM!I18="","","R2"))
)</f>
        <v/>
      </c>
    </row>
    <row r="101" spans="1:2" x14ac:dyDescent="0.25">
      <c r="A101" s="46" t="str">
        <f ca="1">IF(AND(CALCULATIONS!A1&lt;TODAY(),OR(CALCULATIONS!B15="NODATE", CALCULATIONS!A1&lt; CALCULATIONS!B15)),"",
IF(FORM!I18="","","ARRAY ORIENTATION = "&amp;FORM!I18&amp;"°"&amp;CHAR(10)&amp;"MODULE PITCH = "&amp;FORM!I19&amp;"°")
)</f>
        <v/>
      </c>
    </row>
    <row r="102" spans="1:2" x14ac:dyDescent="0.25">
      <c r="A102" s="85" t="str">
        <f ca="1">IF(AND(CALCULATIONS!A1&lt;TODAY(),OR(CALCULATIONS!B15="NODATE", CALCULATIONS!A1&lt; CALCULATIONS!B15)),"",
IF(AND(NOT(FORM!I20=""),FORM!E15="GROUND MOUNT"),"ARRAY 3",IF(FORM!I20="","","R3"))
)</f>
        <v/>
      </c>
    </row>
    <row r="103" spans="1:2" x14ac:dyDescent="0.25">
      <c r="A103" s="46" t="str">
        <f ca="1">IF(AND(CALCULATIONS!A1&lt;TODAY(),OR(CALCULATIONS!B15="NODATE", CALCULATIONS!A1&lt; CALCULATIONS!B15)),"",
IF(FORM!I20="","","ARRAY ORIENTATION = "&amp;FORM!I20&amp;"°"&amp;CHAR(10)&amp;"MODULE PITCH = "&amp;FORM!I21&amp;"°")
)</f>
        <v/>
      </c>
    </row>
    <row r="104" spans="1:2" x14ac:dyDescent="0.25">
      <c r="A104" s="86" t="str">
        <f ca="1">IF(AND(CALCULATIONS!A1&lt;TODAY(),OR(CALCULATIONS!B15="NODATE", CALCULATIONS!A1&lt; CALCULATIONS!B15)),"",
IF(AND(NOT(FORM!I22=""),FORM!E15="GROUND MOUNT"),"ARRAY 4",IF(FORM!I22="","","R4"))
)</f>
        <v/>
      </c>
    </row>
    <row r="105" spans="1:2" x14ac:dyDescent="0.25">
      <c r="A105" s="46" t="str">
        <f ca="1">IF(AND(CALCULATIONS!A1&lt;TODAY(),OR(CALCULATIONS!B15="NODATE", CALCULATIONS!A1&lt; CALCULATIONS!B15)),"",
IF(FORM!I22="","","ARRAY ORIENTATION = "&amp;FORM!I22&amp;"°"&amp;CHAR(10)&amp;"MODULE PITCH = "&amp;FORM!I23&amp;"°")
)</f>
        <v/>
      </c>
    </row>
  </sheetData>
  <sheetProtection algorithmName="SHA-512" hashValue="zclMSRFhPuim+GUWRJhQ9Y5+/mOTR3E4MGWmV8+YJCnoy++H+9v49tUtzvF1I/4YeZd8aF7wO80oYzPZR2VjYQ==" saltValue="igHkkegeiR0VtqwwIzGTmg==" spinCount="100000" sheet="1" objects="1" scenarios="1"/>
  <mergeCells count="77">
    <mergeCell ref="A89:C89"/>
    <mergeCell ref="Q1:R1"/>
    <mergeCell ref="O15:P15"/>
    <mergeCell ref="O16:P16"/>
    <mergeCell ref="O17:P17"/>
    <mergeCell ref="O26:P26"/>
    <mergeCell ref="O21:P21"/>
    <mergeCell ref="O22:P22"/>
    <mergeCell ref="O23:P23"/>
    <mergeCell ref="O24:P24"/>
    <mergeCell ref="O25:P25"/>
    <mergeCell ref="M10:P10"/>
    <mergeCell ref="M14:P14"/>
    <mergeCell ref="M18:P18"/>
    <mergeCell ref="O19:P19"/>
    <mergeCell ref="O20:P20"/>
    <mergeCell ref="A24:D24"/>
    <mergeCell ref="A39:D39"/>
    <mergeCell ref="A40:D40"/>
    <mergeCell ref="A23:D23"/>
    <mergeCell ref="M26:N26"/>
    <mergeCell ref="M25:N25"/>
    <mergeCell ref="M24:N24"/>
    <mergeCell ref="M23:N23"/>
    <mergeCell ref="A33:B33"/>
    <mergeCell ref="C33:D33"/>
    <mergeCell ref="M22:N22"/>
    <mergeCell ref="M21:N21"/>
    <mergeCell ref="M20:N20"/>
    <mergeCell ref="M19:N19"/>
    <mergeCell ref="M27:N27"/>
    <mergeCell ref="O27:P27"/>
    <mergeCell ref="A25:B25"/>
    <mergeCell ref="C25:D25"/>
    <mergeCell ref="A31:D31"/>
    <mergeCell ref="A32:D32"/>
    <mergeCell ref="M28:P28"/>
    <mergeCell ref="M1:P1"/>
    <mergeCell ref="N2:O2"/>
    <mergeCell ref="N3:O3"/>
    <mergeCell ref="N4:O4"/>
    <mergeCell ref="N5:O5"/>
    <mergeCell ref="N6:O6"/>
    <mergeCell ref="M7:P7"/>
    <mergeCell ref="M8:P8"/>
    <mergeCell ref="M9:P9"/>
    <mergeCell ref="M11:P11"/>
    <mergeCell ref="M12:P12"/>
    <mergeCell ref="M13:P13"/>
    <mergeCell ref="A16:D16"/>
    <mergeCell ref="A17:B17"/>
    <mergeCell ref="C17:D17"/>
    <mergeCell ref="M15:N15"/>
    <mergeCell ref="M17:N17"/>
    <mergeCell ref="M16:N16"/>
    <mergeCell ref="A7:D7"/>
    <mergeCell ref="A8:D8"/>
    <mergeCell ref="A9:B9"/>
    <mergeCell ref="C9:D9"/>
    <mergeCell ref="A15:D15"/>
    <mergeCell ref="A1:C1"/>
    <mergeCell ref="E1:G1"/>
    <mergeCell ref="E2:E4"/>
    <mergeCell ref="G3:G4"/>
    <mergeCell ref="F2:F4"/>
    <mergeCell ref="A73:B73"/>
    <mergeCell ref="A75:B75"/>
    <mergeCell ref="A59:D59"/>
    <mergeCell ref="A50:B50"/>
    <mergeCell ref="A70:B70"/>
    <mergeCell ref="A48:B48"/>
    <mergeCell ref="A49:B49"/>
    <mergeCell ref="O29:P29"/>
    <mergeCell ref="M29:N29"/>
    <mergeCell ref="A71:B71"/>
    <mergeCell ref="A41:B41"/>
    <mergeCell ref="C41:D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6"/>
  <sheetViews>
    <sheetView workbookViewId="0">
      <selection activeCell="B20" sqref="B20"/>
    </sheetView>
  </sheetViews>
  <sheetFormatPr defaultRowHeight="15" x14ac:dyDescent="0.25"/>
  <cols>
    <col min="1" max="1" width="33.85546875" customWidth="1"/>
    <col min="2" max="2" width="19.140625" customWidth="1"/>
    <col min="3" max="3" width="20.140625" customWidth="1"/>
    <col min="4" max="4" width="11.85546875" customWidth="1"/>
    <col min="9" max="9" width="19.42578125" bestFit="1" customWidth="1"/>
  </cols>
  <sheetData>
    <row r="1" spans="1:9" ht="20.25" thickBot="1" x14ac:dyDescent="0.35">
      <c r="A1" s="1" t="s">
        <v>8</v>
      </c>
      <c r="B1" s="2" t="s">
        <v>2</v>
      </c>
      <c r="C1" s="2" t="s">
        <v>7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14" t="s">
        <v>50</v>
      </c>
    </row>
    <row r="2" spans="1:9" ht="15.75" thickTop="1" x14ac:dyDescent="0.25">
      <c r="A2" s="35" t="str">
        <f>IF(B2="","N/A",B2&amp;" ("&amp;C2&amp;")")</f>
        <v>HANWHA (Q.PEAK-BLK G4.1 285)</v>
      </c>
      <c r="B2" s="31" t="s">
        <v>363</v>
      </c>
      <c r="C2" s="31" t="s">
        <v>364</v>
      </c>
      <c r="D2" s="31">
        <v>285</v>
      </c>
      <c r="E2" s="31">
        <v>8.98</v>
      </c>
      <c r="F2" s="31">
        <v>31.73</v>
      </c>
      <c r="G2" s="31">
        <v>38.909999999999997</v>
      </c>
      <c r="H2" s="31">
        <v>9.56</v>
      </c>
      <c r="I2" s="31">
        <v>44.36</v>
      </c>
    </row>
    <row r="3" spans="1:9" x14ac:dyDescent="0.25">
      <c r="A3" s="35" t="str">
        <f t="shared" ref="A3:A4" si="0">IF(B3="","N/A",B3&amp;" ("&amp;C3&amp;")")</f>
        <v>TRINA 260 (TSM-260 PD05.08)</v>
      </c>
      <c r="B3" s="31" t="s">
        <v>57</v>
      </c>
      <c r="C3" s="31" t="s">
        <v>286</v>
      </c>
      <c r="D3" s="31">
        <v>260</v>
      </c>
      <c r="E3" s="31">
        <v>8.5</v>
      </c>
      <c r="F3" s="31">
        <v>30.6</v>
      </c>
      <c r="G3" s="31">
        <v>38.200000000000003</v>
      </c>
      <c r="H3" s="31">
        <v>9</v>
      </c>
      <c r="I3" s="31">
        <v>44.311999999999998</v>
      </c>
    </row>
    <row r="4" spans="1:9" x14ac:dyDescent="0.25">
      <c r="A4" s="35" t="str">
        <f t="shared" si="0"/>
        <v>TRINA 280 (TSM-280 DD05A.05)</v>
      </c>
      <c r="B4" s="31" t="s">
        <v>340</v>
      </c>
      <c r="C4" s="31" t="s">
        <v>349</v>
      </c>
      <c r="D4" s="31">
        <v>280</v>
      </c>
      <c r="E4" s="31">
        <v>8.84</v>
      </c>
      <c r="F4" s="31">
        <v>31.7</v>
      </c>
      <c r="G4" s="31">
        <v>39</v>
      </c>
      <c r="H4" s="31">
        <v>9.35</v>
      </c>
      <c r="I4" s="31">
        <v>44.655000000000001</v>
      </c>
    </row>
    <row r="5" spans="1:9" x14ac:dyDescent="0.25">
      <c r="A5" s="35" t="str">
        <f t="shared" ref="A5:A17" si="1">IF(B5="","N/A",B5&amp;" ("&amp;C5&amp;")")</f>
        <v>TRINA 285 (TSM-285 DD05A.05)</v>
      </c>
      <c r="B5" s="31" t="s">
        <v>341</v>
      </c>
      <c r="C5" s="31" t="s">
        <v>350</v>
      </c>
      <c r="D5" s="31">
        <v>285</v>
      </c>
      <c r="E5" s="31">
        <v>8.9700000000000006</v>
      </c>
      <c r="F5" s="31">
        <v>31.8</v>
      </c>
      <c r="G5" s="31">
        <v>39.299999999999997</v>
      </c>
      <c r="H5" s="31">
        <v>9.4499999999999993</v>
      </c>
      <c r="I5" s="31">
        <v>44.9985</v>
      </c>
    </row>
    <row r="6" spans="1:9" x14ac:dyDescent="0.25">
      <c r="A6" s="35" t="str">
        <f t="shared" si="1"/>
        <v>SILFAB SOLAR (SLA280M)</v>
      </c>
      <c r="B6" s="31" t="s">
        <v>302</v>
      </c>
      <c r="C6" s="31" t="s">
        <v>303</v>
      </c>
      <c r="D6" s="31">
        <v>280</v>
      </c>
      <c r="E6" s="31">
        <v>8.83</v>
      </c>
      <c r="F6" s="31">
        <v>31.7</v>
      </c>
      <c r="G6" s="31">
        <v>38.700000000000003</v>
      </c>
      <c r="H6" s="31">
        <v>9.4</v>
      </c>
      <c r="I6" s="31">
        <v>44.51</v>
      </c>
    </row>
    <row r="7" spans="1:9" x14ac:dyDescent="0.25">
      <c r="A7" s="35" t="str">
        <f t="shared" si="1"/>
        <v>CANADIAN SOLAR 255 (CS6P-255P)</v>
      </c>
      <c r="B7" s="31" t="s">
        <v>147</v>
      </c>
      <c r="C7" s="31" t="s">
        <v>146</v>
      </c>
      <c r="D7" s="31">
        <v>255</v>
      </c>
      <c r="E7" s="31">
        <v>8.43</v>
      </c>
      <c r="F7" s="31">
        <v>30.2</v>
      </c>
      <c r="G7" s="31">
        <v>37.4</v>
      </c>
      <c r="H7" s="31">
        <v>9</v>
      </c>
      <c r="I7" s="31">
        <v>43.76</v>
      </c>
    </row>
    <row r="8" spans="1:9" x14ac:dyDescent="0.25">
      <c r="A8" s="35" t="str">
        <f t="shared" si="1"/>
        <v>CANADIAN SOLAR 260 (CS6P-260P)</v>
      </c>
      <c r="B8" s="31" t="s">
        <v>192</v>
      </c>
      <c r="C8" s="31" t="s">
        <v>193</v>
      </c>
      <c r="D8" s="31">
        <v>260</v>
      </c>
      <c r="E8" s="31">
        <v>8.56</v>
      </c>
      <c r="F8" s="31">
        <v>30.4</v>
      </c>
      <c r="G8" s="31">
        <v>37.5</v>
      </c>
      <c r="H8" s="31">
        <v>9.1199999999999992</v>
      </c>
      <c r="I8" s="31">
        <v>43.875</v>
      </c>
    </row>
    <row r="9" spans="1:9" x14ac:dyDescent="0.25">
      <c r="A9" s="35" t="str">
        <f t="shared" si="1"/>
        <v>CANADIAN SOLAR 265 (CS6P-265P)</v>
      </c>
      <c r="B9" s="31" t="s">
        <v>351</v>
      </c>
      <c r="C9" s="31" t="s">
        <v>352</v>
      </c>
      <c r="D9" s="31">
        <v>265</v>
      </c>
      <c r="E9" s="31">
        <v>8.66</v>
      </c>
      <c r="F9" s="31">
        <v>30.6</v>
      </c>
      <c r="G9" s="31">
        <v>37.700000000000003</v>
      </c>
      <c r="H9" s="31">
        <v>9.23</v>
      </c>
      <c r="I9" s="31">
        <v>43.543500000000002</v>
      </c>
    </row>
    <row r="10" spans="1:9" x14ac:dyDescent="0.25">
      <c r="A10" s="35" t="str">
        <f t="shared" si="1"/>
        <v>LG 275 (LG275S1C-B3)</v>
      </c>
      <c r="B10" s="31" t="s">
        <v>190</v>
      </c>
      <c r="C10" s="31" t="s">
        <v>191</v>
      </c>
      <c r="D10" s="31">
        <v>275</v>
      </c>
      <c r="E10" s="31">
        <v>8.68</v>
      </c>
      <c r="F10" s="31">
        <v>31.7</v>
      </c>
      <c r="G10" s="31">
        <v>38.700000000000003</v>
      </c>
      <c r="H10" s="31">
        <v>9.26</v>
      </c>
      <c r="I10" s="31">
        <v>44.698500000000003</v>
      </c>
    </row>
    <row r="11" spans="1:9" x14ac:dyDescent="0.25">
      <c r="A11" s="35" t="str">
        <f t="shared" si="1"/>
        <v>LG 280 (LG280N1C-G3)</v>
      </c>
      <c r="B11" s="31" t="s">
        <v>9</v>
      </c>
      <c r="C11" s="31" t="s">
        <v>12</v>
      </c>
      <c r="D11" s="31">
        <v>280</v>
      </c>
      <c r="E11" s="31">
        <v>8.9700000000000006</v>
      </c>
      <c r="F11" s="31">
        <v>31.5</v>
      </c>
      <c r="G11" s="31">
        <v>38.9</v>
      </c>
      <c r="H11" s="31">
        <v>9.56</v>
      </c>
      <c r="I11" s="31">
        <v>44.93</v>
      </c>
    </row>
    <row r="12" spans="1:9" x14ac:dyDescent="0.25">
      <c r="A12" s="35" t="str">
        <f t="shared" si="1"/>
        <v>LG 290 (LG290N1C-G3)</v>
      </c>
      <c r="B12" s="31" t="s">
        <v>10</v>
      </c>
      <c r="C12" s="31" t="s">
        <v>13</v>
      </c>
      <c r="D12" s="31">
        <v>290</v>
      </c>
      <c r="E12" s="31">
        <v>9.19</v>
      </c>
      <c r="F12" s="31">
        <v>31.8</v>
      </c>
      <c r="G12" s="31">
        <v>39.200000000000003</v>
      </c>
      <c r="H12" s="31">
        <v>9.8000000000000007</v>
      </c>
      <c r="I12" s="31">
        <v>45.28</v>
      </c>
    </row>
    <row r="13" spans="1:9" x14ac:dyDescent="0.25">
      <c r="A13" s="35" t="str">
        <f t="shared" si="1"/>
        <v>LG 315 (LG315N1C-G4)</v>
      </c>
      <c r="B13" s="31" t="s">
        <v>335</v>
      </c>
      <c r="C13" s="31" t="s">
        <v>336</v>
      </c>
      <c r="D13" s="31">
        <v>315</v>
      </c>
      <c r="E13" s="31">
        <v>9.5</v>
      </c>
      <c r="F13" s="31">
        <v>33.200000000000003</v>
      </c>
      <c r="G13" s="31">
        <v>40.6</v>
      </c>
      <c r="H13" s="31">
        <v>10.02</v>
      </c>
      <c r="I13" s="31">
        <v>46.283999999999999</v>
      </c>
    </row>
    <row r="14" spans="1:9" x14ac:dyDescent="0.25">
      <c r="A14" s="35" t="str">
        <f t="shared" si="1"/>
        <v>SUNPOWER 327 (SPR-327NE-WHT-D)</v>
      </c>
      <c r="B14" s="31" t="s">
        <v>11</v>
      </c>
      <c r="C14" s="31" t="s">
        <v>14</v>
      </c>
      <c r="D14" s="31">
        <v>327</v>
      </c>
      <c r="E14" s="31">
        <v>5.98</v>
      </c>
      <c r="F14" s="31">
        <v>54.7</v>
      </c>
      <c r="G14" s="31">
        <v>64.900000000000006</v>
      </c>
      <c r="H14" s="31">
        <v>6.46</v>
      </c>
      <c r="I14" s="31">
        <v>73.73</v>
      </c>
    </row>
    <row r="15" spans="1:9" x14ac:dyDescent="0.25">
      <c r="A15" s="35" t="str">
        <f t="shared" si="1"/>
        <v>SUNEDISON 265 (F265KzD-3y)</v>
      </c>
      <c r="B15" s="31" t="s">
        <v>287</v>
      </c>
      <c r="C15" s="31" t="s">
        <v>291</v>
      </c>
      <c r="D15" s="31">
        <v>265</v>
      </c>
      <c r="E15" s="31">
        <v>8.8000000000000007</v>
      </c>
      <c r="F15" s="31">
        <v>30.1</v>
      </c>
      <c r="G15" s="31">
        <v>37.700000000000003</v>
      </c>
      <c r="H15" s="31">
        <v>9.25</v>
      </c>
      <c r="I15" s="31">
        <v>44.109000000000002</v>
      </c>
    </row>
    <row r="16" spans="1:9" x14ac:dyDescent="0.25">
      <c r="A16" s="35" t="str">
        <f t="shared" si="1"/>
        <v>SUNEDSION 270 (F270KzD-3y)</v>
      </c>
      <c r="B16" s="31" t="s">
        <v>288</v>
      </c>
      <c r="C16" s="31" t="s">
        <v>292</v>
      </c>
      <c r="D16" s="31">
        <v>270</v>
      </c>
      <c r="E16" s="31">
        <v>8.94</v>
      </c>
      <c r="F16" s="31">
        <v>30.2</v>
      </c>
      <c r="G16" s="31">
        <v>37.799999999999997</v>
      </c>
      <c r="H16" s="31">
        <v>9.3000000000000007</v>
      </c>
      <c r="I16" s="31">
        <v>44.225999999999999</v>
      </c>
    </row>
    <row r="17" spans="1:9" x14ac:dyDescent="0.25">
      <c r="A17" s="35" t="str">
        <f t="shared" si="1"/>
        <v>SUNIVA 270 (OPT 270-60-4-1B0)</v>
      </c>
      <c r="B17" s="31" t="s">
        <v>289</v>
      </c>
      <c r="C17" s="31" t="s">
        <v>290</v>
      </c>
      <c r="D17" s="31">
        <v>270</v>
      </c>
      <c r="E17" s="31">
        <v>8.6999999999999993</v>
      </c>
      <c r="F17" s="31">
        <v>31</v>
      </c>
      <c r="G17" s="31">
        <v>38.4</v>
      </c>
      <c r="H17" s="31">
        <v>9.18</v>
      </c>
      <c r="I17" s="31">
        <v>44.832000000000001</v>
      </c>
    </row>
    <row r="18" spans="1:9" x14ac:dyDescent="0.25">
      <c r="A18" s="35" t="str">
        <f t="shared" ref="A18" si="2">IF(B18="","N/A",B18&amp;" ("&amp;C18&amp;")")</f>
        <v>CENTRO 280 (CM60 280)</v>
      </c>
      <c r="B18" s="31" t="s">
        <v>296</v>
      </c>
      <c r="C18" s="31" t="s">
        <v>297</v>
      </c>
      <c r="D18" s="31">
        <v>280</v>
      </c>
      <c r="E18" s="31">
        <v>8.84</v>
      </c>
      <c r="F18" s="31">
        <v>31.69</v>
      </c>
      <c r="G18" s="31">
        <v>39.049999999999997</v>
      </c>
      <c r="H18" s="31">
        <v>9.39</v>
      </c>
      <c r="I18" s="31">
        <v>45.259</v>
      </c>
    </row>
    <row r="19" spans="1:9" x14ac:dyDescent="0.25">
      <c r="A19" s="35" t="str">
        <f t="shared" ref="A19" si="3">IF(B19="","N/A",B19&amp;" ("&amp;C19&amp;")")</f>
        <v>CENTRO 285 (CM60 285)</v>
      </c>
      <c r="B19" s="31" t="s">
        <v>298</v>
      </c>
      <c r="C19" s="31" t="s">
        <v>299</v>
      </c>
      <c r="D19" s="31">
        <v>285</v>
      </c>
      <c r="E19" s="31">
        <v>8.9600000000000009</v>
      </c>
      <c r="F19" s="31">
        <v>31.81</v>
      </c>
      <c r="G19" s="31">
        <v>39.159999999999997</v>
      </c>
      <c r="H19" s="31">
        <v>9.49</v>
      </c>
      <c r="I19" s="31">
        <v>45.386000000000003</v>
      </c>
    </row>
    <row r="20" spans="1:9" x14ac:dyDescent="0.25">
      <c r="A20" s="35" t="str">
        <f>IF(B20="","N/A",B20&amp;" ("&amp;C20&amp;")")</f>
        <v>CENTRO 290 (CM60 290)</v>
      </c>
      <c r="B20" s="31" t="s">
        <v>300</v>
      </c>
      <c r="C20" s="31" t="s">
        <v>301</v>
      </c>
      <c r="D20" s="31">
        <v>290</v>
      </c>
      <c r="E20" s="31">
        <v>9.06</v>
      </c>
      <c r="F20" s="31">
        <v>32.020000000000003</v>
      </c>
      <c r="G20" s="31">
        <v>39.31</v>
      </c>
      <c r="H20" s="31">
        <v>9.59</v>
      </c>
      <c r="I20" s="31">
        <v>45.56</v>
      </c>
    </row>
    <row r="21" spans="1:9" x14ac:dyDescent="0.25">
      <c r="A21" s="35" t="str">
        <f>IF(B21="","N/A",B21&amp;" ("&amp;C21&amp;")")</f>
        <v>N/A</v>
      </c>
      <c r="B21" s="31"/>
      <c r="C21" s="31"/>
      <c r="D21" s="31"/>
      <c r="E21" s="31"/>
      <c r="F21" s="31"/>
      <c r="G21" s="31"/>
      <c r="H21" s="31"/>
      <c r="I21" s="31"/>
    </row>
    <row r="22" spans="1:9" x14ac:dyDescent="0.25">
      <c r="A22" s="35" t="str">
        <f t="shared" ref="A22" si="4">IF(B22="","N/A",B22&amp;" ("&amp;C22&amp;")")</f>
        <v>N/A</v>
      </c>
      <c r="B22" s="31"/>
      <c r="C22" s="31"/>
      <c r="D22" s="31"/>
      <c r="E22" s="31"/>
      <c r="F22" s="31"/>
      <c r="G22" s="31"/>
      <c r="H22" s="31"/>
      <c r="I22" s="31"/>
    </row>
    <row r="23" spans="1:9" x14ac:dyDescent="0.25">
      <c r="A23" s="35" t="str">
        <f>IF(B23="","N/A",B23&amp;" ("&amp;C23&amp;")")</f>
        <v>N/A</v>
      </c>
      <c r="B23" s="31"/>
      <c r="C23" s="31"/>
      <c r="D23" s="31"/>
      <c r="E23" s="31"/>
      <c r="F23" s="31"/>
      <c r="G23" s="31"/>
      <c r="H23" s="31"/>
      <c r="I23" s="31"/>
    </row>
    <row r="24" spans="1:9" x14ac:dyDescent="0.25">
      <c r="A24" s="35" t="str">
        <f t="shared" ref="A24:A26" si="5">IF(B24="","N/A",B24&amp;" ("&amp;C24&amp;")")</f>
        <v>N/A</v>
      </c>
      <c r="B24" s="31"/>
      <c r="C24" s="31"/>
      <c r="D24" s="31"/>
      <c r="E24" s="31"/>
      <c r="F24" s="31"/>
      <c r="G24" s="31"/>
      <c r="H24" s="31"/>
      <c r="I24" s="31"/>
    </row>
    <row r="25" spans="1:9" x14ac:dyDescent="0.25">
      <c r="A25" s="35" t="str">
        <f t="shared" si="5"/>
        <v>N/A</v>
      </c>
      <c r="B25" s="31"/>
      <c r="C25" s="31"/>
      <c r="D25" s="31"/>
      <c r="E25" s="31"/>
      <c r="F25" s="31"/>
      <c r="G25" s="31"/>
      <c r="H25" s="31"/>
      <c r="I25" s="31"/>
    </row>
    <row r="26" spans="1:9" x14ac:dyDescent="0.25">
      <c r="A26" s="35" t="str">
        <f t="shared" si="5"/>
        <v>N/A</v>
      </c>
      <c r="B26" s="31"/>
      <c r="C26" s="31"/>
      <c r="D26" s="31"/>
      <c r="E26" s="31"/>
      <c r="F26" s="31"/>
      <c r="G26" s="31"/>
      <c r="H26" s="31"/>
      <c r="I26" s="31"/>
    </row>
  </sheetData>
  <sheetProtection algorithmName="SHA-512" hashValue="kuFkBxYXQKRF4JCZhl3sJNsSvywCpdOCX9BsTCD+WgxPSAFxSCIhbH0i7m2EB2DGHT3uu/jSCWHCXXaT1g2fOw==" saltValue="/uHSzHFHRtT/9K+ePqTo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6"/>
  <sheetViews>
    <sheetView workbookViewId="0">
      <selection activeCell="A14" sqref="A14"/>
    </sheetView>
  </sheetViews>
  <sheetFormatPr defaultRowHeight="15" x14ac:dyDescent="0.25"/>
  <cols>
    <col min="1" max="1" width="26.28515625" customWidth="1"/>
    <col min="2" max="2" width="6" bestFit="1" customWidth="1"/>
    <col min="3" max="3" width="6.5703125" bestFit="1" customWidth="1"/>
    <col min="4" max="5" width="63.5703125" customWidth="1"/>
  </cols>
  <sheetData>
    <row r="1" spans="1:5" ht="20.25" thickBot="1" x14ac:dyDescent="0.35">
      <c r="A1" s="1" t="s">
        <v>0</v>
      </c>
      <c r="B1" s="2" t="s">
        <v>73</v>
      </c>
      <c r="C1" s="16" t="s">
        <v>58</v>
      </c>
      <c r="D1" s="17" t="s">
        <v>338</v>
      </c>
      <c r="E1" s="17" t="s">
        <v>337</v>
      </c>
    </row>
    <row r="2" spans="1:5" ht="15.75" thickTop="1" x14ac:dyDescent="0.25">
      <c r="A2" s="55" t="s">
        <v>365</v>
      </c>
      <c r="B2" s="56">
        <v>3000</v>
      </c>
      <c r="C2" s="57">
        <v>12.5</v>
      </c>
      <c r="D2" s="178" t="str">
        <f>IF(FORM!$I$24="1 INCH",REPLACE(E2,1,4,"1"""),INVERTERS!E2)</f>
        <v>3/4" CONDUIT W/ 3-#10 THWN-2, 1-#10 THWN-2 GROUND</v>
      </c>
      <c r="E2" s="31" t="s">
        <v>345</v>
      </c>
    </row>
    <row r="3" spans="1:5" x14ac:dyDescent="0.25">
      <c r="A3" s="55" t="s">
        <v>366</v>
      </c>
      <c r="B3" s="56">
        <v>3800</v>
      </c>
      <c r="C3" s="57">
        <v>16</v>
      </c>
      <c r="D3" s="178" t="str">
        <f>IF(FORM!$I$24="1 INCH",REPLACE(E3,1,4,"1"""),INVERTERS!E3)</f>
        <v>3/4" CONDUIT W/ 3-#10 THWN-2, 1-#10 THWN-2 GROUND</v>
      </c>
      <c r="E3" s="31" t="s">
        <v>345</v>
      </c>
    </row>
    <row r="4" spans="1:5" x14ac:dyDescent="0.25">
      <c r="A4" s="55" t="s">
        <v>39</v>
      </c>
      <c r="B4" s="31"/>
      <c r="C4" s="57"/>
      <c r="D4" s="178">
        <f>IF(FORM!$I$24="1 INCH",REPLACE(E4,1,4,"1"""),INVERTERS!E4)</f>
        <v>0</v>
      </c>
      <c r="E4" s="31"/>
    </row>
    <row r="5" spans="1:5" x14ac:dyDescent="0.25">
      <c r="A5" s="55" t="s">
        <v>163</v>
      </c>
      <c r="B5" s="56">
        <v>3000</v>
      </c>
      <c r="C5" s="57">
        <v>12.5</v>
      </c>
      <c r="D5" s="178" t="str">
        <f>IF(FORM!$I$24="1 INCH",REPLACE(E5,1,4,"1"""),INVERTERS!E5)</f>
        <v>3/4" CONDUIT W/ 3-#10 THWN-2, 1-#10 THWN-2 GROUND</v>
      </c>
      <c r="E5" s="31" t="s">
        <v>345</v>
      </c>
    </row>
    <row r="6" spans="1:5" x14ac:dyDescent="0.25">
      <c r="A6" s="55" t="s">
        <v>122</v>
      </c>
      <c r="B6" s="56">
        <v>3800</v>
      </c>
      <c r="C6" s="57">
        <v>16</v>
      </c>
      <c r="D6" s="178" t="str">
        <f>IF(FORM!$I$24="1 INCH",REPLACE(E6,1,4,"1"""),INVERTERS!E6)</f>
        <v>3/4" CONDUIT W/ 3-#10 THWN-2, 1-#10 THWN-2 GROUND</v>
      </c>
      <c r="E6" s="31" t="s">
        <v>345</v>
      </c>
    </row>
    <row r="7" spans="1:5" x14ac:dyDescent="0.25">
      <c r="A7" s="55" t="s">
        <v>123</v>
      </c>
      <c r="B7" s="56">
        <v>5000</v>
      </c>
      <c r="C7" s="57">
        <v>21</v>
      </c>
      <c r="D7" s="178" t="str">
        <f>IF(FORM!$I$24="1 INCH",REPLACE(E7,1,4,"1"""),INVERTERS!E7)</f>
        <v>3/4" CONDUIT W/ 3-#10 THWN-2, 1-#10 THWN-2 GROUND</v>
      </c>
      <c r="E7" s="31" t="s">
        <v>345</v>
      </c>
    </row>
    <row r="8" spans="1:5" x14ac:dyDescent="0.25">
      <c r="A8" s="55" t="s">
        <v>124</v>
      </c>
      <c r="B8" s="56">
        <v>6000</v>
      </c>
      <c r="C8" s="57">
        <v>25</v>
      </c>
      <c r="D8" s="178" t="str">
        <f>IF(FORM!$I$24="1 INCH",REPLACE(E8,1,4,"1"""),INVERTERS!E8)</f>
        <v>3/4" CONDUIT W/ 2-#8 THWN-2, 1-#10 THWN-2, 1-#10 THWN-2 GROUND</v>
      </c>
      <c r="E8" s="31" t="s">
        <v>346</v>
      </c>
    </row>
    <row r="9" spans="1:5" x14ac:dyDescent="0.25">
      <c r="A9" s="55" t="s">
        <v>125</v>
      </c>
      <c r="B9" s="56">
        <v>7600</v>
      </c>
      <c r="C9" s="57">
        <v>32</v>
      </c>
      <c r="D9" s="178" t="str">
        <f>IF(FORM!$I$24="1 INCH",REPLACE(E9,1,4,"1"""),INVERTERS!E9)</f>
        <v>3/4" CONDUIT W/ 2-#8 THWN-2, 1-#10 THWN-2, 1-#10 THWN-2 GROUND</v>
      </c>
      <c r="E9" s="31" t="s">
        <v>346</v>
      </c>
    </row>
    <row r="10" spans="1:5" x14ac:dyDescent="0.25">
      <c r="A10" s="55" t="s">
        <v>126</v>
      </c>
      <c r="B10" s="31">
        <v>10000</v>
      </c>
      <c r="C10" s="57">
        <v>42</v>
      </c>
      <c r="D10" s="178" t="str">
        <f>IF(FORM!$I$24="1 INCH",REPLACE(E10,1,4,"1"""),INVERTERS!E10)</f>
        <v>3/4" CONDUIT W/ 2-#6 THWN-2, 1-#10 THWN-2, 1-#10 THWN-2 GROUND</v>
      </c>
      <c r="E10" s="31" t="s">
        <v>347</v>
      </c>
    </row>
    <row r="11" spans="1:5" x14ac:dyDescent="0.25">
      <c r="A11" s="55" t="s">
        <v>127</v>
      </c>
      <c r="B11" s="31">
        <v>11400</v>
      </c>
      <c r="C11" s="57">
        <v>47.5</v>
      </c>
      <c r="D11" s="178" t="str">
        <f>IF(FORM!$I$24="1 INCH",REPLACE(E11,1,4,"1"""),INVERTERS!E11)</f>
        <v>3/4" CONDUIT W/ 2-#6 THWN-2, 1-#10 THWN-2, 1-#10 THWN-2 GROUND</v>
      </c>
      <c r="E11" s="31" t="s">
        <v>347</v>
      </c>
    </row>
    <row r="12" spans="1:5" x14ac:dyDescent="0.25">
      <c r="A12" s="55" t="s">
        <v>51</v>
      </c>
      <c r="B12" s="56">
        <v>215</v>
      </c>
      <c r="C12" s="89">
        <v>0.89590000000000003</v>
      </c>
      <c r="D12" s="178">
        <f>IF(FORM!$I$24="1 INCH",REPLACE(E12,1,4,"1"""),INVERTERS!E12)</f>
        <v>0</v>
      </c>
      <c r="E12" s="31"/>
    </row>
    <row r="13" spans="1:5" x14ac:dyDescent="0.25">
      <c r="A13" s="55" t="s">
        <v>194</v>
      </c>
      <c r="B13" s="31">
        <v>250</v>
      </c>
      <c r="C13" s="89">
        <v>1.0417000000000001</v>
      </c>
      <c r="D13" s="178">
        <f>IF(FORM!$I$24="1 INCH",REPLACE(E13,1,4,"1"""),INVERTERS!E13)</f>
        <v>0</v>
      </c>
      <c r="E13" s="31"/>
    </row>
    <row r="14" spans="1:5" x14ac:dyDescent="0.25">
      <c r="A14" s="55" t="s">
        <v>39</v>
      </c>
      <c r="B14" s="31"/>
      <c r="C14" s="57"/>
      <c r="D14" s="178">
        <f>IF(FORM!$I$24="1 INCH",REPLACE(E14,1,4,"1"""),INVERTERS!E14)</f>
        <v>0</v>
      </c>
      <c r="E14" s="31"/>
    </row>
    <row r="15" spans="1:5" x14ac:dyDescent="0.25">
      <c r="A15" s="55" t="s">
        <v>39</v>
      </c>
      <c r="B15" s="31"/>
      <c r="C15" s="57"/>
      <c r="D15" s="178">
        <f>IF(FORM!$I$24="1 INCH",REPLACE(E15,1,4,"1"""),INVERTERS!E15)</f>
        <v>0</v>
      </c>
      <c r="E15" s="31"/>
    </row>
    <row r="16" spans="1:5" x14ac:dyDescent="0.25">
      <c r="A16" s="55" t="s">
        <v>39</v>
      </c>
      <c r="B16" s="56"/>
      <c r="C16" s="89"/>
      <c r="D16" s="178">
        <f>IF(FORM!$I$24="1 INCH",REPLACE(E16,1,4,"1"""),INVERTERS!E16)</f>
        <v>0</v>
      </c>
      <c r="E16" s="31"/>
    </row>
    <row r="17" spans="1:5" x14ac:dyDescent="0.25">
      <c r="A17" s="55" t="s">
        <v>39</v>
      </c>
      <c r="B17" s="31"/>
      <c r="C17" s="89"/>
      <c r="D17" s="178">
        <f>IF(FORM!$I$24="1 INCH",REPLACE(E17,1,4,"1"""),INVERTERS!E17)</f>
        <v>0</v>
      </c>
      <c r="E17" s="31"/>
    </row>
    <row r="18" spans="1:5" x14ac:dyDescent="0.25">
      <c r="A18" s="55" t="s">
        <v>39</v>
      </c>
      <c r="B18" s="56"/>
      <c r="C18" s="57"/>
      <c r="D18" s="178">
        <f>IF(FORM!$I$24="1 INCH",REPLACE(E18,1,4,"1"""),INVERTERS!E18)</f>
        <v>0</v>
      </c>
      <c r="E18" s="31"/>
    </row>
    <row r="19" spans="1:5" x14ac:dyDescent="0.25">
      <c r="A19" s="55" t="s">
        <v>39</v>
      </c>
      <c r="B19" s="56"/>
      <c r="C19" s="57"/>
      <c r="D19" s="178">
        <f>IF(FORM!$I$24="1 INCH",REPLACE(E19,1,4,"1"""),INVERTERS!E19)</f>
        <v>0</v>
      </c>
      <c r="E19" s="31"/>
    </row>
    <row r="20" spans="1:5" x14ac:dyDescent="0.25">
      <c r="A20" s="55" t="s">
        <v>39</v>
      </c>
      <c r="B20" s="56"/>
      <c r="C20" s="57"/>
      <c r="D20" s="178">
        <f>IF(FORM!$I$24="1 INCH",REPLACE(E20,1,4,"1"""),INVERTERS!E20)</f>
        <v>0</v>
      </c>
      <c r="E20" s="31"/>
    </row>
    <row r="21" spans="1:5" x14ac:dyDescent="0.25">
      <c r="A21" s="55" t="s">
        <v>39</v>
      </c>
      <c r="B21" s="56"/>
      <c r="C21" s="57"/>
      <c r="D21" s="178">
        <f>IF(FORM!$I$24="1 INCH",REPLACE(E21,1,4,"1"""),INVERTERS!E21)</f>
        <v>0</v>
      </c>
      <c r="E21" s="31"/>
    </row>
    <row r="22" spans="1:5" x14ac:dyDescent="0.25">
      <c r="A22" s="55" t="s">
        <v>39</v>
      </c>
      <c r="B22" s="56"/>
      <c r="C22" s="57"/>
      <c r="D22" s="178">
        <f>IF(FORM!$I$24="1 INCH",REPLACE(E22,1,4,"1"""),INVERTERS!E22)</f>
        <v>0</v>
      </c>
      <c r="E22" s="31"/>
    </row>
    <row r="23" spans="1:5" x14ac:dyDescent="0.25">
      <c r="A23" s="55" t="s">
        <v>39</v>
      </c>
      <c r="B23" s="31"/>
      <c r="C23" s="57"/>
      <c r="D23" s="178">
        <f>IF(FORM!$I$24="1 INCH",REPLACE(E23,1,4,"1"""),INVERTERS!E23)</f>
        <v>0</v>
      </c>
      <c r="E23" s="31"/>
    </row>
    <row r="24" spans="1:5" x14ac:dyDescent="0.25">
      <c r="A24" s="55" t="s">
        <v>39</v>
      </c>
      <c r="B24" s="31"/>
      <c r="C24" s="57"/>
      <c r="D24" s="178">
        <f>IF(FORM!$I$24="1 INCH",REPLACE(E24,1,4,"1"""),INVERTERS!E24)</f>
        <v>0</v>
      </c>
      <c r="E24" s="31"/>
    </row>
    <row r="25" spans="1:5" x14ac:dyDescent="0.25">
      <c r="A25" s="55" t="s">
        <v>39</v>
      </c>
      <c r="B25" s="56"/>
      <c r="C25" s="89"/>
      <c r="D25" s="178">
        <f>IF(FORM!$I$24="1 INCH",REPLACE(E25,1,4,"1"""),INVERTERS!E25)</f>
        <v>0</v>
      </c>
      <c r="E25" s="31"/>
    </row>
    <row r="26" spans="1:5" x14ac:dyDescent="0.25">
      <c r="A26" s="55" t="s">
        <v>39</v>
      </c>
      <c r="B26" s="31"/>
      <c r="C26" s="89"/>
      <c r="D26" s="178">
        <f>IF(FORM!$I$24="1 INCH",REPLACE(E26,1,4,"1"""),INVERTERS!E26)</f>
        <v>0</v>
      </c>
      <c r="E26" s="31"/>
    </row>
  </sheetData>
  <sheetProtection algorithmName="SHA-512" hashValue="8PYPW1rmhs6A8fXzJzss5485tjOO1loRriMufOmBBE6a4vOpxhJUyr/P46Gv0HR3rekgMA27OZwU8FL3QJ8GFA==" saltValue="yJTAA/a2zqPhdeujJ3Mt+Q==" spinCount="100000"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52"/>
  <sheetViews>
    <sheetView workbookViewId="0">
      <selection activeCell="A21" sqref="A21"/>
    </sheetView>
  </sheetViews>
  <sheetFormatPr defaultRowHeight="15" x14ac:dyDescent="0.25"/>
  <cols>
    <col min="1" max="1" width="22" style="174" customWidth="1"/>
    <col min="2" max="2" width="9.140625" style="174"/>
    <col min="3" max="3" width="22" style="174" customWidth="1"/>
  </cols>
  <sheetData>
    <row r="1" spans="1:3" ht="18" thickBot="1" x14ac:dyDescent="0.35">
      <c r="A1" s="14" t="s">
        <v>304</v>
      </c>
      <c r="C1" s="14" t="s">
        <v>305</v>
      </c>
    </row>
    <row r="2" spans="1:3" ht="15.75" thickTop="1" x14ac:dyDescent="0.25">
      <c r="A2" s="175"/>
      <c r="B2" s="33"/>
      <c r="C2" s="175"/>
    </row>
    <row r="3" spans="1:3" x14ac:dyDescent="0.25">
      <c r="A3" s="31" t="s">
        <v>327</v>
      </c>
      <c r="C3" s="31" t="s">
        <v>339</v>
      </c>
    </row>
    <row r="4" spans="1:3" x14ac:dyDescent="0.25">
      <c r="A4" s="31" t="s">
        <v>317</v>
      </c>
      <c r="C4" s="31" t="s">
        <v>306</v>
      </c>
    </row>
    <row r="5" spans="1:3" x14ac:dyDescent="0.25">
      <c r="A5" s="31" t="s">
        <v>318</v>
      </c>
      <c r="C5" s="31" t="s">
        <v>307</v>
      </c>
    </row>
    <row r="6" spans="1:3" x14ac:dyDescent="0.25">
      <c r="A6" s="31" t="s">
        <v>319</v>
      </c>
      <c r="C6" s="31" t="s">
        <v>308</v>
      </c>
    </row>
    <row r="7" spans="1:3" x14ac:dyDescent="0.25">
      <c r="A7" s="31" t="s">
        <v>320</v>
      </c>
      <c r="C7" s="31" t="s">
        <v>309</v>
      </c>
    </row>
    <row r="8" spans="1:3" x14ac:dyDescent="0.25">
      <c r="A8" s="31" t="s">
        <v>321</v>
      </c>
      <c r="C8" s="31" t="s">
        <v>310</v>
      </c>
    </row>
    <row r="9" spans="1:3" x14ac:dyDescent="0.25">
      <c r="A9" s="31" t="s">
        <v>322</v>
      </c>
      <c r="C9" s="31" t="s">
        <v>311</v>
      </c>
    </row>
    <row r="10" spans="1:3" x14ac:dyDescent="0.25">
      <c r="A10" s="31" t="s">
        <v>323</v>
      </c>
      <c r="C10" s="31" t="s">
        <v>312</v>
      </c>
    </row>
    <row r="11" spans="1:3" x14ac:dyDescent="0.25">
      <c r="A11" s="31" t="s">
        <v>324</v>
      </c>
      <c r="C11" s="31" t="s">
        <v>314</v>
      </c>
    </row>
    <row r="12" spans="1:3" x14ac:dyDescent="0.25">
      <c r="A12" s="31" t="s">
        <v>325</v>
      </c>
      <c r="C12" s="31" t="s">
        <v>315</v>
      </c>
    </row>
    <row r="13" spans="1:3" x14ac:dyDescent="0.25">
      <c r="A13" s="31" t="s">
        <v>326</v>
      </c>
      <c r="C13" s="31" t="s">
        <v>313</v>
      </c>
    </row>
    <row r="14" spans="1:3" x14ac:dyDescent="0.25">
      <c r="A14" s="31" t="s">
        <v>328</v>
      </c>
      <c r="C14" s="31" t="s">
        <v>316</v>
      </c>
    </row>
    <row r="15" spans="1:3" x14ac:dyDescent="0.25">
      <c r="A15" s="31" t="s">
        <v>329</v>
      </c>
      <c r="C15" s="31"/>
    </row>
    <row r="16" spans="1:3" x14ac:dyDescent="0.25">
      <c r="A16" s="31" t="s">
        <v>330</v>
      </c>
      <c r="C16" s="31"/>
    </row>
    <row r="17" spans="1:3" x14ac:dyDescent="0.25">
      <c r="A17" s="31" t="s">
        <v>331</v>
      </c>
      <c r="C17" s="31"/>
    </row>
    <row r="18" spans="1:3" x14ac:dyDescent="0.25">
      <c r="A18" s="31" t="s">
        <v>332</v>
      </c>
      <c r="C18" s="31"/>
    </row>
    <row r="19" spans="1:3" x14ac:dyDescent="0.25">
      <c r="A19" s="31" t="s">
        <v>333</v>
      </c>
      <c r="C19" s="31"/>
    </row>
    <row r="20" spans="1:3" x14ac:dyDescent="0.25">
      <c r="A20" s="31" t="s">
        <v>334</v>
      </c>
      <c r="C20" s="31"/>
    </row>
    <row r="21" spans="1:3" x14ac:dyDescent="0.25">
      <c r="A21" s="31" t="s">
        <v>367</v>
      </c>
      <c r="C21" s="31"/>
    </row>
    <row r="22" spans="1:3" x14ac:dyDescent="0.25">
      <c r="A22" s="31"/>
      <c r="C22" s="31"/>
    </row>
    <row r="23" spans="1:3" x14ac:dyDescent="0.25">
      <c r="A23" s="31"/>
      <c r="C23" s="31"/>
    </row>
    <row r="24" spans="1:3" x14ac:dyDescent="0.25">
      <c r="A24" s="31"/>
      <c r="C24" s="31"/>
    </row>
    <row r="25" spans="1:3" x14ac:dyDescent="0.25">
      <c r="A25" s="31"/>
      <c r="C25" s="31"/>
    </row>
    <row r="26" spans="1:3" x14ac:dyDescent="0.25">
      <c r="A26" s="31"/>
      <c r="C26" s="31"/>
    </row>
    <row r="27" spans="1:3" x14ac:dyDescent="0.25">
      <c r="A27" s="31"/>
      <c r="C27" s="31"/>
    </row>
    <row r="28" spans="1:3" x14ac:dyDescent="0.25">
      <c r="A28" s="31"/>
      <c r="C28" s="31"/>
    </row>
    <row r="29" spans="1:3" x14ac:dyDescent="0.25">
      <c r="A29" s="31"/>
      <c r="C29" s="31"/>
    </row>
    <row r="30" spans="1:3" x14ac:dyDescent="0.25">
      <c r="A30" s="31"/>
      <c r="C30" s="31"/>
    </row>
    <row r="31" spans="1:3" x14ac:dyDescent="0.25">
      <c r="A31" s="31"/>
      <c r="C31" s="31"/>
    </row>
    <row r="32" spans="1:3" x14ac:dyDescent="0.25">
      <c r="A32" s="31"/>
      <c r="C32" s="31"/>
    </row>
    <row r="33" spans="1:3" x14ac:dyDescent="0.25">
      <c r="A33" s="31"/>
      <c r="C33" s="31"/>
    </row>
    <row r="34" spans="1:3" x14ac:dyDescent="0.25">
      <c r="A34" s="31"/>
      <c r="C34" s="31"/>
    </row>
    <row r="35" spans="1:3" x14ac:dyDescent="0.25">
      <c r="A35" s="31"/>
      <c r="C35" s="31"/>
    </row>
    <row r="36" spans="1:3" x14ac:dyDescent="0.25">
      <c r="A36" s="31"/>
      <c r="C36" s="31"/>
    </row>
    <row r="37" spans="1:3" x14ac:dyDescent="0.25">
      <c r="A37" s="31"/>
      <c r="C37" s="31"/>
    </row>
    <row r="38" spans="1:3" x14ac:dyDescent="0.25">
      <c r="A38" s="31"/>
      <c r="C38" s="31"/>
    </row>
    <row r="39" spans="1:3" x14ac:dyDescent="0.25">
      <c r="A39" s="31"/>
      <c r="C39" s="31"/>
    </row>
    <row r="40" spans="1:3" x14ac:dyDescent="0.25">
      <c r="A40" s="31"/>
      <c r="C40" s="31"/>
    </row>
    <row r="41" spans="1:3" x14ac:dyDescent="0.25">
      <c r="A41" s="31"/>
      <c r="C41" s="31"/>
    </row>
    <row r="42" spans="1:3" x14ac:dyDescent="0.25">
      <c r="A42" s="31"/>
      <c r="C42" s="31"/>
    </row>
    <row r="43" spans="1:3" x14ac:dyDescent="0.25">
      <c r="A43" s="31"/>
      <c r="C43" s="31"/>
    </row>
    <row r="44" spans="1:3" x14ac:dyDescent="0.25">
      <c r="A44" s="31"/>
      <c r="C44" s="31"/>
    </row>
    <row r="45" spans="1:3" x14ac:dyDescent="0.25">
      <c r="A45" s="31"/>
      <c r="C45" s="31"/>
    </row>
    <row r="46" spans="1:3" x14ac:dyDescent="0.25">
      <c r="A46" s="31"/>
      <c r="C46" s="31"/>
    </row>
    <row r="47" spans="1:3" x14ac:dyDescent="0.25">
      <c r="A47" s="31"/>
      <c r="C47" s="31"/>
    </row>
    <row r="48" spans="1:3" x14ac:dyDescent="0.25">
      <c r="A48" s="31"/>
      <c r="C48" s="31"/>
    </row>
    <row r="49" spans="1:3" x14ac:dyDescent="0.25">
      <c r="A49" s="31"/>
      <c r="C49" s="31"/>
    </row>
    <row r="50" spans="1:3" x14ac:dyDescent="0.25">
      <c r="A50" s="31"/>
      <c r="C50" s="31"/>
    </row>
    <row r="51" spans="1:3" x14ac:dyDescent="0.25">
      <c r="A51"/>
      <c r="B51"/>
      <c r="C51"/>
    </row>
    <row r="52" spans="1:3" x14ac:dyDescent="0.25">
      <c r="A52"/>
      <c r="B52"/>
      <c r="C52"/>
    </row>
  </sheetData>
  <sheetProtection algorithmName="SHA-512" hashValue="9/UKZ870E2FjA25RNa38uwjzKVgn9rTje53e3JFrSmtAG+Y05NK9w7l82oF7lSxKX6Jss+LObCmRjIH5Ulw7mQ==" saltValue="pWkPe0KArlTOOevwI9Wzig==" spinCount="100000" sheet="1" objects="1" scenarios="1" selectLockedCells="1"/>
  <protectedRanges>
    <protectedRange sqref="B2:C50 A2:A20 A22:A50" name="UPDATES"/>
  </protectedRange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F28"/>
  <sheetViews>
    <sheetView workbookViewId="0">
      <selection activeCell="C16" sqref="C16"/>
    </sheetView>
  </sheetViews>
  <sheetFormatPr defaultRowHeight="15" x14ac:dyDescent="0.25"/>
  <cols>
    <col min="2" max="2" width="28" bestFit="1" customWidth="1"/>
    <col min="3" max="3" width="18.140625" customWidth="1"/>
    <col min="5" max="5" width="24.140625" bestFit="1" customWidth="1"/>
    <col min="6" max="6" width="20" customWidth="1"/>
  </cols>
  <sheetData>
    <row r="1" spans="2:6" ht="15.75" thickBot="1" x14ac:dyDescent="0.3"/>
    <row r="2" spans="2:6" ht="16.5" thickBot="1" x14ac:dyDescent="0.3">
      <c r="B2" s="221" t="s">
        <v>212</v>
      </c>
      <c r="C2" s="222"/>
      <c r="E2" s="221" t="s">
        <v>215</v>
      </c>
      <c r="F2" s="222"/>
    </row>
    <row r="3" spans="2:6" x14ac:dyDescent="0.25">
      <c r="B3" s="114" t="s">
        <v>201</v>
      </c>
      <c r="C3" s="115"/>
      <c r="E3" s="118" t="s">
        <v>216</v>
      </c>
      <c r="F3" s="119"/>
    </row>
    <row r="4" spans="2:6" x14ac:dyDescent="0.25">
      <c r="B4" s="110" t="s">
        <v>210</v>
      </c>
      <c r="C4" s="105"/>
      <c r="E4" s="99" t="s">
        <v>217</v>
      </c>
      <c r="F4" s="116"/>
    </row>
    <row r="5" spans="2:6" x14ac:dyDescent="0.25">
      <c r="B5" s="110" t="s">
        <v>211</v>
      </c>
      <c r="C5" s="105"/>
      <c r="E5" s="100" t="s">
        <v>201</v>
      </c>
      <c r="F5" s="117" t="str">
        <f>IF(F3="","",(IF(F3=MODULES!A6,MODULES!F6,IF(F3=MODULES!A7,MODULES!F7,IF(F3=MODULES!A8,MODULES!F8,IF(F3=MODULES!A9,MODULES!F9,IF(F3=MODULES!A10,MODULES!F10,IF(F3=MODULES!A11,MODULES!F11,IF(F3=MODULES!A12,MODULES!F12,IF(F3=MODULES!A13,MODULES!F13,IF(F3=MODULES!A14,MODULES!F14,IF(F3=MODULES!A15,MODULES!F15,IF(F3=MODULES!A16,MODULES!F16,IF(F3=MODULES!A2,MODULES!F2,IF(F3=MODULES!A3,MODULES!F3,IF(F3=MODULES!A4,MODULES!F4,IF(F3=MODULES!A5,MODULES!F5,IF(F3=MODULES!#REF!,MODULES!#REF!,IF(F3=MODULES!#REF!,MODULES!#REF!,IF(F3=MODULES!#REF!,MODULES!#REF!,IF(F3=MODULES!#REF!,MODULES!#REF!,IF(F3=MODULES!#REF!,MODULES!#REF!,IF(F3=MODULES!#REF!,MODULES!#REF!,IF(F3=MODULES!#REF!,MODULES!#REF!,IF(F3=MODULES!A17,MODULES!F17,IF(F3=MODULES!A18,MODULES!F18,IF(F3=MODULES!A19,MODULES!F19,""))))))))))))))))))))))))))*F4)</f>
        <v/>
      </c>
    </row>
    <row r="6" spans="2:6" x14ac:dyDescent="0.25">
      <c r="B6" s="111" t="s">
        <v>205</v>
      </c>
      <c r="C6" s="112" t="str">
        <f>IF(C7&lt;=10380,10,IF(C7&lt;=16510,8,IF(C7&lt;26240,6,IF(C7&lt;=41740,4,IF(C7&lt;=52620,3,IF(C7&lt;=66360,2,IF(C7&lt;=83690,1,"NOT AVAILABLE")))))))</f>
        <v>NOT AVAILABLE</v>
      </c>
      <c r="E6" s="100" t="s">
        <v>202</v>
      </c>
      <c r="F6" s="117" t="e">
        <f>IF(F3=MODULES!A6,MODULES!E6,IF(F3=MODULES!A7,MODULES!E7,IF(F3=MODULES!A8,MODULES!E8,IF(F3=MODULES!A9,MODULES!E9,IF(F3=MODULES!A10,MODULES!E10,IF(F3=MODULES!A11,MODULES!E11,IF(F3=MODULES!A12,MODULES!E12,IF(F3=MODULES!A13,MODULES!E13,IF(F3=MODULES!A14,MODULES!E14,IF(F3=MODULES!A15,MODULES!E15,IF(F3=MODULES!A16,MODULES!E16,IF(F3=MODULES!A2,MODULES!E2,IF(F3=MODULES!A3,MODULES!E3,IF(F3=MODULES!A4,MODULES!E4,IF(F3=MODULES!A5,MODULES!E5,IF(F3=MODULES!#REF!,MODULES!#REF!,IF(F3=MODULES!#REF!,MODULES!#REF!,IF(F3=MODULES!#REF!,MODULES!#REF!,IF(F3=MODULES!#REF!,MODULES!#REF!,IF(F3=MODULES!#REF!,MODULES!#REF!,IF(F3=MODULES!#REF!,MODULES!#REF!,IF(F3=MODULES!#REF!,MODULES!#REF!,IF(F3=MODULES!A17,MODULES!E17,IF(F3=MODULES!A18,MODULES!E18,IF(F3=MODULES!A19,MODULES!E19,"")))))))))))))))))))))))))</f>
        <v>#REF!</v>
      </c>
    </row>
    <row r="7" spans="2:6" x14ac:dyDescent="0.25">
      <c r="B7" s="111" t="s">
        <v>214</v>
      </c>
      <c r="C7" s="107" t="str">
        <f>IF(C3="","NOT AVAILABLE",2*12.9*C4*C5/(0.02*C3))</f>
        <v>NOT AVAILABLE</v>
      </c>
    </row>
    <row r="8" spans="2:6" x14ac:dyDescent="0.25">
      <c r="B8" s="111" t="s">
        <v>213</v>
      </c>
      <c r="C8" s="107" t="str">
        <f>IF(C6=10,10380,IF(C6=8,16510,IF(C6=6,26240,IF(C6=4,41740,IF(C6=3,52620,IF(C6=2,66360,IF(C6=1,83690,"NOT AVAILABLE")))))))</f>
        <v>NOT AVAILABLE</v>
      </c>
    </row>
    <row r="9" spans="2:6" x14ac:dyDescent="0.25">
      <c r="B9" s="111" t="s">
        <v>206</v>
      </c>
      <c r="C9" s="112" t="str">
        <f>IF(C3="","NOT AVAILABLE",IF(C3&lt;&gt;240,"DC GROUND DOES NOT CHANGE",IF(C6=10,10,IF(C6=8,10,IF(C6=6,8,IF(C6=4,8,IF(C6=3,8,IF(C6=2,6,IF(C6=1,6,"NOT AVAILABLE")))))))))</f>
        <v>NOT AVAILABLE</v>
      </c>
    </row>
    <row r="10" spans="2:6" x14ac:dyDescent="0.25">
      <c r="B10" s="111" t="s">
        <v>208</v>
      </c>
      <c r="C10" s="107" t="str">
        <f>IF(C3="","NOT AVAILABLE",2*12.9*C4*C5/C8)</f>
        <v>NOT AVAILABLE</v>
      </c>
    </row>
    <row r="11" spans="2:6" x14ac:dyDescent="0.25">
      <c r="B11" s="111" t="s">
        <v>207</v>
      </c>
      <c r="C11" s="113" t="str">
        <f>IF(C3="","NOT AVAILABLE",ROUND(C10/C3*100,2)&amp;"%")</f>
        <v>NOT AVAILABLE</v>
      </c>
    </row>
    <row r="13" spans="2:6" ht="15.75" thickBot="1" x14ac:dyDescent="0.3"/>
    <row r="14" spans="2:6" ht="16.5" thickBot="1" x14ac:dyDescent="0.3">
      <c r="B14" s="223" t="s">
        <v>227</v>
      </c>
      <c r="C14" s="224"/>
      <c r="D14" s="224"/>
      <c r="E14" s="225"/>
    </row>
    <row r="15" spans="2:6" x14ac:dyDescent="0.25">
      <c r="B15" s="109" t="s">
        <v>218</v>
      </c>
      <c r="C15" s="109" t="s">
        <v>219</v>
      </c>
      <c r="D15" s="109" t="s">
        <v>220</v>
      </c>
      <c r="E15" s="109" t="s">
        <v>221</v>
      </c>
    </row>
    <row r="16" spans="2:6" x14ac:dyDescent="0.25">
      <c r="B16" s="105"/>
      <c r="C16" s="106"/>
      <c r="D16" s="120" t="str">
        <f>IF(C16=1000,1.3478,IF(C16=900,1.2311,IF(C16=800,1.1085,IF(C16=750,1.0496,IF(C16=700,0.9887,IF(C16=600,0.8676,IF(C16=500,0.7073,IF(C16=400,0.5863,IF(C16=350,0.5242,IF(C16=300,0.4608,IF(C16=250,0.397,IF(C16="4/0",0.3237,IF(C16="3/0",0.2679,IF(C16="2/0",0.2223,IF(C16="1/0",0.1855,IF(C16=1,0.1562,IF(C16=2,0.1158,IF(C16=3,0.0973,IF(C16=4,0.0824,IF(C16=6,0.0507,IF(C16=8,0.0366,IF(C16=10,0.0211,IF(C16=12,0.0133,IF(C16=14,0.0097,""))))))))))))))))))))))))</f>
        <v/>
      </c>
      <c r="E16" s="107" t="str">
        <f>IF(D16="","",(B16*D16))</f>
        <v/>
      </c>
    </row>
    <row r="17" spans="2:6" x14ac:dyDescent="0.25">
      <c r="B17" s="105"/>
      <c r="C17" s="106"/>
      <c r="D17" s="120" t="str">
        <f t="shared" ref="D17:D19" si="0">IF(C17=1000,1.3478,IF(C17=900,1.2311,IF(C17=800,1.1085,IF(C17=750,1.0496,IF(C17=700,0.9887,IF(C17=600,0.8676,IF(C17=500,0.7073,IF(C17=400,0.5863,IF(C17=350,0.5242,IF(C17=300,0.4608,IF(C17=250,0.397,IF(C17="4/0",0.3237,IF(C17="3/0",0.2679,IF(C17="2/0",0.2223,IF(C17="1/0",0.1855,IF(C17=1,0.1562,IF(C17=2,0.1158,IF(C17=3,0.0973,IF(C17=4,0.0824,IF(C17=6,0.0507,IF(C17=8,0.0366,IF(C17=10,0.0211,IF(C17=12,0.0133,IF(C17=14,0.0097,""))))))))))))))))))))))))</f>
        <v/>
      </c>
      <c r="E17" s="107" t="str">
        <f t="shared" ref="E17:E19" si="1">IF(D17="","",(B17*D17))</f>
        <v/>
      </c>
      <c r="F17" s="103"/>
    </row>
    <row r="18" spans="2:6" x14ac:dyDescent="0.25">
      <c r="B18" s="105"/>
      <c r="C18" s="106"/>
      <c r="D18" s="120" t="str">
        <f t="shared" si="0"/>
        <v/>
      </c>
      <c r="E18" s="107" t="str">
        <f t="shared" si="1"/>
        <v/>
      </c>
      <c r="F18" s="103"/>
    </row>
    <row r="19" spans="2:6" x14ac:dyDescent="0.25">
      <c r="B19" s="105"/>
      <c r="C19" s="106"/>
      <c r="D19" s="120" t="str">
        <f t="shared" si="0"/>
        <v/>
      </c>
      <c r="E19" s="107" t="str">
        <f t="shared" si="1"/>
        <v/>
      </c>
      <c r="F19" s="103"/>
    </row>
    <row r="20" spans="2:6" x14ac:dyDescent="0.25">
      <c r="B20" s="107">
        <f>SUM(B16:B19)</f>
        <v>0</v>
      </c>
      <c r="C20" s="4"/>
      <c r="D20" s="4"/>
      <c r="E20" s="107">
        <f>SUM(E16:E19)</f>
        <v>0</v>
      </c>
      <c r="F20" s="103"/>
    </row>
    <row r="21" spans="2:6" x14ac:dyDescent="0.25">
      <c r="B21" s="4"/>
      <c r="C21" s="4"/>
      <c r="D21" s="4"/>
      <c r="E21" s="4"/>
      <c r="F21" s="102"/>
    </row>
    <row r="22" spans="2:6" x14ac:dyDescent="0.25">
      <c r="B22" s="108" t="s">
        <v>222</v>
      </c>
      <c r="C22" s="4"/>
      <c r="D22" s="4"/>
      <c r="E22" s="4"/>
      <c r="F22" s="103"/>
    </row>
    <row r="23" spans="2:6" x14ac:dyDescent="0.25">
      <c r="B23" s="105" t="s">
        <v>209</v>
      </c>
      <c r="C23" s="4"/>
      <c r="D23" s="4"/>
      <c r="E23" s="4"/>
      <c r="F23" s="103"/>
    </row>
    <row r="24" spans="2:6" x14ac:dyDescent="0.25">
      <c r="B24" s="4"/>
      <c r="C24" s="4"/>
      <c r="D24" s="4"/>
      <c r="E24" s="4"/>
      <c r="F24" s="103"/>
    </row>
    <row r="25" spans="2:6" x14ac:dyDescent="0.25">
      <c r="B25" s="108" t="s">
        <v>223</v>
      </c>
      <c r="C25" s="104" t="str">
        <f>IF(B23="YES",IF(E20&gt;8.852,"SPLIT WIRES",IF(E20&gt;6.927,4,IF(E20&gt;5.307,3.5,IF(E20&gt;3.515,3,IF(E20&gt;2.013,2.5,IF(E20&gt;1.221,2,IF(E20&gt;0.897,1.5,IF(E20&gt;0.519,1.25,IF(E20&gt;0.32,1,IF(E20&gt;0.182,0.75,IF(E20&gt;0,0.5,""))))))))))),IF(B20&gt;2,IF(E20&gt;5.901,"SPLIT WIRES",IF(E20&gt;4.618,4,IF(E20&gt;3.538,3.5,IF(E20&gt;2.343,3,IF(E20&gt;1.342,2.5,IF(E20&gt;0.814,2,IF(E20&gt;0.598,1.5,IF(E20&gt;0.346,1.25,IF(E20&gt;0.213,1,IF(E20&gt;0.122,0.75,IF(E20&gt;0,0.5,""))))))))))),IF(B20=2,IF(E20&gt;4.573,"SPLIT WIRES",IF(E20&gt;3.579,4,IF(E20&gt;2.742,3.5,IF(E20&gt;1.816,3,IF(E20&gt;1.04,2.5,IF(E20&gt;0.631,2,IF(E20&gt;0.464,1.5,IF(E20&gt;0.268,1.25,IF(E20&gt;0.165,1,IF(E20&gt;0.094,0.75,IF(E20&gt;0,0.5,""))))))))))),IF(E20&gt;=1,IF(E20&gt;7.819,"SPLIT WIRES",IF(E20&gt;6.119,4,IF(E20&gt;4.688,3.5,IF(E20&gt;3.105,3,IF(E20&gt;1.778,2.5,IF(E20&gt;1.079,2,IF(E20&gt;0.793,1.5,IF(E20&gt;0.458,1.25,IF(E20&gt;0.283,1,IF(E20&gt;0.161,0.75,IF(E20&gt;0,0.5,""))))))))))),""))))</f>
        <v/>
      </c>
      <c r="D25" s="4"/>
      <c r="E25" s="4"/>
      <c r="F25" s="103"/>
    </row>
    <row r="26" spans="2:6" x14ac:dyDescent="0.25">
      <c r="B26" s="108" t="s">
        <v>224</v>
      </c>
      <c r="C26" s="104" t="str">
        <f>IF(B23="YES",IF(E20&gt;7.54,"SPLIT WIRES",IF(E20&gt;5.773,4,IF(E20&gt;4.241,3.5,IF(E20&gt;2.945,3,IF(E20&gt;1.961,2.5,IF(E20&gt;1.115,2,IF(E20&gt;0.766,1.5,IF(E20&gt;0.49,1.25,IF(E20&gt;0.32,1,IF(E20&gt;0.19,0.75,IF(E20&gt;0.069,0.5,IF(E20&gt;0,"3/8","")))))))))))),IF(B20&gt;2,IF(E20&gt;5.027,"SPLIT WIRES",IF(E20&gt;3.848,4,IF(E20&gt;2.827,3.5,IF(E20&gt;1.963,3,IF(E20&gt;1.307,2.5,IF(E20&gt;0.743,2,IF(E20&gt;0.511,1.5,IF(E20&gt;0.327,1.25,IF(E20&gt;0.213,1,IF(E20&gt;0.127,0.75,IF(E20&gt;0.046,0.5,IF(E20&gt;0,"3/8","")))))))))))),IF(B20=2,IF(E20&gt;3.896,"SPLIT WIRES",IF(E20&gt;2.983,4,IF(E20&gt;2.191,3.5,IF(E20&gt;1.522,3,IF(E20&gt;1.013,2.5,IF(E20&gt;0.576,2,IF(E20&gt;0.396,1.5,IF(E20&gt;0.253,1.25,IF(E20&gt;0.165,1,IF(E20&gt;0.098,0.75,IF(E20&gt;0.036,0.5,IF(E20&gt;0,"3/8","")))))))))))),IF(B20&gt;=1,IF(E20&gt;6.66,"SPLIT WIRES",IF(E20&gt;5.099,4,IF(E20&gt;3.746,3.5,IF(E20&gt;2.602,3,IF(E20&gt;1.732,2.5,IF(E20&gt;0.985,2,IF(E20&gt;0.677,1.5,IF(E20&gt;0.433,1.25,IF(E20&gt;0.283,1,IF(E20&gt;0.168,0.75,IF(E20&gt;0.061,0.5,IF(E20&lt;0,"3/8","")))))))))))),""))))</f>
        <v/>
      </c>
      <c r="D26" s="4"/>
      <c r="E26" s="4"/>
    </row>
    <row r="27" spans="2:6" x14ac:dyDescent="0.25">
      <c r="B27" s="108" t="s">
        <v>225</v>
      </c>
      <c r="C27" s="104" t="str">
        <f>IF(B23="YES",IF(E20&gt;17.14,"SPLIT WIRES",IF(E20&gt;11.856,6,IF(E20&gt;7.532,5,IF(E20&gt;5.842,4,IF(E20&gt;4.361,3.5,IF(E20&gt;2.817,3,IF(E20&gt;1.975,2.5,IF(E20&gt;1.191,2,IF(E20&gt;0.872,1.5,IF(E20&gt;0.499,1.25,IF(E20&gt;0.305,1,IF(E20&gt;0.171,0.75,IF(E20&gt;0,0.5,""))))))))))))),IF(B20&gt;2,IF(E20&gt;11.427,"SPLIT WIRES",IF(E20&gt;7.904,6,IF(E20&gt;5.022,5,IF(E20&gt;3.895,4,IF(E20&gt;2.907,3.5,IF(E20&gt;1.878,3,IF(E20&gt;1.316,2.5,IF(E20&gt;0.794,2,IF(E20&gt;0.581,1.5,IF(E20&gt;0.333,1.25,IF(E20&gt;0.203,1,IF(E20&gt;0.114,0.75,IF(E20&gt;0,0.5,""))))))))))))),IF(B20=2,IF(E20&gt;8.856,"SPLIT WIRES",IF(E20&gt;6.126,6,IF(E20&gt;3.892,5,IF(E20&gt;3.018,4,IF(E20&gt;2.253,3.5,IF(E20&gt;1.455,3,IF(E20&gt;1.02,2.5,IF(E20&gt;0.616,2,IF(E20&gt;0.45,1.5,IF(E20&gt;0.258,1.25,IF(E20&gt;0.157,1,IF(E20&gt;0.088,0.75,IF(E20&gt;0,0.5,""))))))))))))),IF(B20&gt;=1,IF(E20&gt;15.141,"SPLIT WIRES",IF(E20&gt;10.473,6,IF(E20&gt;6.654,5,IF(E20&gt;5.161,4,IF(E20&gt;3.852,3.5,IF(E20&gt;2.488,3,IF(E20&gt;1.744,2.5,IF(E20&gt;1.052,2,IF(E20&gt;0.77,1.5,IF(E20&gt;0.441,1.25,IF(E20&gt;0.269,1,IF(E20&gt;0.151,0.75,IF(E20&gt;0,0.5,""))))))))))))),""))))</f>
        <v/>
      </c>
      <c r="D27" s="4"/>
      <c r="E27" s="4"/>
    </row>
    <row r="28" spans="2:6" x14ac:dyDescent="0.25">
      <c r="B28" s="108" t="s">
        <v>226</v>
      </c>
      <c r="C28" s="104" t="str">
        <f>IF(B23="YES",IF(E20&gt;15.359,"SPLIT WIRES",IF(E20&gt;10.713,6,IF(E20&gt;6.755,5,IF(E20&gt;5.213,4,IF(E20&gt;3.865,3.5,IF(E20&gt;2.471,3,IF(E20&gt;1.725,2.5,IF(E20&gt;1.027,2,IF(E20&gt;0.742,1.5,IF(E20&gt;0.413,1.25,IF(E20&gt;0.246,1,IF(E20&gt;0.13,0.75,IF(E20&gt;0,0.5,""))))))))))))),IF(B20&gt;2,IF(E20&gt;10.239,"SPLIT WIRES",IF(E20&gt;7.142,6,IF(E20&gt;4.503,5,IF(E20&gt;3.475,4,IF(E20&gt;2.577,3.5,IF(E20&gt;1.647,3,IF(E20&gt;1.15,2.5,IF(E20&gt;0.684,2,IF(E20&gt;0.495,1.5,IF(E20&gt;0.275,1.25,IF(E20&gt;0.164,1,IF(E20&gt;0.087,0.75,IF(E20&gt;0,0.5,""))))))))))))),IF(B20=2,IF(E20&gt;7.935,"SPLIT WIRES",IF(E20&gt;5.535,6,IF(E20&gt;3.49,5,IF(E20&gt;2.693,4,IF(E20&gt;1.997,3.5,IF(E20&gt;1.277,3,IF(E20&gt;0.891,2.5,IF(E20&gt;0.53,2,IF(E20&gt;0.383,1.5,IF(E20&gt;0.213,1.25,IF(E20&gt;0.127,1,IF(E20&gt;0.067,0.75,IF(E20&gt;0,0.5,""))))))))))))),IF(B20&gt;=1,IF(E20&gt;13.567,"SPLIT WIRES",IF(E20&gt;9.463,6,IF(E20&gt;5.967,5,IF(E20&gt;4.605,4,IF(E20&gt;3.414,3.5,IF(E20&gt;2.183,3,IF(E20&gt;1.523,2.5,IF(E20&gt;0.907,2,IF(E20&gt;0.656,1.5,IF(E20&gt;0.365,1.25,IF(E20&gt;0.217,1,IF(E20&gt;0.115,0.75,IF(E20&gt;0,0.5,""))))))))))))),""))))</f>
        <v/>
      </c>
      <c r="D28" s="4"/>
      <c r="E28" s="4"/>
    </row>
  </sheetData>
  <sheetProtection algorithmName="SHA-512" hashValue="7OkhX+cxA75xjOdEdswWYnjiKRxjLoyf4Ws2PtEVd3M+q+uBRj4nv5OhA1E/sLXQj2/+H16lJzKrXPxB/qqdtw==" saltValue="AEydevfCdB41sYBCr1y/Wg==" spinCount="100000" sheet="1" objects="1" scenarios="1" selectLockedCells="1"/>
  <mergeCells count="3">
    <mergeCell ref="B2:C2"/>
    <mergeCell ref="E2:F2"/>
    <mergeCell ref="B14:E14"/>
  </mergeCells>
  <dataValidations count="2">
    <dataValidation type="list" allowBlank="1" showInputMessage="1" showErrorMessage="1" sqref="C16:C19">
      <formula1>"14,12,10,8,6,4,3,2,1,'1/0,'2/0,'3/0,'4/0,250,300,350,400,500,600,700,750,800,900,1000"</formula1>
    </dataValidation>
    <dataValidation type="list" allowBlank="1" showInputMessage="1" showErrorMessage="1" sqref="B23">
      <formula1>"NO,YES"</formula1>
    </dataValidation>
  </dataValidations>
  <pageMargins left="0.7" right="0.7" top="0.75" bottom="0.75" header="0.3" footer="0.3"/>
  <ignoredErrors>
    <ignoredError sqref="D16:D19" twoDigitTextYear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MODULES!$A$6:$A$19</xm:f>
          </x14:formula1>
          <xm:sqref>F3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15"/>
  <sheetViews>
    <sheetView zoomScale="85" zoomScaleNormal="85" workbookViewId="0">
      <selection activeCell="C70" sqref="C70"/>
    </sheetView>
  </sheetViews>
  <sheetFormatPr defaultRowHeight="15" x14ac:dyDescent="0.25"/>
  <cols>
    <col min="1" max="1" width="40.85546875" style="150" bestFit="1" customWidth="1"/>
    <col min="2" max="2" width="15.28515625" style="150" bestFit="1" customWidth="1"/>
    <col min="3" max="3" width="80.140625" style="150" bestFit="1" customWidth="1"/>
    <col min="4" max="6" width="15.28515625" style="150" bestFit="1" customWidth="1"/>
    <col min="7" max="7" width="19.42578125" style="150" bestFit="1" customWidth="1"/>
    <col min="8" max="8" width="20.28515625" style="150" customWidth="1"/>
    <col min="9" max="10" width="9.140625" style="150"/>
    <col min="11" max="11" width="12" style="150" bestFit="1" customWidth="1"/>
    <col min="12" max="16" width="11.7109375" style="150" bestFit="1" customWidth="1"/>
    <col min="17" max="17" width="9.140625" style="150"/>
    <col min="18" max="18" width="30.85546875" style="150" customWidth="1"/>
    <col min="19" max="16384" width="9.140625" style="150"/>
  </cols>
  <sheetData>
    <row r="1" spans="1:18" x14ac:dyDescent="0.25">
      <c r="A1" s="148">
        <v>401925</v>
      </c>
      <c r="B1" s="149" t="s">
        <v>15</v>
      </c>
      <c r="C1" s="149" t="s">
        <v>16</v>
      </c>
      <c r="D1" s="149" t="s">
        <v>17</v>
      </c>
      <c r="E1" s="149" t="s">
        <v>18</v>
      </c>
      <c r="F1" s="149" t="s">
        <v>19</v>
      </c>
      <c r="L1" s="149" t="s">
        <v>15</v>
      </c>
      <c r="M1" s="149" t="s">
        <v>16</v>
      </c>
      <c r="N1" s="149" t="s">
        <v>17</v>
      </c>
      <c r="O1" s="149" t="s">
        <v>18</v>
      </c>
      <c r="P1" s="149" t="s">
        <v>19</v>
      </c>
      <c r="R1" s="150" t="s">
        <v>342</v>
      </c>
    </row>
    <row r="2" spans="1:18" x14ac:dyDescent="0.25">
      <c r="A2" s="151" t="s">
        <v>20</v>
      </c>
      <c r="B2" s="152">
        <f>FORM!B5</f>
        <v>0</v>
      </c>
      <c r="C2" s="152">
        <f>FORM!C5</f>
        <v>0</v>
      </c>
      <c r="D2" s="152">
        <f>FORM!D5</f>
        <v>0</v>
      </c>
      <c r="E2" s="152">
        <f>FORM!E5</f>
        <v>0</v>
      </c>
      <c r="F2" s="152">
        <f>FORM!F5</f>
        <v>0</v>
      </c>
      <c r="K2" s="153" t="s">
        <v>113</v>
      </c>
      <c r="L2" s="150">
        <f>IF(B2=INVERTERS!A11,INVERTERS!B11,IF(B2=INVERTERS!A12,INVERTERS!B12,IF(B2=INVERTERS!A13,INVERTERS!B13,IF(B2=INVERTERS!A14,INVERTERS!B14,IF(B2=INVERTERS!A15,INVERTERS!B15,IF(B2=INVERTERS!A16,INVERTERS!B16,IF(B2=INVERTERS!A17,INVERTERS!B17,IF(B2=INVERTERS!A18,INVERTERS!B18,IF(B2=INVERTERS!A19,INVERTERS!B19,IF(B2=INVERTERS!A20,INVERTERS!B20,IF(B2=INVERTERS!A21,INVERTERS!B21,IF(B2=INVERTERS!A22,INVERTERS!B22,IF(B2=INVERTERS!A23,INVERTERS!B23,IF(B2=INVERTERS!A24,INVERTERS!B24,IF(B2=INVERTERS!A9,INVERTERS!B9,IF(B2=INVERTERS!A2,INVERTERS!B2,IF(B2=INVERTERS!A3,INVERTERS!B3,IF(B2=INVERTERS!A4,INVERTERS!B4,IF(B2=INVERTERS!A5,INVERTERS!B5,IF(B2=INVERTERS!A6,INVERTERS!B6,IF(B2=INVERTERS!A7,INVERTERS!B7,IF(B2=INVERTERS!A8,INVERTERS!B8,IF(B2=INVERTERS!A10,INVERTERS!B10,IF(B2=INVERTERS!A25,INVERTERS!B25,0))))))))))))))))))))))))</f>
        <v>0</v>
      </c>
      <c r="M2" s="150">
        <f>IF(C2=INVERTERS!A11,INVERTERS!B11,IF(C2=INVERTERS!A12,INVERTERS!B12,IF(C2=INVERTERS!A13,INVERTERS!B13,IF(C2=INVERTERS!A14,INVERTERS!B14,IF(C2=INVERTERS!A15,INVERTERS!B15,IF(C2=INVERTERS!A16,INVERTERS!B16,IF(C2=INVERTERS!A17,INVERTERS!B17,IF(C2=INVERTERS!A18,INVERTERS!B18,IF(C2=INVERTERS!A19,INVERTERS!B19,IF(C2=INVERTERS!A20,INVERTERS!B20,IF(C2=INVERTERS!A21,INVERTERS!B21,IF(C2=INVERTERS!A22,INVERTERS!B22,IF(C2=INVERTERS!A23,INVERTERS!B23,IF(C2=INVERTERS!A24,INVERTERS!B24,IF(C2=INVERTERS!A9,INVERTERS!B9,IF(C2=INVERTERS!A2,INVERTERS!B2,IF(C2=INVERTERS!A3,INVERTERS!B3,IF(C2=INVERTERS!A4,INVERTERS!B4,IF(C2=INVERTERS!A5,INVERTERS!B5,IF(C2=INVERTERS!A6,INVERTERS!B6,IF(C2=INVERTERS!A7,INVERTERS!B7,IF(C2=INVERTERS!A8,INVERTERS!B8,IF(C2=INVERTERS!A10,INVERTERS!B10,IF(C2=INVERTERS!A25,INVERTERS!B25,0))))))))))))))))))))))))</f>
        <v>0</v>
      </c>
      <c r="N2" s="150">
        <f>IF(D2=INVERTERS!A11,INVERTERS!B11,IF(D2=INVERTERS!A12,INVERTERS!B12,IF(D2=INVERTERS!A13,INVERTERS!B13,IF(D2=INVERTERS!A14,INVERTERS!B14,IF(D2=INVERTERS!A15,INVERTERS!B15,IF(D2=INVERTERS!A16,INVERTERS!B16,IF(D2=INVERTERS!A17,INVERTERS!B17,IF(D2=INVERTERS!A18,INVERTERS!B18,IF(D2=INVERTERS!A19,INVERTERS!B19,IF(D2=INVERTERS!A20,INVERTERS!B20,IF(D2=INVERTERS!A21,INVERTERS!B21,IF(D2=INVERTERS!A22,INVERTERS!B22,IF(D2=INVERTERS!A23,INVERTERS!B23,IF(D2=INVERTERS!A24,INVERTERS!B24,IF(D2=INVERTERS!A9,INVERTERS!B9,IF(D2=INVERTERS!A2,INVERTERS!B2,IF(D2=INVERTERS!A3,INVERTERS!B3,IF(D2=INVERTERS!A4,INVERTERS!B4,IF(D2=INVERTERS!A5,INVERTERS!B5,IF(D2=INVERTERS!A6,INVERTERS!B6,IF(D2=INVERTERS!A7,INVERTERS!B7,IF(D2=INVERTERS!A8,INVERTERS!B8,IF(D2=INVERTERS!A10,INVERTERS!B10,IF(D2=INVERTERS!A25,INVERTERS!B25,0))))))))))))))))))))))))</f>
        <v>0</v>
      </c>
      <c r="O2" s="150">
        <f>IF(E2=INVERTERS!A11,INVERTERS!B11,IF(E2=INVERTERS!A12,INVERTERS!B12,IF(E2=INVERTERS!A13,INVERTERS!B13,IF(E2=INVERTERS!A14,INVERTERS!B14,IF(E2=INVERTERS!A15,INVERTERS!B15,IF(E2=INVERTERS!A16,INVERTERS!B16,IF(E2=INVERTERS!A17,INVERTERS!B17,IF(E2=INVERTERS!A18,INVERTERS!B18,IF(E2=INVERTERS!A19,INVERTERS!B19,IF(E2=INVERTERS!A20,INVERTERS!B20,IF(E2=INVERTERS!A21,INVERTERS!B21,IF(E2=INVERTERS!A22,INVERTERS!B22,IF(E2=INVERTERS!A23,INVERTERS!B23,IF(E2=INVERTERS!A24,INVERTERS!B24,IF(E2=INVERTERS!A9,INVERTERS!B9,IF(E2=INVERTERS!A2,INVERTERS!B2,IF(E2=INVERTERS!A3,INVERTERS!B3,IF(E2=INVERTERS!A4,INVERTERS!B4,IF(E2=INVERTERS!A5,INVERTERS!B5,IF(E2=INVERTERS!A6,INVERTERS!B6,IF(E2=INVERTERS!A7,INVERTERS!B7,IF(E2=INVERTERS!A8,INVERTERS!B8,IF(E2=INVERTERS!A10,INVERTERS!B10,IF(E2=INVERTERS!A25,INVERTERS!B25,0))))))))))))))))))))))))</f>
        <v>0</v>
      </c>
      <c r="P2" s="150">
        <f>IF(F2=INVERTERS!A11,INVERTERS!B11,IF(F2=INVERTERS!A12,INVERTERS!B12,IF(F2=INVERTERS!A13,INVERTERS!B13,IF(F2=INVERTERS!A14,INVERTERS!B14,IF(F2=INVERTERS!A15,INVERTERS!B15,IF(F2=INVERTERS!A16,INVERTERS!B16,IF(F2=INVERTERS!A17,INVERTERS!B17,IF(F2=INVERTERS!A18,INVERTERS!B18,IF(F2=INVERTERS!A19,INVERTERS!B19,IF(F2=INVERTERS!A20,INVERTERS!B20,IF(F2=INVERTERS!A21,INVERTERS!B21,IF(F2=INVERTERS!A22,INVERTERS!B22,IF(F2=INVERTERS!A23,INVERTERS!B23,IF(F2=INVERTERS!A24,INVERTERS!B24,IF(F2=INVERTERS!A9,INVERTERS!B9,IF(F2=INVERTERS!A2,INVERTERS!B2,IF(F2=INVERTERS!A3,INVERTERS!B3,IF(F2=INVERTERS!A4,INVERTERS!B4,IF(F2=INVERTERS!A5,INVERTERS!B5,IF(F2=INVERTERS!A6,INVERTERS!B6,IF(F2=INVERTERS!A7,INVERTERS!B7,IF(F2=INVERTERS!A8,INVERTERS!B8,IF(F2=INVERTERS!A10,INVERTERS!B10,IF(F2=INVERTERS!A25,INVERTERS!B25,0))))))))))))))))))))))))</f>
        <v>0</v>
      </c>
      <c r="R2" s="150" t="s">
        <v>343</v>
      </c>
    </row>
    <row r="3" spans="1:18" x14ac:dyDescent="0.25">
      <c r="A3" s="151" t="s">
        <v>21</v>
      </c>
      <c r="B3" s="152">
        <f>FORM!B6</f>
        <v>0</v>
      </c>
      <c r="C3" s="152">
        <f>FORM!C6</f>
        <v>0</v>
      </c>
      <c r="D3" s="152">
        <f>FORM!D6</f>
        <v>0</v>
      </c>
      <c r="E3" s="152">
        <f>FORM!E6</f>
        <v>0</v>
      </c>
      <c r="F3" s="152">
        <f>FORM!F6</f>
        <v>0</v>
      </c>
      <c r="R3" s="150" t="s">
        <v>348</v>
      </c>
    </row>
    <row r="4" spans="1:18" x14ac:dyDescent="0.25">
      <c r="A4" s="151" t="s">
        <v>22</v>
      </c>
      <c r="B4" s="152">
        <f>FORM!B7</f>
        <v>0</v>
      </c>
      <c r="C4" s="152">
        <f>FORM!C7</f>
        <v>0</v>
      </c>
      <c r="D4" s="152">
        <f>FORM!D7</f>
        <v>0</v>
      </c>
      <c r="E4" s="152">
        <f>FORM!E7</f>
        <v>0</v>
      </c>
      <c r="F4" s="152">
        <f>FORM!F7</f>
        <v>0</v>
      </c>
    </row>
    <row r="5" spans="1:18" ht="35.25" customHeight="1" x14ac:dyDescent="0.25">
      <c r="A5" s="154" t="s">
        <v>35</v>
      </c>
      <c r="B5" s="152">
        <f>FORM!B8</f>
        <v>0</v>
      </c>
      <c r="C5" s="152">
        <f>FORM!C8</f>
        <v>0</v>
      </c>
      <c r="D5" s="152">
        <f>FORM!D8</f>
        <v>0</v>
      </c>
      <c r="E5" s="152">
        <f>FORM!E8</f>
        <v>0</v>
      </c>
      <c r="F5" s="152">
        <f>FORM!F8</f>
        <v>0</v>
      </c>
    </row>
    <row r="6" spans="1:18" x14ac:dyDescent="0.25">
      <c r="A6" s="154" t="s">
        <v>34</v>
      </c>
      <c r="B6" s="152">
        <f>FORM!B9</f>
        <v>0</v>
      </c>
      <c r="C6" s="152">
        <f>FORM!C9</f>
        <v>0</v>
      </c>
      <c r="D6" s="152">
        <f>FORM!D9</f>
        <v>0</v>
      </c>
      <c r="E6" s="152" t="e">
        <f>FORM!#REF!</f>
        <v>#REF!</v>
      </c>
      <c r="F6" s="152">
        <f>FORM!F9</f>
        <v>0</v>
      </c>
      <c r="K6" s="226" t="s">
        <v>134</v>
      </c>
      <c r="L6" s="227"/>
      <c r="M6" s="227"/>
      <c r="N6" s="227"/>
      <c r="O6" s="227"/>
      <c r="P6" s="228"/>
    </row>
    <row r="7" spans="1:18" x14ac:dyDescent="0.25">
      <c r="B7" s="155" t="str">
        <f t="shared" ref="B7:F8" si="0">IF(B4&gt;0,B4,"")</f>
        <v/>
      </c>
      <c r="C7" s="155" t="str">
        <f t="shared" si="0"/>
        <v/>
      </c>
      <c r="D7" s="155" t="str">
        <f t="shared" si="0"/>
        <v/>
      </c>
      <c r="E7" s="155" t="str">
        <f t="shared" si="0"/>
        <v/>
      </c>
      <c r="F7" s="155" t="str">
        <f t="shared" si="0"/>
        <v/>
      </c>
      <c r="G7" s="153" t="s">
        <v>43</v>
      </c>
      <c r="H7" s="150" t="str">
        <f>IF(C12=MODULES!A2,MODULES!B2,IF(C12=MODULES!A3,MODULES!B3,IF(C12=MODULES!A4,MODULES!B4,IF(C12=MODULES!A5,MODULES!B5,IF(C12=MODULES!A6,MODULES!B6,IF(C12=MODULES!A7,MODULES!B7,IF(C12=MODULES!A8,MODULES!B8,IF(C12=MODULES!A9,MODULES!B9,IF(C12=MODULES!A10,MODULES!B10,IF(C12=MODULES!A11,MODULES!B11,IF(C12=MODULES!A12,MODULES!B12,IF(C12=MODULES!A13,MODULES!B13,IF(C12=MODULES!A14,MODULES!B14,IF(C12=MODULES!A15,MODULES!B15,IF(C12=MODULES!A16,MODULES!B16,IF(C12=MODULES!A17,MODULES!B17,IF(C12=MODULES!A18,MODULES!B18,IF(C12=MODULES!A19,MODULES!B19,IF(C12=MODULES!A20,MODULES!B20,IF(C12=MODULES!A21,MODULES!B21,IF(C12=MODULES!A22,MODULES!B22,IF(C12=MODULES!A23,MODULES!B23,IF(C12=MODULES!A24,MODULES!B24,IF(C12=MODULES!A25,MODULES!B25,IF(C12=MODULES!A26,MODULES!B26,"")))))))))))))))))))))))))</f>
        <v/>
      </c>
      <c r="K7" s="156"/>
      <c r="L7" s="157"/>
      <c r="M7" s="157"/>
      <c r="N7" s="157"/>
      <c r="O7" s="157"/>
      <c r="P7" s="158"/>
    </row>
    <row r="8" spans="1:18" x14ac:dyDescent="0.25">
      <c r="B8" s="155" t="str">
        <f t="shared" si="0"/>
        <v/>
      </c>
      <c r="C8" s="155" t="str">
        <f t="shared" si="0"/>
        <v/>
      </c>
      <c r="D8" s="155" t="str">
        <f t="shared" si="0"/>
        <v/>
      </c>
      <c r="E8" s="155" t="str">
        <f t="shared" si="0"/>
        <v/>
      </c>
      <c r="F8" s="155" t="str">
        <f t="shared" si="0"/>
        <v/>
      </c>
      <c r="G8" s="153" t="s">
        <v>44</v>
      </c>
      <c r="H8" s="150" t="str">
        <f>IF(C12=MODULES!A2,MODULES!C2,IF(C12=MODULES!A3,MODULES!C3,IF(C12=MODULES!A4,MODULES!C4,IF(C12=MODULES!A5,MODULES!C5,IF(C12=MODULES!A6,MODULES!C6,IF(C12=MODULES!A7,MODULES!C7,IF(C12=MODULES!A8,MODULES!C8,IF(C12=MODULES!A9,MODULES!C9,IF(C12=MODULES!A10,MODULES!C10,IF(C12=MODULES!A11,MODULES!C11,IF(C12=MODULES!A12,MODULES!C12,IF(C12=MODULES!A13,MODULES!C13,IF(C12=MODULES!A14,MODULES!C14,IF(C12=MODULES!A15,MODULES!C15,IF(C12=MODULES!A16,MODULES!C16,IF(C12=MODULES!A17,MODULES!C17,IF(C12=MODULES!A18,MODULES!C18,IF(C12=MODULES!A19,MODULES!C19,IF(C12=MODULES!A20,MODULES!C20,IF(C12=MODULES!A21,MODULES!C21,IF(C12=MODULES!A22,MODULES!C22,IF(C12=MODULES!A23,MODULES!C23,IF(C12=MODULES!A24,MODULES!C24,IF(C12=MODULES!A25,MODULES!C25,IF(C12=MODULES!A26,MODULES!C26,"")))))))))))))))))))))))))</f>
        <v/>
      </c>
      <c r="K8" s="156"/>
      <c r="L8" s="157"/>
      <c r="M8" s="157"/>
      <c r="N8" s="157"/>
      <c r="O8" s="157"/>
      <c r="P8" s="158"/>
    </row>
    <row r="9" spans="1:18" x14ac:dyDescent="0.25">
      <c r="B9" s="155" t="str">
        <f>IF(AND(B3&gt;=2,B5=0),B4,"")</f>
        <v/>
      </c>
      <c r="C9" s="155" t="str">
        <f t="shared" ref="C9:F9" si="1">IF(AND(C3&gt;=2,C5=0),C4,"")</f>
        <v/>
      </c>
      <c r="D9" s="155" t="str">
        <f t="shared" si="1"/>
        <v/>
      </c>
      <c r="E9" s="155" t="str">
        <f t="shared" si="1"/>
        <v/>
      </c>
      <c r="F9" s="155" t="str">
        <f t="shared" si="1"/>
        <v/>
      </c>
      <c r="G9" s="153" t="s">
        <v>42</v>
      </c>
      <c r="H9" s="159">
        <f>IF(C12=MODULES!A2,MODULES!D2,IF(C12=MODULES!A3,MODULES!D3,IF(C12=MODULES!A4,MODULES!D4,IF(C12=MODULES!A5,MODULES!D5,IF(C12=MODULES!A6,MODULES!D6,IF(C12=MODULES!A7,MODULES!D7,IF(C12=MODULES!A8,MODULES!D8,IF(C12=MODULES!A9,MODULES!D9,IF(C12=MODULES!A10,MODULES!D10,IF(C12=MODULES!A11,MODULES!D11,IF(C12=MODULES!A12,MODULES!D12,IF(C12=MODULES!A13,MODULES!D13,IF(C12=MODULES!A14,MODULES!D14,IF(C12=MODULES!A15,MODULES!D15,IF(C12=MODULES!A16,MODULES!D16,IF(C12=MODULES!A17,MODULES!D17,IF(C12=MODULES!A18,MODULES!D18,IF(C12=MODULES!A19,MODULES!D19,IF(C12=MODULES!A20,MODULES!D20,IF(C12=MODULES!A21,MODULES!D21,IF(C12=MODULES!A22,MODULES!D22,IF(C12=MODULES!A23,MODULES!D23,IF(C12=MODULES!A24,MODULES!D24,IF(C12=MODULES!A25,MODULES!D25,IF(C12=MODULES!A26,MODULES!D26,0)))))))))))))))))))))))))</f>
        <v>0</v>
      </c>
      <c r="K9" s="156"/>
      <c r="L9" s="157"/>
      <c r="M9" s="157"/>
      <c r="N9" s="157"/>
      <c r="O9" s="157"/>
      <c r="P9" s="158"/>
    </row>
    <row r="10" spans="1:18" x14ac:dyDescent="0.25">
      <c r="B10" s="155" t="str">
        <f>IF(OR(B3=3,B3=4),B4,"")</f>
        <v/>
      </c>
      <c r="C10" s="155" t="str">
        <f t="shared" ref="C10:F10" si="2">IF(OR(C3=3,C3=4),C4,"")</f>
        <v/>
      </c>
      <c r="D10" s="155" t="str">
        <f t="shared" si="2"/>
        <v/>
      </c>
      <c r="E10" s="155" t="str">
        <f t="shared" si="2"/>
        <v/>
      </c>
      <c r="F10" s="155" t="str">
        <f t="shared" si="2"/>
        <v/>
      </c>
      <c r="G10" s="160" t="s">
        <v>45</v>
      </c>
      <c r="H10" s="159" t="str">
        <f>IF(C12=MODULES!A2,MODULES!E2,IF(C12=MODULES!A3,MODULES!E3,IF(C12=MODULES!A4,MODULES!E4,IF(C12=MODULES!A5,MODULES!E5,IF(C12=MODULES!A6,MODULES!E6,IF(C12=MODULES!A7,MODULES!E7,IF(C12=MODULES!A8,MODULES!E8,IF(C12=MODULES!A9,MODULES!E9,IF(C12=MODULES!A10,MODULES!E10,IF(C12=MODULES!A11,MODULES!E11,IF(C12=MODULES!A12,MODULES!E12,IF(C12=MODULES!A13,MODULES!E13,IF(C12=MODULES!A14,MODULES!E14,IF(C12=MODULES!A15,MODULES!E15,IF(C12=MODULES!A16,MODULES!E16,IF(C12=MODULES!A17,MODULES!E17,IF(C12=MODULES!A18,MODULES!E18,IF(C12=MODULES!A19,MODULES!E19,IF(C12=MODULES!A20,MODULES!E20,IF(C12=MODULES!A21,MODULES!E21,IF(C12=MODULES!A22,MODULES!E22,IF(C12=MODULES!A23,MODULES!E23,IF(C12=MODULES!A24,MODULES!E24,IF(C12=MODULES!A25,MODULES!E25,IF(C12=MODULES!A26,MODULES!E26,"")))))))))))))))))))))))))</f>
        <v/>
      </c>
      <c r="K10" s="156"/>
      <c r="L10" s="157"/>
      <c r="M10" s="157"/>
      <c r="N10" s="157"/>
      <c r="O10" s="157"/>
      <c r="P10" s="158"/>
    </row>
    <row r="11" spans="1:18" x14ac:dyDescent="0.25">
      <c r="B11" s="155" t="str">
        <f>IF(B3=4,B4,"")</f>
        <v/>
      </c>
      <c r="C11" s="155" t="str">
        <f t="shared" ref="C11:F11" si="3">IF(C3=4,C4,"")</f>
        <v/>
      </c>
      <c r="D11" s="155" t="str">
        <f t="shared" si="3"/>
        <v/>
      </c>
      <c r="E11" s="155" t="str">
        <f t="shared" si="3"/>
        <v/>
      </c>
      <c r="F11" s="155" t="str">
        <f t="shared" si="3"/>
        <v/>
      </c>
      <c r="G11" s="160" t="s">
        <v>46</v>
      </c>
      <c r="H11" s="159" t="str">
        <f>IF(C12=MODULES!A2,MODULES!F2,IF(C12=MODULES!A3,MODULES!F3,IF(C12=MODULES!A4,MODULES!F4,IF(C12=MODULES!A5,MODULES!F5,IF(C12=MODULES!A6,MODULES!F6,IF(C12=MODULES!A7,MODULES!F7,IF(C12=MODULES!A8,MODULES!F8,IF(C12=MODULES!A9,MODULES!F9,IF(C12=MODULES!A10,MODULES!F10,IF(C12=MODULES!A11,MODULES!F11,IF(C12=MODULES!A12,MODULES!F12,IF(C12=MODULES!A13,MODULES!F13,IF(C12=MODULES!A14,MODULES!F14,IF(C12=MODULES!A15,MODULES!F15,IF(C12=MODULES!A16,MODULES!F16,IF(C12=MODULES!A17,MODULES!F17,IF(C12=MODULES!A18,MODULES!F18,IF(C12=MODULES!A19,MODULES!F19,IF(C12=MODULES!A20,MODULES!F20,IF(C12=MODULES!A21,MODULES!F21,IF(C12=MODULES!A22,MODULES!F22,IF(C12=MODULES!A23,MODULES!F23,IF(C12=MODULES!A24,MODULES!F24,IF(C12=MODULES!A25,MODULES!F25,IF(C12=MODULES!A26,MODULES!F26,"")))))))))))))))))))))))))</f>
        <v/>
      </c>
      <c r="K11" s="156"/>
      <c r="L11" s="157"/>
      <c r="M11" s="157"/>
      <c r="N11" s="157"/>
      <c r="O11" s="157"/>
      <c r="P11" s="158"/>
    </row>
    <row r="12" spans="1:18" x14ac:dyDescent="0.25">
      <c r="A12" s="153" t="s">
        <v>38</v>
      </c>
      <c r="B12" s="150">
        <f>SUM(B7:F11)+I27</f>
        <v>0</v>
      </c>
      <c r="C12" s="150">
        <f>FORM!B2</f>
        <v>0</v>
      </c>
      <c r="G12" s="160" t="s">
        <v>47</v>
      </c>
      <c r="H12" s="159" t="str">
        <f>IF(C12=MODULES!A2,MODULES!G2,IF(C12=MODULES!A3,MODULES!G3,IF(C12=MODULES!A4,MODULES!G4,IF(C12=MODULES!A5,MODULES!G5,IF(C12=MODULES!A6,MODULES!G6,IF(C12=MODULES!A7,MODULES!G7,IF(C12=MODULES!A8,MODULES!G8,IF(C12=MODULES!A9,MODULES!G9,IF(C12=MODULES!A10,MODULES!G10,IF(C12=MODULES!A11,MODULES!G11,IF(C12=MODULES!A12,MODULES!G12,IF(C12=MODULES!A13,MODULES!G13,IF(C12=MODULES!A14,MODULES!G14,IF(C12=MODULES!A15,MODULES!G15,IF(C12=MODULES!A16,MODULES!G16,IF(C12=MODULES!A17,MODULES!G17,IF(C12=MODULES!A18,MODULES!G18,IF(C12=MODULES!A19,MODULES!G19,IF(C12=MODULES!A20,MODULES!G20,IF(C12=MODULES!A21,MODULES!G21,IF(C12=MODULES!A22,MODULES!G22,IF(C12=MODULES!A23,MODULES!G23,IF(C12=MODULES!A24,MODULES!G24,IF(C12=MODULES!A25,MODULES!G25,IF(C12=MODULES!A26,MODULES!G26,"")))))))))))))))))))))))))</f>
        <v/>
      </c>
      <c r="K12" s="156"/>
      <c r="L12" s="157"/>
      <c r="M12" s="157"/>
      <c r="N12" s="157"/>
      <c r="O12" s="157"/>
      <c r="P12" s="158"/>
    </row>
    <row r="13" spans="1:18" ht="15.75" x14ac:dyDescent="0.25">
      <c r="A13" s="161" t="s">
        <v>26</v>
      </c>
      <c r="B13" s="150" t="str">
        <f>UPPER(FORM!B11)</f>
        <v/>
      </c>
      <c r="G13" s="160" t="s">
        <v>48</v>
      </c>
      <c r="H13" s="159" t="str">
        <f>IF(C12=MODULES!A2,MODULES!H2,IF(C12=MODULES!A3,MODULES!H3,IF(C12=MODULES!A4,MODULES!H4,IF(C12=MODULES!A5,MODULES!H5,IF(C12=MODULES!A6,MODULES!H6,IF(C12=MODULES!A7,MODULES!H7,IF(C12=MODULES!A8,MODULES!H8,IF(C12=MODULES!A9,MODULES!H9,IF(C12=MODULES!A10,MODULES!H10,IF(C12=MODULES!A11,MODULES!H11,IF(C12=MODULES!A12,MODULES!H12,IF(C12=MODULES!A13,MODULES!H13,IF(C12=MODULES!A14,MODULES!H14,IF(C12=MODULES!A15,MODULES!H15,IF(C12=MODULES!A16,MODULES!H16,IF(C12=MODULES!A17,MODULES!H17,IF(C12=MODULES!A18,MODULES!H18,IF(C12=MODULES!A19,MODULES!H19,IF(C12=MODULES!A20,MODULES!H20,IF(C12=MODULES!A21,MODULES!H21,IF(C12=MODULES!A22,MODULES!H22,IF(C12=MODULES!A23,MODULES!H23,IF(C12=MODULES!A24,MODULES!H24,IF(C12=MODULES!A25,MODULES!H25,IF(C12=MODULES!A26,MODULES!H26,"")))))))))))))))))))))))))</f>
        <v/>
      </c>
      <c r="K13" s="156"/>
      <c r="L13" s="157"/>
      <c r="M13" s="157"/>
      <c r="N13" s="157"/>
      <c r="O13" s="157"/>
      <c r="P13" s="158"/>
    </row>
    <row r="14" spans="1:18" ht="15.75" x14ac:dyDescent="0.25">
      <c r="A14" s="161" t="s">
        <v>27</v>
      </c>
      <c r="B14" s="150" t="str">
        <f>UPPER(FORM!B12)</f>
        <v/>
      </c>
      <c r="G14" s="160" t="s">
        <v>49</v>
      </c>
      <c r="H14" s="159" t="str">
        <f>IF(C12=MODULES!A2,MODULES!I2,IF(C12=MODULES!A3,MODULES!I3,IF(C12=MODULES!A4,MODULES!I4,IF(C12=MODULES!A5,MODULES!I5,IF(C12=MODULES!A6,MODULES!I6,IF(C12=MODULES!A7,MODULES!I7,IF(C12=MODULES!A8,MODULES!I8,IF(C12=MODULES!A9,MODULES!I9,IF(C12=MODULES!A10,MODULES!I10,IF(C12=MODULES!A11,MODULES!I11,IF(C12=MODULES!A12,MODULES!I12,IF(C12=MODULES!A13,MODULES!I13,IF(C12=MODULES!A14,MODULES!I14,IF(C12=MODULES!A15,MODULES!I15,IF(C12=MODULES!A16,MODULES!I16,IF(C12=MODULES!A17,MODULES!I17,IF(C12=MODULES!A18,MODULES!I18,IF(C12=MODULES!A19,MODULES!I19,IF(C12=MODULES!A20,MODULES!I20,IF(C12=MODULES!A21,MODULES!I21,IF(C12=MODULES!A22,MODULES!I22,IF(C12=MODULES!A23,MODULES!I23,IF(C12=MODULES!A24,MODULES!I24,IF(C12=MODULES!A25,MODULES!I25,IF(C12=MODULES!A26,MODULES!I26,"")))))))))))))))))))))))))</f>
        <v/>
      </c>
      <c r="K14" s="156"/>
      <c r="L14" s="157"/>
      <c r="M14" s="157"/>
      <c r="N14" s="157"/>
      <c r="O14" s="157"/>
      <c r="P14" s="158"/>
    </row>
    <row r="15" spans="1:18" ht="15.75" x14ac:dyDescent="0.25">
      <c r="A15" s="161" t="s">
        <v>33</v>
      </c>
      <c r="B15" s="162" t="str">
        <f>IF(FORM!B13="","NODATE",FORM!B13)</f>
        <v>NODATE</v>
      </c>
      <c r="K15" s="156"/>
      <c r="L15" s="157"/>
      <c r="M15" s="157"/>
      <c r="N15" s="157"/>
      <c r="O15" s="157"/>
      <c r="P15" s="158"/>
    </row>
    <row r="16" spans="1:18" ht="15.75" x14ac:dyDescent="0.25">
      <c r="A16" s="161" t="s">
        <v>24</v>
      </c>
      <c r="B16" s="150" t="str">
        <f>IF(FORM!B14="","","("&amp;FORM!B14&amp;")")</f>
        <v/>
      </c>
      <c r="K16" s="156"/>
      <c r="L16" s="157"/>
      <c r="M16" s="157"/>
      <c r="N16" s="157"/>
      <c r="O16" s="157"/>
      <c r="P16" s="158"/>
    </row>
    <row r="17" spans="1:16" ht="15.75" x14ac:dyDescent="0.25">
      <c r="A17" s="161" t="s">
        <v>25</v>
      </c>
      <c r="B17" s="150">
        <f>FORM!B15</f>
        <v>0</v>
      </c>
      <c r="K17" s="156"/>
      <c r="L17" s="157"/>
      <c r="M17" s="157"/>
      <c r="N17" s="157"/>
      <c r="O17" s="157"/>
      <c r="P17" s="158"/>
    </row>
    <row r="18" spans="1:16" ht="15.75" x14ac:dyDescent="0.25">
      <c r="A18" s="161" t="s">
        <v>28</v>
      </c>
      <c r="B18" s="150">
        <f>FORM!B16</f>
        <v>0</v>
      </c>
      <c r="K18" s="156"/>
      <c r="L18" s="157"/>
      <c r="M18" s="157"/>
      <c r="N18" s="157"/>
      <c r="O18" s="157"/>
      <c r="P18" s="158"/>
    </row>
    <row r="19" spans="1:16" ht="15.75" x14ac:dyDescent="0.25">
      <c r="A19" s="161" t="s">
        <v>29</v>
      </c>
      <c r="B19" s="150">
        <f>FORM!B18</f>
        <v>0</v>
      </c>
      <c r="K19" s="156"/>
      <c r="L19" s="157"/>
      <c r="M19" s="157"/>
      <c r="N19" s="157"/>
      <c r="O19" s="157"/>
      <c r="P19" s="158"/>
    </row>
    <row r="20" spans="1:16" ht="15.75" x14ac:dyDescent="0.25">
      <c r="A20" s="161" t="s">
        <v>30</v>
      </c>
      <c r="B20" s="163">
        <f>FORM!B19</f>
        <v>0</v>
      </c>
      <c r="K20" s="156"/>
      <c r="L20" s="157"/>
      <c r="M20" s="157"/>
      <c r="N20" s="157"/>
      <c r="O20" s="157"/>
      <c r="P20" s="158"/>
    </row>
    <row r="21" spans="1:16" ht="15.75" x14ac:dyDescent="0.25">
      <c r="A21" s="161" t="s">
        <v>31</v>
      </c>
      <c r="B21" s="163">
        <f>FORM!B20</f>
        <v>0</v>
      </c>
      <c r="K21" s="156"/>
      <c r="L21" s="157"/>
      <c r="M21" s="157"/>
      <c r="N21" s="157"/>
      <c r="O21" s="157"/>
      <c r="P21" s="158"/>
    </row>
    <row r="22" spans="1:16" ht="15.75" x14ac:dyDescent="0.25">
      <c r="A22" s="161" t="s">
        <v>32</v>
      </c>
      <c r="B22" s="150">
        <f>FORM!B22</f>
        <v>0</v>
      </c>
      <c r="K22" s="156"/>
      <c r="L22" s="157"/>
      <c r="M22" s="157"/>
      <c r="N22" s="157"/>
      <c r="O22" s="157"/>
      <c r="P22" s="158"/>
    </row>
    <row r="23" spans="1:16" x14ac:dyDescent="0.25">
      <c r="A23" s="151" t="s">
        <v>36</v>
      </c>
      <c r="B23" s="150" t="str">
        <f>FORM!B25</f>
        <v>P1</v>
      </c>
      <c r="K23" s="164"/>
      <c r="L23" s="165"/>
      <c r="M23" s="165"/>
      <c r="N23" s="165"/>
      <c r="O23" s="165"/>
      <c r="P23" s="166"/>
    </row>
    <row r="24" spans="1:16" x14ac:dyDescent="0.25">
      <c r="A24" s="151" t="s">
        <v>37</v>
      </c>
      <c r="B24" s="150">
        <f>FORM!B26</f>
        <v>0</v>
      </c>
    </row>
    <row r="25" spans="1:16" ht="15.75" x14ac:dyDescent="0.25">
      <c r="A25" s="167" t="s">
        <v>40</v>
      </c>
      <c r="B25" s="162" t="str">
        <f>IF(FORM!B27="","",FORM!B27)</f>
        <v/>
      </c>
      <c r="D25" s="153" t="s">
        <v>92</v>
      </c>
      <c r="E25" s="150" t="str">
        <f>IF(FORM!F11="USE LINE TAPS","YES",
IF(FORM!E11="LINE TAPS","YES",""))</f>
        <v/>
      </c>
    </row>
    <row r="26" spans="1:16" ht="15.75" x14ac:dyDescent="0.25">
      <c r="A26" s="167" t="s">
        <v>41</v>
      </c>
      <c r="D26" s="153" t="s">
        <v>61</v>
      </c>
      <c r="E26" s="150">
        <f>FORM!B23</f>
        <v>0</v>
      </c>
      <c r="H26" s="153" t="s">
        <v>94</v>
      </c>
      <c r="I26" s="150">
        <f>COUNTIF(J28:J32,1)</f>
        <v>0</v>
      </c>
    </row>
    <row r="27" spans="1:16" x14ac:dyDescent="0.25">
      <c r="B27" s="149" t="s">
        <v>15</v>
      </c>
      <c r="C27" s="149" t="s">
        <v>16</v>
      </c>
      <c r="D27" s="149" t="s">
        <v>17</v>
      </c>
      <c r="E27" s="149" t="s">
        <v>18</v>
      </c>
      <c r="F27" s="149" t="s">
        <v>19</v>
      </c>
      <c r="H27" s="160" t="s">
        <v>62</v>
      </c>
      <c r="I27" s="168">
        <f>FORM!F9</f>
        <v>0</v>
      </c>
    </row>
    <row r="28" spans="1:16" x14ac:dyDescent="0.25">
      <c r="B28" s="150">
        <f>B2</f>
        <v>0</v>
      </c>
      <c r="C28" s="150">
        <f t="shared" ref="C28:F28" si="4">C2</f>
        <v>0</v>
      </c>
      <c r="D28" s="150">
        <f t="shared" si="4"/>
        <v>0</v>
      </c>
      <c r="E28" s="150">
        <f t="shared" si="4"/>
        <v>0</v>
      </c>
      <c r="F28" s="150">
        <f t="shared" si="4"/>
        <v>0</v>
      </c>
      <c r="H28" s="153" t="s">
        <v>63</v>
      </c>
      <c r="I28" s="150">
        <f>FORM!I6</f>
        <v>0</v>
      </c>
      <c r="J28" s="150" t="str">
        <f>IF(I28&gt;0,1,"")</f>
        <v/>
      </c>
    </row>
    <row r="29" spans="1:16" x14ac:dyDescent="0.25">
      <c r="A29" s="160" t="s">
        <v>45</v>
      </c>
      <c r="B29" s="150" t="e">
        <f>ROUND(
IF(B37="YES",
IF(((SUM(B7:B11)*$H9)/350)&gt;L37,L37,((SUM(B7:B11)*$H9)/350)),$H10*B3),2)</f>
        <v>#VALUE!</v>
      </c>
      <c r="C29" s="150" t="e">
        <f t="shared" ref="C29:F29" si="5">ROUND(
IF(C37="YES",
IF(((SUM(C7:C11)*$H9)/350)&gt;M37,M37,((SUM(C7:C11)*$H9)/350)),$H10*C3),2)</f>
        <v>#VALUE!</v>
      </c>
      <c r="D29" s="150" t="e">
        <f t="shared" si="5"/>
        <v>#VALUE!</v>
      </c>
      <c r="E29" s="150" t="e">
        <f t="shared" si="5"/>
        <v>#VALUE!</v>
      </c>
      <c r="F29" s="150" t="e">
        <f t="shared" si="5"/>
        <v>#VALUE!</v>
      </c>
      <c r="H29" s="153" t="s">
        <v>64</v>
      </c>
      <c r="I29" s="150">
        <f>FORM!I7</f>
        <v>0</v>
      </c>
      <c r="J29" s="150" t="str">
        <f t="shared" ref="J29:J32" si="6">IF(I29&gt;0,1,"")</f>
        <v/>
      </c>
    </row>
    <row r="30" spans="1:16" x14ac:dyDescent="0.25">
      <c r="A30" s="160" t="s">
        <v>46</v>
      </c>
      <c r="B30" s="150" t="e">
        <f>IF(B37="YES",350,$H11*B4)</f>
        <v>#VALUE!</v>
      </c>
      <c r="C30" s="150" t="e">
        <f>IF(C37="YES",350,$H11*C4)</f>
        <v>#VALUE!</v>
      </c>
      <c r="D30" s="150" t="e">
        <f>IF(D37="YES",350,$H11*D4)</f>
        <v>#VALUE!</v>
      </c>
      <c r="E30" s="150" t="e">
        <f>IF(E37="YES",350,$H11*E4)</f>
        <v>#VALUE!</v>
      </c>
      <c r="F30" s="150" t="e">
        <f>IF(F37="YES",350,$H11*F4)</f>
        <v>#VALUE!</v>
      </c>
      <c r="H30" s="153" t="s">
        <v>65</v>
      </c>
      <c r="I30" s="150">
        <f>FORM!I8</f>
        <v>0</v>
      </c>
      <c r="J30" s="150" t="str">
        <f t="shared" si="6"/>
        <v/>
      </c>
    </row>
    <row r="31" spans="1:16" x14ac:dyDescent="0.25">
      <c r="A31" s="160" t="s">
        <v>47</v>
      </c>
      <c r="B31" s="150" t="e">
        <f>IF(B37="YES",500,$H14*B4)</f>
        <v>#VALUE!</v>
      </c>
      <c r="C31" s="150" t="e">
        <f>IF(C37="YES",500,$H14*C4)</f>
        <v>#VALUE!</v>
      </c>
      <c r="D31" s="150" t="e">
        <f>IF(D37="YES",500,$H14*D4)</f>
        <v>#VALUE!</v>
      </c>
      <c r="E31" s="150" t="e">
        <f>IF(E37="YES",500,$H14*E4)</f>
        <v>#VALUE!</v>
      </c>
      <c r="F31" s="150" t="e">
        <f>IF(F37="YES",500,$H14*F4)</f>
        <v>#VALUE!</v>
      </c>
      <c r="H31" s="153" t="s">
        <v>66</v>
      </c>
      <c r="I31" s="150">
        <f>FORM!I9</f>
        <v>0</v>
      </c>
      <c r="J31" s="150" t="str">
        <f t="shared" si="6"/>
        <v/>
      </c>
    </row>
    <row r="32" spans="1:16" x14ac:dyDescent="0.25">
      <c r="A32" s="160" t="s">
        <v>48</v>
      </c>
      <c r="B32" s="150" t="e">
        <f>IF(B37="YES",B3*15,($H13*B3)*1.25)</f>
        <v>#VALUE!</v>
      </c>
      <c r="C32" s="150" t="e">
        <f>IF(C37="YES",C3*15,($H13*C3)*1.25)</f>
        <v>#VALUE!</v>
      </c>
      <c r="D32" s="150" t="e">
        <f>IF(D37="YES",D3*15,($H13*D3)*1.25)</f>
        <v>#VALUE!</v>
      </c>
      <c r="E32" s="150" t="e">
        <f>IF(E37="YES",E3*15,($H13*E3)*1.25)</f>
        <v>#VALUE!</v>
      </c>
      <c r="F32" s="150" t="e">
        <f>IF(F37="YES",F3*15,($H13*F3)*1.25)</f>
        <v>#VALUE!</v>
      </c>
      <c r="H32" s="153" t="s">
        <v>67</v>
      </c>
      <c r="I32" s="150">
        <f>FORM!I10</f>
        <v>0</v>
      </c>
      <c r="J32" s="150" t="str">
        <f t="shared" si="6"/>
        <v/>
      </c>
    </row>
    <row r="33" spans="1:16" x14ac:dyDescent="0.25">
      <c r="A33" s="160" t="s">
        <v>60</v>
      </c>
      <c r="B33" s="150">
        <f>IF(B28=INVERTERS!A2,INVERTERS!C2,IF(B28=INVERTERS!A3,INVERTERS!C3,IF(B28=INVERTERS!A4,INVERTERS!C4,IF(B28=INVERTERS!A5,INVERTERS!C5,IF(B28=INVERTERS!A6,INVERTERS!C6,IF(B28=INVERTERS!A7,INVERTERS!C7,IF(B28=INVERTERS!A8,INVERTERS!C8,IF(B28=INVERTERS!A9,INVERTERS!C9,IF(B28=INVERTERS!A10,INVERTERS!C10,IF(B28=INVERTERS!A11,INVERTERS!C11,IF(B28=INVERTERS!A12,INVERTERS!C12,IF(B28=INVERTERS!A13,INVERTERS!C13,IF(B28=INVERTERS!A14,INVERTERS!C14,IF(B28=INVERTERS!A15,INVERTERS!C15,IF(B28=INVERTERS!A16,INVERTERS!C16,IF(B28=INVERTERS!A17,INVERTERS!C17,IF(B28=INVERTERS!A18,INVERTERS!C18,IF(B28=INVERTERS!A19,INVERTERS!C19,IF(B28=INVERTERS!A20,INVERTERS!C20,IF(B28=INVERTERS!A21,INVERTERS!C21,IF(B28=INVERTERS!A22,INVERTERS!C22,IF(B28=INVERTERS!A23,INVERTERS!C23,IF(B28=INVERTERS!A24,INVERTERS!C24,IF(B28=INVERTERS!A25,INVERTERS!C25,IF(B28=INVERTERS!A26,INVERTERS!C26,B28)))))))))))))))))))))))))</f>
        <v>0</v>
      </c>
      <c r="C33" s="150">
        <f>IF(C28=INVERTERS!A2,INVERTERS!C2,IF(C28=INVERTERS!A3,INVERTERS!C3,IF(C28=INVERTERS!A4,INVERTERS!C4,IF(C28=INVERTERS!A5,INVERTERS!C5,IF(C28=INVERTERS!A6,INVERTERS!C6,IF(C28=INVERTERS!A7,INVERTERS!C7,IF(C28=INVERTERS!A8,INVERTERS!C8,IF(C28=INVERTERS!A9,INVERTERS!C9,IF(C28=INVERTERS!A10,INVERTERS!C10,IF(C28=INVERTERS!A11,INVERTERS!C11,IF(C28=INVERTERS!A12,INVERTERS!C12,IF(C28=INVERTERS!A13,INVERTERS!C13,IF(C28=INVERTERS!A14,INVERTERS!C14,IF(C28=INVERTERS!A15,INVERTERS!C15,IF(C28=INVERTERS!A16,INVERTERS!C16,IF(C28=INVERTERS!A17,INVERTERS!C17,IF(C28=INVERTERS!A18,INVERTERS!C18,IF(C28=INVERTERS!A19,INVERTERS!C19,IF(C28=INVERTERS!A20,INVERTERS!C20,IF(C28=INVERTERS!A21,INVERTERS!C21,IF(C28=INVERTERS!A22,INVERTERS!C22,IF(C28=INVERTERS!A23,INVERTERS!C23,IF(C28=INVERTERS!A24,INVERTERS!C24,IF(C28=INVERTERS!A25,INVERTERS!C25,IF(C28=INVERTERS!A26,INVERTERS!C26,C28)))))))))))))))))))))))))</f>
        <v>0</v>
      </c>
      <c r="D33" s="150">
        <f>IF(D28=INVERTERS!A2,INVERTERS!C2,IF(D28=INVERTERS!A3,INVERTERS!C3,IF(D28=INVERTERS!A4,INVERTERS!C4,IF(D28=INVERTERS!A5,INVERTERS!C5,IF(D28=INVERTERS!A6,INVERTERS!C6,IF(D28=INVERTERS!A7,INVERTERS!C7,IF(D28=INVERTERS!A8,INVERTERS!C8,IF(D28=INVERTERS!A9,INVERTERS!C9,IF(D28=INVERTERS!A10,INVERTERS!C10,IF(D28=INVERTERS!A11,INVERTERS!C11,IF(D28=INVERTERS!A12,INVERTERS!C12,IF(D28=INVERTERS!A13,INVERTERS!C13,IF(D28=INVERTERS!A14,INVERTERS!C14,IF(D28=INVERTERS!A15,INVERTERS!C15,IF(D28=INVERTERS!A16,INVERTERS!C16,IF(D28=INVERTERS!A17,INVERTERS!C17,IF(D28=INVERTERS!A18,INVERTERS!C18,IF(D28=INVERTERS!A19,INVERTERS!C19,IF(D28=INVERTERS!A20,INVERTERS!C20,IF(D28=INVERTERS!A21,INVERTERS!C21,IF(D28=INVERTERS!A22,INVERTERS!C22,IF(D28=INVERTERS!A23,INVERTERS!C23,IF(D28=INVERTERS!A24,INVERTERS!C24,IF(D28=INVERTERS!A25,INVERTERS!C25,IF(D28=INVERTERS!A26,INVERTERS!C26,D28)))))))))))))))))))))))))</f>
        <v>0</v>
      </c>
      <c r="E33" s="150">
        <f>IF(E28=INVERTERS!A2,INVERTERS!C2,IF(E28=INVERTERS!A3,INVERTERS!C3,IF(E28=INVERTERS!A4,INVERTERS!C4,IF(E28=INVERTERS!A5,INVERTERS!C5,IF(E28=INVERTERS!A6,INVERTERS!C6,IF(E28=INVERTERS!A7,INVERTERS!C7,IF(E28=INVERTERS!A8,INVERTERS!C8,IF(E28=INVERTERS!A9,INVERTERS!C9,IF(E28=INVERTERS!A10,INVERTERS!C10,IF(E28=INVERTERS!A11,INVERTERS!C11,IF(E28=INVERTERS!A12,INVERTERS!C12,IF(E28=INVERTERS!A13,INVERTERS!C13,IF(E28=INVERTERS!A14,INVERTERS!C14,IF(E28=INVERTERS!A15,INVERTERS!C15,IF(E28=INVERTERS!A16,INVERTERS!C16,IF(E28=INVERTERS!A17,INVERTERS!C17,IF(E28=INVERTERS!A18,INVERTERS!C18,IF(E28=INVERTERS!A19,INVERTERS!C19,IF(E28=INVERTERS!A20,INVERTERS!C20,IF(E28=INVERTERS!A21,INVERTERS!C21,IF(E28=INVERTERS!A22,INVERTERS!C22,IF(E28=INVERTERS!A23,INVERTERS!C23,IF(E28=INVERTERS!A24,INVERTERS!C24,IF(E28=INVERTERS!A25,INVERTERS!C25,IF(E28=INVERTERS!A26,INVERTERS!C26,E28)))))))))))))))))))))))))</f>
        <v>0</v>
      </c>
      <c r="F33" s="150">
        <f>IF(I42="YES",(G33*I27),IF(F28=INVERTERS!A2,INVERTERS!C2,IF(F28=INVERTERS!A3,INVERTERS!C3,IF(F28=INVERTERS!A4,INVERTERS!C4,IF(F28=INVERTERS!A5,INVERTERS!C5,IF(F28=INVERTERS!A6,INVERTERS!C6,IF(F28=INVERTERS!A7,INVERTERS!C7,IF(F28=INVERTERS!A8,INVERTERS!C8,IF(F28=INVERTERS!A9,INVERTERS!C9,IF(F28=INVERTERS!A10,INVERTERS!C10,IF(F28=INVERTERS!A11,INVERTERS!C11,IF(F28=INVERTERS!A12,INVERTERS!C12,IF(F28=INVERTERS!A13,INVERTERS!C13,IF(F28=INVERTERS!A14,INVERTERS!C14,IF(F28=INVERTERS!A15,INVERTERS!C15,IF(F28=INVERTERS!A16,INVERTERS!C16,IF(F28=INVERTERS!A17,INVERTERS!C17,IF(F28=INVERTERS!A18,INVERTERS!C18,IF(F28=INVERTERS!A19,INVERTERS!C19,IF(F28=INVERTERS!A20,INVERTERS!C20,IF(F28=INVERTERS!A21,INVERTERS!C21,IF(F28=INVERTERS!A22,INVERTERS!C22,IF(F28=INVERTERS!A23,INVERTERS!C23,IF(F28=INVERTERS!A24,INVERTERS!C24,IF(F28=INVERTERS!A25,INVERTERS!C25,IF(F28=INVERTERS!A26,INVERTERS!C26,F28))))))))))))))))))))))))))</f>
        <v>0</v>
      </c>
      <c r="G33" s="150" t="str">
        <f>IF(F28=INVERTERS!A11,INVERTERS!C11,IF(F28=INVERTERS!A12,INVERTERS!C12,IF(F28=INVERTERS!A13,INVERTERS!C13,IF(F28=INVERTERS!A14,INVERTERS!C14,IF(F28=INVERTERS!A15,INVERTERS!C15,IF(F28=INVERTERS!A16,INVERTERS!C16,IF(F28=INVERTERS!A17,INVERTERS!C17,IF(F28=INVERTERS!A18,INVERTERS!C18,IF(F28=INVERTERS!A19,INVERTERS!C19,IF(F28=INVERTERS!A20,INVERTERS!C20,IF(F28=INVERTERS!A21,INVERTERS!C21,IF(F28=INVERTERS!A22,INVERTERS!C22,IF(F28=INVERTERS!A23,INVERTERS!C23,IF(F28=INVERTERS!A24,INVERTERS!C24,IF(F28=INVERTERS!A9,INVERTERS!C9,IF(F28=INVERTERS!A2,INVERTERS!C2,IF(F28=INVERTERS!A3,INVERTERS!C3,IF(F28=INVERTERS!A4,INVERTERS!C4,IF(F28=INVERTERS!A5,INVERTERS!C5,IF(F28=INVERTERS!A6,INVERTERS!C6,IF(F28=INVERTERS!A7,INVERTERS!C7,IF(F28=INVERTERS!A8,INVERTERS!C8,IF(F28=INVERTERS!A10,INVERTERS!C10,IF(F28=INVERTERS!A25,INVERTERS!C25,IF(F28=INVERTERS!A26,INVERTERS!C26,"")))))))))))))))))))))))))</f>
        <v/>
      </c>
    </row>
    <row r="34" spans="1:16" x14ac:dyDescent="0.25">
      <c r="A34" s="160" t="s">
        <v>41</v>
      </c>
      <c r="B34" s="150">
        <f>B12*H9</f>
        <v>0</v>
      </c>
      <c r="C34" s="150" t="s">
        <v>54</v>
      </c>
      <c r="D34" s="150">
        <f>B34/1000</f>
        <v>0</v>
      </c>
      <c r="E34" s="150" t="s">
        <v>55</v>
      </c>
    </row>
    <row r="35" spans="1:16" x14ac:dyDescent="0.25">
      <c r="A35" s="160" t="s">
        <v>59</v>
      </c>
      <c r="B35" s="150">
        <f>SUM(B33:F33)*1.25</f>
        <v>0</v>
      </c>
    </row>
    <row r="36" spans="1:16" x14ac:dyDescent="0.25">
      <c r="A36" s="160" t="s">
        <v>69</v>
      </c>
      <c r="B36" s="150" t="str">
        <f>IF(B35&gt;125,"SIZE ACCORDINGLY",IF(B35&gt;110,125,IF(B35&gt;100,110,IF(B35&gt;90,100,IF(B35&gt;80,90,IF(B35&gt;70,80,IF(B35&gt;60,70,IF(B35&gt;50,60,IF(B35&gt;40,50,IF(B35&gt;30,40,IF(B35&gt;20,30,IF(B35&gt;15,20,IF(B35&gt;0,15,"")))))))))))))</f>
        <v/>
      </c>
      <c r="L36" s="149" t="s">
        <v>15</v>
      </c>
      <c r="M36" s="149" t="s">
        <v>16</v>
      </c>
      <c r="N36" s="149" t="s">
        <v>17</v>
      </c>
      <c r="O36" s="149" t="s">
        <v>18</v>
      </c>
      <c r="P36" s="149" t="s">
        <v>19</v>
      </c>
    </row>
    <row r="37" spans="1:16" x14ac:dyDescent="0.25">
      <c r="A37" s="153" t="s">
        <v>128</v>
      </c>
      <c r="B37" s="150" t="str">
        <f>IF(OR(B28="SE3000A-US",B28="SE3800A-US",B28="SE5000A-US",B28="SE6000A-US",B28="SE7600A-US",B28="SE10000A-US",B28="SE11400A-US",
B28="SE3000H-US",B28="SE3800H-US",B28="SE5000H-US",B28="SE6000H-US",B28="SE7600H-US",B28="SE10000H-US",B28="SE11400H-US"),"YES","")</f>
        <v/>
      </c>
      <c r="C37" s="150" t="str">
        <f>IF(OR(C28="SE3000A-US",C28="SE3800A-US",C28="SE5000A-US",C28="SE6000A-US",C28="SE7600A-US",C28="SE10000A-US",C28="SE11400A-US",
C28="SE3000H-US",C28="SE3800H-US",C28="SE5000H-US",C28="SE6000H-US",C28="SE7600H-US",C28="SE10000H-US",C28="SE11400H-US"),"YES","")</f>
        <v/>
      </c>
      <c r="D37" s="150" t="str">
        <f>IF(OR(D28="SE3000A-US",D28="SE3800A-US",D28="SE5000A-US",D28="SE6000A-US",D28="SE7600A-US",D28="SE10000A-US",D28="SE11400A-US",
D28="SE3000H-US",D28="SE3800H-US",D28="SE5000H-US",D28="SE6000H-US",D28="SE7600H-US",D28="SE10000H-US",D28="SE11400H-US"),"YES","")</f>
        <v/>
      </c>
      <c r="E37" s="150" t="str">
        <f>IF(OR(E28="SE3000A-US",E28="SE3800A-US",E28="SE5000A-US",E28="SE6000A-US",E28="SE7600A-US",E28="SE10000A-US",E28="SE11400A-US",
E28="SE3000H-US",E28="SE3800H-US",E28="SE5000H-US",E28="SE6000H-US",E28="SE7600H-US",E28="SE10000H-US",E28="SE11400H-US"),"YES","")</f>
        <v/>
      </c>
      <c r="F37" s="150" t="str">
        <f>IF(OR(F28="SE3000A-US",F28="SE3800A-US",F28="SE5000A-US",F28="SE6000A-US",F28="SE7600A-US",F28="SE10000A-US",F28="SE11400A-US",
F28="SE3000H-US",F28="SE3800H-US",F28="SE5000H-US",F28="SE6000H-US",F28="SE7600H-US",F28="SE10000H-US",F28="SE11400H-US"),"YES","")</f>
        <v/>
      </c>
      <c r="K37" s="153" t="s">
        <v>130</v>
      </c>
      <c r="L37" s="150" t="str">
        <f>IF(B28="SE3000A-US",9.5,IF(B28="SE3800A-US",13,IF(B28="SE5000A-US",15.5,IF(B28="SE6000A-US",18,IF(B28="SE7600A-US",23,IF(B28="SE10000A-US",30.5,IF(B28="SE11400A-US",34.5, IF(B28="SE3000H-US",8.5,IF(B28="SE3800H-US",10.5,IF(B28="SE5000H-US",15.5,IF(B28="SE6000H-US",18,IF(B28="SE7600H-US",23,IF(B28="SE10000H-US",30.5,IF(B28="SE11400H-US",34.5,""))))))))))))))</f>
        <v/>
      </c>
      <c r="M37" s="150" t="str">
        <f>IF(C28="SE3000A-US",9.5,IF(C28="SE3800A-US",13,IF(C28="SE5000A-US",15.5,IF(C28="SE6000A-US",18,IF(C28="SE7600A-US",23,IF(C28="SE10000A-US",30.5,IF(C28="SE11400A-US",34.5, IF(C28="SE3000H-US",8.5,IF(C28="SE3800H-US",10.5,IF(C28="SE5000H-US",15.5,IF(C28="SE6000H-US",18,IF(C28="SE7600H-US",23,IF(C28="SE10000H-US",30.5,IF(C28="SE11400H-US",34.5,""))))))))))))))</f>
        <v/>
      </c>
      <c r="N37" s="150" t="str">
        <f>IF(D28="SE3000A-US",9.5,IF(D28="SE3800A-US",13,IF(D28="SE5000A-US",15.5,IF(D28="SE6000A-US",18,IF(D28="SE7600A-US",23,IF(D28="SE10000A-US",30.5,IF(D28="SE11400A-US",34.5, IF(D28="SE3000H-US",8.5,IF(D28="SE3800H-US",10.5,IF(D28="SE5000H-US",15.5,IF(D28="SE6000H-US",18,IF(D28="SE7600H-US",23,IF(D28="SE10000H-US",30.5,IF(D28="SE11400H-US",34.5,""))))))))))))))</f>
        <v/>
      </c>
      <c r="O37" s="150" t="str">
        <f>IF(E28="SE3000A-US",9.5,IF(E28="SE3800A-US",13,IF(E28="SE5000A-US",15.5,IF(E28="SE6000A-US",18,IF(E28="SE7600A-US",23,IF(E28="SE10000A-US",30.5,IF(E28="SE11400A-US",34.5, IF(E28="SE3000H-US",8.5,IF(E28="SE3800H-US",10.5,IF(E28="SE5000H-US",15.5,IF(E28="SE6000H-US",18,IF(E28="SE7600H-US",23,IF(E28="SE10000H-US",30.5,IF(E28="SE11400H-US",34.5,""))))))))))))))</f>
        <v/>
      </c>
      <c r="P37" s="150" t="str">
        <f>IF(F28="SE3000A-US",9.5,IF(F28="SE3800A-US",13,IF(F28="SE5000A-US",15.5,IF(F28="SE6000A-US",18,IF(F28="SE7600A-US",23,IF(F28="SE10000A-US",30.5,IF(F28="SE11400A-US",34.5, IF(F28="SE3000H-US",8.5,IF(F28="SE3800H-US",10.5,IF(F28="SE5000H-US",15.5,IF(F28="SE6000H-US",18,IF(F28="SE7600H-US",23,IF(F28="SE10000H-US",30.5,IF(F28="SE11400H-US",34.5,""))))))))))))))</f>
        <v/>
      </c>
    </row>
    <row r="38" spans="1:16" x14ac:dyDescent="0.25">
      <c r="A38" s="153" t="s">
        <v>129</v>
      </c>
      <c r="B38" s="169" t="e">
        <f>ROUND(IF(B37="YES",(LARGE(B7:B11,1)*H9)/350,""),2)</f>
        <v>#VALUE!</v>
      </c>
    </row>
    <row r="39" spans="1:16" x14ac:dyDescent="0.25">
      <c r="B39" s="149" t="s">
        <v>15</v>
      </c>
      <c r="C39" s="149" t="s">
        <v>16</v>
      </c>
      <c r="D39" s="149" t="s">
        <v>17</v>
      </c>
      <c r="E39" s="149" t="s">
        <v>18</v>
      </c>
      <c r="F39" s="149" t="s">
        <v>19</v>
      </c>
      <c r="H39" s="160" t="s">
        <v>93</v>
      </c>
      <c r="I39" s="150" t="str">
        <f>IF(AND(OR(B28="PVP 2000",B28="PVP 2500",B28="PVP 3000",B28="PVP 3500",B28="PVP 4800"),OR(C28="PVP 2000",C28="PVP 2500",C28="PVP 3000",C28="PVP 3500",C28="PVP 4800",FORM!C5=""),OR(D28="PVP 2000",D28="PVP 2500",D28="PVP 3000",D28="PVP 3500",D28="PVP 4800",FORM!D5=""),OR(E28="PVP 2000",E28="PVP 2500",E28="PVP 3000",E28="PVP 3500",E28="PVP 4800",FORM!E5=""),OR(F28="PVP 2000",F28="PVP 2500",F28="PVP 3000",F28="PVP 3500",F28="PVP 4800",FORM!F5="")),"YES","")</f>
        <v/>
      </c>
    </row>
    <row r="40" spans="1:16" x14ac:dyDescent="0.25">
      <c r="A40" s="160" t="s">
        <v>80</v>
      </c>
      <c r="B40" s="150" t="str">
        <f>IF(B3=0,"",IF(AND(B3&gt;1,B5=0),B3&amp;" STRINGS OF "&amp;B4&amp;" MODULES IN SERIES - "&amp;IF(B37="YES",350,(B4*$H$14))&amp;" Vmax",IF(B3=3,"2 STRINGS OF "&amp;B4&amp;" MODULES IN SERIES - "&amp;IF(B37="YES",350,(B4*$H$14))&amp;" Vmax","1 STRING OF "&amp;B4&amp;" MODULES IN SERIES - "&amp;IF(B37="YES",350,(B4*$H$14))&amp;" Vmax")))</f>
        <v/>
      </c>
      <c r="C40" s="150" t="str">
        <f>IF(C3=0,"",IF(AND(C3&gt;1,C5=0),C3&amp;" STRINGS OF "&amp;C4&amp;" MODULES IN SERIES - "&amp;IF(C37="YES",350,(C4*$H$14))&amp;" Vmax",IF(C3=3,"2 STRINGS OF "&amp;C4&amp;" MODULES IN SERIES - "&amp;IF(C37="YES",350,(C4*$H$14))&amp;" Vmax","1 STRING OF "&amp;C4&amp;" MODULES IN SERIES - "&amp;IF(C37="YES",350,(C4*$H$14))&amp;" Vmax")))</f>
        <v/>
      </c>
      <c r="D40" s="150" t="str">
        <f>IF(D3=0,"",IF(AND(D3&gt;1,D5=0),D3&amp;" STRINGS OF "&amp;D4&amp;" MODULES IN SERIES - "&amp;IF(B37="YES",350,(D4*$H$14))&amp;" Vmax","1 STRING OF "&amp;D4&amp;" MODULES IN SERIES - "&amp;IF(B37="YES",350,(D4*$H$14))&amp;" Vmax"))</f>
        <v/>
      </c>
      <c r="E40" s="150" t="str">
        <f>IF(E3=0,"",IF(AND(E3&gt;1,E5=0),E3&amp;" STRINGS OF "&amp;E4&amp;" MODULES IN SERIES - "&amp;IF(B37="YES",350,(E4*$H$14))&amp;" Vmax","1 STRING OF "&amp;E4&amp;" MODULES IN SERIES - "&amp;IF(B37="YES",350,(E4*$H$14))&amp;" Vmax"))</f>
        <v/>
      </c>
      <c r="F40" s="150" t="str">
        <f>IF(F3=0,"",IF(AND(F3&gt;1,F5=0),F3&amp;" STRINGS OF "&amp;F4&amp;" MODULES IN SERIES - "&amp;IF(B37="YES",350,(F4*$H$14))&amp;" Vmax","1 STRING OF "&amp;F4&amp;" MODULES IN SERIES - "&amp;IF(B37="YES",350,(F4*$H$14))&amp;" Vmax"))</f>
        <v/>
      </c>
      <c r="H40" s="153" t="s">
        <v>90</v>
      </c>
      <c r="I40" s="150" t="str">
        <f>IF(OR(B28="SMA SB 3000TL-US-22",B28="SMA SB 4000TL-US-22",B28="SMA SB 5000TL-US-22",C28="SMA SB 3000TL-US-22",C28="SMA SB 4000TL-US-22",C28="SMA SB 5000TL-US-22",D28="SMA SB 3000TL-US-22",D28="SMA SB 4000TL-US-22",D28="SMA SB 5000TL-US-22",E28="SMA SB 3000TL-US-22",E28="SMA SB 4000TL-US-22",E28="SMA SB 5000TL-US-22",F28="SMA SB 3000TL-US-22",F28="SMA SB 4000TL-US-22",F28="SMA SB 5000TL-US-22"),"YES","")</f>
        <v/>
      </c>
    </row>
    <row r="41" spans="1:16" x14ac:dyDescent="0.25">
      <c r="A41" s="160" t="s">
        <v>81</v>
      </c>
      <c r="B41" s="150" t="str">
        <f>IF(B5=0,"",IF(AND(B3&gt;1,B5&gt;0),"1 STRING OF "&amp;B5&amp;" MODULES IN SERIES - "&amp;IF(B37="YES",350,(B5*$H$14))&amp;" Vmax"))</f>
        <v/>
      </c>
      <c r="C41" s="150" t="str">
        <f>IF(C5=0,"",IF(AND(C3&gt;1,C5&gt;0),"1 STRING OF "&amp;C5&amp;" MODULES IN SERIES - "&amp;IF(B37="YES",350,(C5*$H$14))&amp;" Vmax"))</f>
        <v/>
      </c>
      <c r="D41" s="150" t="str">
        <f>IF(D5=0,"",IF(AND(D3&gt;1,D5&gt;0),"1 STRING OF "&amp;D5&amp;" MODULES IN SERIES - "&amp;IF(B37="YES",350,(D5*$H$14))&amp;" Vmax"))</f>
        <v/>
      </c>
      <c r="E41" s="150" t="str">
        <f>IF(E5=0,"",IF(AND(E3&gt;1,E5&gt;0),"1 STRING OF "&amp;E5&amp;" MODULES IN SERIES - "&amp;IF(B37="YES",350,(E5*$H$14))&amp;" Vmax"))</f>
        <v/>
      </c>
      <c r="F41" s="150" t="str">
        <f>IF(F5=0,"",IF(AND(F3&gt;1,F5&gt;0),"1 STRING OF "&amp;F5&amp;" MODULES IN SERIES - "&amp;IF(B37="YES",350,(F5*$H$14))&amp;" Vmax"))</f>
        <v/>
      </c>
      <c r="H41" s="153" t="s">
        <v>97</v>
      </c>
      <c r="I41" s="150" t="str">
        <f>IF(AND(FORM!F5="M215 MICROINVERTERS",FORM!B5="",FORM!C5="",FORM!D5="",FORM!E5=""),"YES","")</f>
        <v/>
      </c>
    </row>
    <row r="42" spans="1:16" x14ac:dyDescent="0.25">
      <c r="H42" s="153" t="s">
        <v>195</v>
      </c>
      <c r="I42" s="150" t="str">
        <f>IF(OR(F2="M215 MICROINVERTERS",F2="M250 MICROINVERTERS"),"YES","NO")</f>
        <v>NO</v>
      </c>
    </row>
    <row r="43" spans="1:16" x14ac:dyDescent="0.25">
      <c r="H43" s="153" t="s">
        <v>196</v>
      </c>
      <c r="I43" s="150">
        <f>F2</f>
        <v>0</v>
      </c>
    </row>
    <row r="44" spans="1:16" x14ac:dyDescent="0.25">
      <c r="A44" s="153" t="s">
        <v>89</v>
      </c>
      <c r="B44" s="150">
        <v>1</v>
      </c>
      <c r="C44" s="150" t="s">
        <v>88</v>
      </c>
      <c r="D44" s="150">
        <f>IF(C44="","",1)</f>
        <v>1</v>
      </c>
    </row>
    <row r="45" spans="1:16" x14ac:dyDescent="0.25">
      <c r="B45" s="150">
        <v>2</v>
      </c>
      <c r="C45" s="150" t="str">
        <f>IF(FORM!I24="STANDARD SIZING",IF(AND(I39="YES",B35&gt;100),"SIZE ACCORDINGLY",IF(AND(I39="YES",B35&gt;85),"1'' CONDUIT W/ 2-#3 THWN-2, 1-#8 THWN-2 GROUND",IF(AND(I39="YES",B35&gt;65),"3/4'' CONDUIT W/ 2-#4 THWN-2, 1-#8 THWN-2 GROUND",IF(AND(I39="YES",B35&gt;50,B35&lt;=60),"3/4'' CONDUIT W/ 2-#6 THWN-2, 1-#10 THWN-2 GROUND",IF(AND(I39="YES",B35&gt;50),"3/4'' CONDUIT W/ 2-#6 THWN-2, 1-#8 THWN-2 GROUND",IF(AND(I39="YES",B35&gt;30),"3/4'' CONDUIT W/ 2-#8 THWN-2, 1-#8 THWN-2 GROUND",IF(I39="YES","3/4'' CONDUIT W/ 2-#10 THWN-2, 1-#10 THWN-2 GROUND",
IF(AND(I40="YES",B35&gt;100),"SIZE ACCORDINGLY",IF(AND(I40="YES",B35&gt;85),"1'' CONDUIT W/ 2-#3 THWN-2, 1-#8 THWN-2, 1-#6 THWN-2 GROUND",IF(AND(I40="YES",B35&gt;65),"1'' CONDUIT W/ 2-#4 THWN-2, 1-#8 THWN-2, 1-#6 THWN-2 GROUND",IF(AND(I40="YES",B35&gt;50,B35&lt;=60),"3/4'' CONDUIT W/ 2-#6 THWN-2, 1-#10 THWN-2, 1-#6 THWN-2 GROUND",IF(AND(I40="YES",B35&gt;50),"3/4'' CONDUIT W/ 2-#6 THWN-2, 1-#8 THWN-2, 1-#6 THWN-2 GROUND",IF(AND(I40="YES",B35&gt;30),"3/4'' CONDUIT W/ 3-#8 THWN-2, 1-#6 THWN-2 GROUND",IF(I40="YES","3/4'' CONDUIT W/ 3-#10 THWN-2, 1-#6 THWN-2 GROUND",
IF(B35&gt;100,"SIZE ACCORDINGLY",IF(B35&gt;85,"1'' CONDUIT W/ 2-#3 THWN-2, 1-#8 THWN-2, 1-#8 THWN-2 GROUND",IF(B35&gt;65,"1'' CONDUIT W/ 2-#4 THWN-2, 1-#8 THWN-2, 1-#8THWN-2 GROUND",IF(AND(B35&gt;50,B35&lt;=60),"3/4'' CONDUIT W/ 2-#6 THWN-2, 1-#10 THWN-2, 1-#10 THWN-2 GROUND",IF(B35&gt;50,"3/4'' CONDUIT W/ 2-#6 THWN-2, 1-#8 THWN-2, 1-#8 THWN-2 GROUND",IF(B35&gt;30,"3/4'' CONDUIT W/ 2-#8 THWN-2, 1-#10 THWN-2, 1-#10 THWN-2 GROUND","3/4'' CONDUIT W/ 3-#10 THWN-2, 1-#10 THWN-2 GROUND")))))))))))))))))))),
IF(AND(I39="YES",B35&gt;100),"SIZE ACCORDINGLY",IF(AND(I39="YES",B35&gt;85),"1'' CONDUIT W/ 2-#3 THWN-2, 1-#8 THWN-2 GROUND",IF(AND(I39="YES",B35&gt;65),"1'' CONDUIT W/ 2-#4 THWN-2, 1-#8 THWN-2 GROUND",IF(AND(I39="YES",B35&gt;50,B35&lt;=60),"1'' CONDUIT W/ 2-#6 THWN-2, 1-#10 THWN-2 GROUND",IF(AND(I39="YES",B35&gt;50),"1'' CONDUIT W/ 2-#6 THWN-2, 1-#8 THWN-2 GROUND",IF(AND(I39="YES",B35&gt;30),"1'' CONDUIT W/ 2-#8 THWN-2, 1-#8 THWN-2 GROUND",IF(I39="YES","1'' CONDUIT W/ 2-#10 THWN-2, 1-#10 THWN-2 GROUND",
IF(AND(I40="YES",B35&gt;100),"SIZE ACCORDINGLY",IF(AND(I40="YES",B35&gt;85),"1'' CONDUIT W/ 2-#3 THWN-2, 1-#8 THWN-2, 1-#6 THWN-2 GROUND",IF(AND(I40="YES",B35&gt;65),"1'' CONDUIT W/ 2-#4 THWN-2, 1-#8 THWN-2, 1-#6 THWN-2 GROUND",IF(AND(I40="YES",B35&gt;50,B35&lt;=60),"1'' CONDUIT W/ 2-#6 THWN-2, 1-#10 THWN-2, 1-#6 THWN-2 GROUND",IF(AND(I40="YES",B35&gt;50),"1'' CONDUIT W/ 2-#6 THWN-2, 1-#8 THWN-2, 1-#6 THWN-2 GROUND",IF(AND(I40="YES",B35&gt;30),"1'' CONDUIT W/ 3-#8 THWN-2, 1-#6 THWN-2 GROUND",IF(I40="YES","1'' CONDUIT W/ 3-#10 THWN-2, 1-#6 THWN-2 GROUND",
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2-#8 THWN-2, 1-#10 THWN-2, 1-#10 THWN-2 GROUND","1'' CONDUIT W/ 3-#10 THWN-2, 1-#10 THWN-2 GROUND")))))))))))))))))))))</f>
        <v>3/4'' CONDUIT W/ 3-#10 THWN-2, 1-#10 THWN-2 GROUND</v>
      </c>
      <c r="D45" s="150">
        <f>IF(C45="","",2)</f>
        <v>2</v>
      </c>
    </row>
    <row r="46" spans="1:16" x14ac:dyDescent="0.25">
      <c r="B46" s="150">
        <v>3</v>
      </c>
      <c r="C46" s="150" t="str">
        <f>IF(FORM!I24="STANDARD SIZING",
IF(B60=0,"",IF(B60&gt;61,"SIZE ACCORDINGLY",IF(B60&gt;36,"2''",IF(B60&gt;26,"1 1/2''",IF(B60&gt;14,"1 1/4''",IF(B60&gt;8,"1''",IF(B60&gt;4,"3/4''","3/4''"))))&amp;" CONDUIT W/ "&amp;B60&amp;"-#10 THWN-2, 1-#10 THWN-2 GROUND"))),
 IF(B60=0,"",IF(B60&gt;61,"SIZE ACCORDINGLY",IF(B60&gt;36,"2''",IF(B60&gt;26,"1 1/2''",IF(B60&gt;14,"1 1/4''",IF(B60&gt;8,"1''",IF(B60&gt;4,"1''","1''"))))&amp;" CONDUIT W/ "&amp;B60&amp;"-#10 THWN-2, 1-#10 THWN-2 GROUND"))))</f>
        <v/>
      </c>
      <c r="D46" s="150" t="str">
        <f>IF(C46="","",3)</f>
        <v/>
      </c>
    </row>
    <row r="47" spans="1:16" x14ac:dyDescent="0.25">
      <c r="B47" s="150">
        <v>4</v>
      </c>
      <c r="C47" s="150" t="str">
        <f xml:space="preserve"> IF(FORM!I24="STANDARD SIZING",
IF(I26=0,"",IF((I26*3)&gt;61,"SIZE ACCORDINGLY",IF((I26*3)&gt;36,"2''",IF((I26*3)&gt;26,"1 1/2''",IF((I26*3)&gt;14,"1 1/4''",IF((I26*3)&gt;8,"1''",IF((I26*3)&gt;4,"3/4''","3/4''"))))&amp;" CONDUIT W/ "&amp;(I26*3)&amp;"-#10 THWN-2, 1-#10 THWN-2 GROUND"))),
IF(I26=0,"",IF((I26*3)&gt;61,"SIZE ACCORDINGLY",IF((I26*3)&gt;36,"2''",IF((I26*3)&gt;26,"1 1/2''",IF((I26*3)&gt;14,"1 1/4''",IF((I26*3)&gt;8,"1''",IF((I26*3)&gt;4,"1''","1''"))))&amp;" CONDUIT W/ "&amp;(I26*3)&amp;"-#10 THWN-2, 1-#10 THWN-2 GROUND"))))</f>
        <v/>
      </c>
      <c r="D47" s="150" t="str">
        <f>IF(C47="","",4)</f>
        <v/>
      </c>
    </row>
    <row r="48" spans="1:16" x14ac:dyDescent="0.25">
      <c r="B48" s="150">
        <v>5</v>
      </c>
      <c r="C48" s="150" t="str">
        <f>IF(FORM!I24="STANDARD SIZING",
IF(B3=0,"","3/4'' CONDUIT W/ "&amp;(B3*2)&amp;"-#10 THWN-2, 1-#10 THWN-2 GROUND"),
IF(B3=0,"","1'' CONDUIT W/ "&amp;(B3*2)&amp;"-#10 THWN-2, 1-#10 THWN-2 GROUND"))</f>
        <v/>
      </c>
      <c r="D48" s="150" t="str">
        <f>IF(C48="","",5)</f>
        <v/>
      </c>
    </row>
    <row r="49" spans="1:4" x14ac:dyDescent="0.25">
      <c r="B49" s="150">
        <v>6</v>
      </c>
      <c r="C49" s="150" t="str">
        <f>IF(FORM!I24="STANDARD SIZING",
IF(C3=0,"","3/4'' CONDUIT W/ "&amp;(C3*2)&amp;"-#10 THWN-2, 1-#10 THWN-2 GROUND"),
IF(C3=0,"","1'' CONDUIT W/ "&amp;(C3*2)&amp;"-#10 THWN-2, 1-#10 THWN-2 GROUND"))</f>
        <v/>
      </c>
      <c r="D49" s="150" t="str">
        <f>IF(C49="","",6)</f>
        <v/>
      </c>
    </row>
    <row r="50" spans="1:4" x14ac:dyDescent="0.25">
      <c r="B50" s="150">
        <v>7</v>
      </c>
      <c r="C50" s="150" t="str">
        <f>IF(FORM!I24="STANDARD SIZING",
IF(D3=0,"","3/4'' CONDUIT W/ "&amp;(D3*2)&amp;"-#10 THWN-2, 1-#10 THWN-2 GROUND"),
IF(D3=0,"","1'' CONDUIT W/ "&amp;(D3*2)&amp;"-#10 THWN-2, 1-#10 THWN-2 GROUND"))</f>
        <v/>
      </c>
      <c r="D50" s="150" t="str">
        <f>IF(C50="","",7)</f>
        <v/>
      </c>
    </row>
    <row r="51" spans="1:4" x14ac:dyDescent="0.25">
      <c r="B51" s="150">
        <v>8</v>
      </c>
      <c r="C51" s="150" t="str">
        <f>IF(B2=0,"",IF(B2=INVERTERS!A11,INVERTERS!D11,IF(B2=INVERTERS!A12,INVERTERS!D12,IF(B2=INVERTERS!A13,INVERTERS!D13,IF(B2=INVERTERS!A14,INVERTERS!D14,IF(B2=INVERTERS!A15,INVERTERS!D15,IF(B2=INVERTERS!A16,INVERTERS!D16,IF(B2=INVERTERS!A17,INVERTERS!D17,IF(B2=INVERTERS!A18,INVERTERS!D18,IF(B2=INVERTERS!A19,INVERTERS!D19,IF(B2=INVERTERS!A20,INVERTERS!D20,IF(B2=INVERTERS!A21,INVERTERS!D21,IF(B2=INVERTERS!A22,INVERTERS!D22,IF(B2=INVERTERS!A23,INVERTERS!D23,IF(B2=INVERTERS!A24,INVERTERS!D24,IF(B2=INVERTERS!A9,INVERTERS!D9,IF(B2=INVERTERS!A2,INVERTERS!D2,IF(B2=INVERTERS!A3,INVERTERS!D3,IF(B2=INVERTERS!A4,INVERTERS!D4,IF(B2=INVERTERS!A5,INVERTERS!D5,IF(B2=INVERTERS!A6,INVERTERS!D6,IF(B2=INVERTERS!A7,INVERTERS!D7,IF(B2=INVERTERS!A8,INVERTERS!D8,IF(B2=INVERTERS!A10,INVERTERS!D10,IF(B2=INVERTERS!A25,INVERTERS!D25,IF(B2=INVERTERS!A26,INVERTERS!D26))))))))))))))))))))))))))</f>
        <v/>
      </c>
      <c r="D51" s="150" t="str">
        <f>IF(C51="","",8)</f>
        <v/>
      </c>
    </row>
    <row r="52" spans="1:4" x14ac:dyDescent="0.25">
      <c r="B52" s="150">
        <v>9</v>
      </c>
      <c r="C52" s="150" t="str">
        <f>IF(C2=0,"",IF(C2=INVERTERS!A11,INVERTERS!D11,IF(C2=INVERTERS!A12,INVERTERS!D12,IF(C2=INVERTERS!A13,INVERTERS!D13,IF(C2=INVERTERS!A14,INVERTERS!D14,IF(C2=INVERTERS!A15,INVERTERS!D15,IF(C2=INVERTERS!A16,INVERTERS!D16,IF(C2=INVERTERS!A17,INVERTERS!D17,IF(C2=INVERTERS!A18,INVERTERS!D18,IF(C2=INVERTERS!A19,INVERTERS!D19,IF(C2=INVERTERS!A20,INVERTERS!D20,IF(C2=INVERTERS!A21,INVERTERS!D21,IF(C2=INVERTERS!A22,INVERTERS!D22,IF(C2=INVERTERS!A23,INVERTERS!D23,IF(C2=INVERTERS!A24,INVERTERS!D24,IF(C2=INVERTERS!A9,INVERTERS!D9,IF(C2=INVERTERS!A2,INVERTERS!D2,IF(C2=INVERTERS!A3,INVERTERS!D3,IF(C2=INVERTERS!A4,INVERTERS!D4,IF(C2=INVERTERS!A5,INVERTERS!D5,IF(C2=INVERTERS!A6,INVERTERS!D6,IF(C2=INVERTERS!A7,INVERTERS!D7,IF(C2=INVERTERS!A8,INVERTERS!D8,IF(C2=INVERTERS!A10,INVERTERS!D10,IF(C2=INVERTERS!A25,INVERTERS!D25,IF(C2=INVERTERS!A26,INVERTERS!D26))))))))))))))))))))))))))</f>
        <v/>
      </c>
      <c r="D52" s="150" t="str">
        <f>IF(C52="","",9)</f>
        <v/>
      </c>
    </row>
    <row r="53" spans="1:4" x14ac:dyDescent="0.25">
      <c r="B53" s="150">
        <v>10</v>
      </c>
      <c r="C53" s="150" t="str">
        <f>IF(D2=0,"",IF(D2=INVERTERS!A11,INVERTERS!D11,IF(D2=INVERTERS!A12,INVERTERS!D12,IF(D2=INVERTERS!A13,INVERTERS!D13,IF(D2=INVERTERS!A14,INVERTERS!D14,IF(D2=INVERTERS!A15,INVERTERS!D15,IF(D2=INVERTERS!A16,INVERTERS!D16,IF(D2=INVERTERS!A17,INVERTERS!D17,IF(D2=INVERTERS!A18,INVERTERS!D18,IF(D2=INVERTERS!A19,INVERTERS!D19,IF(D2=INVERTERS!A20,INVERTERS!D20,IF(D2=INVERTERS!A21,INVERTERS!D21,IF(D2=INVERTERS!A22,INVERTERS!D22,IF(D2=INVERTERS!A23,INVERTERS!D23,IF(D2=INVERTERS!A24,INVERTERS!D24,IF(D2=INVERTERS!A9,INVERTERS!D9,IF(D2=INVERTERS!A2,INVERTERS!D2,IF(D2=INVERTERS!A3,INVERTERS!D3,IF(D2=INVERTERS!A4,INVERTERS!D4,IF(D2=INVERTERS!A5,INVERTERS!D5,IF(D2=INVERTERS!A6,INVERTERS!D6,IF(D2=INVERTERS!A7,INVERTERS!D7,IF(D2=INVERTERS!A8,INVERTERS!D8,IF(D2=INVERTERS!A10,INVERTERS!D10,IF(D2=INVERTERS!A25,INVERTERS!D25,IF(D2=INVERTERS!A26,INVERTERS!D26))))))))))))))))))))))))))</f>
        <v/>
      </c>
      <c r="D53" s="150" t="str">
        <f>IF(C53="","",10)</f>
        <v/>
      </c>
    </row>
    <row r="54" spans="1:4" x14ac:dyDescent="0.25">
      <c r="B54" s="150">
        <v>11</v>
      </c>
      <c r="C54" s="150" t="str">
        <f>IF(I41="YES","",IF(FORM!E12="CT","#10 PV WIRE (FREE AIR) W/ #8 BARE COPPER BOND TO ARRAY","#10 PV WIRE (FREE AIR) W/ #6 BARE COPPER BOND TO ARRAY"))</f>
        <v>#10 PV WIRE (FREE AIR) W/ #6 BARE COPPER BOND TO ARRAY</v>
      </c>
      <c r="D54" s="150">
        <f>IF(C54="","",11)</f>
        <v>11</v>
      </c>
    </row>
    <row r="55" spans="1:4" x14ac:dyDescent="0.25">
      <c r="B55" s="150">
        <v>12</v>
      </c>
      <c r="C55" s="150" t="str">
        <f>IF(FORM!F5="M215 MICROINVERTERS","FACTORY INSTALLED WIRES FROM ENPHASE M215 MICROINVERTERS W/ #8 BARE COPPER BOND TO MODULES AND RAILS","")</f>
        <v/>
      </c>
      <c r="D55" s="150" t="str">
        <f>IF(C55="","",12)</f>
        <v/>
      </c>
    </row>
    <row r="56" spans="1:4" x14ac:dyDescent="0.25">
      <c r="B56" s="150">
        <v>13</v>
      </c>
      <c r="C56" s="150" t="str">
        <f>IF(FORM!I24="STANDARD SIZING",
IF(E25="YES",IF(B35&gt;100,"SIZE ACCORDINGLY",IF(B35&gt;85,"1 1/4'' CONDUIT W/ 3-#3 THWN-2, 1-#8 THWN-2 GROUND",IF(B35&gt;65,"1'' CONDUIT W/ 3-#4 THWN-2, 1-#8 THWN-2 GROUND","3/4'' CONDUIT W/ 3-#6 THWN-2, 1-#8 THWN-2 GROUND"))),""),
IF(E25="YES",IF(B35&gt;100,"SIZE ACCORDINGLY",IF(B35&gt;85,"1 1/4'' CONDUIT W/ 3-#3 THWN-2, 1-#8 THWN-2 GROUND",IF(B35&gt;65,"1'' CONDUIT W/ 3-#4 THWN-2, 1-#8 THWN-2 GROUND","1'' CONDUIT W/ 3-#6 THWN-2, 1-#8 THWN-2 GROUND"))),""))</f>
        <v/>
      </c>
      <c r="D56" s="150" t="str">
        <f>IF(C56="","",13)</f>
        <v/>
      </c>
    </row>
    <row r="57" spans="1:4" x14ac:dyDescent="0.25">
      <c r="B57" s="150">
        <v>14</v>
      </c>
      <c r="C57" s="150" t="str">
        <f xml:space="preserve">
IF(FORM!E16="AC",IF(CALCULATIONS!B112=1,"1 1/4''","1''")&amp;" PVC W/ 2-#"&amp;B112&amp;" THWN-2, 1-#"&amp;B113&amp;" THWN-2, 1-#"&amp;B113&amp;" THWN-2 GROUND (TRENCHED APPROX. "&amp;FORM!E17&amp;"')",
IF(FORM!E16="DC","1'' PVC W/ "&amp;(SUM(B3:F3)*2)&amp;"-#"&amp;B112&amp;" THWN-2, 1-#8 THWN-2 GROUND (TRENCHED APPROX. "&amp;FORM!E17&amp;"')",""))</f>
        <v/>
      </c>
      <c r="D57" s="150" t="str">
        <f>IF(C57="","",14)</f>
        <v/>
      </c>
    </row>
    <row r="58" spans="1:4" x14ac:dyDescent="0.25">
      <c r="B58" s="150">
        <v>15</v>
      </c>
      <c r="D58" s="150" t="str">
        <f>IF(C58="","",15)</f>
        <v/>
      </c>
    </row>
    <row r="60" spans="1:4" x14ac:dyDescent="0.25">
      <c r="A60" s="153" t="s">
        <v>96</v>
      </c>
      <c r="B60" s="150">
        <f>(SUM(B3:F3)*2)+(I26*3)</f>
        <v>0</v>
      </c>
      <c r="C60" s="150" t="s">
        <v>95</v>
      </c>
    </row>
    <row r="65" spans="1:9" x14ac:dyDescent="0.25">
      <c r="A65" s="153" t="s">
        <v>110</v>
      </c>
      <c r="B65" s="150">
        <v>1</v>
      </c>
      <c r="C65" s="150" t="str">
        <f>C12
&amp;IF(B37="YES"," ---"&amp;" "&amp;IF(H9&lt;301,"P300","P350")&amp;" SE OPTIMIZERS","")</f>
        <v>0</v>
      </c>
      <c r="D65" s="150">
        <f>IF(C65="","",1)</f>
        <v>1</v>
      </c>
      <c r="E65" s="150">
        <f>B12</f>
        <v>0</v>
      </c>
      <c r="H65" s="153" t="s">
        <v>112</v>
      </c>
      <c r="I65" s="150" t="str">
        <f>FORM!E13</f>
        <v>YES</v>
      </c>
    </row>
    <row r="66" spans="1:9" x14ac:dyDescent="0.25">
      <c r="B66" s="150">
        <v>2</v>
      </c>
      <c r="C66" s="150" t="str">
        <f>IF(FORM!B5="","",
IF(FORM!B17="",FORM!B5,IF(FORM!B17="INTERNAL",
IF(FORM!B5="SE7600A-US",FORM!B5&amp;"002NNR2",IF(OR(FORM!B5="SE3000A-US", FORM!B5="SE3800A-US", FORM!B5="SE5000A-US", FORM!B5="SE6000A-US", FORM!B5="SE10000A-US", FORM!B5="SE11400A-US"),FORM!B5&amp;"000NNR2", IF(OR(FORM!B5="SE3000H-US", FORM!B5="SE3800H-US", FORM!B5="SE5000H-US", FORM!B5="SE6000H-US", FORM!B5="SE7600H-US", FORM!B5="SE10000H-US", FORM!B5="SE11400H-US"), FORM!B5&amp;"000NNC2", FORM!B5))),
FORM!B5)))</f>
        <v/>
      </c>
      <c r="D66" s="150" t="str">
        <f>IF(C66="","",2)</f>
        <v/>
      </c>
      <c r="E66" s="150">
        <v>1</v>
      </c>
      <c r="H66" s="153" t="s">
        <v>116</v>
      </c>
      <c r="I66" s="150">
        <f>CALCULATIONS!B12-FORM!E14</f>
        <v>0</v>
      </c>
    </row>
    <row r="67" spans="1:9" x14ac:dyDescent="0.25">
      <c r="B67" s="150">
        <v>3</v>
      </c>
      <c r="C67" s="150" t="str">
        <f>IF(FORM!C5="","",
IF(FORM!B17="",FORM!C5,IF(FORM!B17="INTERNAL",
IF(FORM!C5="SE7600A-US",FORM!C5&amp;"002NNR2",IF(OR(FORM!C5="SE3000A-US", FORM!C5="SE3800A-US", FORM!C5="SE5000A-US", FORM!C5="SE6000A-US", FORM!C5="SE10000A-US", FORM!C5="SE11400A-US"),FORM!C5&amp;"000NNR2", IF(OR(FORM!C5="SE3000H-US", FORM!C5="SE3800H-US", FORM!C5="SE5000H-US", FORM!C5="SE6000H-US", FORM!C5="SE7600H-US", FORM!C5="SE10000H-US", FORM!C5="SE11400H-US"), FORM!C5&amp;"000NNC2", FORM!C5))),
FORM!C5)))</f>
        <v/>
      </c>
      <c r="D67" s="150" t="str">
        <f>IF(C67="","",3)</f>
        <v/>
      </c>
      <c r="E67" s="150">
        <v>1</v>
      </c>
      <c r="H67" s="153" t="s">
        <v>117</v>
      </c>
      <c r="I67" s="150">
        <f>FORM!E14</f>
        <v>0</v>
      </c>
    </row>
    <row r="68" spans="1:9" x14ac:dyDescent="0.25">
      <c r="B68" s="150">
        <v>4</v>
      </c>
      <c r="C68" s="150" t="str">
        <f>IF(FORM!D5="","",
IF(FORM!B17="",FORM!D5,IF(FORM!B17="INTERNAL",
IF(FORM!D5="SE7600A-US",FORM!D5&amp;"002NNR2",IF(OR(FORM!D5="SE3000A-US", FORM!D5="SE3800A-US", FORM!D5="SE5000A-US", FORM!D5="SE6000A-US", FORM!D5="SE10000A-US", FORM!D5="SE11400A-US"),FORM!D5&amp;"000NNR2", IF(OR(FORM!D5="SE3000H-US", FORM!D5="SE3800H-US", FORM!D5="SE5000H-US", FORM!D5="SE6000H-US", FORM!D5="SE7600H-US", FORM!D5="SE10000H-US", FORM!D5="SE11400H-US"), FORM!D5&amp;"000NNC2", FORM!D5))),
FORM!D5)))</f>
        <v/>
      </c>
      <c r="D68" s="150" t="str">
        <f>IF(C68="","",4)</f>
        <v/>
      </c>
      <c r="E68" s="150">
        <v>1</v>
      </c>
      <c r="H68" s="153" t="s">
        <v>118</v>
      </c>
      <c r="I68" s="150">
        <f>(I66*7.5)+(I67*11.5)</f>
        <v>0</v>
      </c>
    </row>
    <row r="69" spans="1:9" x14ac:dyDescent="0.25">
      <c r="B69" s="150">
        <v>5</v>
      </c>
      <c r="C69" s="150" t="str">
        <f>IF(FORM!E5="","",
IF(FORM!B17="",FORM!E5,IF(FORM!B17="INTERNAL",
IF(FORM!E5="SE7600A-US",FORM!E5&amp;"002NNR2",IF(OR(FORM!E5="SE3000A-US", FORM!E5="SE3800A-US", FORM!E5="SE5000A-US", FORM!E5="SE6000A-US", FORM!E5="SE10000A-US", FORM!E5="SE11400A-US"),FORM!E5&amp;"000NNR2", IF(OR(FORM!E5="SE3000H-US", FORM!E5="SE3800H-US", FORM!E5="SE5000H-US", FORM!E5="SE6000H-US", FORM!E5="SE7600H-US", FORM!E5="SE10000H-US", FORM!E5="SE11400H-US"), FORM!E5&amp;"000NNC2", FORM!E5))),
FORM!E5)))</f>
        <v/>
      </c>
      <c r="D69" s="150" t="str">
        <f>IF(C69="","",5)</f>
        <v/>
      </c>
      <c r="E69" s="150">
        <v>1</v>
      </c>
      <c r="H69" s="153" t="s">
        <v>120</v>
      </c>
      <c r="I69" s="150">
        <f>IF(I68&lt;=20,20,
IF(I68&lt;=40,40,
IF(I68&lt;=60,60,
IF(I68&lt;=80,80,
IF(I68&lt;=100,100,
IF(I68&lt;=120,120,
IF(I68&lt;=140,140,
IF(I68&lt;=160,160,
IF(I68&lt;=180,180,
IF(I68&lt;=200,200,
IF(I68&lt;=220,220,
IF(I68&lt;=240,240,
IF(I68&lt;=260,260,
IF(I68&lt;=280,280,
IF(I68&lt;=300,300,
IF(I68&lt;=320,320,
IF(I68&lt;=340,340,
IF(I68&lt;=360,360,
IF(I68&lt;=380,380,
IF(I68&lt;=400,400,
IF(I68&lt;=420,420,
IF(I68&lt;=440,440,
IF(I68&lt;=460,460,
IF(I68&lt;=480,480,
IF(I68&lt;=500,500,
IF(I68&lt;=520,520,
IF(I68&lt;=540,540,
IF(I68&lt;=560,560,
IF(I68&lt;=580,580,
IF(I68&lt;=600,600,0)
)))))))))))))))))))))))))))))</f>
        <v>20</v>
      </c>
    </row>
    <row r="70" spans="1:9" x14ac:dyDescent="0.25">
      <c r="B70" s="150">
        <v>6</v>
      </c>
      <c r="C70" s="150" t="str">
        <f>IF(I42="YES","ENVOY MONITORING",IF(FORM!F5="","",FORM!F5))</f>
        <v/>
      </c>
      <c r="D70" s="150" t="str">
        <f>IF(C70="","",6)</f>
        <v/>
      </c>
      <c r="E70" s="150">
        <v>1</v>
      </c>
      <c r="H70" s="153" t="s">
        <v>119</v>
      </c>
      <c r="I70" s="150">
        <f>ROUNDUP((I69/14),0)</f>
        <v>2</v>
      </c>
    </row>
    <row r="71" spans="1:9" x14ac:dyDescent="0.25">
      <c r="B71" s="150">
        <v>7</v>
      </c>
      <c r="C71" s="150" t="str">
        <f>IF(I42="YES",F2,"")</f>
        <v/>
      </c>
      <c r="D71" s="150" t="str">
        <f>IF(C71="","",7)</f>
        <v/>
      </c>
      <c r="E71" s="150">
        <f>I27</f>
        <v>0</v>
      </c>
    </row>
    <row r="72" spans="1:9" x14ac:dyDescent="0.25">
      <c r="B72" s="150">
        <v>8</v>
      </c>
      <c r="C72" s="150" t="str">
        <f>IF(OR(COUNT(FORM!B6:F6)&gt;=2,COUNT(FORM!I6:I10)&gt;=2),(COUNT(FORM!B6:F6)*2)+(COUNT(FORM!I6:I10)*2)&amp;"-SPACE SUBPANEL"&amp;IF(I65="YES"," (OUTDOOR)"," ( INDOOR)"),"")</f>
        <v/>
      </c>
      <c r="D72" s="150" t="str">
        <f>IF(C72="","",8)</f>
        <v/>
      </c>
      <c r="E72" s="150">
        <v>1</v>
      </c>
    </row>
    <row r="73" spans="1:9" x14ac:dyDescent="0.25">
      <c r="B73" s="150">
        <v>9</v>
      </c>
      <c r="C73" s="150" t="str">
        <f>IF(E25="YES",'LARGE TABLE'!B2&amp;"A INDOOR FUSED DISCONNECT W/ (2) "&amp;'LARGE TABLE'!B1&amp;"A FUSES",FORM!E20&amp;" 2p"&amp;'LARGE TABLE'!B1&amp;"A BACKFEED BREAKER")</f>
        <v xml:space="preserve"> 2p0A BACKFEED BREAKER</v>
      </c>
      <c r="D73" s="150">
        <f>IF(C73="","",9)</f>
        <v>9</v>
      </c>
      <c r="E73" s="150">
        <v>1</v>
      </c>
    </row>
    <row r="74" spans="1:9" x14ac:dyDescent="0.25">
      <c r="B74" s="150">
        <v>10</v>
      </c>
      <c r="C74" s="150" t="str">
        <f>IF(C75="","","2p"&amp;'LARGE TABLE'!B6&amp;"A BREAKER")</f>
        <v/>
      </c>
      <c r="D74" s="150" t="str">
        <f>IF(C74="","",10)</f>
        <v/>
      </c>
      <c r="E74" s="150">
        <v>1</v>
      </c>
    </row>
    <row r="75" spans="1:9" x14ac:dyDescent="0.25">
      <c r="B75" s="150">
        <v>11</v>
      </c>
      <c r="C75" s="150" t="str">
        <f>IF(FORM!C5="","","2p"&amp;'LARGE TABLE'!B7&amp;"A BREAKER")</f>
        <v/>
      </c>
      <c r="D75" s="150" t="str">
        <f>IF(C75="","",11)</f>
        <v/>
      </c>
      <c r="E75" s="150">
        <v>1</v>
      </c>
    </row>
    <row r="76" spans="1:9" x14ac:dyDescent="0.25">
      <c r="B76" s="150">
        <v>12</v>
      </c>
      <c r="C76" s="150" t="str">
        <f>IF(FORM!D5="","","2p"&amp;'LARGE TABLE'!B8&amp;"A BREAKER")</f>
        <v/>
      </c>
      <c r="D76" s="150" t="str">
        <f>IF(C76="","",12)</f>
        <v/>
      </c>
      <c r="E76" s="150">
        <v>1</v>
      </c>
    </row>
    <row r="77" spans="1:9" x14ac:dyDescent="0.25">
      <c r="B77" s="150">
        <v>13</v>
      </c>
      <c r="C77" s="150" t="str">
        <f>IF(FORM!E5="","","2p"&amp;'LARGE TABLE'!B9&amp;"A BREAKER")</f>
        <v/>
      </c>
      <c r="D77" s="150" t="str">
        <f>IF(C77="","",13)</f>
        <v/>
      </c>
      <c r="E77" s="150">
        <v>1</v>
      </c>
    </row>
    <row r="78" spans="1:9" x14ac:dyDescent="0.25">
      <c r="B78" s="150">
        <v>14</v>
      </c>
      <c r="C78" s="150" t="str">
        <f>IF(I42="YES","",IF(FORM!F5="","","2p"&amp;'LARGE TABLE'!B10&amp;"A BREAKER"))</f>
        <v/>
      </c>
      <c r="D78" s="150" t="str">
        <f>IF(C78="","",14)</f>
        <v/>
      </c>
      <c r="E78" s="150">
        <v>1</v>
      </c>
    </row>
    <row r="79" spans="1:9" x14ac:dyDescent="0.25">
      <c r="B79" s="150">
        <v>15</v>
      </c>
      <c r="C79" s="150" t="str">
        <f>IF(AND(I42="YES",CALCULATIONS!I26&gt;=1),"2p"&amp;'LARGE TABLE'!B11&amp;"A BREAKER","")</f>
        <v/>
      </c>
      <c r="D79" s="150" t="str">
        <f>IF(C79="","",15)</f>
        <v/>
      </c>
      <c r="E79" s="150">
        <v>1</v>
      </c>
    </row>
    <row r="80" spans="1:9" x14ac:dyDescent="0.25">
      <c r="B80" s="150">
        <v>16</v>
      </c>
      <c r="C80" s="150" t="str">
        <f>IF(AND(I42="YES",CALCULATIONS!I26&gt;=2),"2p"&amp;'LARGE TABLE'!B12&amp;"A BREAKER","")</f>
        <v/>
      </c>
      <c r="D80" s="150" t="str">
        <f>IF(C80="","",16)</f>
        <v/>
      </c>
      <c r="E80" s="150">
        <v>1</v>
      </c>
    </row>
    <row r="81" spans="2:5" x14ac:dyDescent="0.25">
      <c r="B81" s="150">
        <v>17</v>
      </c>
      <c r="C81" s="150" t="str">
        <f>IF(AND(I42="YES",CALCULATIONS!I26&gt;=3),"2p"&amp;'LARGE TABLE'!B13&amp;"A BREAKER","")</f>
        <v/>
      </c>
      <c r="D81" s="150" t="str">
        <f>IF(C81="","",17)</f>
        <v/>
      </c>
      <c r="E81" s="150">
        <v>1</v>
      </c>
    </row>
    <row r="82" spans="2:5" x14ac:dyDescent="0.25">
      <c r="B82" s="150">
        <v>18</v>
      </c>
      <c r="C82" s="150" t="str">
        <f>IF(AND(I42="YES",CALCULATIONS!I26&gt;=4),"2p"&amp;'LARGE TABLE'!B14&amp;"A BREAKER","")</f>
        <v/>
      </c>
      <c r="D82" s="150" t="str">
        <f>IF(C82="","",18)</f>
        <v/>
      </c>
      <c r="E82" s="150">
        <v>1</v>
      </c>
    </row>
    <row r="83" spans="2:5" x14ac:dyDescent="0.25">
      <c r="B83" s="150">
        <v>19</v>
      </c>
      <c r="C83" s="150" t="str">
        <f>IF(AND(I42="YES",CALCULATIONS!I26&gt;=5),"2p"&amp;'LARGE TABLE'!B15&amp;"A BREAKER","")</f>
        <v/>
      </c>
      <c r="D83" s="150" t="str">
        <f>IF(C83="","",19)</f>
        <v/>
      </c>
      <c r="E83" s="150">
        <v>1</v>
      </c>
    </row>
    <row r="84" spans="2:5" x14ac:dyDescent="0.25">
      <c r="B84" s="150">
        <v>20</v>
      </c>
      <c r="C84" s="150" t="str">
        <f>IF(FORM!B17="INTERNAL","",B16&amp;" METER AND METER PAN")</f>
        <v xml:space="preserve"> METER AND METER PAN</v>
      </c>
      <c r="D84" s="150">
        <f>IF(C84="","",20)</f>
        <v>20</v>
      </c>
      <c r="E84" s="171" t="str">
        <f>IF(FORM!B17="INTERNAL","","1")</f>
        <v>1</v>
      </c>
    </row>
    <row r="85" spans="2:5" x14ac:dyDescent="0.25">
      <c r="B85" s="150">
        <v>21</v>
      </c>
      <c r="C85" s="150" t="str">
        <f>IF(
         OR(
                   FORM!E12="CT",
                   FORM!E12="MA",
                   FORM!E12="MD",
                   AND(FORM!E12="NJ",5 -COUNTIF(B28:F29,"=0")=1)
                   ),
         'LARGE TABLE'!B4&amp;"A OUTDOOR NON-FUSED DISCONNECT",
         ""
)</f>
        <v/>
      </c>
      <c r="D85" s="150" t="str">
        <f>IF(C85="","",21)</f>
        <v/>
      </c>
      <c r="E85" s="150">
        <v>1</v>
      </c>
    </row>
    <row r="86" spans="2:5" x14ac:dyDescent="0.25">
      <c r="B86" s="150">
        <v>22</v>
      </c>
      <c r="C86" s="150" t="str">
        <f>IF(FORM!E15="GROUND MOUNT","","SOLADECK BOX(ES) &amp; HAYCO CONNECTOR(S)")</f>
        <v>SOLADECK BOX(ES) &amp; HAYCO CONNECTOR(S)</v>
      </c>
      <c r="D86" s="150">
        <f>IF(C86="","",22)</f>
        <v>22</v>
      </c>
      <c r="E86" s="150">
        <f>E26</f>
        <v>0</v>
      </c>
    </row>
    <row r="87" spans="2:5" x14ac:dyDescent="0.25">
      <c r="B87" s="150">
        <v>23</v>
      </c>
      <c r="C87" s="150" t="str">
        <f>IF(FORM!B21="ECOLIBRIUM", "", IF(FORM!E15="GROUND MOUNT","","14' SECTIONS OF RAIL"))</f>
        <v>14' SECTIONS OF RAIL</v>
      </c>
      <c r="D87" s="150">
        <f>IF(C87="","",23)</f>
        <v>23</v>
      </c>
      <c r="E87" s="150">
        <f>IF(FORM!B21="ECOLIBRIUM", "",I70)</f>
        <v>2</v>
      </c>
    </row>
    <row r="88" spans="2:5" x14ac:dyDescent="0.25">
      <c r="B88" s="150">
        <v>24</v>
      </c>
      <c r="C88" s="150" t="str">
        <f>IF(E25="YES"," INSULATED BUG BITES (LINE TAPS)","")</f>
        <v/>
      </c>
      <c r="D88" s="150" t="str">
        <f>IF(C88="","",24)</f>
        <v/>
      </c>
      <c r="E88" s="150">
        <v>2</v>
      </c>
    </row>
    <row r="89" spans="2:5" x14ac:dyDescent="0.25">
      <c r="B89" s="150">
        <v>25</v>
      </c>
      <c r="C89" s="150" t="str">
        <f>IF(FORM!E15="GROUND MOUNT","","FLASHINGS")</f>
        <v>FLASHINGS</v>
      </c>
      <c r="D89" s="150">
        <f>IF(C89="","",25)</f>
        <v>25</v>
      </c>
      <c r="E89" s="150">
        <f>(I66+I67)*2</f>
        <v>0</v>
      </c>
    </row>
    <row r="90" spans="2:5" x14ac:dyDescent="0.25">
      <c r="B90" s="150">
        <v>26</v>
      </c>
      <c r="C90" s="150" t="str">
        <f>IF(FORM!E15="GROUND MOUNT","","CASE(S) OF BLACK SPRAY PAINT")</f>
        <v>CASE(S) OF BLACK SPRAY PAINT</v>
      </c>
      <c r="D90" s="150">
        <f>IF(C90="","",26)</f>
        <v>26</v>
      </c>
      <c r="E90" s="150">
        <f>IF(ROUNDDOWN((I66+I67)/20,0.1)=0,1,ROUNDDOWN((I66+I67)/20,0.1))</f>
        <v>1</v>
      </c>
    </row>
    <row r="91" spans="2:5" x14ac:dyDescent="0.25">
      <c r="B91" s="150">
        <v>27</v>
      </c>
      <c r="C91" s="150" t="str">
        <f>IF(FORM!E15="GROUND MOUNT","","CASE(S) OF TAR")</f>
        <v>CASE(S) OF TAR</v>
      </c>
      <c r="D91" s="150">
        <f>IF(C91="","",27)</f>
        <v>27</v>
      </c>
      <c r="E91" s="150">
        <f>IF(ROUNDDOWN((I66+I67)/20,0.1)=0,1,ROUNDDOWN((I66+I67)/20,0.1))</f>
        <v>1</v>
      </c>
    </row>
    <row r="92" spans="2:5" x14ac:dyDescent="0.25">
      <c r="B92" s="150">
        <v>28</v>
      </c>
      <c r="D92" s="150" t="str">
        <f>IF(C92="","",28)</f>
        <v/>
      </c>
    </row>
    <row r="93" spans="2:5" x14ac:dyDescent="0.25">
      <c r="B93" s="150">
        <v>29</v>
      </c>
      <c r="C93" s="150" t="str">
        <f>IF(I41="YES","","PV LEAD WIRE")</f>
        <v>PV LEAD WIRE</v>
      </c>
      <c r="D93" s="150">
        <f>IF(C93="","",29)</f>
        <v>29</v>
      </c>
      <c r="E93" s="150" t="str">
        <f>(B3+C3+D3+E3+F3)*50&amp;"'"</f>
        <v>0'</v>
      </c>
    </row>
    <row r="94" spans="2:5" x14ac:dyDescent="0.25">
      <c r="B94" s="150">
        <v>30</v>
      </c>
      <c r="C94" s="150" t="str">
        <f>IF(I42="YES","TRUNK CABLE","")</f>
        <v/>
      </c>
      <c r="D94" s="150" t="str">
        <f>IF(C94="","",30)</f>
        <v/>
      </c>
      <c r="E94" s="150" t="s">
        <v>238</v>
      </c>
    </row>
    <row r="95" spans="2:5" x14ac:dyDescent="0.25">
      <c r="B95" s="150">
        <v>31</v>
      </c>
      <c r="C95" s="150" t="str">
        <f>IF(I42="YES","END CAPS","")</f>
        <v/>
      </c>
      <c r="D95" s="150" t="str">
        <f>IF(C95="","",31)</f>
        <v/>
      </c>
      <c r="E95" s="150" t="s">
        <v>238</v>
      </c>
    </row>
    <row r="96" spans="2:5" x14ac:dyDescent="0.25">
      <c r="B96" s="150">
        <v>32</v>
      </c>
      <c r="C96" s="150" t="str">
        <f>IF(I42="YES","SEALING CAPS","")</f>
        <v/>
      </c>
      <c r="D96" s="150" t="str">
        <f>IF(C96="","",32)</f>
        <v/>
      </c>
      <c r="E96" s="150" t="s">
        <v>238</v>
      </c>
    </row>
    <row r="97" spans="1:5" x14ac:dyDescent="0.25">
      <c r="B97" s="150">
        <v>33</v>
      </c>
      <c r="C97" s="150" t="s">
        <v>233</v>
      </c>
      <c r="D97" s="150">
        <f>IF(C97="","",33)</f>
        <v>33</v>
      </c>
      <c r="E97" s="150" t="s">
        <v>238</v>
      </c>
    </row>
    <row r="98" spans="1:5" x14ac:dyDescent="0.25">
      <c r="B98" s="150">
        <v>34</v>
      </c>
      <c r="C98" s="150" t="s">
        <v>234</v>
      </c>
      <c r="D98" s="150">
        <f>IF(C98="","",34)</f>
        <v>34</v>
      </c>
      <c r="E98" s="150" t="s">
        <v>238</v>
      </c>
    </row>
    <row r="99" spans="1:5" x14ac:dyDescent="0.25">
      <c r="B99" s="150">
        <v>35</v>
      </c>
      <c r="C99" s="150" t="s">
        <v>235</v>
      </c>
      <c r="D99" s="150">
        <f>IF(C99="","",35)</f>
        <v>35</v>
      </c>
      <c r="E99" s="150" t="s">
        <v>238</v>
      </c>
    </row>
    <row r="100" spans="1:5" x14ac:dyDescent="0.25">
      <c r="B100" s="150">
        <v>36</v>
      </c>
      <c r="C100" s="150" t="s">
        <v>236</v>
      </c>
      <c r="D100" s="150">
        <f>IF(C100="","",36)</f>
        <v>36</v>
      </c>
      <c r="E100" s="150" t="s">
        <v>238</v>
      </c>
    </row>
    <row r="101" spans="1:5" x14ac:dyDescent="0.25">
      <c r="B101" s="150">
        <v>37</v>
      </c>
      <c r="C101" s="150" t="s">
        <v>237</v>
      </c>
      <c r="D101" s="150">
        <f>IF(C101="","",37)</f>
        <v>37</v>
      </c>
      <c r="E101" s="150" t="s">
        <v>238</v>
      </c>
    </row>
    <row r="102" spans="1:5" x14ac:dyDescent="0.25">
      <c r="B102" s="150">
        <v>38</v>
      </c>
      <c r="D102" s="150" t="str">
        <f>IF(C102="","",38)</f>
        <v/>
      </c>
      <c r="E102" s="150" t="s">
        <v>238</v>
      </c>
    </row>
    <row r="103" spans="1:5" x14ac:dyDescent="0.25">
      <c r="B103" s="150">
        <v>39</v>
      </c>
      <c r="D103" s="150" t="str">
        <f>IF(C103="","",39)</f>
        <v/>
      </c>
      <c r="E103" s="150" t="s">
        <v>238</v>
      </c>
    </row>
    <row r="104" spans="1:5" x14ac:dyDescent="0.25">
      <c r="B104" s="150">
        <v>40</v>
      </c>
      <c r="D104" s="150" t="str">
        <f>IF(C104="","",40)</f>
        <v/>
      </c>
      <c r="E104" s="150" t="s">
        <v>238</v>
      </c>
    </row>
    <row r="105" spans="1:5" x14ac:dyDescent="0.25">
      <c r="B105" s="150">
        <v>41</v>
      </c>
      <c r="D105" s="150" t="str">
        <f>IF(C105="","",41)</f>
        <v/>
      </c>
      <c r="E105" s="150" t="s">
        <v>238</v>
      </c>
    </row>
    <row r="106" spans="1:5" x14ac:dyDescent="0.25">
      <c r="B106" s="150">
        <v>42</v>
      </c>
      <c r="D106" s="150" t="str">
        <f>IF(C106="","",42)</f>
        <v/>
      </c>
      <c r="E106" s="150" t="s">
        <v>238</v>
      </c>
    </row>
    <row r="107" spans="1:5" x14ac:dyDescent="0.25">
      <c r="B107" s="170" t="s">
        <v>200</v>
      </c>
    </row>
    <row r="108" spans="1:5" x14ac:dyDescent="0.25">
      <c r="A108" s="171" t="s">
        <v>201</v>
      </c>
      <c r="B108" s="150" t="str">
        <f>IF(FORM!E16="AC",240,IF(AND(FORM!E16="DC",B37="YES"),350,"NOT AVAILABLE"))</f>
        <v>NOT AVAILABLE</v>
      </c>
    </row>
    <row r="109" spans="1:5" x14ac:dyDescent="0.25">
      <c r="A109" s="171" t="s">
        <v>202</v>
      </c>
      <c r="B109" s="150" t="str">
        <f>IF(FORM!E16="AC",(SUM(B33:F33)),IF(AND(FORM!E16="DC",B37="YES"),15,"NOT AVAILABLE"))</f>
        <v>NOT AVAILABLE</v>
      </c>
    </row>
    <row r="110" spans="1:5" x14ac:dyDescent="0.25">
      <c r="A110" s="171" t="s">
        <v>203</v>
      </c>
      <c r="B110" s="150">
        <f>FORM!E17+40</f>
        <v>40</v>
      </c>
    </row>
    <row r="111" spans="1:5" x14ac:dyDescent="0.25">
      <c r="A111" s="171" t="s">
        <v>204</v>
      </c>
      <c r="B111" s="150" t="e">
        <f>2*12.9*B109*B110/(B108*IF(FORM!E16="AC",0.018,0.02))</f>
        <v>#VALUE!</v>
      </c>
    </row>
    <row r="112" spans="1:5" x14ac:dyDescent="0.25">
      <c r="A112" s="171" t="s">
        <v>205</v>
      </c>
      <c r="B112" s="150" t="e">
        <f>IF(B111&lt;=10380,10,IF(B111&lt;=16510,8,IF(B111&lt;26240,6,IF(B111&lt;=41740,4,IF(B111&lt;=52620,3,IF(B111&lt;=66360,2,IF(B111&lt;=83690,1,"NOT AVAILABLE")))))))</f>
        <v>#VALUE!</v>
      </c>
      <c r="C112" s="172" t="e">
        <f>IF(B112=10,10380,IF(B112=8,16510,IF(B112=6,26240,IF(B112=4,41740,IF(B112=3,52620,IF(B112=2,66360,IF(B112=1,83690,"NOT AVAILABLE")))))))</f>
        <v>#VALUE!</v>
      </c>
      <c r="D112" s="150" t="e">
        <f>IF(B112=10,30,IF(B112=8,50,IF(B112=6,65,IF(B112=4,85,IF(B112=3,100,IF(B112=2,115,IF(B112=1,130,"NOT AVAILABLE")))))))&amp;" Amps"</f>
        <v>#VALUE!</v>
      </c>
    </row>
    <row r="113" spans="1:2" x14ac:dyDescent="0.25">
      <c r="A113" s="171" t="s">
        <v>206</v>
      </c>
      <c r="B113" s="150" t="e">
        <f>IF(FORM!E16="DC","STAYS THE SAME",IF(B112=10,10,IF(B112=8,10,IF(B112=6,8,IF(B112=4,8,IF(B112=3,8,IF(B112=2,6,IF(B112=1,6,"NOT AVAILABLE"))))))))</f>
        <v>#VALUE!</v>
      </c>
    </row>
    <row r="114" spans="1:2" x14ac:dyDescent="0.25">
      <c r="A114" s="171" t="s">
        <v>208</v>
      </c>
      <c r="B114" s="169" t="e">
        <f>2*12.9*B109*B110/C112</f>
        <v>#VALUE!</v>
      </c>
    </row>
    <row r="115" spans="1:2" x14ac:dyDescent="0.25">
      <c r="A115" s="171" t="s">
        <v>207</v>
      </c>
      <c r="B115" s="173" t="e">
        <f>(B114/B108)*100</f>
        <v>#VALUE!</v>
      </c>
    </row>
  </sheetData>
  <sheetProtection algorithmName="SHA-512" hashValue="ZKxy28zgtdFa3wr9QRaXqRQws8eqROFPQ0PomL0G+D0WW0CpeK5JY9PE3EZu8z7BvjyF0BfM2tqmXTtmx3vpgg==" saltValue="pydYIDkRIuchnwwY1nZHLg==" spinCount="100000" sheet="1" objects="1" scenarios="1"/>
  <dataConsolidate/>
  <mergeCells count="1">
    <mergeCell ref="K6:P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40"/>
  <sheetViews>
    <sheetView topLeftCell="A4" workbookViewId="0">
      <selection activeCell="B28" sqref="B28"/>
    </sheetView>
  </sheetViews>
  <sheetFormatPr defaultRowHeight="15" x14ac:dyDescent="0.25"/>
  <cols>
    <col min="1" max="1" width="47.5703125" style="33" bestFit="1" customWidth="1"/>
    <col min="2" max="16384" width="9.140625" style="33"/>
  </cols>
  <sheetData>
    <row r="1" spans="1:2" x14ac:dyDescent="0.25">
      <c r="A1" s="34" t="s">
        <v>68</v>
      </c>
      <c r="B1" s="33" t="str">
        <f>(
IF(CALCULATIONS!B36="","0",CALCULATIONS!B36)
)</f>
        <v>0</v>
      </c>
    </row>
    <row r="2" spans="1:2" x14ac:dyDescent="0.25">
      <c r="A2" s="34" t="s">
        <v>85</v>
      </c>
      <c r="B2" s="33">
        <f>(
IF(CALCULATIONS!B35&lt;=60,60,IF(CALCULATIONS!B35&lt;=100,100,IF(CALCULATIONS!B35&lt;=125,125,"")))
)</f>
        <v>60</v>
      </c>
    </row>
    <row r="3" spans="1:2" x14ac:dyDescent="0.25">
      <c r="A3" s="34" t="s">
        <v>25</v>
      </c>
      <c r="B3" s="33">
        <f>(
FORM!B15
)</f>
        <v>0</v>
      </c>
    </row>
    <row r="4" spans="1:2" x14ac:dyDescent="0.25">
      <c r="A4" s="34" t="s">
        <v>98</v>
      </c>
      <c r="B4" s="33">
        <f>(
IF(FORM!E12="NJ",'LARGE TABLE'!B2,
IF(CALCULATIONS!B35&lt;=30,30,IF(CALCULATIONS!B35&lt;=60,60,IF(CALCULATIONS!B35&lt;=100,100,"SIZE ACCORDINGLY"))))
)</f>
        <v>30</v>
      </c>
    </row>
    <row r="5" spans="1:2" x14ac:dyDescent="0.25">
      <c r="A5" s="34" t="s">
        <v>99</v>
      </c>
      <c r="B5" s="33">
        <f>(
IF(CALCULATIONS!B35&lt;=100,100,IF(CALCULATIONS!B35&lt;=125,125,"SIZE ACCORDINGLY"))
)</f>
        <v>100</v>
      </c>
    </row>
    <row r="6" spans="1:2" x14ac:dyDescent="0.25">
      <c r="A6" s="34" t="s">
        <v>100</v>
      </c>
      <c r="B6" s="33">
        <f>(
IF((CALCULATIONS!B33*1.25)&lt;=20,20,IF((CALCULATIONS!B33*1.25)&lt;=30,30,IF((CALCULATIONS!B33*1.25)&lt;=40,40,IF((CALCULATIONS!B33*1.25)&lt;=50,50,IF((CALCULATIONS!B33*1.25)&lt;=60,60,"")))))
)</f>
        <v>20</v>
      </c>
    </row>
    <row r="7" spans="1:2" x14ac:dyDescent="0.25">
      <c r="A7" s="34" t="s">
        <v>101</v>
      </c>
      <c r="B7" s="33">
        <f>(
IF((CALCULATIONS!C33*1.25)&lt;=20,20,IF((CALCULATIONS!C33*1.25)&lt;=30,30,IF((CALCULATIONS!C33*1.25)&lt;=40,40,IF((CALCULATIONS!C33*1.25)&lt;=50,50,IF((CALCULATIONS!C33*1.25)&lt;=60,60,"")))))
)</f>
        <v>20</v>
      </c>
    </row>
    <row r="8" spans="1:2" x14ac:dyDescent="0.25">
      <c r="A8" s="34" t="s">
        <v>102</v>
      </c>
      <c r="B8" s="33">
        <f>(
IF((CALCULATIONS!D33*1.25)&lt;=20,20,IF((CALCULATIONS!D33*1.25)&lt;=30,30,IF((CALCULATIONS!D33*1.25)&lt;=40,40,IF((CALCULATIONS!D33*1.25)&lt;=50,50,IF((CALCULATIONS!D33*1.25)&lt;=60,60,"")))))
)</f>
        <v>20</v>
      </c>
    </row>
    <row r="9" spans="1:2" x14ac:dyDescent="0.25">
      <c r="A9" s="34" t="s">
        <v>103</v>
      </c>
      <c r="B9" s="33">
        <f>(
IF((CALCULATIONS!E33*1.25)&lt;=20,20,IF((CALCULATIONS!E33*1.25)&lt;=30,30,IF((CALCULATIONS!E33*1.25)&lt;=40,40,IF((CALCULATIONS!E33*1.25)&lt;=50,50,IF((CALCULATIONS!E33*1.25)&lt;=60,60,"")))))
)</f>
        <v>20</v>
      </c>
    </row>
    <row r="10" spans="1:2" x14ac:dyDescent="0.25">
      <c r="A10" s="34" t="s">
        <v>104</v>
      </c>
      <c r="B10" s="33">
        <f>(
IF(CALCULATIONS!I42="YES","",IF((CALCULATIONS!F33*1.25)&lt;=20,20,IF((CALCULATIONS!F33*1.25)&lt;=30,30,IF((CALCULATIONS!F33*1.25)&lt;=40,40,IF((CALCULATIONS!F33*1.25)&lt;=50,50,IF((CALCULATIONS!F33*1.25)&lt;=60,60,""))))))
)</f>
        <v>20</v>
      </c>
    </row>
    <row r="11" spans="1:2" x14ac:dyDescent="0.25">
      <c r="A11" s="34" t="s">
        <v>105</v>
      </c>
      <c r="B11" s="33" t="str">
        <f>(
IF(CALCULATIONS!I43="M215 MICROINVERTERS",IF(CALCULATIONS!I28&lt;=13,15,IF(CALCULATIONS!I28&lt;=17,20,"0")),
IF(CALCULATIONS!I43="M250 MICROINVERTERS",IF(CALCULATIONS!I28&lt;=11,15,IF(CALCULATIONS!I28&lt;=15,20,"0")),"0"))
)</f>
        <v>0</v>
      </c>
    </row>
    <row r="12" spans="1:2" x14ac:dyDescent="0.25">
      <c r="A12" s="34" t="s">
        <v>106</v>
      </c>
      <c r="B12" s="33" t="str">
        <f>(
IF(CALCULATIONS!I43="M215 MICROINVERTERS",IF(CALCULATIONS!I29&lt;=13,15,IF(CALCULATIONS!I29&lt;=17,20,"0")),
IF(CALCULATIONS!I43="M250 MICROINVERTERS",IF(CALCULATIONS!I29&lt;=11,15,IF(CALCULATIONS!I29&lt;=15,20,"0")),"0"))
)</f>
        <v>0</v>
      </c>
    </row>
    <row r="13" spans="1:2" x14ac:dyDescent="0.25">
      <c r="A13" s="34" t="s">
        <v>107</v>
      </c>
      <c r="B13" s="33" t="str">
        <f>(
IF(CALCULATIONS!I43="M215 MICROINVERTERS",IF(CALCULATIONS!I30&lt;=13,15,IF(CALCULATIONS!I30&lt;=17,20,"0")),
IF(CALCULATIONS!I43="M250 MICROINVERTERS",IF(CALCULATIONS!I30&lt;=11,15,IF(CALCULATIONS!I30&lt;=15,20,"0")),"0"))
)</f>
        <v>0</v>
      </c>
    </row>
    <row r="14" spans="1:2" x14ac:dyDescent="0.25">
      <c r="A14" s="34" t="s">
        <v>108</v>
      </c>
      <c r="B14" s="33" t="str">
        <f>(
IF(CALCULATIONS!I43="M215 MICROINVERTERS",IF(CALCULATIONS!I31&lt;=13,15,IF(CALCULATIONS!I31&lt;=17,20,"0")),
IF(CALCULATIONS!I43="M250 MICROINVERTERS",IF(CALCULATIONS!I31&lt;=11,15,IF(CALCULATIONS!I31&lt;=15,20,"0")),"0"))
)</f>
        <v>0</v>
      </c>
    </row>
    <row r="15" spans="1:2" x14ac:dyDescent="0.25">
      <c r="A15" s="34" t="s">
        <v>109</v>
      </c>
      <c r="B15" s="33" t="str">
        <f>(
IF(CALCULATIONS!I43="M215 MICROINVERTERS",IF(CALCULATIONS!I32&lt;=13,15,IF(CALCULATIONS!I32&lt;=17,20,"0")),
IF(CALCULATIONS!I43="M250 MICROINVERTERS",IF(CALCULATIONS!I32&lt;=11,15,IF(CALCULATIONS!I32&lt;=15,20,"0")),"0"))
)</f>
        <v>0</v>
      </c>
    </row>
    <row r="16" spans="1:2" x14ac:dyDescent="0.25">
      <c r="A16" s="34" t="s">
        <v>197</v>
      </c>
      <c r="B16" s="33">
        <f>(
IF(CALCULATIONS!I42="YES",LARGE(CALCULATIONS!I28:I32,1),IF(AND(CALCULATIONS!B3=3,CALCULATIONS!B37="YES"),1,1))
)</f>
        <v>1</v>
      </c>
    </row>
    <row r="17" spans="1:2" x14ac:dyDescent="0.25">
      <c r="A17" s="34" t="s">
        <v>135</v>
      </c>
      <c r="B17" s="90" t="e">
        <f>(
IF(CALCULATIONS!I42="YES",'LARGE TABLE'!B27*'LARGE TABLE'!B28*'LARGE TABLE'!B16,IF(CALCULATIONS!B37="YES",(15*1.25*'LARGE TABLE'!B16),(CALCULATIONS!H13*1.56)))
)</f>
        <v>#VALUE!</v>
      </c>
    </row>
    <row r="18" spans="1:2" x14ac:dyDescent="0.25">
      <c r="A18" s="34" t="s">
        <v>136</v>
      </c>
      <c r="B18" s="33">
        <f>(
IF(B16=3,6,IF(AND(B19&gt;=10,CALCULATIONS!B37="YES"),8,10))
)</f>
        <v>10</v>
      </c>
    </row>
    <row r="19" spans="1:2" x14ac:dyDescent="0.25">
      <c r="A19" s="34" t="s">
        <v>137</v>
      </c>
      <c r="B19" s="33">
        <f>(
IF(B16=3,2,CALCULATIONS!B60-CALCULATIONS!I26)
)</f>
        <v>0</v>
      </c>
    </row>
    <row r="20" spans="1:2" x14ac:dyDescent="0.25">
      <c r="A20" s="34" t="s">
        <v>138</v>
      </c>
      <c r="B20" s="33">
        <f>(
IF(B19&lt;4,1,IF(B19&lt;=6,0.8,IF(B19&lt;=9,0.7,IF(B19&lt;=20,0.5,IF(B19&lt;=30,0.45,IF(B19&lt;=40,0.4,0.35))))))
)</f>
        <v>1</v>
      </c>
    </row>
    <row r="21" spans="1:2" x14ac:dyDescent="0.25">
      <c r="A21" s="34" t="s">
        <v>139</v>
      </c>
      <c r="B21" s="33">
        <f>(
IF(B18=10,40,IF(B18=8,55,IF(B18=6,75,IF(B18=4,95,""))))
)</f>
        <v>40</v>
      </c>
    </row>
    <row r="22" spans="1:2" x14ac:dyDescent="0.25">
      <c r="A22" s="34" t="s">
        <v>140</v>
      </c>
      <c r="B22" s="33">
        <f>(
B21*0.96*IF(B20="N/A",1,B20)
)</f>
        <v>38.4</v>
      </c>
    </row>
    <row r="23" spans="1:2" x14ac:dyDescent="0.25">
      <c r="A23" s="34" t="s">
        <v>141</v>
      </c>
      <c r="B23" s="90">
        <f>(
SUM(CALCULATIONS!B33:F33)
)</f>
        <v>0</v>
      </c>
    </row>
    <row r="24" spans="1:2" x14ac:dyDescent="0.25">
      <c r="A24" s="34" t="s">
        <v>142</v>
      </c>
      <c r="B24" s="90">
        <f>(
B23*1.25
)</f>
        <v>0</v>
      </c>
    </row>
    <row r="25" spans="1:2" x14ac:dyDescent="0.25">
      <c r="A25" s="34" t="s">
        <v>143</v>
      </c>
      <c r="B25" s="33">
        <f>(
IF(B24&lt;=30,10,
IF(B24&lt;=50,8,
IF(B24&lt;=65,6,
IF(B24&lt;=85,4,
IF(B24&lt;=100,3,
IF(B24&lt;=115,2,
IF(B24&lt;=130,1,"")))))))
)</f>
        <v>10</v>
      </c>
    </row>
    <row r="26" spans="1:2" x14ac:dyDescent="0.25">
      <c r="A26" s="34" t="s">
        <v>144</v>
      </c>
      <c r="B26" s="33">
        <f>(
IF(B25=10,40,
IF(B25=8,55,
IF(B25=6,75,
IF(B25=4,95,
IF(B25=3,115,
IF(B25=2,130,
IF(B25=1,145,
"")))))))
)</f>
        <v>40</v>
      </c>
    </row>
    <row r="27" spans="1:2" x14ac:dyDescent="0.25">
      <c r="A27" s="34" t="s">
        <v>198</v>
      </c>
      <c r="B27" s="90" t="str">
        <f>(
IF(CALCULATIONS!I42="YES",CALCULATIONS!G33,IF(CALCULATIONS!B37="YES",15,CALCULATIONS!H13))
)</f>
        <v/>
      </c>
    </row>
    <row r="28" spans="1:2" x14ac:dyDescent="0.25">
      <c r="A28" s="34" t="s">
        <v>145</v>
      </c>
      <c r="B28" s="33">
        <f>(
IF(OR(CALCULATIONS!B37="YES",CALCULATIONS!I42="YES"),1.25,1.56)
)</f>
        <v>1.56</v>
      </c>
    </row>
    <row r="29" spans="1:2" x14ac:dyDescent="0.25">
      <c r="A29" s="34" t="s">
        <v>176</v>
      </c>
      <c r="B29" s="33">
        <f>(
FORM!I14
)</f>
        <v>0</v>
      </c>
    </row>
    <row r="30" spans="1:2" x14ac:dyDescent="0.25">
      <c r="A30" s="34" t="s">
        <v>177</v>
      </c>
      <c r="B30" s="33">
        <f>(
FORM!I15
)</f>
        <v>0</v>
      </c>
    </row>
    <row r="31" spans="1:2" x14ac:dyDescent="0.25">
      <c r="A31" s="34" t="s">
        <v>178</v>
      </c>
      <c r="B31" s="33">
        <f>(
FORM!I16
)</f>
        <v>0</v>
      </c>
    </row>
    <row r="32" spans="1:2" x14ac:dyDescent="0.25">
      <c r="A32" s="34" t="s">
        <v>172</v>
      </c>
      <c r="B32" s="33">
        <f>(
FORM!I17
)</f>
        <v>0</v>
      </c>
    </row>
    <row r="33" spans="1:2" x14ac:dyDescent="0.25">
      <c r="A33" s="34" t="s">
        <v>179</v>
      </c>
      <c r="B33" s="33">
        <f>(
FORM!I18
)</f>
        <v>0</v>
      </c>
    </row>
    <row r="34" spans="1:2" x14ac:dyDescent="0.25">
      <c r="A34" s="34" t="s">
        <v>172</v>
      </c>
      <c r="B34" s="33">
        <f>(
FORM!I19
)</f>
        <v>0</v>
      </c>
    </row>
    <row r="35" spans="1:2" x14ac:dyDescent="0.25">
      <c r="A35" s="34" t="s">
        <v>180</v>
      </c>
      <c r="B35" s="33">
        <f>(
FORM!I20
)</f>
        <v>0</v>
      </c>
    </row>
    <row r="36" spans="1:2" x14ac:dyDescent="0.25">
      <c r="A36" s="34" t="s">
        <v>172</v>
      </c>
      <c r="B36" s="33">
        <f>(
FORM!I21
)</f>
        <v>0</v>
      </c>
    </row>
    <row r="37" spans="1:2" x14ac:dyDescent="0.25">
      <c r="A37" s="34" t="s">
        <v>181</v>
      </c>
      <c r="B37" s="33">
        <f>(
FORM!I22
)</f>
        <v>0</v>
      </c>
    </row>
    <row r="38" spans="1:2" x14ac:dyDescent="0.25">
      <c r="A38" s="34" t="s">
        <v>172</v>
      </c>
      <c r="B38" s="33">
        <f>(
FORM!I23
)</f>
        <v>0</v>
      </c>
    </row>
    <row r="39" spans="1:2" x14ac:dyDescent="0.25">
      <c r="A39" s="34" t="s">
        <v>182</v>
      </c>
      <c r="B39" s="33" t="str">
        <f>(UPPER(
IF(FORM!I25="","",FORM!I25)
))</f>
        <v/>
      </c>
    </row>
    <row r="40" spans="1:2" x14ac:dyDescent="0.25">
      <c r="A40" s="52" t="s">
        <v>295</v>
      </c>
      <c r="B40" s="33" t="str">
        <f>IF(B4=30,"DU221RB","DU222RB")</f>
        <v>DU221RB</v>
      </c>
    </row>
  </sheetData>
  <sheetProtection algorithmName="SHA-512" hashValue="aFjMmtCdvK8CfOz52YnlqJebo7DbP2wfIbxnULPJ5sF9I4yVp4/qiSpon4FiaRBbpNSlwcTn9WNIRapRR7uxDw==" saltValue="xVUd70vazVKz65MDwyBrO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1"/>
  <sheetViews>
    <sheetView view="pageLayout" zoomScaleNormal="100" workbookViewId="0">
      <selection activeCell="D19" sqref="D19"/>
    </sheetView>
  </sheetViews>
  <sheetFormatPr defaultRowHeight="15" x14ac:dyDescent="0.25"/>
  <cols>
    <col min="1" max="1" width="10.5703125" bestFit="1" customWidth="1"/>
    <col min="2" max="2" width="23.85546875" bestFit="1" customWidth="1"/>
  </cols>
  <sheetData>
    <row r="1" spans="1:8" x14ac:dyDescent="0.25">
      <c r="A1" s="52" t="s">
        <v>26</v>
      </c>
      <c r="B1" s="33" t="str">
        <f>CALCULATIONS!B13</f>
        <v/>
      </c>
      <c r="C1" s="33"/>
      <c r="D1" s="33"/>
      <c r="E1" s="33"/>
      <c r="F1" s="33"/>
      <c r="G1" s="33"/>
      <c r="H1" s="33"/>
    </row>
    <row r="2" spans="1:8" x14ac:dyDescent="0.25">
      <c r="A2" s="52" t="s">
        <v>27</v>
      </c>
      <c r="B2" s="33" t="str">
        <f>CALCULATIONS!B14</f>
        <v/>
      </c>
      <c r="C2" s="33"/>
      <c r="D2" s="33"/>
      <c r="E2" s="33"/>
      <c r="F2" s="33"/>
      <c r="G2" s="33"/>
      <c r="H2" s="33"/>
    </row>
    <row r="3" spans="1:8" x14ac:dyDescent="0.25">
      <c r="A3" s="33"/>
      <c r="B3" s="33"/>
      <c r="C3" s="33"/>
      <c r="D3" s="33"/>
      <c r="E3" s="33"/>
      <c r="F3" s="33"/>
      <c r="G3" s="33"/>
      <c r="H3" s="33"/>
    </row>
    <row r="4" spans="1:8" x14ac:dyDescent="0.25">
      <c r="B4" s="145" t="str">
        <f>Sheet1!D4&amp;" ESTIMATED MAN HOURS"</f>
        <v>2 ESTIMATED MAN HOURS</v>
      </c>
      <c r="C4" s="33"/>
      <c r="D4" s="33" t="str">
        <f>Sheet1!I6&amp;" DAYS (3 MEN)"</f>
        <v>0.08 DAYS (3 MEN)</v>
      </c>
      <c r="E4" s="33"/>
      <c r="F4" s="33" t="str">
        <f>Sheet1!I5&amp;" DAYS (4 MEN)"</f>
        <v>0.06 DAYS (4 MEN)</v>
      </c>
      <c r="G4" s="33"/>
      <c r="H4" s="33" t="str">
        <f>Sheet1!I4&amp;" DAYS (6 MEN)"</f>
        <v>0.04 DAYS (6 MEN)</v>
      </c>
    </row>
    <row r="5" spans="1:8" x14ac:dyDescent="0.25">
      <c r="A5" s="121" t="s">
        <v>231</v>
      </c>
      <c r="B5" t="str">
        <f>FORM!B9&amp;" "&amp;CALCULATIONS!H7&amp;"'s ("&amp;CALCULATIONS!D34&amp;"KW)"</f>
        <v>0 's (0KW)</v>
      </c>
      <c r="C5" s="33"/>
      <c r="D5" s="33"/>
      <c r="E5" s="33"/>
      <c r="F5" s="33"/>
      <c r="G5" s="33"/>
      <c r="H5" s="33"/>
    </row>
    <row r="6" spans="1:8" x14ac:dyDescent="0.25">
      <c r="A6" s="121" t="str">
        <f>IF(B6="","","•")</f>
        <v/>
      </c>
      <c r="B6" t="str">
        <f>IF(FORM!B23=1,"1 ARRAY",IF(FORM!B23="","",FORM!B23&amp;" SEPARATE ARRAYS"))</f>
        <v/>
      </c>
      <c r="C6" s="33"/>
      <c r="D6" s="33"/>
      <c r="E6" s="33"/>
      <c r="F6" s="33"/>
      <c r="G6" s="33"/>
      <c r="H6" s="33"/>
    </row>
    <row r="7" spans="1:8" x14ac:dyDescent="0.25">
      <c r="A7" s="121" t="str">
        <f>IF(B7="","","•")</f>
        <v/>
      </c>
      <c r="B7" t="str">
        <f>IF(FORM!I14="","",FORM!I14&amp;"' PEAK TO GROUND")</f>
        <v/>
      </c>
      <c r="C7" s="33"/>
      <c r="D7" s="33"/>
      <c r="E7" s="33"/>
      <c r="F7" s="33"/>
      <c r="G7" s="33"/>
      <c r="H7" s="33"/>
    </row>
    <row r="8" spans="1:8" x14ac:dyDescent="0.25">
      <c r="A8" s="121" t="str">
        <f>IF(B8="","","•")</f>
        <v/>
      </c>
      <c r="B8" t="str">
        <f>IF(FORM!B9=0,"",(FORM!B9-FORM!E14)&amp;" PORTRAIT &amp; "&amp;
IF(FORM!E14="",0,FORM!E14)
&amp;" LANDSCAPED")</f>
        <v/>
      </c>
      <c r="C8" s="33"/>
      <c r="D8" s="33"/>
      <c r="E8" s="33"/>
      <c r="F8" s="33"/>
      <c r="G8" s="33"/>
      <c r="H8" s="33"/>
    </row>
    <row r="9" spans="1:8" x14ac:dyDescent="0.25">
      <c r="A9" s="121" t="s">
        <v>231</v>
      </c>
      <c r="B9" t="str">
        <f>IF(FORM!E19="","NO PIPES OR VENTS BEINGS RELOCATED OR REMOVED",FORM!E19&amp;" PIPES/VENTS BEINGS RELOCATED OR REMOVED")</f>
        <v>NO PIPES OR VENTS BEINGS RELOCATED OR REMOVED</v>
      </c>
      <c r="C9" s="33"/>
      <c r="D9" s="33"/>
      <c r="E9" s="33"/>
      <c r="F9" s="33"/>
      <c r="G9" s="33"/>
      <c r="H9" s="33"/>
    </row>
    <row r="10" spans="1:8" x14ac:dyDescent="0.25">
      <c r="A10" s="121" t="s">
        <v>231</v>
      </c>
      <c r="B10" t="str">
        <f>IF(OR(FORM!F5="M215 MICROINVERTERS",FORM!F5="M250 MICROINVERTERS"),"MICROINVERTERS",COUNTA(FORM!B5:E5)&amp;" INVERTERS INSTALLED "&amp;FORM!I27)</f>
        <v>0 INVERTERS INSTALLED OUTSIDE</v>
      </c>
      <c r="C10" s="33"/>
      <c r="D10" s="33"/>
      <c r="E10" s="33"/>
      <c r="F10" s="33"/>
      <c r="G10" s="33"/>
      <c r="H10" s="33"/>
    </row>
    <row r="11" spans="1:8" x14ac:dyDescent="0.25">
      <c r="A11" s="121" t="s">
        <v>231</v>
      </c>
      <c r="B11" t="str">
        <f>IF(OR(FORM!E16="AC",FORM!E16="DC"),FORM!E17&amp;"' TRENCH","NO TRENCH")</f>
        <v>NO TRENCH</v>
      </c>
      <c r="C11" s="33"/>
      <c r="D11" s="33"/>
      <c r="E11" s="33"/>
      <c r="F11" s="33"/>
      <c r="G11" s="33"/>
      <c r="H11" s="33"/>
    </row>
    <row r="12" spans="1:8" x14ac:dyDescent="0.25">
      <c r="A12" s="121" t="str">
        <f>IF(B12="","","•")</f>
        <v/>
      </c>
      <c r="B12" t="str">
        <f>IF(FORM!E21="YES","JOB NEAR SALT WATER","")</f>
        <v/>
      </c>
      <c r="C12" s="33"/>
      <c r="D12" s="33"/>
      <c r="E12" s="33"/>
      <c r="F12" s="33"/>
      <c r="G12" s="33"/>
      <c r="H12" s="33"/>
    </row>
    <row r="13" spans="1:8" x14ac:dyDescent="0.25">
      <c r="C13" s="33"/>
      <c r="D13" s="33"/>
      <c r="E13" s="33"/>
      <c r="F13" s="33"/>
      <c r="G13" s="33"/>
      <c r="H13" s="33"/>
    </row>
    <row r="14" spans="1:8" x14ac:dyDescent="0.25">
      <c r="C14" s="33"/>
      <c r="D14" s="123" t="s">
        <v>239</v>
      </c>
      <c r="E14" s="33"/>
      <c r="F14" s="123" t="s">
        <v>240</v>
      </c>
      <c r="G14" s="33"/>
      <c r="H14" s="123" t="s">
        <v>241</v>
      </c>
    </row>
    <row r="15" spans="1:8" x14ac:dyDescent="0.25">
      <c r="A15" s="75" t="str">
        <f>IF(B15="","","□")</f>
        <v>□</v>
      </c>
      <c r="B15" s="33" t="str">
        <f>IF(COUNT(CALCULATIONS!D65:D106)&gt;=1,
IF(SMALL(CALCULATIONS!D65:D106,1)=1,CALCULATIONS!C65,
IF(SMALL(CALCULATIONS!D65:D106,1)=2,CALCULATIONS!C66,
IF(SMALL(CALCULATIONS!D65:D106,1)=3,CALCULATIONS!C67,
IF(SMALL(CALCULATIONS!D65:D106,1)=4,CALCULATIONS!C68,
IF(SMALL(CALCULATIONS!D65:D106,1)=5,CALCULATIONS!C69,
IF(SMALL(CALCULATIONS!D65:D106,1)=6,CALCULATIONS!C70,
IF(SMALL(CALCULATIONS!D65:D106,1)=7,CALCULATIONS!C71,
IF(SMALL(CALCULATIONS!D65:D106,1)=8,CALCULATIONS!C72,
IF(SMALL(CALCULATIONS!D65:D106,1)=9,CALCULATIONS!C73,
IF(SMALL(CALCULATIONS!D65:D106,1)=10,CALCULATIONS!C74,
IF(SMALL(CALCULATIONS!D65:D106,1)=11,CALCULATIONS!C75,
IF(SMALL(CALCULATIONS!D65:D106,1)=12,CALCULATIONS!C76,
IF(SMALL(CALCULATIONS!D65:D106,1)=13,CALCULATIONS!C77,
IF(SMALL(CALCULATIONS!D65:D106,1)=14,CALCULATIONS!C78,
IF(SMALL(CALCULATIONS!D65:D106,1)=15,CALCULATIONS!C79,
IF(SMALL(CALCULATIONS!D65:D106,1)=16,CALCULATIONS!C80,
IF(SMALL(CALCULATIONS!D65:D106,1)=17,CALCULATIONS!C81,
IF(SMALL(CALCULATIONS!D65:D106,1)=18,CALCULATIONS!C82,
IF(SMALL(CALCULATIONS!D65:D106,1)=19,CALCULATIONS!C83,
IF(SMALL(CALCULATIONS!D65:D106,1)=20,CALCULATIONS!C84,
IF(SMALL(CALCULATIONS!D65:D106,1)=21,CALCULATIONS!C85,
IF(SMALL(CALCULATIONS!D65:D106,1)=22,CALCULATIONS!C86,
IF(SMALL(CALCULATIONS!D65:D106,1)=23,CALCULATIONS!C87,
IF(SMALL(CALCULATIONS!D65:D106,1)=24,CALCULATIONS!C88,
IF(SMALL(CALCULATIONS!D65:D106,1)=25,CALCULATIONS!C89,
IF(SMALL(CALCULATIONS!D65:D106,1)=26,CALCULATIONS!C90,
IF(SMALL(CALCULATIONS!D65:D106,1)=27,CALCULATIONS!C91,
IF(SMALL(CALCULATIONS!D65:D106,1)=28,CALCULATIONS!C92,
IF(SMALL(CALCULATIONS!D65:D106,1)=29,CALCULATIONS!C93,
IF(SMALL(CALCULATIONS!D65:D106,1)=30,CALCULATIONS!C94,
"")))))))))))))))))))))))))))))),"")</f>
        <v>0</v>
      </c>
      <c r="C15" s="33"/>
      <c r="D15" s="33">
        <f>IF(COUNT(CALCULATIONS!D65:D106)&gt;=1,
IF(SMALL(CALCULATIONS!D65:D106,1)=1,CALCULATIONS!E65,
IF(SMALL(CALCULATIONS!D65:D106,1)=2,CALCULATIONS!E66,
IF(SMALL(CALCULATIONS!D65:D106,1)=3,CALCULATIONS!E67,
IF(SMALL(CALCULATIONS!D65:D106,1)=4,CALCULATIONS!E68,
IF(SMALL(CALCULATIONS!D65:D106,1)=5,CALCULATIONS!E69,
IF(SMALL(CALCULATIONS!D65:D106,1)=6,CALCULATIONS!E70,
IF(SMALL(CALCULATIONS!D65:D106,1)=7,CALCULATIONS!E71,
IF(SMALL(CALCULATIONS!D65:D106,1)=8,CALCULATIONS!E72,
IF(SMALL(CALCULATIONS!D65:D106,1)=9,CALCULATIONS!E73,
IF(SMALL(CALCULATIONS!D65:D106,1)=10,CALCULATIONS!E74,
IF(SMALL(CALCULATIONS!D65:D106,1)=11,CALCULATIONS!E75,
IF(SMALL(CALCULATIONS!D65:D106,1)=12,CALCULATIONS!E76,
IF(SMALL(CALCULATIONS!D65:D106,1)=13,CALCULATIONS!E77,
IF(SMALL(CALCULATIONS!D65:D106,1)=14,CALCULATIONS!E78,
IF(SMALL(CALCULATIONS!D65:D106,1)=15,CALCULATIONS!E79,
IF(SMALL(CALCULATIONS!D65:D106,1)=16,CALCULATIONS!E80,
IF(SMALL(CALCULATIONS!D65:D106,1)=17,CALCULATIONS!E81,
IF(SMALL(CALCULATIONS!D65:D106,1)=18,CALCULATIONS!E82,
IF(SMALL(CALCULATIONS!D65:D106,1)=19,CALCULATIONS!E83,
IF(SMALL(CALCULATIONS!D65:D106,1)=20,CALCULATIONS!E84,
IF(SMALL(CALCULATIONS!D65:D106,1)=21,CALCULATIONS!E85,
IF(SMALL(CALCULATIONS!D65:D106,1)=22,CALCULATIONS!E86,
IF(SMALL(CALCULATIONS!D65:D106,1)=23,CALCULATIONS!E87,
IF(SMALL(CALCULATIONS!D65:D106,1)=24,CALCULATIONS!E88,
IF(SMALL(CALCULATIONS!D65:D106,1)=25,CALCULATIONS!E89,
IF(SMALL(CALCULATIONS!D65:D106,1)=26,CALCULATIONS!E90,
IF(SMALL(CALCULATIONS!D65:D106,1)=27,CALCULATIONS!E91,
IF(SMALL(CALCULATIONS!D65:D106,1)=28,CALCULATIONS!E92,
IF(SMALL(CALCULATIONS!D65:D106,1)=29,CALCULATIONS!E93,
IF(SMALL(CALCULATIONS!D65:D106,1)=30,CALCULATIONS!E94,
"")))))))))))))))))))))))))))))),"")</f>
        <v>0</v>
      </c>
      <c r="E15" s="33"/>
      <c r="F15" s="33" t="str">
        <f>IF(B15="","","___")</f>
        <v>___</v>
      </c>
      <c r="G15" s="33"/>
      <c r="H15" s="33" t="str">
        <f>IF(B15="","","___")</f>
        <v>___</v>
      </c>
    </row>
    <row r="16" spans="1:8" x14ac:dyDescent="0.25">
      <c r="A16" s="75" t="str">
        <f t="shared" ref="A16:A57" si="0">IF(B16="","","□")</f>
        <v>□</v>
      </c>
      <c r="B16" s="33" t="str">
        <f>IF(COUNT(CALCULATIONS!D65:D94)&gt;=2,
IF(SMALL(CALCULATIONS!D65:D94,2)=1,CALCULATIONS!C65,
IF(SMALL(CALCULATIONS!D65:D94,2)=2,CALCULATIONS!C66,
IF(SMALL(CALCULATIONS!D65:D94,2)=3,CALCULATIONS!C67,
IF(SMALL(CALCULATIONS!D65:D94,2)=4,CALCULATIONS!C68,
IF(SMALL(CALCULATIONS!D65:D94,2)=5,CALCULATIONS!C69,
IF(SMALL(CALCULATIONS!D65:D94,2)=6,CALCULATIONS!C70,
IF(SMALL(CALCULATIONS!D65:D94,2)=7,CALCULATIONS!C71,
IF(SMALL(CALCULATIONS!D65:D94,2)=8,CALCULATIONS!C72,
IF(SMALL(CALCULATIONS!D65:D94,2)=9,CALCULATIONS!C73,
IF(SMALL(CALCULATIONS!D65:D94,2)=10,CALCULATIONS!C74,
IF(SMALL(CALCULATIONS!D65:D94,2)=11,CALCULATIONS!C75,
IF(SMALL(CALCULATIONS!D65:D94,2)=12,CALCULATIONS!C76,
IF(SMALL(CALCULATIONS!D65:D94,2)=13,CALCULATIONS!C77,
IF(SMALL(CALCULATIONS!D65:D94,2)=14,CALCULATIONS!C78,
IF(SMALL(CALCULATIONS!D65:D94,2)=15,CALCULATIONS!C79,
IF(SMALL(CALCULATIONS!D65:D94,2)=16,CALCULATIONS!C80,
IF(SMALL(CALCULATIONS!D65:D94,2)=17,CALCULATIONS!C81,
IF(SMALL(CALCULATIONS!D65:D94,2)=18,CALCULATIONS!C82,
IF(SMALL(CALCULATIONS!D65:D94,2)=19,CALCULATIONS!C83,
IF(SMALL(CALCULATIONS!D65:D94,2)=20,CALCULATIONS!C84,
IF(SMALL(CALCULATIONS!D65:D94,2)=21,CALCULATIONS!C85,
IF(SMALL(CALCULATIONS!D65:D94,2)=22,CALCULATIONS!C86,
IF(SMALL(CALCULATIONS!D65:D94,2)=23,CALCULATIONS!C87,
IF(SMALL(CALCULATIONS!D65:D94,2)=24,CALCULATIONS!C88,
IF(SMALL(CALCULATIONS!D65:D94,2)=25,CALCULATIONS!C89,
IF(SMALL(CALCULATIONS!D65:D94,2)=26,CALCULATIONS!C90,
IF(SMALL(CALCULATIONS!D65:D94,2)=27,CALCULATIONS!C91,
IF(SMALL(CALCULATIONS!D65:D94,2)=28,CALCULATIONS!C92,
IF(SMALL(CALCULATIONS!D65:D94,2)=29,CALCULATIONS!C93,
IF(SMALL(CALCULATIONS!D65:D94,2)=30,CALCULATIONS!C94,
"")))))))))))))))))))))))))))))),"")</f>
        <v xml:space="preserve"> 2p0A BACKFEED BREAKER</v>
      </c>
      <c r="C16" s="33"/>
      <c r="D16" s="33">
        <f>IF(COUNT(CALCULATIONS!D65:D94)&gt;=2,
IF(SMALL(CALCULATIONS!D65:D94,2)=1,CALCULATIONS!E65,
IF(SMALL(CALCULATIONS!D65:D94,2)=2,CALCULATIONS!E66,
IF(SMALL(CALCULATIONS!D65:D94,2)=3,CALCULATIONS!E67,
IF(SMALL(CALCULATIONS!D65:D94,2)=4,CALCULATIONS!E68,
IF(SMALL(CALCULATIONS!D65:D94,2)=5,CALCULATIONS!E69,
IF(SMALL(CALCULATIONS!D65:D94,2)=6,CALCULATIONS!E70,
IF(SMALL(CALCULATIONS!D65:D94,2)=7,CALCULATIONS!E71,
IF(SMALL(CALCULATIONS!D65:D94,2)=8,CALCULATIONS!E72,
IF(SMALL(CALCULATIONS!D65:D94,2)=9,CALCULATIONS!E73,
IF(SMALL(CALCULATIONS!D65:D94,2)=10,CALCULATIONS!E74,
IF(SMALL(CALCULATIONS!D65:D94,2)=11,CALCULATIONS!E75,
IF(SMALL(CALCULATIONS!D65:D94,2)=12,CALCULATIONS!E76,
IF(SMALL(CALCULATIONS!D65:D94,2)=13,CALCULATIONS!E77,
IF(SMALL(CALCULATIONS!D65:D94,2)=14,CALCULATIONS!E78,
IF(SMALL(CALCULATIONS!D65:D94,2)=15,CALCULATIONS!E79,
IF(SMALL(CALCULATIONS!D65:D94,2)=16,CALCULATIONS!E80,
IF(SMALL(CALCULATIONS!D65:D94,2)=17,CALCULATIONS!E81,
IF(SMALL(CALCULATIONS!D65:D94,2)=18,CALCULATIONS!E82,
IF(SMALL(CALCULATIONS!D65:D94,2)=19,CALCULATIONS!E83,
IF(SMALL(CALCULATIONS!D65:D94,2)=20,CALCULATIONS!E84,
IF(SMALL(CALCULATIONS!D65:D94,2)=21,CALCULATIONS!E85,
IF(SMALL(CALCULATIONS!D65:D94,2)=22,CALCULATIONS!E86,
IF(SMALL(CALCULATIONS!D65:D94,2)=23,CALCULATIONS!E87,
IF(SMALL(CALCULATIONS!D65:D94,2)=24,CALCULATIONS!E88,
IF(SMALL(CALCULATIONS!D65:D94,2)=25,CALCULATIONS!E89,
IF(SMALL(CALCULATIONS!D65:D94,2)=26,CALCULATIONS!E90,
IF(SMALL(CALCULATIONS!D65:D94,2)=27,CALCULATIONS!E91,
IF(SMALL(CALCULATIONS!D65:D94,2)=28,CALCULATIONS!E92,
IF(SMALL(CALCULATIONS!D65:D94,2)=29,CALCULATIONS!E93,
IF(SMALL(CALCULATIONS!D65:D94,2)=30,CALCULATIONS!E94,
"")))))))))))))))))))))))))))))),"")</f>
        <v>1</v>
      </c>
      <c r="E16" s="33"/>
      <c r="F16" s="33" t="str">
        <f t="shared" ref="F16:F44" si="1">IF(B16="","","___")</f>
        <v>___</v>
      </c>
      <c r="G16" s="33"/>
      <c r="H16" s="33" t="str">
        <f t="shared" ref="H16:H44" si="2">IF(B16="","","___")</f>
        <v>___</v>
      </c>
    </row>
    <row r="17" spans="1:8" x14ac:dyDescent="0.25">
      <c r="A17" s="75" t="str">
        <f t="shared" si="0"/>
        <v>□</v>
      </c>
      <c r="B17" s="33" t="str">
        <f>IF(COUNT(CALCULATIONS!D65:D106)&gt;=3,
IF(SMALL(CALCULATIONS!D65:D106,3)=1,CALCULATIONS!C65,
IF(SMALL(CALCULATIONS!D65:D106,3)=2,CALCULATIONS!C66,
IF(SMALL(CALCULATIONS!D65:D106,3)=3,CALCULATIONS!C67,
IF(SMALL(CALCULATIONS!D65:D106,3)=4,CALCULATIONS!C68,
IF(SMALL(CALCULATIONS!D65:D106,3)=5,CALCULATIONS!C69,
IF(SMALL(CALCULATIONS!D65:D106,3)=6,CALCULATIONS!C70,
IF(SMALL(CALCULATIONS!D65:D106,3)=7,CALCULATIONS!C71,
IF(SMALL(CALCULATIONS!D65:D106,3)=8,CALCULATIONS!C72,
IF(SMALL(CALCULATIONS!D65:D106,3)=9,CALCULATIONS!C73,
IF(SMALL(CALCULATIONS!D65:D106,3)=10,CALCULATIONS!C74,
IF(SMALL(CALCULATIONS!D65:D106,3)=11,CALCULATIONS!C75,
IF(SMALL(CALCULATIONS!D65:D106,3)=12,CALCULATIONS!C76,
IF(SMALL(CALCULATIONS!D65:D106,3)=13,CALCULATIONS!C77,
IF(SMALL(CALCULATIONS!D65:D106,3)=14,CALCULATIONS!C78,
IF(SMALL(CALCULATIONS!D65:D106,3)=15,CALCULATIONS!C79,
IF(SMALL(CALCULATIONS!D65:D106,3)=16,CALCULATIONS!C80,
IF(SMALL(CALCULATIONS!D65:D106,3)=17,CALCULATIONS!C81,
IF(SMALL(CALCULATIONS!D65:D106,3)=18,CALCULATIONS!C82,
IF(SMALL(CALCULATIONS!D65:D106,3)=19,CALCULATIONS!C83,
IF(SMALL(CALCULATIONS!D65:D106,3)=20,CALCULATIONS!C84,
IF(SMALL(CALCULATIONS!D65:D106,3)=21,CALCULATIONS!C85,
IF(SMALL(CALCULATIONS!D65:D106,3)=22,CALCULATIONS!C86,
IF(SMALL(CALCULATIONS!D65:D106,3)=23,CALCULATIONS!C87,
IF(SMALL(CALCULATIONS!D65:D106,3)=24,CALCULATIONS!C88,
IF(SMALL(CALCULATIONS!D65:D106,3)=25,CALCULATIONS!C89,
IF(SMALL(CALCULATIONS!D65:D106,3)=26,CALCULATIONS!C90,
IF(SMALL(CALCULATIONS!D65:D106,3)=27,CALCULATIONS!C91,
IF(SMALL(CALCULATIONS!D65:D106,3)=28,CALCULATIONS!C92,
IF(SMALL(CALCULATIONS!D65:D106,3)=29,CALCULATIONS!C93,
IF(SMALL(CALCULATIONS!D65:D106,3)=30,CALCULATIONS!C94,
IF(SMALL(CALCULATIONS!D65:D106,3)=31,CALCULATIONS!C95,
IF(SMALL(CALCULATIONS!D65:D106,3)=32,CALCULATIONS!C96,
IF(SMALL(CALCULATIONS!D65:D106,3)=33,CALCULATIONS!C97,
IF(SMALL(CALCULATIONS!D65:D106,3)=34,CALCULATIONS!C98,
IF(SMALL(CALCULATIONS!D65:D106,3)=35,CALCULATIONS!C99,
IF(SMALL(CALCULATIONS!D65:D106,3)=36,CALCULATIONS!C100,
IF(SMALL(CALCULATIONS!D65:D106,3)=37,CALCULATIONS!C101,
IF(SMALL(CALCULATIONS!D65:D106,3)=38,CALCULATIONS!C102,
IF(SMALL(CALCULATIONS!D65:D106,3)=39,CALCULATIONS!C103,
IF(SMALL(CALCULATIONS!D65:D106,3)=40,CALCULATIONS!C104,
IF(SMALL(CALCULATIONS!D65:D106,3)=41,CALCULATIONS!C105,
IF(SMALL(CALCULATIONS!D65:D106,3)=42,CALCULATIONS!C106,
"")))))))))))))))))))))))))))))))))))))))))),"")</f>
        <v xml:space="preserve"> METER AND METER PAN</v>
      </c>
      <c r="C17" s="33"/>
      <c r="D17" s="33" t="str">
        <f>IF(COUNT(CALCULATIONS!D65:D94)&gt;=3,
IF(SMALL(CALCULATIONS!D65:D94,3)=1,CALCULATIONS!E65,
IF(SMALL(CALCULATIONS!D65:D94,3)=2,CALCULATIONS!E66,
IF(SMALL(CALCULATIONS!D65:D94,3)=3,CALCULATIONS!E67,
IF(SMALL(CALCULATIONS!D65:D94,3)=4,CALCULATIONS!E68,
IF(SMALL(CALCULATIONS!D65:D94,3)=5,CALCULATIONS!E69,
IF(SMALL(CALCULATIONS!D65:D94,3)=6,CALCULATIONS!E70,
IF(SMALL(CALCULATIONS!D65:D94,3)=7,CALCULATIONS!E71,
IF(SMALL(CALCULATIONS!D65:D94,3)=8,CALCULATIONS!E72,
IF(SMALL(CALCULATIONS!D65:D94,3)=9,CALCULATIONS!E73,
IF(SMALL(CALCULATIONS!D65:D94,3)=10,CALCULATIONS!E74,
IF(SMALL(CALCULATIONS!D65:D94,3)=11,CALCULATIONS!E75,
IF(SMALL(CALCULATIONS!D65:D94,3)=12,CALCULATIONS!E76,
IF(SMALL(CALCULATIONS!D65:D94,3)=13,CALCULATIONS!E77,
IF(SMALL(CALCULATIONS!D65:D94,3)=14,CALCULATIONS!E78,
IF(SMALL(CALCULATIONS!D65:D94,3)=15,CALCULATIONS!E79,
IF(SMALL(CALCULATIONS!D65:D94,3)=16,CALCULATIONS!E80,
IF(SMALL(CALCULATIONS!D65:D94,3)=17,CALCULATIONS!E81,
IF(SMALL(CALCULATIONS!D65:D94,3)=18,CALCULATIONS!E82,
IF(SMALL(CALCULATIONS!D65:D94,3)=19,CALCULATIONS!E83,
IF(SMALL(CALCULATIONS!D65:D94,3)=20,CALCULATIONS!E84,
IF(SMALL(CALCULATIONS!D65:D94,3)=21,CALCULATIONS!E85,
IF(SMALL(CALCULATIONS!D65:D94,3)=22,CALCULATIONS!E86,
IF(SMALL(CALCULATIONS!D65:D94,3)=23,CALCULATIONS!E87,
IF(SMALL(CALCULATIONS!D65:D94,3)=24,CALCULATIONS!E88,
IF(SMALL(CALCULATIONS!D65:D94,3)=25,CALCULATIONS!E89,
IF(SMALL(CALCULATIONS!D65:D94,3)=26,CALCULATIONS!E90,
IF(SMALL(CALCULATIONS!D65:D94,3)=27,CALCULATIONS!E91,
IF(SMALL(CALCULATIONS!D65:D94,3)=28,CALCULATIONS!E92,
IF(SMALL(CALCULATIONS!D65:D94,3)=29,CALCULATIONS!E93,
IF(SMALL(CALCULATIONS!D65:D94,3)=30,CALCULATIONS!E94,
"")))))))))))))))))))))))))))))),"")</f>
        <v>1</v>
      </c>
      <c r="E17" s="33"/>
      <c r="F17" s="33" t="str">
        <f t="shared" si="1"/>
        <v>___</v>
      </c>
      <c r="G17" s="33"/>
      <c r="H17" s="33" t="str">
        <f t="shared" si="2"/>
        <v>___</v>
      </c>
    </row>
    <row r="18" spans="1:8" x14ac:dyDescent="0.25">
      <c r="A18" s="75" t="str">
        <f t="shared" si="0"/>
        <v>□</v>
      </c>
      <c r="B18" s="33" t="str">
        <f>IF(COUNT(CALCULATIONS!D65:D106)&gt;=4,
IF(SMALL(CALCULATIONS!D65:D106,4)=1,CALCULATIONS!C65,
IF(SMALL(CALCULATIONS!D65:D106,4)=2,CALCULATIONS!C66,
IF(SMALL(CALCULATIONS!D65:D106,4)=3,CALCULATIONS!C67,
IF(SMALL(CALCULATIONS!D65:D106,4)=4,CALCULATIONS!C68,
IF(SMALL(CALCULATIONS!D65:D106,4)=5,CALCULATIONS!C69,
IF(SMALL(CALCULATIONS!D65:D106,4)=6,CALCULATIONS!C70,
IF(SMALL(CALCULATIONS!D65:D106,4)=7,CALCULATIONS!C71,
IF(SMALL(CALCULATIONS!D65:D106,4)=8,CALCULATIONS!C72,
IF(SMALL(CALCULATIONS!D65:D106,4)=9,CALCULATIONS!C73,
IF(SMALL(CALCULATIONS!D65:D106,4)=10,CALCULATIONS!C74,
IF(SMALL(CALCULATIONS!D65:D106,4)=11,CALCULATIONS!C75,
IF(SMALL(CALCULATIONS!D65:D106,4)=12,CALCULATIONS!C76,
IF(SMALL(CALCULATIONS!D65:D106,4)=13,CALCULATIONS!C77,
IF(SMALL(CALCULATIONS!D65:D106,4)=14,CALCULATIONS!C78,
IF(SMALL(CALCULATIONS!D65:D106,4)=15,CALCULATIONS!C79,
IF(SMALL(CALCULATIONS!D65:D106,4)=16,CALCULATIONS!C80,
IF(SMALL(CALCULATIONS!D65:D106,4)=17,CALCULATIONS!C81,
IF(SMALL(CALCULATIONS!D65:D106,4)=18,CALCULATIONS!C82,
IF(SMALL(CALCULATIONS!D65:D106,4)=19,CALCULATIONS!C83,
IF(SMALL(CALCULATIONS!D65:D106,4)=20,CALCULATIONS!C84,
IF(SMALL(CALCULATIONS!D65:D106,4)=21,CALCULATIONS!C85,
IF(SMALL(CALCULATIONS!D65:D106,4)=22,CALCULATIONS!C86,
IF(SMALL(CALCULATIONS!D65:D106,4)=23,CALCULATIONS!C87,
IF(SMALL(CALCULATIONS!D65:D106,4)=24,CALCULATIONS!C88,
IF(SMALL(CALCULATIONS!D65:D106,4)=25,CALCULATIONS!C89,
IF(SMALL(CALCULATIONS!D65:D106,4)=26,CALCULATIONS!C90,
IF(SMALL(CALCULATIONS!D65:D106,4)=27,CALCULATIONS!C91,
IF(SMALL(CALCULATIONS!D65:D106,4)=28,CALCULATIONS!C92,
IF(SMALL(CALCULATIONS!D65:D106,4)=29,CALCULATIONS!C93,
IF(SMALL(CALCULATIONS!D65:D106,4)=30,CALCULATIONS!C94,
IF(SMALL(CALCULATIONS!D65:D106,4)=31,CALCULATIONS!C95,
IF(SMALL(CALCULATIONS!D65:D106,4)=32,CALCULATIONS!C96,
IF(SMALL(CALCULATIONS!D65:D106,4)=33,CALCULATIONS!C97,
IF(SMALL(CALCULATIONS!D65:D106,4)=34,CALCULATIONS!C98,
IF(SMALL(CALCULATIONS!D65:D106,4)=35,CALCULATIONS!C99,
IF(SMALL(CALCULATIONS!D65:D106,4)=36,CALCULATIONS!C100,
IF(SMALL(CALCULATIONS!D65:D106,4)=37,CALCULATIONS!C101,
IF(SMALL(CALCULATIONS!D65:D106,4)=38,CALCULATIONS!C102,
IF(SMALL(CALCULATIONS!D65:D106,4)=39,CALCULATIONS!C103,
IF(SMALL(CALCULATIONS!D65:D106,4)=40,CALCULATIONS!C104,
IF(SMALL(CALCULATIONS!D65:D106,4)=41,CALCULATIONS!C105,
IF(SMALL(CALCULATIONS!D65:D106,4)=42,CALCULATIONS!C106,
"")))))))))))))))))))))))))))))))))))))))))),"")</f>
        <v>SOLADECK BOX(ES) &amp; HAYCO CONNECTOR(S)</v>
      </c>
      <c r="C18" s="33"/>
      <c r="D18" s="33">
        <f>IF(COUNT(CALCULATIONS!D65:D94)&gt;=4,
IF(SMALL(CALCULATIONS!D65:D94,4)=1,CALCULATIONS!E65,
IF(SMALL(CALCULATIONS!D65:D94,4)=2,CALCULATIONS!E66,
IF(SMALL(CALCULATIONS!D65:D94,4)=3,CALCULATIONS!E67,
IF(SMALL(CALCULATIONS!D65:D94,4)=4,CALCULATIONS!E68,
IF(SMALL(CALCULATIONS!D65:D94,4)=5,CALCULATIONS!E69,
IF(SMALL(CALCULATIONS!D65:D94,4)=6,CALCULATIONS!E70,
IF(SMALL(CALCULATIONS!D65:D94,4)=7,CALCULATIONS!E71,
IF(SMALL(CALCULATIONS!D65:D94,4)=8,CALCULATIONS!E72,
IF(SMALL(CALCULATIONS!D65:D94,4)=9,CALCULATIONS!E73,
IF(SMALL(CALCULATIONS!D65:D94,4)=10,CALCULATIONS!E74,
IF(SMALL(CALCULATIONS!D65:D94,4)=11,CALCULATIONS!E75,
IF(SMALL(CALCULATIONS!D65:D94,4)=12,CALCULATIONS!E76,
IF(SMALL(CALCULATIONS!D65:D94,4)=13,CALCULATIONS!E77,
IF(SMALL(CALCULATIONS!D65:D94,4)=14,CALCULATIONS!E78,
IF(SMALL(CALCULATIONS!D65:D94,4)=15,CALCULATIONS!E79,
IF(SMALL(CALCULATIONS!D65:D94,4)=16,CALCULATIONS!E80,
IF(SMALL(CALCULATIONS!D65:D94,4)=17,CALCULATIONS!E81,
IF(SMALL(CALCULATIONS!D65:D94,4)=18,CALCULATIONS!E82,
IF(SMALL(CALCULATIONS!D65:D94,4)=19,CALCULATIONS!E83,
IF(SMALL(CALCULATIONS!D65:D94,4)=20,CALCULATIONS!E84,
IF(SMALL(CALCULATIONS!D65:D94,4)=21,CALCULATIONS!E85,
IF(SMALL(CALCULATIONS!D65:D94,4)=22,CALCULATIONS!E86,
IF(SMALL(CALCULATIONS!D65:D94,4)=23,CALCULATIONS!E87,
IF(SMALL(CALCULATIONS!D65:D94,4)=24,CALCULATIONS!E88,
IF(SMALL(CALCULATIONS!D65:D94,4)=25,CALCULATIONS!E89,
IF(SMALL(CALCULATIONS!D65:D94,4)=26,CALCULATIONS!E90,
IF(SMALL(CALCULATIONS!D65:D94,4)=27,CALCULATIONS!E91,
IF(SMALL(CALCULATIONS!D65:D94,4)=28,CALCULATIONS!E92,
IF(SMALL(CALCULATIONS!D65:D94,4)=29,CALCULATIONS!E93,
IF(SMALL(CALCULATIONS!D65:D94,4)=30,CALCULATIONS!E94,
"")))))))))))))))))))))))))))))),"")</f>
        <v>0</v>
      </c>
      <c r="E18" s="33"/>
      <c r="F18" s="33" t="str">
        <f t="shared" si="1"/>
        <v>___</v>
      </c>
      <c r="G18" s="33"/>
      <c r="H18" s="33" t="str">
        <f t="shared" si="2"/>
        <v>___</v>
      </c>
    </row>
    <row r="19" spans="1:8" x14ac:dyDescent="0.25">
      <c r="A19" s="75" t="str">
        <f t="shared" si="0"/>
        <v>□</v>
      </c>
      <c r="B19" s="33" t="str">
        <f>IF(COUNT(CALCULATIONS!D65:D106)&gt;=5,
IF(SMALL(CALCULATIONS!D65:D106,5)=1,CALCULATIONS!C65,
IF(SMALL(CALCULATIONS!D65:D106,5)=2,CALCULATIONS!C66,
IF(SMALL(CALCULATIONS!D65:D106,5)=3,CALCULATIONS!C67,
IF(SMALL(CALCULATIONS!D65:D106,5)=4,CALCULATIONS!C68,
IF(SMALL(CALCULATIONS!D65:D106,5)=5,CALCULATIONS!C69,
IF(SMALL(CALCULATIONS!D65:D106,5)=6,CALCULATIONS!C70,
IF(SMALL(CALCULATIONS!D65:D106,5)=7,CALCULATIONS!C71,
IF(SMALL(CALCULATIONS!D65:D106,5)=8,CALCULATIONS!C72,
IF(SMALL(CALCULATIONS!D65:D106,5)=9,CALCULATIONS!C73,
IF(SMALL(CALCULATIONS!D65:D106,5)=10,CALCULATIONS!C74,
IF(SMALL(CALCULATIONS!D65:D106,5)=11,CALCULATIONS!C75,
IF(SMALL(CALCULATIONS!D65:D106,5)=12,CALCULATIONS!C76,
IF(SMALL(CALCULATIONS!D65:D106,5)=13,CALCULATIONS!C77,
IF(SMALL(CALCULATIONS!D65:D106,5)=14,CALCULATIONS!C78,
IF(SMALL(CALCULATIONS!D65:D106,5)=15,CALCULATIONS!C79,
IF(SMALL(CALCULATIONS!D65:D106,5)=16,CALCULATIONS!C80,
IF(SMALL(CALCULATIONS!D65:D106,5)=17,CALCULATIONS!C81,
IF(SMALL(CALCULATIONS!D65:D106,5)=18,CALCULATIONS!C82,
IF(SMALL(CALCULATIONS!D65:D106,5)=19,CALCULATIONS!C83,
IF(SMALL(CALCULATIONS!D65:D106,5)=20,CALCULATIONS!C84,
IF(SMALL(CALCULATIONS!D65:D106,5)=21,CALCULATIONS!C85,
IF(SMALL(CALCULATIONS!D65:D106,5)=22,CALCULATIONS!C86,
IF(SMALL(CALCULATIONS!D65:D106,5)=23,CALCULATIONS!C87,
IF(SMALL(CALCULATIONS!D65:D106,5)=24,CALCULATIONS!C88,
IF(SMALL(CALCULATIONS!D65:D106,5)=25,CALCULATIONS!C89,
IF(SMALL(CALCULATIONS!D65:D106,5)=26,CALCULATIONS!C90,
IF(SMALL(CALCULATIONS!D65:D106,5)=27,CALCULATIONS!C91,
IF(SMALL(CALCULATIONS!D65:D106,5)=28,CALCULATIONS!C92,
IF(SMALL(CALCULATIONS!D65:D106,5)=29,CALCULATIONS!C93,
IF(SMALL(CALCULATIONS!D65:D106,5)=30,CALCULATIONS!C94,
IF(SMALL(CALCULATIONS!D65:D106,5)=31,CALCULATIONS!C95,
IF(SMALL(CALCULATIONS!D65:D106,5)=32,CALCULATIONS!C96,
IF(SMALL(CALCULATIONS!D65:D106,5)=33,CALCULATIONS!C97,
IF(SMALL(CALCULATIONS!D65:D106,5)=34,CALCULATIONS!C98,
IF(SMALL(CALCULATIONS!D65:D106,5)=35,CALCULATIONS!C99,
IF(SMALL(CALCULATIONS!D65:D106,5)=36,CALCULATIONS!C100,
IF(SMALL(CALCULATIONS!D65:D106,5)=37,CALCULATIONS!C101,
IF(SMALL(CALCULATIONS!D65:D106,5)=38,CALCULATIONS!C102,
IF(SMALL(CALCULATIONS!D65:D106,5)=39,CALCULATIONS!C103,
IF(SMALL(CALCULATIONS!D65:D106,5)=40,CALCULATIONS!C104,
IF(SMALL(CALCULATIONS!D65:D106,5)=41,CALCULATIONS!C105,
IF(SMALL(CALCULATIONS!D65:D106,5)=42,CALCULATIONS!C106,
"")))))))))))))))))))))))))))))))))))))))))),"")</f>
        <v>14' SECTIONS OF RAIL</v>
      </c>
      <c r="C19" s="33"/>
      <c r="D19" s="33">
        <f>IF(COUNT(CALCULATIONS!D65:D106)&gt;=5,
IF(SMALL(CALCULATIONS!D65:D106,5)=1,CALCULATIONS!E65,
IF(SMALL(CALCULATIONS!D65:D106,5)=2,CALCULATIONS!E66,
IF(SMALL(CALCULATIONS!D65:D106,5)=3,CALCULATIONS!E67,
IF(SMALL(CALCULATIONS!D65:D106,5)=4,CALCULATIONS!E68,
IF(SMALL(CALCULATIONS!D65:D106,5)=5,CALCULATIONS!E69,
IF(SMALL(CALCULATIONS!D65:D106,5)=6,CALCULATIONS!E70,
IF(SMALL(CALCULATIONS!D65:D106,5)=7,CALCULATIONS!E71,
IF(SMALL(CALCULATIONS!D65:D106,5)=8,CALCULATIONS!E72,
IF(SMALL(CALCULATIONS!D65:D106,5)=9,CALCULATIONS!E73,
IF(SMALL(CALCULATIONS!D65:D106,5)=10,CALCULATIONS!E74,
IF(SMALL(CALCULATIONS!D65:D106,5)=11,CALCULATIONS!E75,
IF(SMALL(CALCULATIONS!D65:D106,5)=12,CALCULATIONS!E76,
IF(SMALL(CALCULATIONS!D65:D106,5)=13,CALCULATIONS!E77,
IF(SMALL(CALCULATIONS!D65:D106,5)=14,CALCULATIONS!E78,
IF(SMALL(CALCULATIONS!D65:D106,5)=15,CALCULATIONS!E79,
IF(SMALL(CALCULATIONS!D65:D106,5)=16,CALCULATIONS!E80,
IF(SMALL(CALCULATIONS!D65:D106,5)=17,CALCULATIONS!E81,
IF(SMALL(CALCULATIONS!D65:D106,5)=18,CALCULATIONS!E82,
IF(SMALL(CALCULATIONS!D65:D106,5)=19,CALCULATIONS!E83,
IF(SMALL(CALCULATIONS!D65:D106,5)=20,CALCULATIONS!E84,
IF(SMALL(CALCULATIONS!D65:D106,5)=21,CALCULATIONS!E85,
IF(SMALL(CALCULATIONS!D65:D106,5)=22,CALCULATIONS!E86,
IF(SMALL(CALCULATIONS!D65:D106,5)=23,CALCULATIONS!E87,
IF(SMALL(CALCULATIONS!D65:D106,5)=24,CALCULATIONS!E88,
IF(SMALL(CALCULATIONS!D65:D106,5)=25,CALCULATIONS!E89,
IF(SMALL(CALCULATIONS!D65:D106,5)=26,CALCULATIONS!E90,
IF(SMALL(CALCULATIONS!D65:D106,5)=27,CALCULATIONS!E91,
IF(SMALL(CALCULATIONS!D65:D106,5)=28,CALCULATIONS!E92,
IF(SMALL(CALCULATIONS!D65:D106,5)=29,CALCULATIONS!E93,
IF(SMALL(CALCULATIONS!D65:D106,5)=30,CALCULATIONS!E94,
IF(SMALL(CALCULATIONS!D65:D106,5)=31,CALCULATIONS!E95,
IF(SMALL(CALCULATIONS!D65:D106,5)=32,CALCULATIONS!E96,
IF(SMALL(CALCULATIONS!D65:D106,5)=33,CALCULATIONS!E97,
IF(SMALL(CALCULATIONS!D65:D106,5)=34,CALCULATIONS!E98,
IF(SMALL(CALCULATIONS!D65:D106,5)=35,CALCULATIONS!E99,
IF(SMALL(CALCULATIONS!D65:D106,5)=36,CALCULATIONS!E100,
IF(SMALL(CALCULATIONS!D65:D106,5)=37,CALCULATIONS!E101,
IF(SMALL(CALCULATIONS!D65:D106,5)=38,CALCULATIONS!E102,
IF(SMALL(CALCULATIONS!D65:D106,5)=39,CALCULATIONS!E103,
IF(SMALL(CALCULATIONS!D65:D106,5)=40,CALCULATIONS!E104,
IF(SMALL(CALCULATIONS!D65:D106,5)=41,CALCULATIONS!E105,
IF(SMALL(CALCULATIONS!D65:D106,5)=42,CALCULATIONS!E106,
"")))))))))))))))))))))))))))))))))))))))))),"")</f>
        <v>2</v>
      </c>
      <c r="E19" s="33"/>
      <c r="F19" s="33" t="str">
        <f t="shared" si="1"/>
        <v>___</v>
      </c>
      <c r="G19" s="33"/>
      <c r="H19" s="33" t="str">
        <f t="shared" si="2"/>
        <v>___</v>
      </c>
    </row>
    <row r="20" spans="1:8" x14ac:dyDescent="0.25">
      <c r="A20" s="75" t="str">
        <f t="shared" si="0"/>
        <v>□</v>
      </c>
      <c r="B20" s="33" t="str">
        <f>IF(COUNT(CALCULATIONS!D65:D106)&gt;=6,
IF(SMALL(CALCULATIONS!D65:D106,6)=1,CALCULATIONS!C65,
IF(SMALL(CALCULATIONS!D65:D106,6)=2,CALCULATIONS!C66,
IF(SMALL(CALCULATIONS!D65:D106,6)=3,CALCULATIONS!C67,
IF(SMALL(CALCULATIONS!D65:D106,6)=4,CALCULATIONS!C68,
IF(SMALL(CALCULATIONS!D65:D106,6)=5,CALCULATIONS!C69,
IF(SMALL(CALCULATIONS!D65:D106,6)=6,CALCULATIONS!C70,
IF(SMALL(CALCULATIONS!D65:D106,6)=7,CALCULATIONS!C71,
IF(SMALL(CALCULATIONS!D65:D106,6)=8,CALCULATIONS!C72,
IF(SMALL(CALCULATIONS!D65:D106,6)=9,CALCULATIONS!C73,
IF(SMALL(CALCULATIONS!D65:D106,6)=10,CALCULATIONS!C74,
IF(SMALL(CALCULATIONS!D65:D106,6)=11,CALCULATIONS!C75,
IF(SMALL(CALCULATIONS!D65:D106,6)=12,CALCULATIONS!C76,
IF(SMALL(CALCULATIONS!D65:D106,6)=13,CALCULATIONS!C77,
IF(SMALL(CALCULATIONS!D65:D106,6)=14,CALCULATIONS!C78,
IF(SMALL(CALCULATIONS!D65:D106,6)=15,CALCULATIONS!C79,
IF(SMALL(CALCULATIONS!D65:D106,6)=16,CALCULATIONS!C80,
IF(SMALL(CALCULATIONS!D65:D106,6)=17,CALCULATIONS!C81,
IF(SMALL(CALCULATIONS!D65:D106,6)=18,CALCULATIONS!C82,
IF(SMALL(CALCULATIONS!D65:D106,6)=19,CALCULATIONS!C83,
IF(SMALL(CALCULATIONS!D65:D106,6)=20,CALCULATIONS!C84,
IF(SMALL(CALCULATIONS!D65:D106,6)=21,CALCULATIONS!C85,
IF(SMALL(CALCULATIONS!D65:D106,6)=22,CALCULATIONS!C86,
IF(SMALL(CALCULATIONS!D65:D106,6)=23,CALCULATIONS!C87,
IF(SMALL(CALCULATIONS!D65:D106,6)=24,CALCULATIONS!C88,
IF(SMALL(CALCULATIONS!D65:D106,6)=25,CALCULATIONS!C89,
IF(SMALL(CALCULATIONS!D65:D106,6)=26,CALCULATIONS!C90,
IF(SMALL(CALCULATIONS!D65:D106,6)=27,CALCULATIONS!C91,
IF(SMALL(CALCULATIONS!D65:D106,6)=28,CALCULATIONS!C92,
IF(SMALL(CALCULATIONS!D65:D106,6)=29,CALCULATIONS!C93,
IF(SMALL(CALCULATIONS!D65:D106,6)=30,CALCULATIONS!C94,
IF(SMALL(CALCULATIONS!D65:D106,6)=31,CALCULATIONS!C95,
IF(SMALL(CALCULATIONS!D65:D106,6)=32,CALCULATIONS!C96,
IF(SMALL(CALCULATIONS!D65:D106,6)=33,CALCULATIONS!C97,
IF(SMALL(CALCULATIONS!D65:D106,6)=34,CALCULATIONS!C98,
IF(SMALL(CALCULATIONS!D65:D106,6)=35,CALCULATIONS!C99,
IF(SMALL(CALCULATIONS!D65:D106,6)=36,CALCULATIONS!C100,
IF(SMALL(CALCULATIONS!D65:D106,6)=37,CALCULATIONS!C101,
IF(SMALL(CALCULATIONS!D65:D106,6)=38,CALCULATIONS!C102,
IF(SMALL(CALCULATIONS!D65:D106,6)=39,CALCULATIONS!C103,
IF(SMALL(CALCULATIONS!D65:D106,6)=40,CALCULATIONS!C104,
IF(SMALL(CALCULATIONS!D65:D106,6)=41,CALCULATIONS!C105,
IF(SMALL(CALCULATIONS!D65:D106,6)=42,CALCULATIONS!C106,
"")))))))))))))))))))))))))))))))))))))))))),"")</f>
        <v>FLASHINGS</v>
      </c>
      <c r="C20" s="33"/>
      <c r="D20" s="33">
        <f>IF(COUNT(CALCULATIONS!D65:D106)&gt;=6,
IF(SMALL(CALCULATIONS!D65:D106,6)=1,CALCULATIONS!E65,
IF(SMALL(CALCULATIONS!D65:D106,6)=2,CALCULATIONS!E66,
IF(SMALL(CALCULATIONS!D65:D106,6)=3,CALCULATIONS!E67,
IF(SMALL(CALCULATIONS!D65:D106,6)=4,CALCULATIONS!E68,
IF(SMALL(CALCULATIONS!D65:D106,6)=5,CALCULATIONS!E69,
IF(SMALL(CALCULATIONS!D65:D106,6)=6,CALCULATIONS!E70,
IF(SMALL(CALCULATIONS!D65:D106,6)=7,CALCULATIONS!E71,
IF(SMALL(CALCULATIONS!D65:D106,6)=8,CALCULATIONS!E72,
IF(SMALL(CALCULATIONS!D65:D106,6)=9,CALCULATIONS!E73,
IF(SMALL(CALCULATIONS!D65:D106,6)=10,CALCULATIONS!E74,
IF(SMALL(CALCULATIONS!D65:D106,6)=11,CALCULATIONS!E75,
IF(SMALL(CALCULATIONS!D65:D106,6)=12,CALCULATIONS!E76,
IF(SMALL(CALCULATIONS!D65:D106,6)=13,CALCULATIONS!E77,
IF(SMALL(CALCULATIONS!D65:D106,6)=14,CALCULATIONS!E78,
IF(SMALL(CALCULATIONS!D65:D106,6)=15,CALCULATIONS!E79,
IF(SMALL(CALCULATIONS!D65:D106,6)=16,CALCULATIONS!E80,
IF(SMALL(CALCULATIONS!D65:D106,6)=17,CALCULATIONS!E81,
IF(SMALL(CALCULATIONS!D65:D106,6)=18,CALCULATIONS!E82,
IF(SMALL(CALCULATIONS!D65:D106,6)=19,CALCULATIONS!E83,
IF(SMALL(CALCULATIONS!D65:D106,6)=20,CALCULATIONS!E84,
IF(SMALL(CALCULATIONS!D65:D106,6)=21,CALCULATIONS!E85,
IF(SMALL(CALCULATIONS!D65:D106,6)=22,CALCULATIONS!E86,
IF(SMALL(CALCULATIONS!D65:D106,6)=23,CALCULATIONS!E87,
IF(SMALL(CALCULATIONS!D65:D106,6)=24,CALCULATIONS!E88,
IF(SMALL(CALCULATIONS!D65:D106,6)=25,CALCULATIONS!E89,
IF(SMALL(CALCULATIONS!D65:D106,6)=26,CALCULATIONS!E90,
IF(SMALL(CALCULATIONS!D65:D106,6)=27,CALCULATIONS!E91,
IF(SMALL(CALCULATIONS!D65:D106,6)=28,CALCULATIONS!E92,
IF(SMALL(CALCULATIONS!D65:D106,6)=29,CALCULATIONS!E93,
IF(SMALL(CALCULATIONS!D65:D106,6)=30,CALCULATIONS!E94,
IF(SMALL(CALCULATIONS!D65:D106,6)=31,CALCULATIONS!E95,
IF(SMALL(CALCULATIONS!D65:D106,6)=32,CALCULATIONS!E96,
IF(SMALL(CALCULATIONS!D65:D106,6)=33,CALCULATIONS!E97,
IF(SMALL(CALCULATIONS!D65:D106,6)=34,CALCULATIONS!E98,
IF(SMALL(CALCULATIONS!D65:D106,6)=35,CALCULATIONS!E99,
IF(SMALL(CALCULATIONS!D65:D106,6)=36,CALCULATIONS!E100,
IF(SMALL(CALCULATIONS!D65:D106,6)=37,CALCULATIONS!E101,
IF(SMALL(CALCULATIONS!D65:D106,6)=38,CALCULATIONS!E102,
IF(SMALL(CALCULATIONS!D65:D106,6)=39,CALCULATIONS!E103,
IF(SMALL(CALCULATIONS!D65:D106,6)=40,CALCULATIONS!E104,
IF(SMALL(CALCULATIONS!D65:D106,6)=41,CALCULATIONS!E105,
IF(SMALL(CALCULATIONS!D65:D106,6)=42,CALCULATIONS!E106,
"")))))))))))))))))))))))))))))))))))))))))),"")</f>
        <v>0</v>
      </c>
      <c r="E20" s="33"/>
      <c r="F20" s="33" t="str">
        <f t="shared" si="1"/>
        <v>___</v>
      </c>
      <c r="G20" s="33"/>
      <c r="H20" s="33" t="str">
        <f t="shared" si="2"/>
        <v>___</v>
      </c>
    </row>
    <row r="21" spans="1:8" x14ac:dyDescent="0.25">
      <c r="A21" s="75" t="str">
        <f t="shared" si="0"/>
        <v>□</v>
      </c>
      <c r="B21" s="33" t="str">
        <f>IF(COUNT(CALCULATIONS!D65:D106)&gt;=7,
IF(SMALL(CALCULATIONS!D65:D106,7)=1,CALCULATIONS!C65,
IF(SMALL(CALCULATIONS!D65:D106,7)=2,CALCULATIONS!C66,
IF(SMALL(CALCULATIONS!D65:D106,7)=3,CALCULATIONS!C67,
IF(SMALL(CALCULATIONS!D65:D106,7)=4,CALCULATIONS!C68,
IF(SMALL(CALCULATIONS!D65:D106,7)=5,CALCULATIONS!C69,
IF(SMALL(CALCULATIONS!D65:D106,7)=6,CALCULATIONS!C70,
IF(SMALL(CALCULATIONS!D65:D106,7)=7,CALCULATIONS!C71,
IF(SMALL(CALCULATIONS!D65:D106,7)=8,CALCULATIONS!C72,
IF(SMALL(CALCULATIONS!D65:D106,7)=9,CALCULATIONS!C73,
IF(SMALL(CALCULATIONS!D65:D106,7)=10,CALCULATIONS!C74,
IF(SMALL(CALCULATIONS!D65:D106,7)=11,CALCULATIONS!C75,
IF(SMALL(CALCULATIONS!D65:D106,7)=12,CALCULATIONS!C76,
IF(SMALL(CALCULATIONS!D65:D106,7)=13,CALCULATIONS!C77,
IF(SMALL(CALCULATIONS!D65:D106,7)=14,CALCULATIONS!C78,
IF(SMALL(CALCULATIONS!D65:D106,7)=15,CALCULATIONS!C79,
IF(SMALL(CALCULATIONS!D65:D106,7)=16,CALCULATIONS!C80,
IF(SMALL(CALCULATIONS!D65:D106,7)=17,CALCULATIONS!C81,
IF(SMALL(CALCULATIONS!D65:D106,7)=18,CALCULATIONS!C82,
IF(SMALL(CALCULATIONS!D65:D106,7)=19,CALCULATIONS!C83,
IF(SMALL(CALCULATIONS!D65:D106,7)=20,CALCULATIONS!C84,
IF(SMALL(CALCULATIONS!D65:D106,7)=21,CALCULATIONS!C85,
IF(SMALL(CALCULATIONS!D65:D106,7)=22,CALCULATIONS!C86,
IF(SMALL(CALCULATIONS!D65:D106,7)=23,CALCULATIONS!C87,
IF(SMALL(CALCULATIONS!D65:D106,7)=24,CALCULATIONS!C88,
IF(SMALL(CALCULATIONS!D65:D106,7)=25,CALCULATIONS!C89,
IF(SMALL(CALCULATIONS!D65:D106,7)=26,CALCULATIONS!C90,
IF(SMALL(CALCULATIONS!D65:D106,7)=27,CALCULATIONS!C91,
IF(SMALL(CALCULATIONS!D65:D106,7)=28,CALCULATIONS!C92,
IF(SMALL(CALCULATIONS!D65:D106,7)=29,CALCULATIONS!C93,
IF(SMALL(CALCULATIONS!D65:D106,7)=30,CALCULATIONS!C94,
IF(SMALL(CALCULATIONS!D65:D106,7)=31,CALCULATIONS!C95,
IF(SMALL(CALCULATIONS!D65:D106,7)=32,CALCULATIONS!C96,
IF(SMALL(CALCULATIONS!D65:D106,7)=33,CALCULATIONS!C97,
IF(SMALL(CALCULATIONS!D65:D106,7)=34,CALCULATIONS!C98,
IF(SMALL(CALCULATIONS!D65:D106,7)=35,CALCULATIONS!C99,
IF(SMALL(CALCULATIONS!D65:D106,7)=36,CALCULATIONS!C100,
IF(SMALL(CALCULATIONS!D65:D106,7)=37,CALCULATIONS!C101,
IF(SMALL(CALCULATIONS!D65:D106,7)=38,CALCULATIONS!C102,
IF(SMALL(CALCULATIONS!D65:D106,7)=39,CALCULATIONS!C103,
IF(SMALL(CALCULATIONS!D65:D106,7)=40,CALCULATIONS!C104,
IF(SMALL(CALCULATIONS!D65:D106,7)=41,CALCULATIONS!C105,
IF(SMALL(CALCULATIONS!D65:D106,7)=42,CALCULATIONS!C106,
"")))))))))))))))))))))))))))))))))))))))))),"")</f>
        <v>CASE(S) OF BLACK SPRAY PAINT</v>
      </c>
      <c r="C21" s="33"/>
      <c r="D21" s="33">
        <f>IF(COUNT(CALCULATIONS!D65:D106)&gt;=7,
IF(SMALL(CALCULATIONS!D65:D106,7)=1,CALCULATIONS!E65,
IF(SMALL(CALCULATIONS!D65:D106,7)=2,CALCULATIONS!E66,
IF(SMALL(CALCULATIONS!D65:D106,7)=3,CALCULATIONS!E67,
IF(SMALL(CALCULATIONS!D65:D106,7)=4,CALCULATIONS!E68,
IF(SMALL(CALCULATIONS!D65:D106,7)=5,CALCULATIONS!E69,
IF(SMALL(CALCULATIONS!D65:D106,7)=6,CALCULATIONS!E70,
IF(SMALL(CALCULATIONS!D65:D106,7)=7,CALCULATIONS!E71,
IF(SMALL(CALCULATIONS!D65:D106,7)=8,CALCULATIONS!E72,
IF(SMALL(CALCULATIONS!D65:D106,7)=9,CALCULATIONS!E73,
IF(SMALL(CALCULATIONS!D65:D106,7)=10,CALCULATIONS!E74,
IF(SMALL(CALCULATIONS!D65:D106,7)=11,CALCULATIONS!E75,
IF(SMALL(CALCULATIONS!D65:D106,7)=12,CALCULATIONS!E76,
IF(SMALL(CALCULATIONS!D65:D106,7)=13,CALCULATIONS!E77,
IF(SMALL(CALCULATIONS!D65:D106,7)=14,CALCULATIONS!E78,
IF(SMALL(CALCULATIONS!D65:D106,7)=15,CALCULATIONS!E79,
IF(SMALL(CALCULATIONS!D65:D106,7)=16,CALCULATIONS!E80,
IF(SMALL(CALCULATIONS!D65:D106,7)=17,CALCULATIONS!E81,
IF(SMALL(CALCULATIONS!D65:D106,7)=18,CALCULATIONS!E82,
IF(SMALL(CALCULATIONS!D65:D106,7)=19,CALCULATIONS!E83,
IF(SMALL(CALCULATIONS!D65:D106,7)=20,CALCULATIONS!E84,
IF(SMALL(CALCULATIONS!D65:D106,7)=21,CALCULATIONS!E85,
IF(SMALL(CALCULATIONS!D65:D106,7)=22,CALCULATIONS!E86,
IF(SMALL(CALCULATIONS!D65:D106,7)=23,CALCULATIONS!E87,
IF(SMALL(CALCULATIONS!D65:D106,7)=24,CALCULATIONS!E88,
IF(SMALL(CALCULATIONS!D65:D106,7)=25,CALCULATIONS!E89,
IF(SMALL(CALCULATIONS!D65:D106,7)=26,CALCULATIONS!E90,
IF(SMALL(CALCULATIONS!D65:D106,7)=27,CALCULATIONS!E91,
IF(SMALL(CALCULATIONS!D65:D106,7)=28,CALCULATIONS!E92,
IF(SMALL(CALCULATIONS!D65:D106,7)=29,CALCULATIONS!E93,
IF(SMALL(CALCULATIONS!D65:D106,7)=30,CALCULATIONS!E94,
IF(SMALL(CALCULATIONS!D65:D106,7)=31,CALCULATIONS!E95,
IF(SMALL(CALCULATIONS!D65:D106,7)=32,CALCULATIONS!E96,
IF(SMALL(CALCULATIONS!D65:D106,7)=33,CALCULATIONS!E97,
IF(SMALL(CALCULATIONS!D65:D106,7)=34,CALCULATIONS!E98,
IF(SMALL(CALCULATIONS!D65:D106,7)=35,CALCULATIONS!E99,
IF(SMALL(CALCULATIONS!D65:D106,7)=36,CALCULATIONS!E100,
IF(SMALL(CALCULATIONS!D65:D106,7)=37,CALCULATIONS!E101,
IF(SMALL(CALCULATIONS!D65:D106,7)=38,CALCULATIONS!E102,
IF(SMALL(CALCULATIONS!D65:D106,7)=39,CALCULATIONS!E103,
IF(SMALL(CALCULATIONS!D65:D106,7)=40,CALCULATIONS!E104,
IF(SMALL(CALCULATIONS!D65:D106,7)=41,CALCULATIONS!E105,
IF(SMALL(CALCULATIONS!D65:D106,7)=42,CALCULATIONS!E106,
"")))))))))))))))))))))))))))))))))))))))))),"")</f>
        <v>1</v>
      </c>
      <c r="E21" s="33"/>
      <c r="F21" s="33" t="str">
        <f t="shared" si="1"/>
        <v>___</v>
      </c>
      <c r="G21" s="33"/>
      <c r="H21" s="33" t="str">
        <f t="shared" si="2"/>
        <v>___</v>
      </c>
    </row>
    <row r="22" spans="1:8" x14ac:dyDescent="0.25">
      <c r="A22" s="75" t="str">
        <f t="shared" si="0"/>
        <v>□</v>
      </c>
      <c r="B22" s="33" t="str">
        <f>IF(COUNT(CALCULATIONS!D65:D106)&gt;=8,
IF(SMALL(CALCULATIONS!D65:D106,8)=1,CALCULATIONS!C65,
IF(SMALL(CALCULATIONS!D65:D106,8)=2,CALCULATIONS!C66,
IF(SMALL(CALCULATIONS!D65:D106,8)=3,CALCULATIONS!C67,
IF(SMALL(CALCULATIONS!D65:D106,8)=4,CALCULATIONS!C68,
IF(SMALL(CALCULATIONS!D65:D106,8)=5,CALCULATIONS!C69,
IF(SMALL(CALCULATIONS!D65:D106,8)=6,CALCULATIONS!C70,
IF(SMALL(CALCULATIONS!D65:D106,8)=7,CALCULATIONS!C71,
IF(SMALL(CALCULATIONS!D65:D106,8)=8,CALCULATIONS!C72,
IF(SMALL(CALCULATIONS!D65:D106,8)=9,CALCULATIONS!C73,
IF(SMALL(CALCULATIONS!D65:D106,8)=10,CALCULATIONS!C74,
IF(SMALL(CALCULATIONS!D65:D106,8)=11,CALCULATIONS!C75,
IF(SMALL(CALCULATIONS!D65:D106,8)=12,CALCULATIONS!C76,
IF(SMALL(CALCULATIONS!D65:D106,8)=13,CALCULATIONS!C77,
IF(SMALL(CALCULATIONS!D65:D106,8)=14,CALCULATIONS!C78,
IF(SMALL(CALCULATIONS!D65:D106,8)=15,CALCULATIONS!C79,
IF(SMALL(CALCULATIONS!D65:D106,8)=16,CALCULATIONS!C80,
IF(SMALL(CALCULATIONS!D65:D106,8)=17,CALCULATIONS!C81,
IF(SMALL(CALCULATIONS!D65:D106,8)=18,CALCULATIONS!C82,
IF(SMALL(CALCULATIONS!D65:D106,8)=19,CALCULATIONS!C83,
IF(SMALL(CALCULATIONS!D65:D106,8)=20,CALCULATIONS!C84,
IF(SMALL(CALCULATIONS!D65:D106,8)=21,CALCULATIONS!C85,
IF(SMALL(CALCULATIONS!D65:D106,8)=22,CALCULATIONS!C86,
IF(SMALL(CALCULATIONS!D65:D106,8)=23,CALCULATIONS!C87,
IF(SMALL(CALCULATIONS!D65:D106,8)=24,CALCULATIONS!C88,
IF(SMALL(CALCULATIONS!D65:D106,8)=25,CALCULATIONS!C89,
IF(SMALL(CALCULATIONS!D65:D106,8)=26,CALCULATIONS!C90,
IF(SMALL(CALCULATIONS!D65:D106,8)=27,CALCULATIONS!C91,
IF(SMALL(CALCULATIONS!D65:D106,8)=28,CALCULATIONS!C92,
IF(SMALL(CALCULATIONS!D65:D106,8)=29,CALCULATIONS!C93,
IF(SMALL(CALCULATIONS!D65:D106,8)=30,CALCULATIONS!C94,
IF(SMALL(CALCULATIONS!D65:D106,8)=31,CALCULATIONS!C95,
IF(SMALL(CALCULATIONS!D65:D106,8)=32,CALCULATIONS!C96,
IF(SMALL(CALCULATIONS!D65:D106,8)=33,CALCULATIONS!C97,
IF(SMALL(CALCULATIONS!D65:D106,8)=34,CALCULATIONS!C98,
IF(SMALL(CALCULATIONS!D65:D106,8)=35,CALCULATIONS!C99,
IF(SMALL(CALCULATIONS!D65:D106,8)=36,CALCULATIONS!C100,
IF(SMALL(CALCULATIONS!D65:D106,8)=37,CALCULATIONS!C101,
IF(SMALL(CALCULATIONS!D65:D106,8)=38,CALCULATIONS!C102,
IF(SMALL(CALCULATIONS!D65:D106,8)=39,CALCULATIONS!C103,
IF(SMALL(CALCULATIONS!D65:D106,8)=40,CALCULATIONS!C104,
IF(SMALL(CALCULATIONS!D65:D106,8)=41,CALCULATIONS!C105,
IF(SMALL(CALCULATIONS!D65:D106,8)=42,CALCULATIONS!C106,
"")))))))))))))))))))))))))))))))))))))))))),"")</f>
        <v>CASE(S) OF TAR</v>
      </c>
      <c r="C22" s="33"/>
      <c r="D22" s="33">
        <f>IF(COUNT(CALCULATIONS!D65:D106)&gt;=8,
IF(SMALL(CALCULATIONS!D65:D106,8)=1,CALCULATIONS!E65,
IF(SMALL(CALCULATIONS!D65:D106,8)=2,CALCULATIONS!E66,
IF(SMALL(CALCULATIONS!D65:D106,8)=3,CALCULATIONS!E67,
IF(SMALL(CALCULATIONS!D65:D106,8)=4,CALCULATIONS!E68,
IF(SMALL(CALCULATIONS!D65:D106,8)=5,CALCULATIONS!E69,
IF(SMALL(CALCULATIONS!D65:D106,8)=6,CALCULATIONS!E70,
IF(SMALL(CALCULATIONS!D65:D106,8)=7,CALCULATIONS!E71,
IF(SMALL(CALCULATIONS!D65:D106,8)=8,CALCULATIONS!E72,
IF(SMALL(CALCULATIONS!D65:D106,8)=9,CALCULATIONS!E73,
IF(SMALL(CALCULATIONS!D65:D106,8)=10,CALCULATIONS!E74,
IF(SMALL(CALCULATIONS!D65:D106,8)=11,CALCULATIONS!E75,
IF(SMALL(CALCULATIONS!D65:D106,8)=12,CALCULATIONS!E76,
IF(SMALL(CALCULATIONS!D65:D106,8)=13,CALCULATIONS!E77,
IF(SMALL(CALCULATIONS!D65:D106,8)=14,CALCULATIONS!E78,
IF(SMALL(CALCULATIONS!D65:D106,8)=15,CALCULATIONS!E79,
IF(SMALL(CALCULATIONS!D65:D106,8)=16,CALCULATIONS!E80,
IF(SMALL(CALCULATIONS!D65:D106,8)=17,CALCULATIONS!E81,
IF(SMALL(CALCULATIONS!D65:D106,8)=18,CALCULATIONS!E82,
IF(SMALL(CALCULATIONS!D65:D106,8)=19,CALCULATIONS!E83,
IF(SMALL(CALCULATIONS!D65:D106,8)=20,CALCULATIONS!E84,
IF(SMALL(CALCULATIONS!D65:D106,8)=21,CALCULATIONS!E85,
IF(SMALL(CALCULATIONS!D65:D106,8)=22,CALCULATIONS!E86,
IF(SMALL(CALCULATIONS!D65:D106,8)=23,CALCULATIONS!E87,
IF(SMALL(CALCULATIONS!D65:D106,8)=24,CALCULATIONS!E88,
IF(SMALL(CALCULATIONS!D65:D106,8)=25,CALCULATIONS!E89,
IF(SMALL(CALCULATIONS!D65:D106,8)=26,CALCULATIONS!E90,
IF(SMALL(CALCULATIONS!D65:D106,8)=27,CALCULATIONS!E91,
IF(SMALL(CALCULATIONS!D65:D106,8)=28,CALCULATIONS!E92,
IF(SMALL(CALCULATIONS!D65:D106,8)=29,CALCULATIONS!E93,
IF(SMALL(CALCULATIONS!D65:D106,8)=30,CALCULATIONS!E94,
IF(SMALL(CALCULATIONS!D65:D106,8)=31,CALCULATIONS!E95,
IF(SMALL(CALCULATIONS!D65:D106,8)=32,CALCULATIONS!E96,
IF(SMALL(CALCULATIONS!D65:D106,8)=33,CALCULATIONS!E97,
IF(SMALL(CALCULATIONS!D65:D106,8)=34,CALCULATIONS!E98,
IF(SMALL(CALCULATIONS!D65:D106,8)=35,CALCULATIONS!E99,
IF(SMALL(CALCULATIONS!D65:D106,8)=36,CALCULATIONS!E100,
IF(SMALL(CALCULATIONS!D65:D106,8)=37,CALCULATIONS!E101,
IF(SMALL(CALCULATIONS!D65:D106,8)=38,CALCULATIONS!E102,
IF(SMALL(CALCULATIONS!D65:D106,8)=39,CALCULATIONS!E103,
IF(SMALL(CALCULATIONS!D65:D106,8)=40,CALCULATIONS!E104,
IF(SMALL(CALCULATIONS!D65:D106,8)=41,CALCULATIONS!E105,
IF(SMALL(CALCULATIONS!D65:D106,8)=42,CALCULATIONS!E106,
"")))))))))))))))))))))))))))))))))))))))))),"")</f>
        <v>1</v>
      </c>
      <c r="E22" s="33"/>
      <c r="F22" s="33" t="str">
        <f t="shared" si="1"/>
        <v>___</v>
      </c>
      <c r="G22" s="33"/>
      <c r="H22" s="33" t="str">
        <f t="shared" si="2"/>
        <v>___</v>
      </c>
    </row>
    <row r="23" spans="1:8" x14ac:dyDescent="0.25">
      <c r="A23" s="75" t="str">
        <f t="shared" si="0"/>
        <v>□</v>
      </c>
      <c r="B23" s="33" t="str">
        <f>IF(COUNT(CALCULATIONS!D65:D106)&gt;=9,
IF(SMALL(CALCULATIONS!D65:D106,9)=1,CALCULATIONS!C65,
IF(SMALL(CALCULATIONS!D65:D106,9)=2,CALCULATIONS!C66,
IF(SMALL(CALCULATIONS!D65:D106,9)=3,CALCULATIONS!C67,
IF(SMALL(CALCULATIONS!D65:D106,9)=4,CALCULATIONS!C68,
IF(SMALL(CALCULATIONS!D65:D106,9)=5,CALCULATIONS!C69,
IF(SMALL(CALCULATIONS!D65:D106,9)=6,CALCULATIONS!C70,
IF(SMALL(CALCULATIONS!D65:D106,9)=7,CALCULATIONS!C71,
IF(SMALL(CALCULATIONS!D65:D106,9)=8,CALCULATIONS!C72,
IF(SMALL(CALCULATIONS!D65:D106,9)=9,CALCULATIONS!C73,
IF(SMALL(CALCULATIONS!D65:D106,9)=10,CALCULATIONS!C74,
IF(SMALL(CALCULATIONS!D65:D106,9)=11,CALCULATIONS!C75,
IF(SMALL(CALCULATIONS!D65:D106,9)=12,CALCULATIONS!C76,
IF(SMALL(CALCULATIONS!D65:D106,9)=13,CALCULATIONS!C77,
IF(SMALL(CALCULATIONS!D65:D106,9)=14,CALCULATIONS!C78,
IF(SMALL(CALCULATIONS!D65:D106,9)=15,CALCULATIONS!C79,
IF(SMALL(CALCULATIONS!D65:D106,9)=16,CALCULATIONS!C80,
IF(SMALL(CALCULATIONS!D65:D106,9)=17,CALCULATIONS!C81,
IF(SMALL(CALCULATIONS!D65:D106,9)=18,CALCULATIONS!C82,
IF(SMALL(CALCULATIONS!D65:D106,9)=19,CALCULATIONS!C83,
IF(SMALL(CALCULATIONS!D65:D106,9)=20,CALCULATIONS!C84,
IF(SMALL(CALCULATIONS!D65:D106,9)=21,CALCULATIONS!C85,
IF(SMALL(CALCULATIONS!D65:D106,9)=22,CALCULATIONS!C86,
IF(SMALL(CALCULATIONS!D65:D106,9)=23,CALCULATIONS!C87,
IF(SMALL(CALCULATIONS!D65:D106,9)=24,CALCULATIONS!C88,
IF(SMALL(CALCULATIONS!D65:D106,9)=25,CALCULATIONS!C89,
IF(SMALL(CALCULATIONS!D65:D106,9)=26,CALCULATIONS!C90,
IF(SMALL(CALCULATIONS!D65:D106,9)=27,CALCULATIONS!C91,
IF(SMALL(CALCULATIONS!D65:D106,9)=28,CALCULATIONS!C92,
IF(SMALL(CALCULATIONS!D65:D106,9)=29,CALCULATIONS!C93,
IF(SMALL(CALCULATIONS!D65:D106,9)=30,CALCULATIONS!C94,
IF(SMALL(CALCULATIONS!D65:D106,9)=31,CALCULATIONS!C95,
IF(SMALL(CALCULATIONS!D65:D106,9)=32,CALCULATIONS!C96,
IF(SMALL(CALCULATIONS!D65:D106,9)=33,CALCULATIONS!C97,
IF(SMALL(CALCULATIONS!D65:D106,9)=34,CALCULATIONS!C98,
IF(SMALL(CALCULATIONS!D65:D106,9)=35,CALCULATIONS!C99,
IF(SMALL(CALCULATIONS!D65:D106,9)=36,CALCULATIONS!C100,
IF(SMALL(CALCULATIONS!D65:D106,9)=37,CALCULATIONS!C101,
IF(SMALL(CALCULATIONS!D65:D106,9)=38,CALCULATIONS!C102,
IF(SMALL(CALCULATIONS!D65:D106,9)=39,CALCULATIONS!C103,
IF(SMALL(CALCULATIONS!D65:D106,9)=40,CALCULATIONS!C104,
IF(SMALL(CALCULATIONS!D65:D106,9)=41,CALCULATIONS!C105,
IF(SMALL(CALCULATIONS!D65:D106,9)=42,CALCULATIONS!C106,
"")))))))))))))))))))))))))))))))))))))))))),"")</f>
        <v>PV LEAD WIRE</v>
      </c>
      <c r="C23" s="33"/>
      <c r="D23" s="33" t="str">
        <f>IF(COUNT(CALCULATIONS!D65:D106)&gt;=9,
IF(SMALL(CALCULATIONS!D65:D106,9)=1,CALCULATIONS!E65,
IF(SMALL(CALCULATIONS!D65:D106,9)=2,CALCULATIONS!E66,
IF(SMALL(CALCULATIONS!D65:D106,9)=3,CALCULATIONS!E67,
IF(SMALL(CALCULATIONS!D65:D106,9)=4,CALCULATIONS!E68,
IF(SMALL(CALCULATIONS!D65:D106,9)=5,CALCULATIONS!E69,
IF(SMALL(CALCULATIONS!D65:D106,9)=6,CALCULATIONS!E70,
IF(SMALL(CALCULATIONS!D65:D106,9)=7,CALCULATIONS!E71,
IF(SMALL(CALCULATIONS!D65:D106,9)=8,CALCULATIONS!E72,
IF(SMALL(CALCULATIONS!D65:D106,9)=9,CALCULATIONS!E73,
IF(SMALL(CALCULATIONS!D65:D106,9)=10,CALCULATIONS!E74,
IF(SMALL(CALCULATIONS!D65:D106,9)=11,CALCULATIONS!E75,
IF(SMALL(CALCULATIONS!D65:D106,9)=12,CALCULATIONS!E76,
IF(SMALL(CALCULATIONS!D65:D106,9)=13,CALCULATIONS!E77,
IF(SMALL(CALCULATIONS!D65:D106,9)=14,CALCULATIONS!E78,
IF(SMALL(CALCULATIONS!D65:D106,9)=15,CALCULATIONS!E79,
IF(SMALL(CALCULATIONS!D65:D106,9)=16,CALCULATIONS!E80,
IF(SMALL(CALCULATIONS!D65:D106,9)=17,CALCULATIONS!E81,
IF(SMALL(CALCULATIONS!D65:D106,9)=18,CALCULATIONS!E82,
IF(SMALL(CALCULATIONS!D65:D106,9)=19,CALCULATIONS!E83,
IF(SMALL(CALCULATIONS!D65:D106,9)=20,CALCULATIONS!E84,
IF(SMALL(CALCULATIONS!D65:D106,9)=21,CALCULATIONS!E85,
IF(SMALL(CALCULATIONS!D65:D106,9)=22,CALCULATIONS!E86,
IF(SMALL(CALCULATIONS!D65:D106,9)=23,CALCULATIONS!E87,
IF(SMALL(CALCULATIONS!D65:D106,9)=24,CALCULATIONS!E88,
IF(SMALL(CALCULATIONS!D65:D106,9)=25,CALCULATIONS!E89,
IF(SMALL(CALCULATIONS!D65:D106,9)=26,CALCULATIONS!E90,
IF(SMALL(CALCULATIONS!D65:D106,9)=27,CALCULATIONS!E91,
IF(SMALL(CALCULATIONS!D65:D106,9)=28,CALCULATIONS!E92,
IF(SMALL(CALCULATIONS!D65:D106,9)=29,CALCULATIONS!E93,
IF(SMALL(CALCULATIONS!D65:D106,9)=30,CALCULATIONS!E94,
IF(SMALL(CALCULATIONS!D65:D106,9)=31,CALCULATIONS!E95,
IF(SMALL(CALCULATIONS!D65:D106,9)=32,CALCULATIONS!E96,
IF(SMALL(CALCULATIONS!D65:D106,9)=33,CALCULATIONS!E97,
IF(SMALL(CALCULATIONS!D65:D106,9)=34,CALCULATIONS!E98,
IF(SMALL(CALCULATIONS!D65:D106,9)=35,CALCULATIONS!E99,
IF(SMALL(CALCULATIONS!D65:D106,9)=36,CALCULATIONS!E100,
IF(SMALL(CALCULATIONS!D65:D106,9)=37,CALCULATIONS!E101,
IF(SMALL(CALCULATIONS!D65:D106,9)=38,CALCULATIONS!E102,
IF(SMALL(CALCULATIONS!D65:D106,9)=39,CALCULATIONS!E103,
IF(SMALL(CALCULATIONS!D65:D106,9)=40,CALCULATIONS!E104,
IF(SMALL(CALCULATIONS!D65:D106,9)=41,CALCULATIONS!E105,
IF(SMALL(CALCULATIONS!D65:D106,9)=42,CALCULATIONS!E106,
"")))))))))))))))))))))))))))))))))))))))))),"")</f>
        <v>0'</v>
      </c>
      <c r="E23" s="33"/>
      <c r="F23" s="33" t="str">
        <f t="shared" si="1"/>
        <v>___</v>
      </c>
      <c r="G23" s="33"/>
      <c r="H23" s="33" t="str">
        <f t="shared" si="2"/>
        <v>___</v>
      </c>
    </row>
    <row r="24" spans="1:8" x14ac:dyDescent="0.25">
      <c r="A24" s="75" t="str">
        <f t="shared" si="0"/>
        <v>□</v>
      </c>
      <c r="B24" s="33" t="str">
        <f>IF(COUNT(CALCULATIONS!D65:D106)&gt;=10,
IF(SMALL(CALCULATIONS!D65:D106,10)=1,CALCULATIONS!C65,
IF(SMALL(CALCULATIONS!D65:D106,10)=2,CALCULATIONS!C66,
IF(SMALL(CALCULATIONS!D65:D106,10)=3,CALCULATIONS!C67,
IF(SMALL(CALCULATIONS!D65:D106,10)=4,CALCULATIONS!C68,
IF(SMALL(CALCULATIONS!D65:D106,10)=5,CALCULATIONS!C69,
IF(SMALL(CALCULATIONS!D65:D106,10)=6,CALCULATIONS!C70,
IF(SMALL(CALCULATIONS!D65:D106,10)=7,CALCULATIONS!C71,
IF(SMALL(CALCULATIONS!D65:D106,10)=8,CALCULATIONS!C72,
IF(SMALL(CALCULATIONS!D65:D106,10)=9,CALCULATIONS!C73,
IF(SMALL(CALCULATIONS!D65:D106,10)=10,CALCULATIONS!C74,
IF(SMALL(CALCULATIONS!D65:D106,10)=11,CALCULATIONS!C75,
IF(SMALL(CALCULATIONS!D65:D106,10)=12,CALCULATIONS!C76,
IF(SMALL(CALCULATIONS!D65:D106,10)=13,CALCULATIONS!C77,
IF(SMALL(CALCULATIONS!D65:D106,10)=14,CALCULATIONS!C78,
IF(SMALL(CALCULATIONS!D65:D106,10)=15,CALCULATIONS!C79,
IF(SMALL(CALCULATIONS!D65:D106,10)=16,CALCULATIONS!C80,
IF(SMALL(CALCULATIONS!D65:D106,10)=17,CALCULATIONS!C81,
IF(SMALL(CALCULATIONS!D65:D106,10)=18,CALCULATIONS!C82,
IF(SMALL(CALCULATIONS!D65:D106,10)=19,CALCULATIONS!C83,
IF(SMALL(CALCULATIONS!D65:D106,10)=20,CALCULATIONS!C84,
IF(SMALL(CALCULATIONS!D65:D106,10)=21,CALCULATIONS!C85,
IF(SMALL(CALCULATIONS!D65:D106,10)=22,CALCULATIONS!C86,
IF(SMALL(CALCULATIONS!D65:D106,10)=23,CALCULATIONS!C87,
IF(SMALL(CALCULATIONS!D65:D106,10)=24,CALCULATIONS!C88,
IF(SMALL(CALCULATIONS!D65:D106,10)=25,CALCULATIONS!C89,
IF(SMALL(CALCULATIONS!D65:D106,10)=26,CALCULATIONS!C90,
IF(SMALL(CALCULATIONS!D65:D106,10)=27,CALCULATIONS!C91,
IF(SMALL(CALCULATIONS!D65:D106,10)=28,CALCULATIONS!C92,
IF(SMALL(CALCULATIONS!D65:D106,10)=29,CALCULATIONS!C93,
IF(SMALL(CALCULATIONS!D65:D106,10)=30,CALCULATIONS!C94,
IF(SMALL(CALCULATIONS!D65:D106,10)=31,CALCULATIONS!C95,
IF(SMALL(CALCULATIONS!D65:D106,10)=32,CALCULATIONS!C96,
IF(SMALL(CALCULATIONS!D65:D106,10)=33,CALCULATIONS!C97,
IF(SMALL(CALCULATIONS!D65:D106,10)=34,CALCULATIONS!C98,
IF(SMALL(CALCULATIONS!D65:D106,10)=35,CALCULATIONS!C99,
IF(SMALL(CALCULATIONS!D65:D106,10)=36,CALCULATIONS!C100,
IF(SMALL(CALCULATIONS!D65:D106,10)=37,CALCULATIONS!C101,
IF(SMALL(CALCULATIONS!D65:D106,10)=38,CALCULATIONS!C102,
IF(SMALL(CALCULATIONS!D65:D106,10)=39,CALCULATIONS!C103,
IF(SMALL(CALCULATIONS!D65:D106,10)=40,CALCULATIONS!C104,
IF(SMALL(CALCULATIONS!D65:D106,10)=41,CALCULATIONS!C105,
IF(SMALL(CALCULATIONS!D65:D106,10)=42,CALCULATIONS!C106,
"")))))))))))))))))))))))))))))))))))))))))),"")</f>
        <v>T-BOLTS</v>
      </c>
      <c r="C24" s="33"/>
      <c r="D24" s="33" t="str">
        <f>IF(COUNT(CALCULATIONS!D65:D106)&gt;=10,
IF(SMALL(CALCULATIONS!D65:D106,10)=1,CALCULATIONS!E65,
IF(SMALL(CALCULATIONS!D65:D106,10)=2,CALCULATIONS!E66,
IF(SMALL(CALCULATIONS!D65:D106,10)=3,CALCULATIONS!E67,
IF(SMALL(CALCULATIONS!D65:D106,10)=4,CALCULATIONS!E68,
IF(SMALL(CALCULATIONS!D65:D106,10)=5,CALCULATIONS!E69,
IF(SMALL(CALCULATIONS!D65:D106,10)=6,CALCULATIONS!E70,
IF(SMALL(CALCULATIONS!D65:D106,10)=7,CALCULATIONS!E71,
IF(SMALL(CALCULATIONS!D65:D106,10)=8,CALCULATIONS!E72,
IF(SMALL(CALCULATIONS!D65:D106,10)=9,CALCULATIONS!E73,
IF(SMALL(CALCULATIONS!D65:D106,10)=10,CALCULATIONS!E74,
IF(SMALL(CALCULATIONS!D65:D106,10)=11,CALCULATIONS!E75,
IF(SMALL(CALCULATIONS!D65:D106,10)=12,CALCULATIONS!E76,
IF(SMALL(CALCULATIONS!D65:D106,10)=13,CALCULATIONS!E77,
IF(SMALL(CALCULATIONS!D65:D106,10)=14,CALCULATIONS!E78,
IF(SMALL(CALCULATIONS!D65:D106,10)=15,CALCULATIONS!E79,
IF(SMALL(CALCULATIONS!D65:D106,10)=16,CALCULATIONS!E80,
IF(SMALL(CALCULATIONS!D65:D106,10)=17,CALCULATIONS!E81,
IF(SMALL(CALCULATIONS!D65:D106,10)=18,CALCULATIONS!E82,
IF(SMALL(CALCULATIONS!D65:D106,10)=19,CALCULATIONS!E83,
IF(SMALL(CALCULATIONS!D65:D106,10)=20,CALCULATIONS!E84,
IF(SMALL(CALCULATIONS!D65:D106,10)=21,CALCULATIONS!E85,
IF(SMALL(CALCULATIONS!D65:D106,10)=22,CALCULATIONS!E86,
IF(SMALL(CALCULATIONS!D65:D106,10)=23,CALCULATIONS!E87,
IF(SMALL(CALCULATIONS!D65:D106,10)=24,CALCULATIONS!E88,
IF(SMALL(CALCULATIONS!D65:D106,10)=25,CALCULATIONS!E89,
IF(SMALL(CALCULATIONS!D65:D106,10)=26,CALCULATIONS!E90,
IF(SMALL(CALCULATIONS!D65:D106,10)=27,CALCULATIONS!E91,
IF(SMALL(CALCULATIONS!D65:D106,10)=28,CALCULATIONS!E92,
IF(SMALL(CALCULATIONS!D65:D106,10)=29,CALCULATIONS!E93,
IF(SMALL(CALCULATIONS!D65:D106,10)=30,CALCULATIONS!E94,
IF(SMALL(CALCULATIONS!D65:D106,10)=31,CALCULATIONS!E95,
IF(SMALL(CALCULATIONS!D65:D106,10)=32,CALCULATIONS!E96,
IF(SMALL(CALCULATIONS!D65:D106,10)=33,CALCULATIONS!E97,
IF(SMALL(CALCULATIONS!D65:D106,10)=34,CALCULATIONS!E98,
IF(SMALL(CALCULATIONS!D65:D106,10)=35,CALCULATIONS!E99,
IF(SMALL(CALCULATIONS!D65:D106,10)=36,CALCULATIONS!E100,
IF(SMALL(CALCULATIONS!D65:D106,10)=37,CALCULATIONS!E101,
IF(SMALL(CALCULATIONS!D65:D106,10)=38,CALCULATIONS!E102,
IF(SMALL(CALCULATIONS!D65:D106,10)=39,CALCULATIONS!E103,
IF(SMALL(CALCULATIONS!D65:D106,10)=40,CALCULATIONS!E104,
IF(SMALL(CALCULATIONS!D65:D106,10)=41,CALCULATIONS!E105,
IF(SMALL(CALCULATIONS!D65:D106,10)=42,CALCULATIONS!E106,
"")))))))))))))))))))))))))))))))))))))))))),"")</f>
        <v>___</v>
      </c>
      <c r="E24" s="33"/>
      <c r="F24" s="33" t="str">
        <f t="shared" si="1"/>
        <v>___</v>
      </c>
      <c r="G24" s="33"/>
      <c r="H24" s="33" t="str">
        <f t="shared" si="2"/>
        <v>___</v>
      </c>
    </row>
    <row r="25" spans="1:8" x14ac:dyDescent="0.25">
      <c r="A25" s="75" t="str">
        <f t="shared" si="0"/>
        <v>□</v>
      </c>
      <c r="B25" s="33" t="str">
        <f>IF(COUNT(CALCULATIONS!D65:D106)&gt;=11,
IF(SMALL(CALCULATIONS!D65:D106,11)=1,CALCULATIONS!C65,
IF(SMALL(CALCULATIONS!D65:D106,11)=2,CALCULATIONS!C66,
IF(SMALL(CALCULATIONS!D65:D106,11)=3,CALCULATIONS!C67,
IF(SMALL(CALCULATIONS!D65:D106,11)=4,CALCULATIONS!C68,
IF(SMALL(CALCULATIONS!D65:D106,11)=5,CALCULATIONS!C69,
IF(SMALL(CALCULATIONS!D65:D106,11)=6,CALCULATIONS!C70,
IF(SMALL(CALCULATIONS!D65:D106,11)=7,CALCULATIONS!C71,
IF(SMALL(CALCULATIONS!D65:D106,11)=8,CALCULATIONS!C72,
IF(SMALL(CALCULATIONS!D65:D106,11)=9,CALCULATIONS!C73,
IF(SMALL(CALCULATIONS!D65:D106,11)=10,CALCULATIONS!C74,
IF(SMALL(CALCULATIONS!D65:D106,11)=11,CALCULATIONS!C75,
IF(SMALL(CALCULATIONS!D65:D106,11)=12,CALCULATIONS!C76,
IF(SMALL(CALCULATIONS!D65:D106,11)=13,CALCULATIONS!C77,
IF(SMALL(CALCULATIONS!D65:D106,11)=14,CALCULATIONS!C78,
IF(SMALL(CALCULATIONS!D65:D106,11)=15,CALCULATIONS!C79,
IF(SMALL(CALCULATIONS!D65:D106,11)=16,CALCULATIONS!C80,
IF(SMALL(CALCULATIONS!D65:D106,11)=17,CALCULATIONS!C81,
IF(SMALL(CALCULATIONS!D65:D106,11)=18,CALCULATIONS!C82,
IF(SMALL(CALCULATIONS!D65:D106,11)=19,CALCULATIONS!C83,
IF(SMALL(CALCULATIONS!D65:D106,11)=20,CALCULATIONS!C84,
IF(SMALL(CALCULATIONS!D65:D106,11)=21,CALCULATIONS!C85,
IF(SMALL(CALCULATIONS!D65:D106,11)=22,CALCULATIONS!C86,
IF(SMALL(CALCULATIONS!D65:D106,11)=23,CALCULATIONS!C87,
IF(SMALL(CALCULATIONS!D65:D106,11)=24,CALCULATIONS!C88,
IF(SMALL(CALCULATIONS!D65:D106,11)=25,CALCULATIONS!C89,
IF(SMALL(CALCULATIONS!D65:D106,11)=26,CALCULATIONS!C90,
IF(SMALL(CALCULATIONS!D65:D106,11)=27,CALCULATIONS!C91,
IF(SMALL(CALCULATIONS!D65:D106,11)=28,CALCULATIONS!C92,
IF(SMALL(CALCULATIONS!D65:D106,11)=29,CALCULATIONS!C93,
IF(SMALL(CALCULATIONS!D65:D106,11)=30,CALCULATIONS!C94,
IF(SMALL(CALCULATIONS!D65:D106,11)=31,CALCULATIONS!C95,
IF(SMALL(CALCULATIONS!D65:D106,11)=32,CALCULATIONS!C96,
IF(SMALL(CALCULATIONS!D65:D106,11)=33,CALCULATIONS!C97,
IF(SMALL(CALCULATIONS!D65:D106,11)=34,CALCULATIONS!C98,
IF(SMALL(CALCULATIONS!D65:D106,11)=35,CALCULATIONS!C99,
IF(SMALL(CALCULATIONS!D65:D106,11)=36,CALCULATIONS!C100,
IF(SMALL(CALCULATIONS!D65:D106,11)=37,CALCULATIONS!C101,
IF(SMALL(CALCULATIONS!D65:D106,11)=38,CALCULATIONS!C102,
IF(SMALL(CALCULATIONS!D65:D106,11)=39,CALCULATIONS!C103,
IF(SMALL(CALCULATIONS!D65:D106,11)=40,CALCULATIONS!C104,
IF(SMALL(CALCULATIONS!D65:D106,11)=41,CALCULATIONS!C105,
IF(SMALL(CALCULATIONS!D65:D106,11)=42,CALCULATIONS!C106,
"")))))))))))))))))))))))))))))))))))))))))),"")</f>
        <v>MID CLIPS</v>
      </c>
      <c r="C25" s="33"/>
      <c r="D25" s="33" t="str">
        <f>IF(COUNT(CALCULATIONS!D65:D106)&gt;=11,
IF(SMALL(CALCULATIONS!D65:D106,11)=1,CALCULATIONS!E65,
IF(SMALL(CALCULATIONS!D65:D106,11)=2,CALCULATIONS!E66,
IF(SMALL(CALCULATIONS!D65:D106,11)=3,CALCULATIONS!E67,
IF(SMALL(CALCULATIONS!D65:D106,11)=4,CALCULATIONS!E68,
IF(SMALL(CALCULATIONS!D65:D106,11)=5,CALCULATIONS!E69,
IF(SMALL(CALCULATIONS!D65:D106,11)=6,CALCULATIONS!E70,
IF(SMALL(CALCULATIONS!D65:D106,11)=7,CALCULATIONS!E71,
IF(SMALL(CALCULATIONS!D65:D106,11)=8,CALCULATIONS!E72,
IF(SMALL(CALCULATIONS!D65:D106,11)=9,CALCULATIONS!E73,
IF(SMALL(CALCULATIONS!D65:D106,11)=10,CALCULATIONS!E74,
IF(SMALL(CALCULATIONS!D65:D106,11)=11,CALCULATIONS!E75,
IF(SMALL(CALCULATIONS!D65:D106,11)=12,CALCULATIONS!E76,
IF(SMALL(CALCULATIONS!D65:D106,11)=13,CALCULATIONS!E77,
IF(SMALL(CALCULATIONS!D65:D106,11)=14,CALCULATIONS!E78,
IF(SMALL(CALCULATIONS!D65:D106,11)=15,CALCULATIONS!E79,
IF(SMALL(CALCULATIONS!D65:D106,11)=16,CALCULATIONS!E80,
IF(SMALL(CALCULATIONS!D65:D106,11)=17,CALCULATIONS!E81,
IF(SMALL(CALCULATIONS!D65:D106,11)=18,CALCULATIONS!E82,
IF(SMALL(CALCULATIONS!D65:D106,11)=19,CALCULATIONS!E83,
IF(SMALL(CALCULATIONS!D65:D106,11)=20,CALCULATIONS!E84,
IF(SMALL(CALCULATIONS!D65:D106,11)=21,CALCULATIONS!E85,
IF(SMALL(CALCULATIONS!D65:D106,11)=22,CALCULATIONS!E86,
IF(SMALL(CALCULATIONS!D65:D106,11)=23,CALCULATIONS!E87,
IF(SMALL(CALCULATIONS!D65:D106,11)=24,CALCULATIONS!E88,
IF(SMALL(CALCULATIONS!D65:D106,11)=25,CALCULATIONS!E89,
IF(SMALL(CALCULATIONS!D65:D106,11)=26,CALCULATIONS!E90,
IF(SMALL(CALCULATIONS!D65:D106,11)=27,CALCULATIONS!E91,
IF(SMALL(CALCULATIONS!D65:D106,11)=28,CALCULATIONS!E92,
IF(SMALL(CALCULATIONS!D65:D106,11)=29,CALCULATIONS!E93,
IF(SMALL(CALCULATIONS!D65:D106,11)=30,CALCULATIONS!E94,
IF(SMALL(CALCULATIONS!D65:D106,11)=31,CALCULATIONS!E95,
IF(SMALL(CALCULATIONS!D65:D106,11)=32,CALCULATIONS!E96,
IF(SMALL(CALCULATIONS!D65:D106,11)=33,CALCULATIONS!E97,
IF(SMALL(CALCULATIONS!D65:D106,11)=34,CALCULATIONS!E98,
IF(SMALL(CALCULATIONS!D65:D106,11)=35,CALCULATIONS!E99,
IF(SMALL(CALCULATIONS!D65:D106,11)=36,CALCULATIONS!E100,
IF(SMALL(CALCULATIONS!D65:D106,11)=37,CALCULATIONS!E101,
IF(SMALL(CALCULATIONS!D65:D106,11)=38,CALCULATIONS!E102,
IF(SMALL(CALCULATIONS!D65:D106,11)=39,CALCULATIONS!E103,
IF(SMALL(CALCULATIONS!D65:D106,11)=40,CALCULATIONS!E104,
IF(SMALL(CALCULATIONS!D65:D106,11)=41,CALCULATIONS!E105,
IF(SMALL(CALCULATIONS!D65:D106,11)=42,CALCULATIONS!E106,
"")))))))))))))))))))))))))))))))))))))))))),"")</f>
        <v>___</v>
      </c>
      <c r="E25" s="33"/>
      <c r="F25" s="33" t="str">
        <f t="shared" si="1"/>
        <v>___</v>
      </c>
      <c r="G25" s="33"/>
      <c r="H25" s="33" t="str">
        <f t="shared" si="2"/>
        <v>___</v>
      </c>
    </row>
    <row r="26" spans="1:8" x14ac:dyDescent="0.25">
      <c r="A26" s="75" t="str">
        <f t="shared" si="0"/>
        <v>□</v>
      </c>
      <c r="B26" s="33" t="str">
        <f>IF(COUNT(CALCULATIONS!D65:D106)&gt;=12,
IF(SMALL(CALCULATIONS!D65:D106,12)=1,CALCULATIONS!C65,
IF(SMALL(CALCULATIONS!D65:D106,12)=2,CALCULATIONS!C66,
IF(SMALL(CALCULATIONS!D65:D106,12)=3,CALCULATIONS!C67,
IF(SMALL(CALCULATIONS!D65:D106,12)=4,CALCULATIONS!C68,
IF(SMALL(CALCULATIONS!D65:D106,12)=5,CALCULATIONS!C69,
IF(SMALL(CALCULATIONS!D65:D106,12)=6,CALCULATIONS!C70,
IF(SMALL(CALCULATIONS!D65:D106,12)=7,CALCULATIONS!C71,
IF(SMALL(CALCULATIONS!D65:D106,12)=8,CALCULATIONS!C72,
IF(SMALL(CALCULATIONS!D65:D106,12)=9,CALCULATIONS!C73,
IF(SMALL(CALCULATIONS!D65:D106,12)=10,CALCULATIONS!C74,
IF(SMALL(CALCULATIONS!D65:D106,12)=11,CALCULATIONS!C75,
IF(SMALL(CALCULATIONS!D65:D106,12)=12,CALCULATIONS!C76,
IF(SMALL(CALCULATIONS!D65:D106,12)=13,CALCULATIONS!C77,
IF(SMALL(CALCULATIONS!D65:D106,12)=14,CALCULATIONS!C78,
IF(SMALL(CALCULATIONS!D65:D106,12)=15,CALCULATIONS!C79,
IF(SMALL(CALCULATIONS!D65:D106,12)=16,CALCULATIONS!C80,
IF(SMALL(CALCULATIONS!D65:D106,12)=17,CALCULATIONS!C81,
IF(SMALL(CALCULATIONS!D65:D106,12)=18,CALCULATIONS!C82,
IF(SMALL(CALCULATIONS!D65:D106,12)=19,CALCULATIONS!C83,
IF(SMALL(CALCULATIONS!D65:D106,12)=20,CALCULATIONS!C84,
IF(SMALL(CALCULATIONS!D65:D106,12)=21,CALCULATIONS!C85,
IF(SMALL(CALCULATIONS!D65:D106,12)=22,CALCULATIONS!C86,
IF(SMALL(CALCULATIONS!D65:D106,12)=23,CALCULATIONS!C87,
IF(SMALL(CALCULATIONS!D65:D106,12)=24,CALCULATIONS!C88,
IF(SMALL(CALCULATIONS!D65:D106,12)=25,CALCULATIONS!C89,
IF(SMALL(CALCULATIONS!D65:D106,12)=26,CALCULATIONS!C90,
IF(SMALL(CALCULATIONS!D65:D106,12)=27,CALCULATIONS!C91,
IF(SMALL(CALCULATIONS!D65:D106,12)=28,CALCULATIONS!C92,
IF(SMALL(CALCULATIONS!D65:D106,12)=29,CALCULATIONS!C93,
IF(SMALL(CALCULATIONS!D65:D106,12)=30,CALCULATIONS!C94,
IF(SMALL(CALCULATIONS!D65:D106,12)=31,CALCULATIONS!C95,
IF(SMALL(CALCULATIONS!D65:D106,12)=32,CALCULATIONS!C96,
IF(SMALL(CALCULATIONS!D65:D106,12)=33,CALCULATIONS!C97,
IF(SMALL(CALCULATIONS!D65:D106,12)=34,CALCULATIONS!C98,
IF(SMALL(CALCULATIONS!D65:D106,12)=35,CALCULATIONS!C99,
IF(SMALL(CALCULATIONS!D65:D106,12)=36,CALCULATIONS!C100,
IF(SMALL(CALCULATIONS!D65:D106,12)=37,CALCULATIONS!C101,
IF(SMALL(CALCULATIONS!D65:D106,12)=38,CALCULATIONS!C102,
IF(SMALL(CALCULATIONS!D65:D106,12)=39,CALCULATIONS!C103,
IF(SMALL(CALCULATIONS!D65:D106,12)=40,CALCULATIONS!C104,
IF(SMALL(CALCULATIONS!D65:D106,12)=41,CALCULATIONS!C105,
IF(SMALL(CALCULATIONS!D65:D106,12)=42,CALCULATIONS!C106,
"")))))))))))))))))))))))))))))))))))))))))),"")</f>
        <v>END CLIPS</v>
      </c>
      <c r="C26" s="33"/>
      <c r="D26" s="33" t="str">
        <f>IF(COUNT(CALCULATIONS!D65:D106)&gt;=12,
IF(SMALL(CALCULATIONS!D65:D106,12)=1,CALCULATIONS!E65,
IF(SMALL(CALCULATIONS!D65:D106,12)=2,CALCULATIONS!E66,
IF(SMALL(CALCULATIONS!D65:D106,12)=3,CALCULATIONS!E67,
IF(SMALL(CALCULATIONS!D65:D106,12)=4,CALCULATIONS!E68,
IF(SMALL(CALCULATIONS!D65:D106,12)=5,CALCULATIONS!E69,
IF(SMALL(CALCULATIONS!D65:D106,12)=6,CALCULATIONS!E70,
IF(SMALL(CALCULATIONS!D65:D106,12)=7,CALCULATIONS!E71,
IF(SMALL(CALCULATIONS!D65:D106,12)=8,CALCULATIONS!E72,
IF(SMALL(CALCULATIONS!D65:D106,12)=9,CALCULATIONS!E73,
IF(SMALL(CALCULATIONS!D65:D106,12)=10,CALCULATIONS!E74,
IF(SMALL(CALCULATIONS!D65:D106,12)=11,CALCULATIONS!E75,
IF(SMALL(CALCULATIONS!D65:D106,12)=12,CALCULATIONS!E76,
IF(SMALL(CALCULATIONS!D65:D106,12)=13,CALCULATIONS!E77,
IF(SMALL(CALCULATIONS!D65:D106,12)=14,CALCULATIONS!E78,
IF(SMALL(CALCULATIONS!D65:D106,12)=15,CALCULATIONS!E79,
IF(SMALL(CALCULATIONS!D65:D106,12)=16,CALCULATIONS!E80,
IF(SMALL(CALCULATIONS!D65:D106,12)=17,CALCULATIONS!E81,
IF(SMALL(CALCULATIONS!D65:D106,12)=18,CALCULATIONS!E82,
IF(SMALL(CALCULATIONS!D65:D106,12)=19,CALCULATIONS!E83,
IF(SMALL(CALCULATIONS!D65:D106,12)=20,CALCULATIONS!E84,
IF(SMALL(CALCULATIONS!D65:D106,12)=21,CALCULATIONS!E85,
IF(SMALL(CALCULATIONS!D65:D106,12)=22,CALCULATIONS!E86,
IF(SMALL(CALCULATIONS!D65:D106,12)=23,CALCULATIONS!E87,
IF(SMALL(CALCULATIONS!D65:D106,12)=24,CALCULATIONS!E88,
IF(SMALL(CALCULATIONS!D65:D106,12)=25,CALCULATIONS!E89,
IF(SMALL(CALCULATIONS!D65:D106,12)=26,CALCULATIONS!E90,
IF(SMALL(CALCULATIONS!D65:D106,12)=27,CALCULATIONS!E91,
IF(SMALL(CALCULATIONS!D65:D106,12)=28,CALCULATIONS!E92,
IF(SMALL(CALCULATIONS!D65:D106,12)=29,CALCULATIONS!E93,
IF(SMALL(CALCULATIONS!D65:D106,12)=30,CALCULATIONS!E94,
IF(SMALL(CALCULATIONS!D65:D106,12)=31,CALCULATIONS!E95,
IF(SMALL(CALCULATIONS!D65:D106,12)=32,CALCULATIONS!E96,
IF(SMALL(CALCULATIONS!D65:D106,12)=33,CALCULATIONS!E97,
IF(SMALL(CALCULATIONS!D65:D106,12)=34,CALCULATIONS!E98,
IF(SMALL(CALCULATIONS!D65:D106,12)=35,CALCULATIONS!E99,
IF(SMALL(CALCULATIONS!D65:D106,12)=36,CALCULATIONS!E100,
IF(SMALL(CALCULATIONS!D65:D106,12)=37,CALCULATIONS!E101,
IF(SMALL(CALCULATIONS!D65:D106,12)=38,CALCULATIONS!E102,
IF(SMALL(CALCULATIONS!D65:D106,12)=39,CALCULATIONS!E103,
IF(SMALL(CALCULATIONS!D65:D106,12)=40,CALCULATIONS!E104,
IF(SMALL(CALCULATIONS!D65:D106,12)=41,CALCULATIONS!E105,
IF(SMALL(CALCULATIONS!D65:D106,12)=42,CALCULATIONS!E106,
"")))))))))))))))))))))))))))))))))))))))))),"")</f>
        <v>___</v>
      </c>
      <c r="E26" s="33"/>
      <c r="F26" s="33" t="str">
        <f t="shared" si="1"/>
        <v>___</v>
      </c>
      <c r="G26" s="33"/>
      <c r="H26" s="33" t="str">
        <f t="shared" si="2"/>
        <v>___</v>
      </c>
    </row>
    <row r="27" spans="1:8" x14ac:dyDescent="0.25">
      <c r="A27" s="75" t="str">
        <f t="shared" si="0"/>
        <v>□</v>
      </c>
      <c r="B27" s="33" t="str">
        <f>IF(COUNT(CALCULATIONS!D65:D106)&gt;=13,
IF(SMALL(CALCULATIONS!D65:D106,13)=1,CALCULATIONS!C65,
IF(SMALL(CALCULATIONS!D65:D106,13)=2,CALCULATIONS!C66,
IF(SMALL(CALCULATIONS!D65:D106,13)=3,CALCULATIONS!C67,
IF(SMALL(CALCULATIONS!D65:D106,13)=4,CALCULATIONS!C68,
IF(SMALL(CALCULATIONS!D65:D106,13)=5,CALCULATIONS!C69,
IF(SMALL(CALCULATIONS!D65:D106,13)=6,CALCULATIONS!C70,
IF(SMALL(CALCULATIONS!D65:D106,13)=7,CALCULATIONS!C71,
IF(SMALL(CALCULATIONS!D65:D106,13)=8,CALCULATIONS!C72,
IF(SMALL(CALCULATIONS!D65:D106,13)=9,CALCULATIONS!C73,
IF(SMALL(CALCULATIONS!D65:D106,13)=10,CALCULATIONS!C74,
IF(SMALL(CALCULATIONS!D65:D106,13)=11,CALCULATIONS!C75,
IF(SMALL(CALCULATIONS!D65:D106,13)=12,CALCULATIONS!C76,
IF(SMALL(CALCULATIONS!D65:D106,13)=13,CALCULATIONS!C77,
IF(SMALL(CALCULATIONS!D65:D106,13)=14,CALCULATIONS!C78,
IF(SMALL(CALCULATIONS!D65:D106,13)=15,CALCULATIONS!C79,
IF(SMALL(CALCULATIONS!D65:D106,13)=16,CALCULATIONS!C80,
IF(SMALL(CALCULATIONS!D65:D106,13)=17,CALCULATIONS!C81,
IF(SMALL(CALCULATIONS!D65:D106,13)=18,CALCULATIONS!C82,
IF(SMALL(CALCULATIONS!D65:D106,13)=19,CALCULATIONS!C83,
IF(SMALL(CALCULATIONS!D65:D106,13)=20,CALCULATIONS!C84,
IF(SMALL(CALCULATIONS!D65:D106,13)=21,CALCULATIONS!C85,
IF(SMALL(CALCULATIONS!D65:D106,13)=22,CALCULATIONS!C86,
IF(SMALL(CALCULATIONS!D65:D106,13)=23,CALCULATIONS!C87,
IF(SMALL(CALCULATIONS!D65:D106,13)=24,CALCULATIONS!C88,
IF(SMALL(CALCULATIONS!D65:D106,13)=25,CALCULATIONS!C89,
IF(SMALL(CALCULATIONS!D65:D106,13)=26,CALCULATIONS!C90,
IF(SMALL(CALCULATIONS!D65:D106,13)=27,CALCULATIONS!C91,
IF(SMALL(CALCULATIONS!D65:D106,13)=28,CALCULATIONS!C92,
IF(SMALL(CALCULATIONS!D65:D106,13)=29,CALCULATIONS!C93,
IF(SMALL(CALCULATIONS!D65:D106,13)=30,CALCULATIONS!C94,
IF(SMALL(CALCULATIONS!D65:D106,13)=31,CALCULATIONS!C95,
IF(SMALL(CALCULATIONS!D65:D106,13)=32,CALCULATIONS!C96,
IF(SMALL(CALCULATIONS!D65:D106,13)=33,CALCULATIONS!C97,
IF(SMALL(CALCULATIONS!D65:D106,13)=34,CALCULATIONS!C98,
IF(SMALL(CALCULATIONS!D65:D106,13)=35,CALCULATIONS!C99,
IF(SMALL(CALCULATIONS!D65:D106,13)=36,CALCULATIONS!C100,
IF(SMALL(CALCULATIONS!D65:D106,13)=37,CALCULATIONS!C101,
IF(SMALL(CALCULATIONS!D65:D106,13)=38,CALCULATIONS!C102,
IF(SMALL(CALCULATIONS!D65:D106,13)=39,CALCULATIONS!C103,
IF(SMALL(CALCULATIONS!D65:D106,13)=40,CALCULATIONS!C104,
IF(SMALL(CALCULATIONS!D65:D106,13)=41,CALCULATIONS!C105,
IF(SMALL(CALCULATIONS!D65:D106,13)=42,CALCULATIONS!C106,
"")))))))))))))))))))))))))))))))))))))))))),"")</f>
        <v>SPLICE KITS</v>
      </c>
      <c r="C27" s="33"/>
      <c r="D27" s="33" t="str">
        <f>IF(COUNT(CALCULATIONS!D65:D106)&gt;=13,
IF(SMALL(CALCULATIONS!D65:D106,13)=1,CALCULATIONS!E65,
IF(SMALL(CALCULATIONS!D65:D106,13)=2,CALCULATIONS!E66,
IF(SMALL(CALCULATIONS!D65:D106,13)=3,CALCULATIONS!E67,
IF(SMALL(CALCULATIONS!D65:D106,13)=4,CALCULATIONS!E68,
IF(SMALL(CALCULATIONS!D65:D106,13)=5,CALCULATIONS!E69,
IF(SMALL(CALCULATIONS!D65:D106,13)=6,CALCULATIONS!E70,
IF(SMALL(CALCULATIONS!D65:D106,13)=7,CALCULATIONS!E71,
IF(SMALL(CALCULATIONS!D65:D106,13)=8,CALCULATIONS!E72,
IF(SMALL(CALCULATIONS!D65:D106,13)=9,CALCULATIONS!E73,
IF(SMALL(CALCULATIONS!D65:D106,13)=10,CALCULATIONS!E74,
IF(SMALL(CALCULATIONS!D65:D106,13)=11,CALCULATIONS!E75,
IF(SMALL(CALCULATIONS!D65:D106,13)=12,CALCULATIONS!E76,
IF(SMALL(CALCULATIONS!D65:D106,13)=13,CALCULATIONS!E77,
IF(SMALL(CALCULATIONS!D65:D106,13)=14,CALCULATIONS!E78,
IF(SMALL(CALCULATIONS!D65:D106,13)=15,CALCULATIONS!E79,
IF(SMALL(CALCULATIONS!D65:D106,13)=16,CALCULATIONS!E80,
IF(SMALL(CALCULATIONS!D65:D106,13)=17,CALCULATIONS!E81,
IF(SMALL(CALCULATIONS!D65:D106,13)=18,CALCULATIONS!E82,
IF(SMALL(CALCULATIONS!D65:D106,13)=19,CALCULATIONS!E83,
IF(SMALL(CALCULATIONS!D65:D106,13)=20,CALCULATIONS!E84,
IF(SMALL(CALCULATIONS!D65:D106,13)=21,CALCULATIONS!E85,
IF(SMALL(CALCULATIONS!D65:D106,13)=22,CALCULATIONS!E86,
IF(SMALL(CALCULATIONS!D65:D106,13)=23,CALCULATIONS!E87,
IF(SMALL(CALCULATIONS!D65:D106,13)=24,CALCULATIONS!E88,
IF(SMALL(CALCULATIONS!D65:D106,13)=25,CALCULATIONS!E89,
IF(SMALL(CALCULATIONS!D65:D106,13)=26,CALCULATIONS!E90,
IF(SMALL(CALCULATIONS!D65:D106,13)=27,CALCULATIONS!E91,
IF(SMALL(CALCULATIONS!D65:D106,13)=28,CALCULATIONS!E92,
IF(SMALL(CALCULATIONS!D65:D106,13)=29,CALCULATIONS!E93,
IF(SMALL(CALCULATIONS!D65:D106,13)=30,CALCULATIONS!E94,
IF(SMALL(CALCULATIONS!D65:D106,13)=31,CALCULATIONS!E95,
IF(SMALL(CALCULATIONS!D65:D106,13)=32,CALCULATIONS!E96,
IF(SMALL(CALCULATIONS!D65:D106,13)=33,CALCULATIONS!E97,
IF(SMALL(CALCULATIONS!D65:D106,13)=34,CALCULATIONS!E98,
IF(SMALL(CALCULATIONS!D65:D106,13)=35,CALCULATIONS!E99,
IF(SMALL(CALCULATIONS!D65:D106,13)=36,CALCULATIONS!E100,
IF(SMALL(CALCULATIONS!D65:D106,13)=37,CALCULATIONS!E101,
IF(SMALL(CALCULATIONS!D65:D106,13)=38,CALCULATIONS!E102,
IF(SMALL(CALCULATIONS!D65:D106,13)=39,CALCULATIONS!E103,
IF(SMALL(CALCULATIONS!D65:D106,13)=40,CALCULATIONS!E104,
IF(SMALL(CALCULATIONS!D65:D106,13)=41,CALCULATIONS!E105,
IF(SMALL(CALCULATIONS!D65:D106,13)=42,CALCULATIONS!E106,
"")))))))))))))))))))))))))))))))))))))))))),"")</f>
        <v>___</v>
      </c>
      <c r="E27" s="33"/>
      <c r="F27" s="33" t="str">
        <f t="shared" si="1"/>
        <v>___</v>
      </c>
      <c r="G27" s="33"/>
      <c r="H27" s="33" t="str">
        <f t="shared" si="2"/>
        <v>___</v>
      </c>
    </row>
    <row r="28" spans="1:8" x14ac:dyDescent="0.25">
      <c r="A28" s="75" t="str">
        <f t="shared" si="0"/>
        <v>□</v>
      </c>
      <c r="B28" s="33" t="str">
        <f>IF(COUNT(CALCULATIONS!D65:D106)&gt;=14,
IF(SMALL(CALCULATIONS!D65:D106,14)=1,CALCULATIONS!C65,
IF(SMALL(CALCULATIONS!D65:D106,14)=2,CALCULATIONS!C66,
IF(SMALL(CALCULATIONS!D65:D106,14)=3,CALCULATIONS!C67,
IF(SMALL(CALCULATIONS!D65:D106,14)=4,CALCULATIONS!C68,
IF(SMALL(CALCULATIONS!D65:D106,14)=5,CALCULATIONS!C69,
IF(SMALL(CALCULATIONS!D65:D106,14)=6,CALCULATIONS!C70,
IF(SMALL(CALCULATIONS!D65:D106,14)=7,CALCULATIONS!C71,
IF(SMALL(CALCULATIONS!D65:D106,14)=8,CALCULATIONS!C72,
IF(SMALL(CALCULATIONS!D65:D106,14)=9,CALCULATIONS!C73,
IF(SMALL(CALCULATIONS!D65:D106,14)=10,CALCULATIONS!C74,
IF(SMALL(CALCULATIONS!D65:D106,14)=11,CALCULATIONS!C75,
IF(SMALL(CALCULATIONS!D65:D106,14)=12,CALCULATIONS!C76,
IF(SMALL(CALCULATIONS!D65:D106,14)=13,CALCULATIONS!C77,
IF(SMALL(CALCULATIONS!D65:D106,14)=14,CALCULATIONS!C78,
IF(SMALL(CALCULATIONS!D65:D106,14)=15,CALCULATIONS!C79,
IF(SMALL(CALCULATIONS!D65:D106,14)=16,CALCULATIONS!C80,
IF(SMALL(CALCULATIONS!D65:D106,14)=17,CALCULATIONS!C81,
IF(SMALL(CALCULATIONS!D65:D106,14)=18,CALCULATIONS!C82,
IF(SMALL(CALCULATIONS!D65:D106,14)=19,CALCULATIONS!C83,
IF(SMALL(CALCULATIONS!D65:D106,14)=20,CALCULATIONS!C84,
IF(SMALL(CALCULATIONS!D65:D106,14)=21,CALCULATIONS!C85,
IF(SMALL(CALCULATIONS!D65:D106,14)=22,CALCULATIONS!C86,
IF(SMALL(CALCULATIONS!D65:D106,14)=23,CALCULATIONS!C87,
IF(SMALL(CALCULATIONS!D65:D106,14)=24,CALCULATIONS!C88,
IF(SMALL(CALCULATIONS!D65:D106,14)=25,CALCULATIONS!C89,
IF(SMALL(CALCULATIONS!D65:D106,14)=26,CALCULATIONS!C90,
IF(SMALL(CALCULATIONS!D65:D106,14)=27,CALCULATIONS!C91,
IF(SMALL(CALCULATIONS!D65:D106,14)=28,CALCULATIONS!C92,
IF(SMALL(CALCULATIONS!D65:D106,14)=29,CALCULATIONS!C93,
IF(SMALL(CALCULATIONS!D65:D106,14)=30,CALCULATIONS!C94,
IF(SMALL(CALCULATIONS!D65:D106,14)=31,CALCULATIONS!C95,
IF(SMALL(CALCULATIONS!D65:D106,14)=32,CALCULATIONS!C96,
IF(SMALL(CALCULATIONS!D65:D106,14)=33,CALCULATIONS!C97,
IF(SMALL(CALCULATIONS!D65:D106,14)=34,CALCULATIONS!C98,
IF(SMALL(CALCULATIONS!D65:D106,14)=35,CALCULATIONS!C99,
IF(SMALL(CALCULATIONS!D65:D106,14)=36,CALCULATIONS!C100,
IF(SMALL(CALCULATIONS!D65:D106,14)=37,CALCULATIONS!C101,
IF(SMALL(CALCULATIONS!D65:D106,14)=38,CALCULATIONS!C102,
IF(SMALL(CALCULATIONS!D65:D106,14)=39,CALCULATIONS!C103,
IF(SMALL(CALCULATIONS!D65:D106,14)=40,CALCULATIONS!C104,
IF(SMALL(CALCULATIONS!D65:D106,14)=41,CALCULATIONS!C105,
IF(SMALL(CALCULATIONS!D65:D106,14)=42,CALCULATIONS!C106,
"")))))))))))))))))))))))))))))))))))))))))),"")</f>
        <v>GROUND LUGS</v>
      </c>
      <c r="C28" s="33"/>
      <c r="D28" s="33" t="str">
        <f>IF(COUNT(CALCULATIONS!D65:D106)&gt;=14,
IF(SMALL(CALCULATIONS!D65:D106,14)=1,CALCULATIONS!E65,
IF(SMALL(CALCULATIONS!D65:D106,14)=2,CALCULATIONS!E66,
IF(SMALL(CALCULATIONS!D65:D106,14)=3,CALCULATIONS!E67,
IF(SMALL(CALCULATIONS!D65:D106,14)=4,CALCULATIONS!E68,
IF(SMALL(CALCULATIONS!D65:D106,14)=5,CALCULATIONS!E69,
IF(SMALL(CALCULATIONS!D65:D106,14)=6,CALCULATIONS!E70,
IF(SMALL(CALCULATIONS!D65:D106,14)=7,CALCULATIONS!E71,
IF(SMALL(CALCULATIONS!D65:D106,14)=8,CALCULATIONS!E72,
IF(SMALL(CALCULATIONS!D65:D106,14)=9,CALCULATIONS!E73,
IF(SMALL(CALCULATIONS!D65:D106,14)=10,CALCULATIONS!E74,
IF(SMALL(CALCULATIONS!D65:D106,14)=11,CALCULATIONS!E75,
IF(SMALL(CALCULATIONS!D65:D106,14)=12,CALCULATIONS!E76,
IF(SMALL(CALCULATIONS!D65:D106,14)=13,CALCULATIONS!E77,
IF(SMALL(CALCULATIONS!D65:D106,14)=14,CALCULATIONS!E78,
IF(SMALL(CALCULATIONS!D65:D106,14)=15,CALCULATIONS!E79,
IF(SMALL(CALCULATIONS!D65:D106,14)=16,CALCULATIONS!E80,
IF(SMALL(CALCULATIONS!D65:D106,14)=17,CALCULATIONS!E81,
IF(SMALL(CALCULATIONS!D65:D106,14)=18,CALCULATIONS!E82,
IF(SMALL(CALCULATIONS!D65:D106,14)=19,CALCULATIONS!E83,
IF(SMALL(CALCULATIONS!D65:D106,14)=20,CALCULATIONS!E84,
IF(SMALL(CALCULATIONS!D65:D106,14)=21,CALCULATIONS!E85,
IF(SMALL(CALCULATIONS!D65:D106,14)=22,CALCULATIONS!E86,
IF(SMALL(CALCULATIONS!D65:D106,14)=23,CALCULATIONS!E87,
IF(SMALL(CALCULATIONS!D65:D106,14)=24,CALCULATIONS!E88,
IF(SMALL(CALCULATIONS!D65:D106,14)=25,CALCULATIONS!E89,
IF(SMALL(CALCULATIONS!D65:D106,14)=26,CALCULATIONS!E90,
IF(SMALL(CALCULATIONS!D65:D106,14)=27,CALCULATIONS!E91,
IF(SMALL(CALCULATIONS!D65:D106,14)=28,CALCULATIONS!E92,
IF(SMALL(CALCULATIONS!D65:D106,14)=29,CALCULATIONS!E93,
IF(SMALL(CALCULATIONS!D65:D106,14)=30,CALCULATIONS!E94,
IF(SMALL(CALCULATIONS!D65:D106,14)=31,CALCULATIONS!E95,
IF(SMALL(CALCULATIONS!D65:D106,14)=32,CALCULATIONS!E96,
IF(SMALL(CALCULATIONS!D65:D106,14)=33,CALCULATIONS!E97,
IF(SMALL(CALCULATIONS!D65:D106,14)=34,CALCULATIONS!E98,
IF(SMALL(CALCULATIONS!D65:D106,14)=35,CALCULATIONS!E99,
IF(SMALL(CALCULATIONS!D65:D106,14)=36,CALCULATIONS!E100,
IF(SMALL(CALCULATIONS!D65:D106,14)=37,CALCULATIONS!E101,
IF(SMALL(CALCULATIONS!D65:D106,14)=38,CALCULATIONS!E102,
IF(SMALL(CALCULATIONS!D65:D106,14)=39,CALCULATIONS!E103,
IF(SMALL(CALCULATIONS!D65:D106,14)=40,CALCULATIONS!E104,
IF(SMALL(CALCULATIONS!D65:D106,14)=41,CALCULATIONS!E105,
IF(SMALL(CALCULATIONS!D65:D106,14)=42,CALCULATIONS!E106,
"")))))))))))))))))))))))))))))))))))))))))),"")</f>
        <v>___</v>
      </c>
      <c r="E28" s="33"/>
      <c r="F28" s="33" t="str">
        <f t="shared" si="1"/>
        <v>___</v>
      </c>
      <c r="G28" s="33"/>
      <c r="H28" s="33" t="str">
        <f t="shared" si="2"/>
        <v>___</v>
      </c>
    </row>
    <row r="29" spans="1:8" x14ac:dyDescent="0.25">
      <c r="A29" s="75" t="str">
        <f t="shared" si="0"/>
        <v/>
      </c>
      <c r="B29" s="33" t="str">
        <f>IF(COUNT(CALCULATIONS!D65:D106)&gt;=15,
IF(SMALL(CALCULATIONS!D65:D106,15)=1,CALCULATIONS!C65,
IF(SMALL(CALCULATIONS!D65:D106,15)=2,CALCULATIONS!C66,
IF(SMALL(CALCULATIONS!D65:D106,15)=3,CALCULATIONS!C67,
IF(SMALL(CALCULATIONS!D65:D106,15)=4,CALCULATIONS!C68,
IF(SMALL(CALCULATIONS!D65:D106,15)=5,CALCULATIONS!C69,
IF(SMALL(CALCULATIONS!D65:D106,15)=6,CALCULATIONS!C70,
IF(SMALL(CALCULATIONS!D65:D106,15)=7,CALCULATIONS!C71,
IF(SMALL(CALCULATIONS!D65:D106,15)=8,CALCULATIONS!C72,
IF(SMALL(CALCULATIONS!D65:D106,15)=9,CALCULATIONS!C73,
IF(SMALL(CALCULATIONS!D65:D106,15)=10,CALCULATIONS!C74,
IF(SMALL(CALCULATIONS!D65:D106,15)=11,CALCULATIONS!C75,
IF(SMALL(CALCULATIONS!D65:D106,15)=12,CALCULATIONS!C76,
IF(SMALL(CALCULATIONS!D65:D106,15)=13,CALCULATIONS!C77,
IF(SMALL(CALCULATIONS!D65:D106,15)=14,CALCULATIONS!C78,
IF(SMALL(CALCULATIONS!D65:D106,15)=15,CALCULATIONS!C79,
IF(SMALL(CALCULATIONS!D65:D106,15)=16,CALCULATIONS!C80,
IF(SMALL(CALCULATIONS!D65:D106,15)=17,CALCULATIONS!C81,
IF(SMALL(CALCULATIONS!D65:D106,15)=18,CALCULATIONS!C82,
IF(SMALL(CALCULATIONS!D65:D106,15)=19,CALCULATIONS!C83,
IF(SMALL(CALCULATIONS!D65:D106,15)=20,CALCULATIONS!C84,
IF(SMALL(CALCULATIONS!D65:D106,15)=21,CALCULATIONS!C85,
IF(SMALL(CALCULATIONS!D65:D106,15)=22,CALCULATIONS!C86,
IF(SMALL(CALCULATIONS!D65:D106,15)=23,CALCULATIONS!C87,
IF(SMALL(CALCULATIONS!D65:D106,15)=24,CALCULATIONS!C88,
IF(SMALL(CALCULATIONS!D65:D106,15)=25,CALCULATIONS!C89,
IF(SMALL(CALCULATIONS!D65:D106,15)=26,CALCULATIONS!C90,
IF(SMALL(CALCULATIONS!D65:D106,15)=27,CALCULATIONS!C91,
IF(SMALL(CALCULATIONS!D65:D106,15)=28,CALCULATIONS!C92,
IF(SMALL(CALCULATIONS!D65:D106,15)=29,CALCULATIONS!C93,
IF(SMALL(CALCULATIONS!D65:D106,15)=30,CALCULATIONS!C94,
IF(SMALL(CALCULATIONS!D65:D106,15)=31,CALCULATIONS!C95,
IF(SMALL(CALCULATIONS!D65:D106,15)=32,CALCULATIONS!C96,
IF(SMALL(CALCULATIONS!D65:D106,15)=33,CALCULATIONS!C97,
IF(SMALL(CALCULATIONS!D65:D106,15)=34,CALCULATIONS!C98,
IF(SMALL(CALCULATIONS!D65:D106,15)=35,CALCULATIONS!C99,
IF(SMALL(CALCULATIONS!D65:D106,15)=36,CALCULATIONS!C100,
IF(SMALL(CALCULATIONS!D65:D106,15)=37,CALCULATIONS!C101,
IF(SMALL(CALCULATIONS!D65:D106,15)=38,CALCULATIONS!C102,
IF(SMALL(CALCULATIONS!D65:D106,15)=39,CALCULATIONS!C103,
IF(SMALL(CALCULATIONS!D65:D106,15)=40,CALCULATIONS!C104,
IF(SMALL(CALCULATIONS!D65:D106,15)=41,CALCULATIONS!C105,
IF(SMALL(CALCULATIONS!D65:D106,15)=42,CALCULATIONS!C106,
"")))))))))))))))))))))))))))))))))))))))))),"")</f>
        <v/>
      </c>
      <c r="C29" s="33"/>
      <c r="D29" s="33" t="str">
        <f>IF(COUNT(CALCULATIONS!D65:D106)&gt;=15,
IF(SMALL(CALCULATIONS!D65:D106,15)=1,CALCULATIONS!E65,
IF(SMALL(CALCULATIONS!D65:D106,15)=2,CALCULATIONS!E66,
IF(SMALL(CALCULATIONS!D65:D106,15)=3,CALCULATIONS!E67,
IF(SMALL(CALCULATIONS!D65:D106,15)=4,CALCULATIONS!E68,
IF(SMALL(CALCULATIONS!D65:D106,15)=5,CALCULATIONS!E69,
IF(SMALL(CALCULATIONS!D65:D106,15)=6,CALCULATIONS!E70,
IF(SMALL(CALCULATIONS!D65:D106,15)=7,CALCULATIONS!E71,
IF(SMALL(CALCULATIONS!D65:D106,15)=8,CALCULATIONS!E72,
IF(SMALL(CALCULATIONS!D65:D106,15)=9,CALCULATIONS!E73,
IF(SMALL(CALCULATIONS!D65:D106,15)=10,CALCULATIONS!E74,
IF(SMALL(CALCULATIONS!D65:D106,15)=11,CALCULATIONS!E75,
IF(SMALL(CALCULATIONS!D65:D106,15)=12,CALCULATIONS!E76,
IF(SMALL(CALCULATIONS!D65:D106,15)=13,CALCULATIONS!E77,
IF(SMALL(CALCULATIONS!D65:D106,15)=14,CALCULATIONS!E78,
IF(SMALL(CALCULATIONS!D65:D106,15)=15,CALCULATIONS!E79,
IF(SMALL(CALCULATIONS!D65:D106,15)=16,CALCULATIONS!E80,
IF(SMALL(CALCULATIONS!D65:D106,15)=17,CALCULATIONS!E81,
IF(SMALL(CALCULATIONS!D65:D106,15)=18,CALCULATIONS!E82,
IF(SMALL(CALCULATIONS!D65:D106,15)=19,CALCULATIONS!E83,
IF(SMALL(CALCULATIONS!D65:D106,15)=20,CALCULATIONS!E84,
IF(SMALL(CALCULATIONS!D65:D106,15)=21,CALCULATIONS!E85,
IF(SMALL(CALCULATIONS!D65:D106,15)=22,CALCULATIONS!E86,
IF(SMALL(CALCULATIONS!D65:D106,15)=23,CALCULATIONS!E87,
IF(SMALL(CALCULATIONS!D65:D106,15)=24,CALCULATIONS!E88,
IF(SMALL(CALCULATIONS!D65:D106,15)=25,CALCULATIONS!E89,
IF(SMALL(CALCULATIONS!D65:D106,15)=26,CALCULATIONS!E90,
IF(SMALL(CALCULATIONS!D65:D106,15)=27,CALCULATIONS!E91,
IF(SMALL(CALCULATIONS!D65:D106,15)=28,CALCULATIONS!E92,
IF(SMALL(CALCULATIONS!D65:D106,15)=29,CALCULATIONS!E93,
IF(SMALL(CALCULATIONS!D65:D106,15)=30,CALCULATIONS!E94,
IF(SMALL(CALCULATIONS!D65:D106,15)=31,CALCULATIONS!E95,
IF(SMALL(CALCULATIONS!D65:D106,15)=32,CALCULATIONS!E96,
IF(SMALL(CALCULATIONS!D65:D106,15)=33,CALCULATIONS!E97,
IF(SMALL(CALCULATIONS!D65:D106,15)=34,CALCULATIONS!E98,
IF(SMALL(CALCULATIONS!D65:D106,15)=35,CALCULATIONS!E99,
IF(SMALL(CALCULATIONS!D65:D106,15)=36,CALCULATIONS!E100,
IF(SMALL(CALCULATIONS!D65:D106,15)=37,CALCULATIONS!E101,
IF(SMALL(CALCULATIONS!D65:D106,15)=38,CALCULATIONS!E102,
IF(SMALL(CALCULATIONS!D65:D106,15)=39,CALCULATIONS!E103,
IF(SMALL(CALCULATIONS!D65:D106,15)=40,CALCULATIONS!E104,
IF(SMALL(CALCULATIONS!D65:D106,15)=41,CALCULATIONS!E105,
IF(SMALL(CALCULATIONS!D65:D106,15)=42,CALCULATIONS!E106,
"")))))))))))))))))))))))))))))))))))))))))),"")</f>
        <v/>
      </c>
      <c r="E29" s="33"/>
      <c r="F29" s="33" t="str">
        <f t="shared" si="1"/>
        <v/>
      </c>
      <c r="G29" s="33"/>
      <c r="H29" s="33" t="str">
        <f t="shared" si="2"/>
        <v/>
      </c>
    </row>
    <row r="30" spans="1:8" x14ac:dyDescent="0.25">
      <c r="A30" s="75" t="str">
        <f t="shared" si="0"/>
        <v/>
      </c>
      <c r="B30" s="33" t="str">
        <f>IF(COUNT(CALCULATIONS!D65:D106)&gt;=16,
IF(SMALL(CALCULATIONS!D65:D106,16)=1,CALCULATIONS!C65,
IF(SMALL(CALCULATIONS!D65:D106,16)=2,CALCULATIONS!C66,
IF(SMALL(CALCULATIONS!D65:D106,16)=3,CALCULATIONS!C67,
IF(SMALL(CALCULATIONS!D65:D106,16)=4,CALCULATIONS!C68,
IF(SMALL(CALCULATIONS!D65:D106,16)=5,CALCULATIONS!C69,
IF(SMALL(CALCULATIONS!D65:D106,16)=6,CALCULATIONS!C70,
IF(SMALL(CALCULATIONS!D65:D106,16)=7,CALCULATIONS!C71,
IF(SMALL(CALCULATIONS!D65:D106,16)=8,CALCULATIONS!C72,
IF(SMALL(CALCULATIONS!D65:D106,16)=9,CALCULATIONS!C73,
IF(SMALL(CALCULATIONS!D65:D106,16)=10,CALCULATIONS!C74,
IF(SMALL(CALCULATIONS!D65:D106,16)=11,CALCULATIONS!C75,
IF(SMALL(CALCULATIONS!D65:D106,16)=12,CALCULATIONS!C76,
IF(SMALL(CALCULATIONS!D65:D106,16)=13,CALCULATIONS!C77,
IF(SMALL(CALCULATIONS!D65:D106,16)=14,CALCULATIONS!C78,
IF(SMALL(CALCULATIONS!D65:D106,16)=15,CALCULATIONS!C79,
IF(SMALL(CALCULATIONS!D65:D106,16)=16,CALCULATIONS!C80,
IF(SMALL(CALCULATIONS!D65:D106,16)=17,CALCULATIONS!C81,
IF(SMALL(CALCULATIONS!D65:D106,16)=18,CALCULATIONS!C82,
IF(SMALL(CALCULATIONS!D65:D106,16)=19,CALCULATIONS!C83,
IF(SMALL(CALCULATIONS!D65:D106,16)=20,CALCULATIONS!C84,
IF(SMALL(CALCULATIONS!D65:D106,16)=21,CALCULATIONS!C85,
IF(SMALL(CALCULATIONS!D65:D106,16)=22,CALCULATIONS!C86,
IF(SMALL(CALCULATIONS!D65:D106,16)=23,CALCULATIONS!C87,
IF(SMALL(CALCULATIONS!D65:D106,16)=24,CALCULATIONS!C88,
IF(SMALL(CALCULATIONS!D65:D106,16)=25,CALCULATIONS!C89,
IF(SMALL(CALCULATIONS!D65:D106,16)=26,CALCULATIONS!C90,
IF(SMALL(CALCULATIONS!D65:D106,16)=27,CALCULATIONS!C91,
IF(SMALL(CALCULATIONS!D65:D106,16)=28,CALCULATIONS!C92,
IF(SMALL(CALCULATIONS!D65:D106,16)=29,CALCULATIONS!C93,
IF(SMALL(CALCULATIONS!D65:D106,16)=30,CALCULATIONS!C94,
IF(SMALL(CALCULATIONS!D65:D106,16)=31,CALCULATIONS!C95,
IF(SMALL(CALCULATIONS!D65:D106,16)=32,CALCULATIONS!C96,
IF(SMALL(CALCULATIONS!D65:D106,16)=33,CALCULATIONS!C97,
IF(SMALL(CALCULATIONS!D65:D106,16)=34,CALCULATIONS!C98,
IF(SMALL(CALCULATIONS!D65:D106,16)=35,CALCULATIONS!C99,
IF(SMALL(CALCULATIONS!D65:D106,16)=36,CALCULATIONS!C100,
IF(SMALL(CALCULATIONS!D65:D106,16)=37,CALCULATIONS!C101,
IF(SMALL(CALCULATIONS!D65:D106,16)=38,CALCULATIONS!C102,
IF(SMALL(CALCULATIONS!D65:D106,16)=39,CALCULATIONS!C103,
IF(SMALL(CALCULATIONS!D65:D106,16)=40,CALCULATIONS!C104,
IF(SMALL(CALCULATIONS!D65:D106,16)=41,CALCULATIONS!C105,
IF(SMALL(CALCULATIONS!D65:D106,16)=42,CALCULATIONS!C106,
"")))))))))))))))))))))))))))))))))))))))))),"")</f>
        <v/>
      </c>
      <c r="C30" s="33"/>
      <c r="D30" s="33" t="str">
        <f>IF(COUNT(CALCULATIONS!D65:D106)&gt;=16,
IF(SMALL(CALCULATIONS!D65:D106,16)=1,CALCULATIONS!E65,
IF(SMALL(CALCULATIONS!D65:D106,16)=2,CALCULATIONS!E66,
IF(SMALL(CALCULATIONS!D65:D106,16)=3,CALCULATIONS!E67,
IF(SMALL(CALCULATIONS!D65:D106,16)=4,CALCULATIONS!E68,
IF(SMALL(CALCULATIONS!D65:D106,16)=5,CALCULATIONS!E69,
IF(SMALL(CALCULATIONS!D65:D106,16)=6,CALCULATIONS!E70,
IF(SMALL(CALCULATIONS!D65:D106,16)=7,CALCULATIONS!E71,
IF(SMALL(CALCULATIONS!D65:D106,16)=8,CALCULATIONS!E72,
IF(SMALL(CALCULATIONS!D65:D106,16)=9,CALCULATIONS!E73,
IF(SMALL(CALCULATIONS!D65:D106,16)=10,CALCULATIONS!E74,
IF(SMALL(CALCULATIONS!D65:D106,16)=11,CALCULATIONS!E75,
IF(SMALL(CALCULATIONS!D65:D106,16)=12,CALCULATIONS!E76,
IF(SMALL(CALCULATIONS!D65:D106,16)=13,CALCULATIONS!E77,
IF(SMALL(CALCULATIONS!D65:D106,16)=14,CALCULATIONS!E78,
IF(SMALL(CALCULATIONS!D65:D106,16)=15,CALCULATIONS!E79,
IF(SMALL(CALCULATIONS!D65:D106,16)=16,CALCULATIONS!E80,
IF(SMALL(CALCULATIONS!D65:D106,16)=17,CALCULATIONS!E81,
IF(SMALL(CALCULATIONS!D65:D106,16)=18,CALCULATIONS!E82,
IF(SMALL(CALCULATIONS!D65:D106,16)=19,CALCULATIONS!E83,
IF(SMALL(CALCULATIONS!D65:D106,16)=20,CALCULATIONS!E84,
IF(SMALL(CALCULATIONS!D65:D106,16)=21,CALCULATIONS!E85,
IF(SMALL(CALCULATIONS!D65:D106,16)=22,CALCULATIONS!E86,
IF(SMALL(CALCULATIONS!D65:D106,16)=23,CALCULATIONS!E87,
IF(SMALL(CALCULATIONS!D65:D106,16)=24,CALCULATIONS!E88,
IF(SMALL(CALCULATIONS!D65:D106,16)=25,CALCULATIONS!E89,
IF(SMALL(CALCULATIONS!D65:D106,16)=26,CALCULATIONS!E90,
IF(SMALL(CALCULATIONS!D65:D106,16)=27,CALCULATIONS!E91,
IF(SMALL(CALCULATIONS!D65:D106,16)=28,CALCULATIONS!E92,
IF(SMALL(CALCULATIONS!D65:D106,16)=29,CALCULATIONS!E93,
IF(SMALL(CALCULATIONS!D65:D106,16)=30,CALCULATIONS!E94,
IF(SMALL(CALCULATIONS!D65:D106,16)=31,CALCULATIONS!E95,
IF(SMALL(CALCULATIONS!D65:D106,16)=32,CALCULATIONS!E96,
IF(SMALL(CALCULATIONS!D65:D106,16)=33,CALCULATIONS!E97,
IF(SMALL(CALCULATIONS!D65:D106,16)=34,CALCULATIONS!E98,
IF(SMALL(CALCULATIONS!D65:D106,16)=35,CALCULATIONS!E99,
IF(SMALL(CALCULATIONS!D65:D106,16)=36,CALCULATIONS!E100,
IF(SMALL(CALCULATIONS!D65:D106,16)=37,CALCULATIONS!E101,
IF(SMALL(CALCULATIONS!D65:D106,16)=38,CALCULATIONS!E102,
IF(SMALL(CALCULATIONS!D65:D106,16)=39,CALCULATIONS!E103,
IF(SMALL(CALCULATIONS!D65:D106,16)=40,CALCULATIONS!E104,
IF(SMALL(CALCULATIONS!D65:D106,16)=41,CALCULATIONS!E105,
IF(SMALL(CALCULATIONS!D65:D106,16)=42,CALCULATIONS!E106,
"")))))))))))))))))))))))))))))))))))))))))),"")</f>
        <v/>
      </c>
      <c r="E30" s="33"/>
      <c r="F30" s="33" t="str">
        <f t="shared" si="1"/>
        <v/>
      </c>
      <c r="G30" s="33"/>
      <c r="H30" s="33" t="str">
        <f t="shared" si="2"/>
        <v/>
      </c>
    </row>
    <row r="31" spans="1:8" x14ac:dyDescent="0.25">
      <c r="A31" s="75" t="str">
        <f t="shared" si="0"/>
        <v/>
      </c>
      <c r="B31" s="33" t="str">
        <f>IF(COUNT(CALCULATIONS!D65:D106)&gt;=17,
IF(SMALL(CALCULATIONS!D65:D106,17)=1,CALCULATIONS!C65,
IF(SMALL(CALCULATIONS!D65:D106,17)=2,CALCULATIONS!C66,
IF(SMALL(CALCULATIONS!D65:D106,17)=3,CALCULATIONS!C67,
IF(SMALL(CALCULATIONS!D65:D106,17)=4,CALCULATIONS!C68,
IF(SMALL(CALCULATIONS!D65:D106,17)=5,CALCULATIONS!C69,
IF(SMALL(CALCULATIONS!D65:D106,17)=6,CALCULATIONS!C70,
IF(SMALL(CALCULATIONS!D65:D106,17)=7,CALCULATIONS!C71,
IF(SMALL(CALCULATIONS!D65:D106,17)=8,CALCULATIONS!C72,
IF(SMALL(CALCULATIONS!D65:D106,17)=9,CALCULATIONS!C73,
IF(SMALL(CALCULATIONS!D65:D106,17)=10,CALCULATIONS!C74,
IF(SMALL(CALCULATIONS!D65:D106,17)=11,CALCULATIONS!C75,
IF(SMALL(CALCULATIONS!D65:D106,17)=12,CALCULATIONS!C76,
IF(SMALL(CALCULATIONS!D65:D106,17)=13,CALCULATIONS!C77,
IF(SMALL(CALCULATIONS!D65:D106,17)=14,CALCULATIONS!C78,
IF(SMALL(CALCULATIONS!D65:D106,17)=15,CALCULATIONS!C79,
IF(SMALL(CALCULATIONS!D65:D106,17)=16,CALCULATIONS!C80,
IF(SMALL(CALCULATIONS!D65:D106,17)=17,CALCULATIONS!C81,
IF(SMALL(CALCULATIONS!D65:D106,17)=18,CALCULATIONS!C82,
IF(SMALL(CALCULATIONS!D65:D106,17)=19,CALCULATIONS!C83,
IF(SMALL(CALCULATIONS!D65:D106,17)=20,CALCULATIONS!C84,
IF(SMALL(CALCULATIONS!D65:D106,17)=21,CALCULATIONS!C85,
IF(SMALL(CALCULATIONS!D65:D106,17)=22,CALCULATIONS!C86,
IF(SMALL(CALCULATIONS!D65:D106,17)=23,CALCULATIONS!C87,
IF(SMALL(CALCULATIONS!D65:D106,17)=24,CALCULATIONS!C88,
IF(SMALL(CALCULATIONS!D65:D106,17)=25,CALCULATIONS!C89,
IF(SMALL(CALCULATIONS!D65:D106,17)=26,CALCULATIONS!C90,
IF(SMALL(CALCULATIONS!D65:D106,17)=27,CALCULATIONS!C91,
IF(SMALL(CALCULATIONS!D65:D106,17)=28,CALCULATIONS!C92,
IF(SMALL(CALCULATIONS!D65:D106,17)=29,CALCULATIONS!C93,
IF(SMALL(CALCULATIONS!D65:D106,17)=30,CALCULATIONS!C94,
IF(SMALL(CALCULATIONS!D65:D106,17)=31,CALCULATIONS!C95,
IF(SMALL(CALCULATIONS!D65:D106,17)=32,CALCULATIONS!C96,
IF(SMALL(CALCULATIONS!D65:D106,17)=33,CALCULATIONS!C97,
IF(SMALL(CALCULATIONS!D65:D106,17)=34,CALCULATIONS!C98,
IF(SMALL(CALCULATIONS!D65:D106,17)=35,CALCULATIONS!C99,
IF(SMALL(CALCULATIONS!D65:D106,17)=36,CALCULATIONS!C100,
IF(SMALL(CALCULATIONS!D65:D106,17)=37,CALCULATIONS!C101,
IF(SMALL(CALCULATIONS!D65:D106,17)=38,CALCULATIONS!C102,
IF(SMALL(CALCULATIONS!D65:D106,17)=39,CALCULATIONS!C103,
IF(SMALL(CALCULATIONS!D65:D106,17)=40,CALCULATIONS!C104,
IF(SMALL(CALCULATIONS!D65:D106,17)=41,CALCULATIONS!C105,
IF(SMALL(CALCULATIONS!D65:D106,17)=42,CALCULATIONS!C106,
"")))))))))))))))))))))))))))))))))))))))))),"")</f>
        <v/>
      </c>
      <c r="C31" s="33"/>
      <c r="D31" s="33" t="str">
        <f>IF(COUNT(CALCULATIONS!D65:D106)&gt;=17,
IF(SMALL(CALCULATIONS!D65:D106,17)=1,CALCULATIONS!E65,
IF(SMALL(CALCULATIONS!D65:D106,17)=2,CALCULATIONS!E66,
IF(SMALL(CALCULATIONS!D65:D106,17)=3,CALCULATIONS!E67,
IF(SMALL(CALCULATIONS!D65:D106,17)=4,CALCULATIONS!E68,
IF(SMALL(CALCULATIONS!D65:D106,17)=5,CALCULATIONS!E69,
IF(SMALL(CALCULATIONS!D65:D106,17)=6,CALCULATIONS!E70,
IF(SMALL(CALCULATIONS!D65:D106,17)=7,CALCULATIONS!E71,
IF(SMALL(CALCULATIONS!D65:D106,17)=8,CALCULATIONS!E72,
IF(SMALL(CALCULATIONS!D65:D106,17)=9,CALCULATIONS!E73,
IF(SMALL(CALCULATIONS!D65:D106,17)=10,CALCULATIONS!E74,
IF(SMALL(CALCULATIONS!D65:D106,17)=11,CALCULATIONS!E75,
IF(SMALL(CALCULATIONS!D65:D106,17)=12,CALCULATIONS!E76,
IF(SMALL(CALCULATIONS!D65:D106,17)=13,CALCULATIONS!E77,
IF(SMALL(CALCULATIONS!D65:D106,17)=14,CALCULATIONS!E78,
IF(SMALL(CALCULATIONS!D65:D106,17)=15,CALCULATIONS!E79,
IF(SMALL(CALCULATIONS!D65:D106,17)=16,CALCULATIONS!E80,
IF(SMALL(CALCULATIONS!D65:D106,17)=17,CALCULATIONS!E81,
IF(SMALL(CALCULATIONS!D65:D106,17)=18,CALCULATIONS!E82,
IF(SMALL(CALCULATIONS!D65:D106,17)=19,CALCULATIONS!E83,
IF(SMALL(CALCULATIONS!D65:D106,17)=20,CALCULATIONS!E84,
IF(SMALL(CALCULATIONS!D65:D106,17)=21,CALCULATIONS!E85,
IF(SMALL(CALCULATIONS!D65:D106,17)=22,CALCULATIONS!E86,
IF(SMALL(CALCULATIONS!D65:D106,17)=23,CALCULATIONS!E87,
IF(SMALL(CALCULATIONS!D65:D106,17)=24,CALCULATIONS!E88,
IF(SMALL(CALCULATIONS!D65:D106,17)=25,CALCULATIONS!E89,
IF(SMALL(CALCULATIONS!D65:D106,17)=26,CALCULATIONS!E90,
IF(SMALL(CALCULATIONS!D65:D106,17)=27,CALCULATIONS!E91,
IF(SMALL(CALCULATIONS!D65:D106,17)=28,CALCULATIONS!E92,
IF(SMALL(CALCULATIONS!D65:D106,17)=29,CALCULATIONS!E93,
IF(SMALL(CALCULATIONS!D65:D106,17)=30,CALCULATIONS!E94,
IF(SMALL(CALCULATIONS!D65:D106,17)=31,CALCULATIONS!E95,
IF(SMALL(CALCULATIONS!D65:D106,17)=32,CALCULATIONS!E96,
IF(SMALL(CALCULATIONS!D65:D106,17)=33,CALCULATIONS!E97,
IF(SMALL(CALCULATIONS!D65:D106,17)=34,CALCULATIONS!E98,
IF(SMALL(CALCULATIONS!D65:D106,17)=35,CALCULATIONS!E99,
IF(SMALL(CALCULATIONS!D65:D106,17)=36,CALCULATIONS!E100,
IF(SMALL(CALCULATIONS!D65:D106,17)=37,CALCULATIONS!E101,
IF(SMALL(CALCULATIONS!D65:D106,17)=38,CALCULATIONS!E102,
IF(SMALL(CALCULATIONS!D65:D106,17)=39,CALCULATIONS!E103,
IF(SMALL(CALCULATIONS!D65:D106,17)=40,CALCULATIONS!E104,
IF(SMALL(CALCULATIONS!D65:D106,17)=41,CALCULATIONS!E105,
IF(SMALL(CALCULATIONS!D65:D106,17)=42,CALCULATIONS!E106,
"")))))))))))))))))))))))))))))))))))))))))),"")</f>
        <v/>
      </c>
      <c r="E31" s="33"/>
      <c r="F31" s="33" t="str">
        <f t="shared" si="1"/>
        <v/>
      </c>
      <c r="G31" s="33"/>
      <c r="H31" s="33" t="str">
        <f t="shared" si="2"/>
        <v/>
      </c>
    </row>
    <row r="32" spans="1:8" x14ac:dyDescent="0.25">
      <c r="A32" s="75" t="str">
        <f t="shared" si="0"/>
        <v/>
      </c>
      <c r="B32" s="33" t="str">
        <f>IF(COUNT(CALCULATIONS!D65:D106)&gt;=18,
IF(SMALL(CALCULATIONS!D65:D106,18)=1,CALCULATIONS!C65,
IF(SMALL(CALCULATIONS!D65:D106,18)=2,CALCULATIONS!C66,
IF(SMALL(CALCULATIONS!D65:D106,18)=3,CALCULATIONS!C67,
IF(SMALL(CALCULATIONS!D65:D106,18)=4,CALCULATIONS!C68,
IF(SMALL(CALCULATIONS!D65:D106,18)=5,CALCULATIONS!C69,
IF(SMALL(CALCULATIONS!D65:D106,18)=6,CALCULATIONS!C70,
IF(SMALL(CALCULATIONS!D65:D106,18)=7,CALCULATIONS!C71,
IF(SMALL(CALCULATIONS!D65:D106,18)=8,CALCULATIONS!C72,
IF(SMALL(CALCULATIONS!D65:D106,18)=9,CALCULATIONS!C73,
IF(SMALL(CALCULATIONS!D65:D106,18)=10,CALCULATIONS!C74,
IF(SMALL(CALCULATIONS!D65:D106,18)=11,CALCULATIONS!C75,
IF(SMALL(CALCULATIONS!D65:D106,18)=12,CALCULATIONS!C76,
IF(SMALL(CALCULATIONS!D65:D106,18)=13,CALCULATIONS!C77,
IF(SMALL(CALCULATIONS!D65:D106,18)=14,CALCULATIONS!C78,
IF(SMALL(CALCULATIONS!D65:D106,18)=15,CALCULATIONS!C79,
IF(SMALL(CALCULATIONS!D65:D106,18)=16,CALCULATIONS!C80,
IF(SMALL(CALCULATIONS!D65:D106,18)=17,CALCULATIONS!C81,
IF(SMALL(CALCULATIONS!D65:D106,18)=18,CALCULATIONS!C82,
IF(SMALL(CALCULATIONS!D65:D106,18)=19,CALCULATIONS!C83,
IF(SMALL(CALCULATIONS!D65:D106,18)=20,CALCULATIONS!C84,
IF(SMALL(CALCULATIONS!D65:D106,18)=21,CALCULATIONS!C85,
IF(SMALL(CALCULATIONS!D65:D106,18)=22,CALCULATIONS!C86,
IF(SMALL(CALCULATIONS!D65:D106,18)=23,CALCULATIONS!C87,
IF(SMALL(CALCULATIONS!D65:D106,18)=24,CALCULATIONS!C88,
IF(SMALL(CALCULATIONS!D65:D106,18)=25,CALCULATIONS!C89,
IF(SMALL(CALCULATIONS!D65:D106,18)=26,CALCULATIONS!C90,
IF(SMALL(CALCULATIONS!D65:D106,18)=27,CALCULATIONS!C91,
IF(SMALL(CALCULATIONS!D65:D106,18)=28,CALCULATIONS!C92,
IF(SMALL(CALCULATIONS!D65:D106,18)=29,CALCULATIONS!C93,
IF(SMALL(CALCULATIONS!D65:D106,18)=30,CALCULATIONS!C94,
IF(SMALL(CALCULATIONS!D65:D106,18)=31,CALCULATIONS!C95,
IF(SMALL(CALCULATIONS!D65:D106,18)=32,CALCULATIONS!C96,
IF(SMALL(CALCULATIONS!D65:D106,18)=33,CALCULATIONS!C97,
IF(SMALL(CALCULATIONS!D65:D106,18)=34,CALCULATIONS!C98,
IF(SMALL(CALCULATIONS!D65:D106,18)=35,CALCULATIONS!C99,
IF(SMALL(CALCULATIONS!D65:D106,18)=36,CALCULATIONS!C100,
IF(SMALL(CALCULATIONS!D65:D106,18)=37,CALCULATIONS!C101,
IF(SMALL(CALCULATIONS!D65:D106,18)=38,CALCULATIONS!C102,
IF(SMALL(CALCULATIONS!D65:D106,18)=39,CALCULATIONS!C103,
IF(SMALL(CALCULATIONS!D65:D106,18)=40,CALCULATIONS!C104,
IF(SMALL(CALCULATIONS!D65:D106,18)=41,CALCULATIONS!C105,
IF(SMALL(CALCULATIONS!D65:D106,18)=42,CALCULATIONS!C106,
"")))))))))))))))))))))))))))))))))))))))))),"")</f>
        <v/>
      </c>
      <c r="C32" s="33"/>
      <c r="D32" s="33" t="str">
        <f>IF(COUNT(CALCULATIONS!D65:D106)&gt;=18,
IF(SMALL(CALCULATIONS!D65:D106,18)=1,CALCULATIONS!E65,
IF(SMALL(CALCULATIONS!D65:D106,18)=2,CALCULATIONS!E66,
IF(SMALL(CALCULATIONS!D65:D106,18)=3,CALCULATIONS!E67,
IF(SMALL(CALCULATIONS!D65:D106,18)=4,CALCULATIONS!E68,
IF(SMALL(CALCULATIONS!D65:D106,18)=5,CALCULATIONS!E69,
IF(SMALL(CALCULATIONS!D65:D106,18)=6,CALCULATIONS!E70,
IF(SMALL(CALCULATIONS!D65:D106,18)=7,CALCULATIONS!E71,
IF(SMALL(CALCULATIONS!D65:D106,18)=8,CALCULATIONS!E72,
IF(SMALL(CALCULATIONS!D65:D106,18)=9,CALCULATIONS!E73,
IF(SMALL(CALCULATIONS!D65:D106,18)=10,CALCULATIONS!E74,
IF(SMALL(CALCULATIONS!D65:D106,18)=11,CALCULATIONS!E75,
IF(SMALL(CALCULATIONS!D65:D106,18)=12,CALCULATIONS!E76,
IF(SMALL(CALCULATIONS!D65:D106,18)=13,CALCULATIONS!E77,
IF(SMALL(CALCULATIONS!D65:D106,18)=14,CALCULATIONS!E78,
IF(SMALL(CALCULATIONS!D65:D106,18)=15,CALCULATIONS!E79,
IF(SMALL(CALCULATIONS!D65:D106,18)=16,CALCULATIONS!E80,
IF(SMALL(CALCULATIONS!D65:D106,18)=17,CALCULATIONS!E81,
IF(SMALL(CALCULATIONS!D65:D106,18)=18,CALCULATIONS!E82,
IF(SMALL(CALCULATIONS!D65:D106,18)=19,CALCULATIONS!E83,
IF(SMALL(CALCULATIONS!D65:D106,18)=20,CALCULATIONS!E84,
IF(SMALL(CALCULATIONS!D65:D106,18)=21,CALCULATIONS!E85,
IF(SMALL(CALCULATIONS!D65:D106,18)=22,CALCULATIONS!E86,
IF(SMALL(CALCULATIONS!D65:D106,18)=23,CALCULATIONS!E87,
IF(SMALL(CALCULATIONS!D65:D106,18)=24,CALCULATIONS!E88,
IF(SMALL(CALCULATIONS!D65:D106,18)=25,CALCULATIONS!E89,
IF(SMALL(CALCULATIONS!D65:D106,18)=26,CALCULATIONS!E90,
IF(SMALL(CALCULATIONS!D65:D106,18)=27,CALCULATIONS!E91,
IF(SMALL(CALCULATIONS!D65:D106,18)=28,CALCULATIONS!E92,
IF(SMALL(CALCULATIONS!D65:D106,18)=29,CALCULATIONS!E93,
IF(SMALL(CALCULATIONS!D65:D106,18)=30,CALCULATIONS!E94,
IF(SMALL(CALCULATIONS!D65:D106,18)=31,CALCULATIONS!E95,
IF(SMALL(CALCULATIONS!D65:D106,18)=32,CALCULATIONS!E96,
IF(SMALL(CALCULATIONS!D65:D106,18)=33,CALCULATIONS!E97,
IF(SMALL(CALCULATIONS!D65:D106,18)=34,CALCULATIONS!E98,
IF(SMALL(CALCULATIONS!D65:D106,18)=35,CALCULATIONS!E99,
IF(SMALL(CALCULATIONS!D65:D106,18)=36,CALCULATIONS!E100,
IF(SMALL(CALCULATIONS!D65:D106,18)=37,CALCULATIONS!E101,
IF(SMALL(CALCULATIONS!D65:D106,18)=38,CALCULATIONS!E102,
IF(SMALL(CALCULATIONS!D65:D106,18)=39,CALCULATIONS!E103,
IF(SMALL(CALCULATIONS!D65:D106,18)=40,CALCULATIONS!E104,
IF(SMALL(CALCULATIONS!D65:D106,18)=41,CALCULATIONS!E105,
IF(SMALL(CALCULATIONS!D65:D106,18)=42,CALCULATIONS!E106,
"")))))))))))))))))))))))))))))))))))))))))),"")</f>
        <v/>
      </c>
      <c r="E32" s="33"/>
      <c r="F32" s="33" t="str">
        <f t="shared" si="1"/>
        <v/>
      </c>
      <c r="G32" s="33"/>
      <c r="H32" s="33" t="str">
        <f t="shared" si="2"/>
        <v/>
      </c>
    </row>
    <row r="33" spans="1:8" x14ac:dyDescent="0.25">
      <c r="A33" s="75" t="str">
        <f t="shared" si="0"/>
        <v/>
      </c>
      <c r="B33" s="33" t="str">
        <f>IF(COUNT(CALCULATIONS!D65:D106)&gt;=19,
IF(SMALL(CALCULATIONS!D65:D106,19)=1,CALCULATIONS!C65,
IF(SMALL(CALCULATIONS!D65:D106,19)=2,CALCULATIONS!C66,
IF(SMALL(CALCULATIONS!D65:D106,19)=3,CALCULATIONS!C67,
IF(SMALL(CALCULATIONS!D65:D106,19)=4,CALCULATIONS!C68,
IF(SMALL(CALCULATIONS!D65:D106,19)=5,CALCULATIONS!C69,
IF(SMALL(CALCULATIONS!D65:D106,19)=6,CALCULATIONS!C70,
IF(SMALL(CALCULATIONS!D65:D106,19)=7,CALCULATIONS!C71,
IF(SMALL(CALCULATIONS!D65:D106,19)=8,CALCULATIONS!C72,
IF(SMALL(CALCULATIONS!D65:D106,19)=9,CALCULATIONS!C73,
IF(SMALL(CALCULATIONS!D65:D106,19)=10,CALCULATIONS!C74,
IF(SMALL(CALCULATIONS!D65:D106,19)=11,CALCULATIONS!C75,
IF(SMALL(CALCULATIONS!D65:D106,19)=12,CALCULATIONS!C76,
IF(SMALL(CALCULATIONS!D65:D106,19)=13,CALCULATIONS!C77,
IF(SMALL(CALCULATIONS!D65:D106,19)=14,CALCULATIONS!C78,
IF(SMALL(CALCULATIONS!D65:D106,19)=15,CALCULATIONS!C79,
IF(SMALL(CALCULATIONS!D65:D106,19)=16,CALCULATIONS!C80,
IF(SMALL(CALCULATIONS!D65:D106,19)=17,CALCULATIONS!C81,
IF(SMALL(CALCULATIONS!D65:D106,19)=18,CALCULATIONS!C82,
IF(SMALL(CALCULATIONS!D65:D106,19)=19,CALCULATIONS!C83,
IF(SMALL(CALCULATIONS!D65:D106,19)=20,CALCULATIONS!C84,
IF(SMALL(CALCULATIONS!D65:D106,19)=21,CALCULATIONS!C85,
IF(SMALL(CALCULATIONS!D65:D106,19)=22,CALCULATIONS!C86,
IF(SMALL(CALCULATIONS!D65:D106,19)=23,CALCULATIONS!C87,
IF(SMALL(CALCULATIONS!D65:D106,19)=24,CALCULATIONS!C88,
IF(SMALL(CALCULATIONS!D65:D106,19)=25,CALCULATIONS!C89,
IF(SMALL(CALCULATIONS!D65:D106,19)=26,CALCULATIONS!C90,
IF(SMALL(CALCULATIONS!D65:D106,19)=27,CALCULATIONS!C91,
IF(SMALL(CALCULATIONS!D65:D106,19)=28,CALCULATIONS!C92,
IF(SMALL(CALCULATIONS!D65:D106,19)=29,CALCULATIONS!C93,
IF(SMALL(CALCULATIONS!D65:D106,19)=30,CALCULATIONS!C94,
IF(SMALL(CALCULATIONS!D65:D106,19)=31,CALCULATIONS!C95,
IF(SMALL(CALCULATIONS!D65:D106,19)=32,CALCULATIONS!C96,
IF(SMALL(CALCULATIONS!D65:D106,19)=33,CALCULATIONS!C97,
IF(SMALL(CALCULATIONS!D65:D106,19)=34,CALCULATIONS!C98,
IF(SMALL(CALCULATIONS!D65:D106,19)=35,CALCULATIONS!C99,
IF(SMALL(CALCULATIONS!D65:D106,19)=36,CALCULATIONS!C100,
IF(SMALL(CALCULATIONS!D65:D106,19)=37,CALCULATIONS!C101,
IF(SMALL(CALCULATIONS!D65:D106,19)=38,CALCULATIONS!C102,
IF(SMALL(CALCULATIONS!D65:D106,19)=39,CALCULATIONS!C103,
IF(SMALL(CALCULATIONS!D65:D106,19)=40,CALCULATIONS!C104,
IF(SMALL(CALCULATIONS!D65:D106,19)=41,CALCULATIONS!C105,
IF(SMALL(CALCULATIONS!D65:D106,19)=42,CALCULATIONS!C106,
"")))))))))))))))))))))))))))))))))))))))))),"")</f>
        <v/>
      </c>
      <c r="C33" s="33"/>
      <c r="D33" s="33" t="str">
        <f>IF(COUNT(CALCULATIONS!D65:D106)&gt;=19,
IF(SMALL(CALCULATIONS!D65:D106,19)=1,CALCULATIONS!E65,
IF(SMALL(CALCULATIONS!D65:D106,19)=2,CALCULATIONS!E66,
IF(SMALL(CALCULATIONS!D65:D106,19)=3,CALCULATIONS!E67,
IF(SMALL(CALCULATIONS!D65:D106,19)=4,CALCULATIONS!E68,
IF(SMALL(CALCULATIONS!D65:D106,19)=5,CALCULATIONS!E69,
IF(SMALL(CALCULATIONS!D65:D106,19)=6,CALCULATIONS!E70,
IF(SMALL(CALCULATIONS!D65:D106,19)=7,CALCULATIONS!E71,
IF(SMALL(CALCULATIONS!D65:D106,19)=8,CALCULATIONS!E72,
IF(SMALL(CALCULATIONS!D65:D106,19)=9,CALCULATIONS!E73,
IF(SMALL(CALCULATIONS!D65:D106,19)=10,CALCULATIONS!E74,
IF(SMALL(CALCULATIONS!D65:D106,19)=11,CALCULATIONS!E75,
IF(SMALL(CALCULATIONS!D65:D106,19)=12,CALCULATIONS!E76,
IF(SMALL(CALCULATIONS!D65:D106,19)=13,CALCULATIONS!E77,
IF(SMALL(CALCULATIONS!D65:D106,19)=14,CALCULATIONS!E78,
IF(SMALL(CALCULATIONS!D65:D106,19)=15,CALCULATIONS!E79,
IF(SMALL(CALCULATIONS!D65:D106,19)=16,CALCULATIONS!E80,
IF(SMALL(CALCULATIONS!D65:D106,19)=17,CALCULATIONS!E81,
IF(SMALL(CALCULATIONS!D65:D106,19)=18,CALCULATIONS!E82,
IF(SMALL(CALCULATIONS!D65:D106,19)=19,CALCULATIONS!E83,
IF(SMALL(CALCULATIONS!D65:D106,19)=20,CALCULATIONS!E84,
IF(SMALL(CALCULATIONS!D65:D106,19)=21,CALCULATIONS!E85,
IF(SMALL(CALCULATIONS!D65:D106,19)=22,CALCULATIONS!E86,
IF(SMALL(CALCULATIONS!D65:D106,19)=23,CALCULATIONS!E87,
IF(SMALL(CALCULATIONS!D65:D106,19)=24,CALCULATIONS!E88,
IF(SMALL(CALCULATIONS!D65:D106,19)=25,CALCULATIONS!E89,
IF(SMALL(CALCULATIONS!D65:D106,19)=26,CALCULATIONS!E90,
IF(SMALL(CALCULATIONS!D65:D106,19)=27,CALCULATIONS!E91,
IF(SMALL(CALCULATIONS!D65:D106,19)=28,CALCULATIONS!E92,
IF(SMALL(CALCULATIONS!D65:D106,19)=29,CALCULATIONS!E93,
IF(SMALL(CALCULATIONS!D65:D106,19)=30,CALCULATIONS!E94,
IF(SMALL(CALCULATIONS!D65:D106,19)=31,CALCULATIONS!E95,
IF(SMALL(CALCULATIONS!D65:D106,19)=32,CALCULATIONS!E96,
IF(SMALL(CALCULATIONS!D65:D106,19)=33,CALCULATIONS!E97,
IF(SMALL(CALCULATIONS!D65:D106,19)=34,CALCULATIONS!E98,
IF(SMALL(CALCULATIONS!D65:D106,19)=35,CALCULATIONS!E99,
IF(SMALL(CALCULATIONS!D65:D106,19)=36,CALCULATIONS!E100,
IF(SMALL(CALCULATIONS!D65:D106,19)=37,CALCULATIONS!E101,
IF(SMALL(CALCULATIONS!D65:D106,19)=38,CALCULATIONS!E102,
IF(SMALL(CALCULATIONS!D65:D106,19)=39,CALCULATIONS!E103,
IF(SMALL(CALCULATIONS!D65:D106,19)=40,CALCULATIONS!E104,
IF(SMALL(CALCULATIONS!D65:D106,19)=41,CALCULATIONS!E105,
IF(SMALL(CALCULATIONS!D65:D106,19)=42,CALCULATIONS!E106,
"")))))))))))))))))))))))))))))))))))))))))),"")</f>
        <v/>
      </c>
      <c r="E33" s="33"/>
      <c r="F33" s="33" t="str">
        <f t="shared" si="1"/>
        <v/>
      </c>
      <c r="G33" s="33"/>
      <c r="H33" s="33" t="str">
        <f t="shared" si="2"/>
        <v/>
      </c>
    </row>
    <row r="34" spans="1:8" x14ac:dyDescent="0.25">
      <c r="A34" s="75" t="str">
        <f t="shared" si="0"/>
        <v/>
      </c>
      <c r="B34" s="33" t="str">
        <f>IF(COUNT(CALCULATIONS!D65:D106)&gt;=20,
IF(SMALL(CALCULATIONS!D65:D106,20)=1,CALCULATIONS!C65,
IF(SMALL(CALCULATIONS!D65:D106,20)=2,CALCULATIONS!C66,
IF(SMALL(CALCULATIONS!D65:D106,20)=3,CALCULATIONS!C67,
IF(SMALL(CALCULATIONS!D65:D106,20)=4,CALCULATIONS!C68,
IF(SMALL(CALCULATIONS!D65:D106,20)=5,CALCULATIONS!C69,
IF(SMALL(CALCULATIONS!D65:D106,20)=6,CALCULATIONS!C70,
IF(SMALL(CALCULATIONS!D65:D106,20)=7,CALCULATIONS!C71,
IF(SMALL(CALCULATIONS!D65:D106,20)=8,CALCULATIONS!C72,
IF(SMALL(CALCULATIONS!D65:D106,20)=9,CALCULATIONS!C73,
IF(SMALL(CALCULATIONS!D65:D106,20)=10,CALCULATIONS!C74,
IF(SMALL(CALCULATIONS!D65:D106,20)=11,CALCULATIONS!C75,
IF(SMALL(CALCULATIONS!D65:D106,20)=12,CALCULATIONS!C76,
IF(SMALL(CALCULATIONS!D65:D106,20)=13,CALCULATIONS!C77,
IF(SMALL(CALCULATIONS!D65:D106,20)=14,CALCULATIONS!C78,
IF(SMALL(CALCULATIONS!D65:D106,20)=15,CALCULATIONS!C79,
IF(SMALL(CALCULATIONS!D65:D106,20)=16,CALCULATIONS!C80,
IF(SMALL(CALCULATIONS!D65:D106,20)=17,CALCULATIONS!C81,
IF(SMALL(CALCULATIONS!D65:D106,20)=18,CALCULATIONS!C82,
IF(SMALL(CALCULATIONS!D65:D106,20)=19,CALCULATIONS!C83,
IF(SMALL(CALCULATIONS!D65:D106,20)=20,CALCULATIONS!C84,
IF(SMALL(CALCULATIONS!D65:D106,20)=21,CALCULATIONS!C85,
IF(SMALL(CALCULATIONS!D65:D106,20)=22,CALCULATIONS!C86,
IF(SMALL(CALCULATIONS!D65:D106,20)=23,CALCULATIONS!C87,
IF(SMALL(CALCULATIONS!D65:D106,20)=24,CALCULATIONS!C88,
IF(SMALL(CALCULATIONS!D65:D106,20)=25,CALCULATIONS!C89,
IF(SMALL(CALCULATIONS!D65:D106,20)=26,CALCULATIONS!C90,
IF(SMALL(CALCULATIONS!D65:D106,20)=27,CALCULATIONS!C91,
IF(SMALL(CALCULATIONS!D65:D106,20)=28,CALCULATIONS!C92,
IF(SMALL(CALCULATIONS!D65:D106,20)=29,CALCULATIONS!C93,
IF(SMALL(CALCULATIONS!D65:D106,20)=30,CALCULATIONS!C94,
IF(SMALL(CALCULATIONS!D65:D106,20)=31,CALCULATIONS!C95,
IF(SMALL(CALCULATIONS!D65:D106,20)=32,CALCULATIONS!C96,
IF(SMALL(CALCULATIONS!D65:D106,20)=33,CALCULATIONS!C97,
IF(SMALL(CALCULATIONS!D65:D106,20)=34,CALCULATIONS!C98,
IF(SMALL(CALCULATIONS!D65:D106,20)=35,CALCULATIONS!C99,
IF(SMALL(CALCULATIONS!D65:D106,20)=36,CALCULATIONS!C100,
IF(SMALL(CALCULATIONS!D65:D106,20)=37,CALCULATIONS!C101,
IF(SMALL(CALCULATIONS!D65:D106,20)=38,CALCULATIONS!C102,
IF(SMALL(CALCULATIONS!D65:D106,20)=39,CALCULATIONS!C103,
IF(SMALL(CALCULATIONS!D65:D106,20)=40,CALCULATIONS!C104,
IF(SMALL(CALCULATIONS!D65:D106,20)=41,CALCULATIONS!C105,
IF(SMALL(CALCULATIONS!D65:D106,20)=42,CALCULATIONS!C106,
"")))))))))))))))))))))))))))))))))))))))))),"")</f>
        <v/>
      </c>
      <c r="C34" s="33"/>
      <c r="D34" s="33" t="str">
        <f>IF(COUNT(CALCULATIONS!D65:D106)&gt;=20,
IF(SMALL(CALCULATIONS!D65:D106,20)=1,CALCULATIONS!E65,
IF(SMALL(CALCULATIONS!D65:D106,20)=2,CALCULATIONS!E66,
IF(SMALL(CALCULATIONS!D65:D106,20)=3,CALCULATIONS!E67,
IF(SMALL(CALCULATIONS!D65:D106,20)=4,CALCULATIONS!E68,
IF(SMALL(CALCULATIONS!D65:D106,20)=5,CALCULATIONS!E69,
IF(SMALL(CALCULATIONS!D65:D106,20)=6,CALCULATIONS!E70,
IF(SMALL(CALCULATIONS!D65:D106,20)=7,CALCULATIONS!E71,
IF(SMALL(CALCULATIONS!D65:D106,20)=8,CALCULATIONS!E72,
IF(SMALL(CALCULATIONS!D65:D106,20)=9,CALCULATIONS!E73,
IF(SMALL(CALCULATIONS!D65:D106,20)=10,CALCULATIONS!E74,
IF(SMALL(CALCULATIONS!D65:D106,20)=11,CALCULATIONS!E75,
IF(SMALL(CALCULATIONS!D65:D106,20)=12,CALCULATIONS!E76,
IF(SMALL(CALCULATIONS!D65:D106,20)=13,CALCULATIONS!E77,
IF(SMALL(CALCULATIONS!D65:D106,20)=14,CALCULATIONS!E78,
IF(SMALL(CALCULATIONS!D65:D106,20)=15,CALCULATIONS!E79,
IF(SMALL(CALCULATIONS!D65:D106,20)=16,CALCULATIONS!E80,
IF(SMALL(CALCULATIONS!D65:D106,20)=17,CALCULATIONS!E81,
IF(SMALL(CALCULATIONS!D65:D106,20)=18,CALCULATIONS!E82,
IF(SMALL(CALCULATIONS!D65:D106,20)=19,CALCULATIONS!E83,
IF(SMALL(CALCULATIONS!D65:D106,20)=20,CALCULATIONS!E84,
IF(SMALL(CALCULATIONS!D65:D106,20)=21,CALCULATIONS!E85,
IF(SMALL(CALCULATIONS!D65:D106,20)=22,CALCULATIONS!E86,
IF(SMALL(CALCULATIONS!D65:D106,20)=23,CALCULATIONS!E87,
IF(SMALL(CALCULATIONS!D65:D106,20)=24,CALCULATIONS!E88,
IF(SMALL(CALCULATIONS!D65:D106,20)=25,CALCULATIONS!E89,
IF(SMALL(CALCULATIONS!D65:D106,20)=26,CALCULATIONS!E90,
IF(SMALL(CALCULATIONS!D65:D106,20)=27,CALCULATIONS!E91,
IF(SMALL(CALCULATIONS!D65:D106,20)=28,CALCULATIONS!E92,
IF(SMALL(CALCULATIONS!D65:D106,20)=29,CALCULATIONS!E93,
IF(SMALL(CALCULATIONS!D65:D106,20)=30,CALCULATIONS!E94,
IF(SMALL(CALCULATIONS!D65:D106,20)=31,CALCULATIONS!E95,
IF(SMALL(CALCULATIONS!D65:D106,20)=32,CALCULATIONS!E96,
IF(SMALL(CALCULATIONS!D65:D106,20)=33,CALCULATIONS!E97,
IF(SMALL(CALCULATIONS!D65:D106,20)=34,CALCULATIONS!E98,
IF(SMALL(CALCULATIONS!D65:D106,20)=35,CALCULATIONS!E99,
IF(SMALL(CALCULATIONS!D65:D106,20)=36,CALCULATIONS!E100,
IF(SMALL(CALCULATIONS!D65:D106,20)=37,CALCULATIONS!E101,
IF(SMALL(CALCULATIONS!D65:D106,20)=38,CALCULATIONS!E102,
IF(SMALL(CALCULATIONS!D65:D106,20)=39,CALCULATIONS!E103,
IF(SMALL(CALCULATIONS!D65:D106,20)=40,CALCULATIONS!E104,
IF(SMALL(CALCULATIONS!D65:D106,20)=41,CALCULATIONS!E105,
IF(SMALL(CALCULATIONS!D65:D106,20)=42,CALCULATIONS!E106,
"")))))))))))))))))))))))))))))))))))))))))),"")</f>
        <v/>
      </c>
      <c r="E34" s="33"/>
      <c r="F34" s="33" t="str">
        <f t="shared" si="1"/>
        <v/>
      </c>
      <c r="G34" s="33"/>
      <c r="H34" s="33" t="str">
        <f t="shared" si="2"/>
        <v/>
      </c>
    </row>
    <row r="35" spans="1:8" x14ac:dyDescent="0.25">
      <c r="A35" s="75" t="str">
        <f t="shared" si="0"/>
        <v/>
      </c>
      <c r="B35" s="33" t="str">
        <f>IF(COUNT(CALCULATIONS!D65:D106)&gt;=21,
IF(SMALL(CALCULATIONS!D65:D106,21)=1,CALCULATIONS!C65,
IF(SMALL(CALCULATIONS!D65:D106,21)=2,CALCULATIONS!C66,
IF(SMALL(CALCULATIONS!D65:D106,21)=3,CALCULATIONS!C67,
IF(SMALL(CALCULATIONS!D65:D106,21)=4,CALCULATIONS!C68,
IF(SMALL(CALCULATIONS!D65:D106,21)=5,CALCULATIONS!C69,
IF(SMALL(CALCULATIONS!D65:D106,21)=6,CALCULATIONS!C70,
IF(SMALL(CALCULATIONS!D65:D106,21)=7,CALCULATIONS!C71,
IF(SMALL(CALCULATIONS!D65:D106,21)=8,CALCULATIONS!C72,
IF(SMALL(CALCULATIONS!D65:D106,21)=9,CALCULATIONS!C73,
IF(SMALL(CALCULATIONS!D65:D106,21)=10,CALCULATIONS!C74,
IF(SMALL(CALCULATIONS!D65:D106,21)=11,CALCULATIONS!C75,
IF(SMALL(CALCULATIONS!D65:D106,21)=12,CALCULATIONS!C76,
IF(SMALL(CALCULATIONS!D65:D106,21)=13,CALCULATIONS!C77,
IF(SMALL(CALCULATIONS!D65:D106,21)=14,CALCULATIONS!C78,
IF(SMALL(CALCULATIONS!D65:D106,21)=15,CALCULATIONS!C79,
IF(SMALL(CALCULATIONS!D65:D106,21)=16,CALCULATIONS!C80,
IF(SMALL(CALCULATIONS!D65:D106,21)=17,CALCULATIONS!C81,
IF(SMALL(CALCULATIONS!D65:D106,21)=18,CALCULATIONS!C82,
IF(SMALL(CALCULATIONS!D65:D106,21)=19,CALCULATIONS!C83,
IF(SMALL(CALCULATIONS!D65:D106,21)=20,CALCULATIONS!C84,
IF(SMALL(CALCULATIONS!D65:D106,21)=21,CALCULATIONS!C85,
IF(SMALL(CALCULATIONS!D65:D106,21)=22,CALCULATIONS!C86,
IF(SMALL(CALCULATIONS!D65:D106,21)=23,CALCULATIONS!C87,
IF(SMALL(CALCULATIONS!D65:D106,21)=24,CALCULATIONS!C88,
IF(SMALL(CALCULATIONS!D65:D106,21)=25,CALCULATIONS!C89,
IF(SMALL(CALCULATIONS!D65:D106,21)=26,CALCULATIONS!C90,
IF(SMALL(CALCULATIONS!D65:D106,21)=27,CALCULATIONS!C91,
IF(SMALL(CALCULATIONS!D65:D106,21)=28,CALCULATIONS!C92,
IF(SMALL(CALCULATIONS!D65:D106,21)=29,CALCULATIONS!C93,
IF(SMALL(CALCULATIONS!D65:D106,21)=30,CALCULATIONS!C94,
IF(SMALL(CALCULATIONS!D65:D106,21)=31,CALCULATIONS!C95,
IF(SMALL(CALCULATIONS!D65:D106,21)=32,CALCULATIONS!C96,
IF(SMALL(CALCULATIONS!D65:D106,21)=33,CALCULATIONS!C97,
IF(SMALL(CALCULATIONS!D65:D106,21)=34,CALCULATIONS!C98,
IF(SMALL(CALCULATIONS!D65:D106,21)=35,CALCULATIONS!C99,
IF(SMALL(CALCULATIONS!D65:D106,21)=36,CALCULATIONS!C100,
IF(SMALL(CALCULATIONS!D65:D106,21)=37,CALCULATIONS!C101,
IF(SMALL(CALCULATIONS!D65:D106,21)=38,CALCULATIONS!C102,
IF(SMALL(CALCULATIONS!D65:D106,21)=39,CALCULATIONS!C103,
IF(SMALL(CALCULATIONS!D65:D106,21)=40,CALCULATIONS!C104,
IF(SMALL(CALCULATIONS!D65:D106,21)=41,CALCULATIONS!C105,
IF(SMALL(CALCULATIONS!D65:D106,21)=42,CALCULATIONS!C106,
"")))))))))))))))))))))))))))))))))))))))))),"")</f>
        <v/>
      </c>
      <c r="C35" s="33"/>
      <c r="D35" s="33" t="str">
        <f>IF(COUNT(CALCULATIONS!D65:D106)&gt;=21,
IF(SMALL(CALCULATIONS!D65:D106,21)=1,CALCULATIONS!E65,
IF(SMALL(CALCULATIONS!D65:D106,21)=2,CALCULATIONS!E66,
IF(SMALL(CALCULATIONS!D65:D106,21)=3,CALCULATIONS!E67,
IF(SMALL(CALCULATIONS!D65:D106,21)=4,CALCULATIONS!E68,
IF(SMALL(CALCULATIONS!D65:D106,21)=5,CALCULATIONS!E69,
IF(SMALL(CALCULATIONS!D65:D106,21)=6,CALCULATIONS!E70,
IF(SMALL(CALCULATIONS!D65:D106,21)=7,CALCULATIONS!E71,
IF(SMALL(CALCULATIONS!D65:D106,21)=8,CALCULATIONS!E72,
IF(SMALL(CALCULATIONS!D65:D106,21)=9,CALCULATIONS!E73,
IF(SMALL(CALCULATIONS!D65:D106,21)=10,CALCULATIONS!E74,
IF(SMALL(CALCULATIONS!D65:D106,21)=11,CALCULATIONS!E75,
IF(SMALL(CALCULATIONS!D65:D106,21)=12,CALCULATIONS!E76,
IF(SMALL(CALCULATIONS!D65:D106,21)=13,CALCULATIONS!E77,
IF(SMALL(CALCULATIONS!D65:D106,21)=14,CALCULATIONS!E78,
IF(SMALL(CALCULATIONS!D65:D106,21)=15,CALCULATIONS!E79,
IF(SMALL(CALCULATIONS!D65:D106,21)=16,CALCULATIONS!E80,
IF(SMALL(CALCULATIONS!D65:D106,21)=17,CALCULATIONS!E81,
IF(SMALL(CALCULATIONS!D65:D106,21)=18,CALCULATIONS!E82,
IF(SMALL(CALCULATIONS!D65:D106,21)=19,CALCULATIONS!E83,
IF(SMALL(CALCULATIONS!D65:D106,21)=20,CALCULATIONS!E84,
IF(SMALL(CALCULATIONS!D65:D106,21)=21,CALCULATIONS!E85,
IF(SMALL(CALCULATIONS!D65:D106,21)=22,CALCULATIONS!E86,
IF(SMALL(CALCULATIONS!D65:D106,21)=23,CALCULATIONS!E87,
IF(SMALL(CALCULATIONS!D65:D106,21)=24,CALCULATIONS!E88,
IF(SMALL(CALCULATIONS!D65:D106,21)=25,CALCULATIONS!E89,
IF(SMALL(CALCULATIONS!D65:D106,21)=26,CALCULATIONS!E90,
IF(SMALL(CALCULATIONS!D65:D106,21)=27,CALCULATIONS!E91,
IF(SMALL(CALCULATIONS!D65:D106,21)=28,CALCULATIONS!E92,
IF(SMALL(CALCULATIONS!D65:D106,21)=29,CALCULATIONS!E93,
IF(SMALL(CALCULATIONS!D65:D106,21)=30,CALCULATIONS!E94,
IF(SMALL(CALCULATIONS!D65:D106,21)=31,CALCULATIONS!E95,
IF(SMALL(CALCULATIONS!D65:D106,21)=32,CALCULATIONS!E96,
IF(SMALL(CALCULATIONS!D65:D106,21)=33,CALCULATIONS!E97,
IF(SMALL(CALCULATIONS!D65:D106,21)=34,CALCULATIONS!E98,
IF(SMALL(CALCULATIONS!D65:D106,21)=35,CALCULATIONS!E99,
IF(SMALL(CALCULATIONS!D65:D106,21)=36,CALCULATIONS!E100,
IF(SMALL(CALCULATIONS!D65:D106,21)=37,CALCULATIONS!E101,
IF(SMALL(CALCULATIONS!D65:D106,21)=38,CALCULATIONS!E102,
IF(SMALL(CALCULATIONS!D65:D106,21)=39,CALCULATIONS!E103,
IF(SMALL(CALCULATIONS!D65:D106,21)=40,CALCULATIONS!E104,
IF(SMALL(CALCULATIONS!D65:D106,21)=41,CALCULATIONS!E105,
IF(SMALL(CALCULATIONS!D65:D106,21)=42,CALCULATIONS!E106,
"")))))))))))))))))))))))))))))))))))))))))),"")</f>
        <v/>
      </c>
      <c r="E35" s="33"/>
      <c r="F35" s="33" t="str">
        <f t="shared" si="1"/>
        <v/>
      </c>
      <c r="G35" s="33"/>
      <c r="H35" s="33" t="str">
        <f t="shared" si="2"/>
        <v/>
      </c>
    </row>
    <row r="36" spans="1:8" x14ac:dyDescent="0.25">
      <c r="A36" s="75" t="str">
        <f t="shared" si="0"/>
        <v/>
      </c>
      <c r="B36" s="33" t="str">
        <f>IF(COUNT(CALCULATIONS!D65:D106)&gt;=22,
IF(SMALL(CALCULATIONS!D65:D106,22)=1,CALCULATIONS!C65,
IF(SMALL(CALCULATIONS!D65:D106,22)=2,CALCULATIONS!C66,
IF(SMALL(CALCULATIONS!D65:D106,22)=3,CALCULATIONS!C67,
IF(SMALL(CALCULATIONS!D65:D106,22)=4,CALCULATIONS!C68,
IF(SMALL(CALCULATIONS!D65:D106,22)=5,CALCULATIONS!C69,
IF(SMALL(CALCULATIONS!D65:D106,22)=6,CALCULATIONS!C70,
IF(SMALL(CALCULATIONS!D65:D106,22)=7,CALCULATIONS!C71,
IF(SMALL(CALCULATIONS!D65:D106,22)=8,CALCULATIONS!C72,
IF(SMALL(CALCULATIONS!D65:D106,22)=9,CALCULATIONS!C73,
IF(SMALL(CALCULATIONS!D65:D106,22)=10,CALCULATIONS!C74,
IF(SMALL(CALCULATIONS!D65:D106,22)=11,CALCULATIONS!C75,
IF(SMALL(CALCULATIONS!D65:D106,22)=12,CALCULATIONS!C76,
IF(SMALL(CALCULATIONS!D65:D106,22)=13,CALCULATIONS!C77,
IF(SMALL(CALCULATIONS!D65:D106,22)=14,CALCULATIONS!C78,
IF(SMALL(CALCULATIONS!D65:D106,22)=15,CALCULATIONS!C79,
IF(SMALL(CALCULATIONS!D65:D106,22)=16,CALCULATIONS!C80,
IF(SMALL(CALCULATIONS!D65:D106,22)=17,CALCULATIONS!C81,
IF(SMALL(CALCULATIONS!D65:D106,22)=18,CALCULATIONS!C82,
IF(SMALL(CALCULATIONS!D65:D106,22)=19,CALCULATIONS!C83,
IF(SMALL(CALCULATIONS!D65:D106,22)=20,CALCULATIONS!C84,
IF(SMALL(CALCULATIONS!D65:D106,22)=21,CALCULATIONS!C85,
IF(SMALL(CALCULATIONS!D65:D106,22)=22,CALCULATIONS!C86,
IF(SMALL(CALCULATIONS!D65:D106,22)=23,CALCULATIONS!C87,
IF(SMALL(CALCULATIONS!D65:D106,22)=24,CALCULATIONS!C88,
IF(SMALL(CALCULATIONS!D65:D106,22)=25,CALCULATIONS!C89,
IF(SMALL(CALCULATIONS!D65:D106,22)=26,CALCULATIONS!C90,
IF(SMALL(CALCULATIONS!D65:D106,22)=27,CALCULATIONS!C91,
IF(SMALL(CALCULATIONS!D65:D106,22)=28,CALCULATIONS!C92,
IF(SMALL(CALCULATIONS!D65:D106,22)=29,CALCULATIONS!C93,
IF(SMALL(CALCULATIONS!D65:D106,22)=30,CALCULATIONS!C94,
IF(SMALL(CALCULATIONS!D65:D106,22)=31,CALCULATIONS!C95,
IF(SMALL(CALCULATIONS!D65:D106,22)=32,CALCULATIONS!C96,
IF(SMALL(CALCULATIONS!D65:D106,22)=33,CALCULATIONS!C97,
IF(SMALL(CALCULATIONS!D65:D106,22)=34,CALCULATIONS!C98,
IF(SMALL(CALCULATIONS!D65:D106,22)=35,CALCULATIONS!C99,
IF(SMALL(CALCULATIONS!D65:D106,22)=36,CALCULATIONS!C100,
IF(SMALL(CALCULATIONS!D65:D106,22)=37,CALCULATIONS!C101,
IF(SMALL(CALCULATIONS!D65:D106,22)=38,CALCULATIONS!C102,
IF(SMALL(CALCULATIONS!D65:D106,22)=39,CALCULATIONS!C103,
IF(SMALL(CALCULATIONS!D65:D106,22)=40,CALCULATIONS!C104,
IF(SMALL(CALCULATIONS!D65:D106,22)=41,CALCULATIONS!C105,
IF(SMALL(CALCULATIONS!D65:D106,22)=42,CALCULATIONS!C106,
"")))))))))))))))))))))))))))))))))))))))))),"")</f>
        <v/>
      </c>
      <c r="C36" s="33"/>
      <c r="D36" s="33" t="str">
        <f>IF(COUNT(CALCULATIONS!D65:D106)&gt;=22,
IF(SMALL(CALCULATIONS!D65:D106,22)=1,CALCULATIONS!E65,
IF(SMALL(CALCULATIONS!D65:D106,22)=2,CALCULATIONS!E66,
IF(SMALL(CALCULATIONS!D65:D106,22)=3,CALCULATIONS!E67,
IF(SMALL(CALCULATIONS!D65:D106,22)=4,CALCULATIONS!E68,
IF(SMALL(CALCULATIONS!D65:D106,22)=5,CALCULATIONS!E69,
IF(SMALL(CALCULATIONS!D65:D106,22)=6,CALCULATIONS!E70,
IF(SMALL(CALCULATIONS!D65:D106,22)=7,CALCULATIONS!E71,
IF(SMALL(CALCULATIONS!D65:D106,22)=8,CALCULATIONS!E72,
IF(SMALL(CALCULATIONS!D65:D106,22)=9,CALCULATIONS!E73,
IF(SMALL(CALCULATIONS!D65:D106,22)=10,CALCULATIONS!E74,
IF(SMALL(CALCULATIONS!D65:D106,22)=11,CALCULATIONS!E75,
IF(SMALL(CALCULATIONS!D65:D106,22)=12,CALCULATIONS!E76,
IF(SMALL(CALCULATIONS!D65:D106,22)=13,CALCULATIONS!E77,
IF(SMALL(CALCULATIONS!D65:D106,22)=14,CALCULATIONS!E78,
IF(SMALL(CALCULATIONS!D65:D106,22)=15,CALCULATIONS!E79,
IF(SMALL(CALCULATIONS!D65:D106,22)=16,CALCULATIONS!E80,
IF(SMALL(CALCULATIONS!D65:D106,22)=17,CALCULATIONS!E81,
IF(SMALL(CALCULATIONS!D65:D106,22)=18,CALCULATIONS!E82,
IF(SMALL(CALCULATIONS!D65:D106,22)=19,CALCULATIONS!E83,
IF(SMALL(CALCULATIONS!D65:D106,22)=20,CALCULATIONS!E84,
IF(SMALL(CALCULATIONS!D65:D106,22)=21,CALCULATIONS!E85,
IF(SMALL(CALCULATIONS!D65:D106,22)=22,CALCULATIONS!E86,
IF(SMALL(CALCULATIONS!D65:D106,22)=23,CALCULATIONS!E87,
IF(SMALL(CALCULATIONS!D65:D106,22)=24,CALCULATIONS!E88,
IF(SMALL(CALCULATIONS!D65:D106,22)=25,CALCULATIONS!E89,
IF(SMALL(CALCULATIONS!D65:D106,22)=26,CALCULATIONS!E90,
IF(SMALL(CALCULATIONS!D65:D106,22)=27,CALCULATIONS!E91,
IF(SMALL(CALCULATIONS!D65:D106,22)=28,CALCULATIONS!E92,
IF(SMALL(CALCULATIONS!D65:D106,22)=29,CALCULATIONS!E93,
IF(SMALL(CALCULATIONS!D65:D106,22)=30,CALCULATIONS!E94,
IF(SMALL(CALCULATIONS!D65:D106,22)=31,CALCULATIONS!E95,
IF(SMALL(CALCULATIONS!D65:D106,22)=32,CALCULATIONS!E96,
IF(SMALL(CALCULATIONS!D65:D106,22)=33,CALCULATIONS!E97,
IF(SMALL(CALCULATIONS!D65:D106,22)=34,CALCULATIONS!E98,
IF(SMALL(CALCULATIONS!D65:D106,22)=35,CALCULATIONS!E99,
IF(SMALL(CALCULATIONS!D65:D106,22)=36,CALCULATIONS!E100,
IF(SMALL(CALCULATIONS!D65:D106,22)=37,CALCULATIONS!E101,
IF(SMALL(CALCULATIONS!D65:D106,22)=38,CALCULATIONS!E102,
IF(SMALL(CALCULATIONS!D65:D106,22)=39,CALCULATIONS!E103,
IF(SMALL(CALCULATIONS!D65:D106,22)=40,CALCULATIONS!E104,
IF(SMALL(CALCULATIONS!D65:D106,22)=41,CALCULATIONS!E105,
IF(SMALL(CALCULATIONS!D65:D106,22)=42,CALCULATIONS!E106,
"")))))))))))))))))))))))))))))))))))))))))),"")</f>
        <v/>
      </c>
      <c r="E36" s="33"/>
      <c r="F36" s="33" t="str">
        <f t="shared" si="1"/>
        <v/>
      </c>
      <c r="G36" s="33"/>
      <c r="H36" s="33" t="str">
        <f t="shared" si="2"/>
        <v/>
      </c>
    </row>
    <row r="37" spans="1:8" x14ac:dyDescent="0.25">
      <c r="A37" s="75" t="str">
        <f t="shared" si="0"/>
        <v/>
      </c>
      <c r="B37" s="33" t="str">
        <f>IF(COUNT(CALCULATIONS!D65:D106)&gt;=23,
IF(SMALL(CALCULATIONS!D65:D106,23)=1,CALCULATIONS!C65,
IF(SMALL(CALCULATIONS!D65:D106,23)=2,CALCULATIONS!C66,
IF(SMALL(CALCULATIONS!D65:D106,23)=3,CALCULATIONS!C67,
IF(SMALL(CALCULATIONS!D65:D106,23)=4,CALCULATIONS!C68,
IF(SMALL(CALCULATIONS!D65:D106,23)=5,CALCULATIONS!C69,
IF(SMALL(CALCULATIONS!D65:D106,23)=6,CALCULATIONS!C70,
IF(SMALL(CALCULATIONS!D65:D106,23)=7,CALCULATIONS!C71,
IF(SMALL(CALCULATIONS!D65:D106,23)=8,CALCULATIONS!C72,
IF(SMALL(CALCULATIONS!D65:D106,23)=9,CALCULATIONS!C73,
IF(SMALL(CALCULATIONS!D65:D106,23)=10,CALCULATIONS!C74,
IF(SMALL(CALCULATIONS!D65:D106,23)=11,CALCULATIONS!C75,
IF(SMALL(CALCULATIONS!D65:D106,23)=12,CALCULATIONS!C76,
IF(SMALL(CALCULATIONS!D65:D106,23)=13,CALCULATIONS!C77,
IF(SMALL(CALCULATIONS!D65:D106,23)=14,CALCULATIONS!C78,
IF(SMALL(CALCULATIONS!D65:D106,23)=15,CALCULATIONS!C79,
IF(SMALL(CALCULATIONS!D65:D106,23)=16,CALCULATIONS!C80,
IF(SMALL(CALCULATIONS!D65:D106,23)=17,CALCULATIONS!C81,
IF(SMALL(CALCULATIONS!D65:D106,23)=18,CALCULATIONS!C82,
IF(SMALL(CALCULATIONS!D65:D106,23)=19,CALCULATIONS!C83,
IF(SMALL(CALCULATIONS!D65:D106,23)=20,CALCULATIONS!C84,
IF(SMALL(CALCULATIONS!D65:D106,23)=21,CALCULATIONS!C85,
IF(SMALL(CALCULATIONS!D65:D106,23)=22,CALCULATIONS!C86,
IF(SMALL(CALCULATIONS!D65:D106,23)=23,CALCULATIONS!C87,
IF(SMALL(CALCULATIONS!D65:D106,23)=24,CALCULATIONS!C88,
IF(SMALL(CALCULATIONS!D65:D106,23)=25,CALCULATIONS!C89,
IF(SMALL(CALCULATIONS!D65:D106,23)=26,CALCULATIONS!C90,
IF(SMALL(CALCULATIONS!D65:D106,23)=27,CALCULATIONS!C91,
IF(SMALL(CALCULATIONS!D65:D106,23)=28,CALCULATIONS!C92,
IF(SMALL(CALCULATIONS!D65:D106,23)=29,CALCULATIONS!C93,
IF(SMALL(CALCULATIONS!D65:D106,23)=30,CALCULATIONS!C94,
IF(SMALL(CALCULATIONS!D65:D106,23)=31,CALCULATIONS!C95,
IF(SMALL(CALCULATIONS!D65:D106,23)=32,CALCULATIONS!C96,
IF(SMALL(CALCULATIONS!D65:D106,23)=33,CALCULATIONS!C97,
IF(SMALL(CALCULATIONS!D65:D106,23)=34,CALCULATIONS!C98,
IF(SMALL(CALCULATIONS!D65:D106,23)=35,CALCULATIONS!C99,
IF(SMALL(CALCULATIONS!D65:D106,23)=36,CALCULATIONS!C100,
IF(SMALL(CALCULATIONS!D65:D106,23)=37,CALCULATIONS!C101,
IF(SMALL(CALCULATIONS!D65:D106,23)=38,CALCULATIONS!C102,
IF(SMALL(CALCULATIONS!D65:D106,23)=39,CALCULATIONS!C103,
IF(SMALL(CALCULATIONS!D65:D106,23)=40,CALCULATIONS!C104,
IF(SMALL(CALCULATIONS!D65:D106,23)=41,CALCULATIONS!C105,
IF(SMALL(CALCULATIONS!D65:D106,23)=42,CALCULATIONS!C106,
"")))))))))))))))))))))))))))))))))))))))))),"")</f>
        <v/>
      </c>
      <c r="C37" s="33"/>
      <c r="D37" s="33" t="str">
        <f>IF(COUNT(CALCULATIONS!D65:D106)&gt;=23,
IF(SMALL(CALCULATIONS!D65:D106,23)=1,CALCULATIONS!E65,
IF(SMALL(CALCULATIONS!D65:D106,23)=2,CALCULATIONS!E66,
IF(SMALL(CALCULATIONS!D65:D106,23)=3,CALCULATIONS!E67,
IF(SMALL(CALCULATIONS!D65:D106,23)=4,CALCULATIONS!E68,
IF(SMALL(CALCULATIONS!D65:D106,23)=5,CALCULATIONS!E69,
IF(SMALL(CALCULATIONS!D65:D106,23)=6,CALCULATIONS!E70,
IF(SMALL(CALCULATIONS!D65:D106,23)=7,CALCULATIONS!E71,
IF(SMALL(CALCULATIONS!D65:D106,23)=8,CALCULATIONS!E72,
IF(SMALL(CALCULATIONS!D65:D106,23)=9,CALCULATIONS!E73,
IF(SMALL(CALCULATIONS!D65:D106,23)=10,CALCULATIONS!E74,
IF(SMALL(CALCULATIONS!D65:D106,23)=11,CALCULATIONS!E75,
IF(SMALL(CALCULATIONS!D65:D106,23)=12,CALCULATIONS!E76,
IF(SMALL(CALCULATIONS!D65:D106,23)=13,CALCULATIONS!E77,
IF(SMALL(CALCULATIONS!D65:D106,23)=14,CALCULATIONS!E78,
IF(SMALL(CALCULATIONS!D65:D106,23)=15,CALCULATIONS!E79,
IF(SMALL(CALCULATIONS!D65:D106,23)=16,CALCULATIONS!E80,
IF(SMALL(CALCULATIONS!D65:D106,23)=17,CALCULATIONS!E81,
IF(SMALL(CALCULATIONS!D65:D106,23)=18,CALCULATIONS!E82,
IF(SMALL(CALCULATIONS!D65:D106,23)=19,CALCULATIONS!E83,
IF(SMALL(CALCULATIONS!D65:D106,23)=20,CALCULATIONS!E84,
IF(SMALL(CALCULATIONS!D65:D106,23)=21,CALCULATIONS!E85,
IF(SMALL(CALCULATIONS!D65:D106,23)=22,CALCULATIONS!E86,
IF(SMALL(CALCULATIONS!D65:D106,23)=23,CALCULATIONS!E87,
IF(SMALL(CALCULATIONS!D65:D106,23)=24,CALCULATIONS!E88,
IF(SMALL(CALCULATIONS!D65:D106,23)=25,CALCULATIONS!E89,
IF(SMALL(CALCULATIONS!D65:D106,23)=26,CALCULATIONS!E90,
IF(SMALL(CALCULATIONS!D65:D106,23)=27,CALCULATIONS!E91,
IF(SMALL(CALCULATIONS!D65:D106,23)=28,CALCULATIONS!E92,
IF(SMALL(CALCULATIONS!D65:D106,23)=29,CALCULATIONS!E93,
IF(SMALL(CALCULATIONS!D65:D106,23)=30,CALCULATIONS!E94,
IF(SMALL(CALCULATIONS!D65:D106,23)=31,CALCULATIONS!E95,
IF(SMALL(CALCULATIONS!D65:D106,23)=32,CALCULATIONS!E96,
IF(SMALL(CALCULATIONS!D65:D106,23)=33,CALCULATIONS!E97,
IF(SMALL(CALCULATIONS!D65:D106,23)=34,CALCULATIONS!E98,
IF(SMALL(CALCULATIONS!D65:D106,23)=35,CALCULATIONS!E99,
IF(SMALL(CALCULATIONS!D65:D106,23)=36,CALCULATIONS!E100,
IF(SMALL(CALCULATIONS!D65:D106,23)=37,CALCULATIONS!E101,
IF(SMALL(CALCULATIONS!D65:D106,23)=38,CALCULATIONS!E102,
IF(SMALL(CALCULATIONS!D65:D106,23)=39,CALCULATIONS!E103,
IF(SMALL(CALCULATIONS!D65:D106,23)=40,CALCULATIONS!E104,
IF(SMALL(CALCULATIONS!D65:D106,23)=41,CALCULATIONS!E105,
IF(SMALL(CALCULATIONS!D65:D106,23)=42,CALCULATIONS!E106,
"")))))))))))))))))))))))))))))))))))))))))),"")</f>
        <v/>
      </c>
      <c r="E37" s="33"/>
      <c r="F37" s="33" t="str">
        <f t="shared" si="1"/>
        <v/>
      </c>
      <c r="G37" s="33"/>
      <c r="H37" s="33" t="str">
        <f t="shared" si="2"/>
        <v/>
      </c>
    </row>
    <row r="38" spans="1:8" x14ac:dyDescent="0.25">
      <c r="A38" s="75" t="str">
        <f t="shared" si="0"/>
        <v/>
      </c>
      <c r="B38" s="33" t="str">
        <f>IF(COUNT(CALCULATIONS!D65:D106)&gt;=24,
IF(SMALL(CALCULATIONS!D65:D106,24)=1,CALCULATIONS!C65,
IF(SMALL(CALCULATIONS!D65:D106,24)=2,CALCULATIONS!C66,
IF(SMALL(CALCULATIONS!D65:D106,24)=3,CALCULATIONS!C67,
IF(SMALL(CALCULATIONS!D65:D106,24)=4,CALCULATIONS!C68,
IF(SMALL(CALCULATIONS!D65:D106,24)=5,CALCULATIONS!C69,
IF(SMALL(CALCULATIONS!D65:D106,24)=6,CALCULATIONS!C70,
IF(SMALL(CALCULATIONS!D65:D106,24)=7,CALCULATIONS!C71,
IF(SMALL(CALCULATIONS!D65:D106,24)=8,CALCULATIONS!C72,
IF(SMALL(CALCULATIONS!D65:D106,24)=9,CALCULATIONS!C73,
IF(SMALL(CALCULATIONS!D65:D106,24)=10,CALCULATIONS!C74,
IF(SMALL(CALCULATIONS!D65:D106,24)=11,CALCULATIONS!C75,
IF(SMALL(CALCULATIONS!D65:D106,24)=12,CALCULATIONS!C76,
IF(SMALL(CALCULATIONS!D65:D106,24)=13,CALCULATIONS!C77,
IF(SMALL(CALCULATIONS!D65:D106,24)=14,CALCULATIONS!C78,
IF(SMALL(CALCULATIONS!D65:D106,24)=15,CALCULATIONS!C79,
IF(SMALL(CALCULATIONS!D65:D106,24)=16,CALCULATIONS!C80,
IF(SMALL(CALCULATIONS!D65:D106,24)=17,CALCULATIONS!C81,
IF(SMALL(CALCULATIONS!D65:D106,24)=18,CALCULATIONS!C82,
IF(SMALL(CALCULATIONS!D65:D106,24)=19,CALCULATIONS!C83,
IF(SMALL(CALCULATIONS!D65:D106,24)=20,CALCULATIONS!C84,
IF(SMALL(CALCULATIONS!D65:D106,24)=21,CALCULATIONS!C85,
IF(SMALL(CALCULATIONS!D65:D106,24)=22,CALCULATIONS!C86,
IF(SMALL(CALCULATIONS!D65:D106,24)=23,CALCULATIONS!C87,
IF(SMALL(CALCULATIONS!D65:D106,24)=24,CALCULATIONS!C88,
IF(SMALL(CALCULATIONS!D65:D106,24)=25,CALCULATIONS!C89,
IF(SMALL(CALCULATIONS!D65:D106,24)=26,CALCULATIONS!C90,
IF(SMALL(CALCULATIONS!D65:D106,24)=27,CALCULATIONS!C91,
IF(SMALL(CALCULATIONS!D65:D106,24)=28,CALCULATIONS!C92,
IF(SMALL(CALCULATIONS!D65:D106,24)=29,CALCULATIONS!C93,
IF(SMALL(CALCULATIONS!D65:D106,24)=30,CALCULATIONS!C94,
IF(SMALL(CALCULATIONS!D65:D106,24)=31,CALCULATIONS!C95,
IF(SMALL(CALCULATIONS!D65:D106,24)=32,CALCULATIONS!C96,
IF(SMALL(CALCULATIONS!D65:D106,24)=33,CALCULATIONS!C97,
IF(SMALL(CALCULATIONS!D65:D106,24)=34,CALCULATIONS!C98,
IF(SMALL(CALCULATIONS!D65:D106,24)=35,CALCULATIONS!C99,
IF(SMALL(CALCULATIONS!D65:D106,24)=36,CALCULATIONS!C100,
IF(SMALL(CALCULATIONS!D65:D106,24)=37,CALCULATIONS!C101,
IF(SMALL(CALCULATIONS!D65:D106,24)=38,CALCULATIONS!C102,
IF(SMALL(CALCULATIONS!D65:D106,24)=39,CALCULATIONS!C103,
IF(SMALL(CALCULATIONS!D65:D106,24)=40,CALCULATIONS!C104,
IF(SMALL(CALCULATIONS!D65:D106,24)=41,CALCULATIONS!C105,
IF(SMALL(CALCULATIONS!D65:D106,24)=42,CALCULATIONS!C106,
"")))))))))))))))))))))))))))))))))))))))))),"")</f>
        <v/>
      </c>
      <c r="C38" s="33"/>
      <c r="D38" s="33" t="str">
        <f>IF(COUNT(CALCULATIONS!D65:D106)&gt;=24,
IF(SMALL(CALCULATIONS!D65:D106,24)=1,CALCULATIONS!E65,
IF(SMALL(CALCULATIONS!D65:D106,24)=2,CALCULATIONS!E66,
IF(SMALL(CALCULATIONS!D65:D106,24)=3,CALCULATIONS!E67,
IF(SMALL(CALCULATIONS!D65:D106,24)=4,CALCULATIONS!E68,
IF(SMALL(CALCULATIONS!D65:D106,24)=5,CALCULATIONS!E69,
IF(SMALL(CALCULATIONS!D65:D106,24)=6,CALCULATIONS!E70,
IF(SMALL(CALCULATIONS!D65:D106,24)=7,CALCULATIONS!E71,
IF(SMALL(CALCULATIONS!D65:D106,24)=8,CALCULATIONS!E72,
IF(SMALL(CALCULATIONS!D65:D106,24)=9,CALCULATIONS!E73,
IF(SMALL(CALCULATIONS!D65:D106,24)=10,CALCULATIONS!E74,
IF(SMALL(CALCULATIONS!D65:D106,24)=11,CALCULATIONS!E75,
IF(SMALL(CALCULATIONS!D65:D106,24)=12,CALCULATIONS!E76,
IF(SMALL(CALCULATIONS!D65:D106,24)=13,CALCULATIONS!E77,
IF(SMALL(CALCULATIONS!D65:D106,24)=14,CALCULATIONS!E78,
IF(SMALL(CALCULATIONS!D65:D106,24)=15,CALCULATIONS!E79,
IF(SMALL(CALCULATIONS!D65:D106,24)=16,CALCULATIONS!E80,
IF(SMALL(CALCULATIONS!D65:D106,24)=17,CALCULATIONS!E81,
IF(SMALL(CALCULATIONS!D65:D106,24)=18,CALCULATIONS!E82,
IF(SMALL(CALCULATIONS!D65:D106,24)=19,CALCULATIONS!E83,
IF(SMALL(CALCULATIONS!D65:D106,24)=20,CALCULATIONS!E84,
IF(SMALL(CALCULATIONS!D65:D106,24)=21,CALCULATIONS!E85,
IF(SMALL(CALCULATIONS!D65:D106,24)=22,CALCULATIONS!E86,
IF(SMALL(CALCULATIONS!D65:D106,24)=23,CALCULATIONS!E87,
IF(SMALL(CALCULATIONS!D65:D106,24)=24,CALCULATIONS!E88,
IF(SMALL(CALCULATIONS!D65:D106,24)=25,CALCULATIONS!E89,
IF(SMALL(CALCULATIONS!D65:D106,24)=26,CALCULATIONS!E90,
IF(SMALL(CALCULATIONS!D65:D106,24)=27,CALCULATIONS!E91,
IF(SMALL(CALCULATIONS!D65:D106,24)=28,CALCULATIONS!E92,
IF(SMALL(CALCULATIONS!D65:D106,24)=29,CALCULATIONS!E93,
IF(SMALL(CALCULATIONS!D65:D106,24)=30,CALCULATIONS!E94,
IF(SMALL(CALCULATIONS!D65:D106,24)=31,CALCULATIONS!E95,
IF(SMALL(CALCULATIONS!D65:D106,24)=32,CALCULATIONS!E96,
IF(SMALL(CALCULATIONS!D65:D106,24)=33,CALCULATIONS!E97,
IF(SMALL(CALCULATIONS!D65:D106,24)=34,CALCULATIONS!E98,
IF(SMALL(CALCULATIONS!D65:D106,24)=35,CALCULATIONS!E99,
IF(SMALL(CALCULATIONS!D65:D106,24)=36,CALCULATIONS!E100,
IF(SMALL(CALCULATIONS!D65:D106,24)=37,CALCULATIONS!E101,
IF(SMALL(CALCULATIONS!D65:D106,24)=38,CALCULATIONS!E102,
IF(SMALL(CALCULATIONS!D65:D106,24)=39,CALCULATIONS!E103,
IF(SMALL(CALCULATIONS!D65:D106,24)=40,CALCULATIONS!E104,
IF(SMALL(CALCULATIONS!D65:D106,24)=41,CALCULATIONS!E105,
IF(SMALL(CALCULATIONS!D65:D106,24)=42,CALCULATIONS!E106,
"")))))))))))))))))))))))))))))))))))))))))),"")</f>
        <v/>
      </c>
      <c r="E38" s="33"/>
      <c r="F38" s="33" t="str">
        <f t="shared" si="1"/>
        <v/>
      </c>
      <c r="G38" s="33"/>
      <c r="H38" s="33" t="str">
        <f t="shared" si="2"/>
        <v/>
      </c>
    </row>
    <row r="39" spans="1:8" x14ac:dyDescent="0.25">
      <c r="A39" s="75" t="str">
        <f t="shared" si="0"/>
        <v/>
      </c>
      <c r="B39" s="33" t="str">
        <f>IF(COUNT(CALCULATIONS!D65:D106)&gt;=25,
IF(SMALL(CALCULATIONS!D65:D106,25)=1,CALCULATIONS!C65,
IF(SMALL(CALCULATIONS!D65:D106,25)=2,CALCULATIONS!C66,
IF(SMALL(CALCULATIONS!D65:D106,25)=3,CALCULATIONS!C67,
IF(SMALL(CALCULATIONS!D65:D106,25)=4,CALCULATIONS!C68,
IF(SMALL(CALCULATIONS!D65:D106,25)=5,CALCULATIONS!C69,
IF(SMALL(CALCULATIONS!D65:D106,25)=6,CALCULATIONS!C70,
IF(SMALL(CALCULATIONS!D65:D106,25)=7,CALCULATIONS!C71,
IF(SMALL(CALCULATIONS!D65:D106,25)=8,CALCULATIONS!C72,
IF(SMALL(CALCULATIONS!D65:D106,25)=9,CALCULATIONS!C73,
IF(SMALL(CALCULATIONS!D65:D106,25)=10,CALCULATIONS!C74,
IF(SMALL(CALCULATIONS!D65:D106,25)=11,CALCULATIONS!C75,
IF(SMALL(CALCULATIONS!D65:D106,25)=12,CALCULATIONS!C76,
IF(SMALL(CALCULATIONS!D65:D106,25)=13,CALCULATIONS!C77,
IF(SMALL(CALCULATIONS!D65:D106,25)=14,CALCULATIONS!C78,
IF(SMALL(CALCULATIONS!D65:D106,25)=15,CALCULATIONS!C79,
IF(SMALL(CALCULATIONS!D65:D106,25)=16,CALCULATIONS!C80,
IF(SMALL(CALCULATIONS!D65:D106,25)=17,CALCULATIONS!C81,
IF(SMALL(CALCULATIONS!D65:D106,25)=18,CALCULATIONS!C82,
IF(SMALL(CALCULATIONS!D65:D106,25)=19,CALCULATIONS!C83,
IF(SMALL(CALCULATIONS!D65:D106,25)=20,CALCULATIONS!C84,
IF(SMALL(CALCULATIONS!D65:D106,25)=21,CALCULATIONS!C85,
IF(SMALL(CALCULATIONS!D65:D106,25)=22,CALCULATIONS!C86,
IF(SMALL(CALCULATIONS!D65:D106,25)=23,CALCULATIONS!C87,
IF(SMALL(CALCULATIONS!D65:D106,25)=24,CALCULATIONS!C88,
IF(SMALL(CALCULATIONS!D65:D106,25)=25,CALCULATIONS!C89,
IF(SMALL(CALCULATIONS!D65:D106,25)=26,CALCULATIONS!C90,
IF(SMALL(CALCULATIONS!D65:D106,25)=27,CALCULATIONS!C91,
IF(SMALL(CALCULATIONS!D65:D106,25)=28,CALCULATIONS!C92,
IF(SMALL(CALCULATIONS!D65:D106,25)=29,CALCULATIONS!C93,
IF(SMALL(CALCULATIONS!D65:D106,25)=30,CALCULATIONS!C94,
IF(SMALL(CALCULATIONS!D65:D106,25)=31,CALCULATIONS!C95,
IF(SMALL(CALCULATIONS!D65:D106,25)=32,CALCULATIONS!C96,
IF(SMALL(CALCULATIONS!D65:D106,25)=33,CALCULATIONS!C97,
IF(SMALL(CALCULATIONS!D65:D106,25)=34,CALCULATIONS!C98,
IF(SMALL(CALCULATIONS!D65:D106,25)=35,CALCULATIONS!C99,
IF(SMALL(CALCULATIONS!D65:D106,25)=36,CALCULATIONS!C100,
IF(SMALL(CALCULATIONS!D65:D106,25)=37,CALCULATIONS!C101,
IF(SMALL(CALCULATIONS!D65:D106,25)=38,CALCULATIONS!C102,
IF(SMALL(CALCULATIONS!D65:D106,25)=39,CALCULATIONS!C103,
IF(SMALL(CALCULATIONS!D65:D106,25)=40,CALCULATIONS!C104,
IF(SMALL(CALCULATIONS!D65:D106,25)=41,CALCULATIONS!C105,
IF(SMALL(CALCULATIONS!D65:D106,25)=42,CALCULATIONS!C106,
"")))))))))))))))))))))))))))))))))))))))))),"")</f>
        <v/>
      </c>
      <c r="C39" s="33"/>
      <c r="D39" s="33" t="str">
        <f>IF(COUNT(CALCULATIONS!D65:D106)&gt;=25,
IF(SMALL(CALCULATIONS!D65:D106,25)=1,CALCULATIONS!E65,
IF(SMALL(CALCULATIONS!D65:D106,25)=2,CALCULATIONS!E66,
IF(SMALL(CALCULATIONS!D65:D106,25)=3,CALCULATIONS!E67,
IF(SMALL(CALCULATIONS!D65:D106,25)=4,CALCULATIONS!E68,
IF(SMALL(CALCULATIONS!D65:D106,25)=5,CALCULATIONS!E69,
IF(SMALL(CALCULATIONS!D65:D106,25)=6,CALCULATIONS!E70,
IF(SMALL(CALCULATIONS!D65:D106,25)=7,CALCULATIONS!E71,
IF(SMALL(CALCULATIONS!D65:D106,25)=8,CALCULATIONS!E72,
IF(SMALL(CALCULATIONS!D65:D106,25)=9,CALCULATIONS!E73,
IF(SMALL(CALCULATIONS!D65:D106,25)=10,CALCULATIONS!E74,
IF(SMALL(CALCULATIONS!D65:D106,25)=11,CALCULATIONS!E75,
IF(SMALL(CALCULATIONS!D65:D106,25)=12,CALCULATIONS!E76,
IF(SMALL(CALCULATIONS!D65:D106,25)=13,CALCULATIONS!E77,
IF(SMALL(CALCULATIONS!D65:D106,25)=14,CALCULATIONS!E78,
IF(SMALL(CALCULATIONS!D65:D106,25)=15,CALCULATIONS!E79,
IF(SMALL(CALCULATIONS!D65:D106,25)=16,CALCULATIONS!E80,
IF(SMALL(CALCULATIONS!D65:D106,25)=17,CALCULATIONS!E81,
IF(SMALL(CALCULATIONS!D65:D106,25)=18,CALCULATIONS!E82,
IF(SMALL(CALCULATIONS!D65:D106,25)=19,CALCULATIONS!E83,
IF(SMALL(CALCULATIONS!D65:D106,25)=20,CALCULATIONS!E84,
IF(SMALL(CALCULATIONS!D65:D106,25)=21,CALCULATIONS!E85,
IF(SMALL(CALCULATIONS!D65:D106,25)=22,CALCULATIONS!E86,
IF(SMALL(CALCULATIONS!D65:D106,25)=23,CALCULATIONS!E87,
IF(SMALL(CALCULATIONS!D65:D106,25)=24,CALCULATIONS!E88,
IF(SMALL(CALCULATIONS!D65:D106,25)=25,CALCULATIONS!E89,
IF(SMALL(CALCULATIONS!D65:D106,25)=26,CALCULATIONS!E90,
IF(SMALL(CALCULATIONS!D65:D106,25)=27,CALCULATIONS!E91,
IF(SMALL(CALCULATIONS!D65:D106,25)=28,CALCULATIONS!E92,
IF(SMALL(CALCULATIONS!D65:D106,25)=29,CALCULATIONS!E93,
IF(SMALL(CALCULATIONS!D65:D106,25)=30,CALCULATIONS!E94,
IF(SMALL(CALCULATIONS!D65:D106,25)=31,CALCULATIONS!E95,
IF(SMALL(CALCULATIONS!D65:D106,25)=32,CALCULATIONS!E96,
IF(SMALL(CALCULATIONS!D65:D106,25)=33,CALCULATIONS!E97,
IF(SMALL(CALCULATIONS!D65:D106,25)=34,CALCULATIONS!E98,
IF(SMALL(CALCULATIONS!D65:D106,25)=35,CALCULATIONS!E99,
IF(SMALL(CALCULATIONS!D65:D106,25)=36,CALCULATIONS!E100,
IF(SMALL(CALCULATIONS!D65:D106,25)=37,CALCULATIONS!E101,
IF(SMALL(CALCULATIONS!D65:D106,25)=38,CALCULATIONS!E102,
IF(SMALL(CALCULATIONS!D65:D106,25)=39,CALCULATIONS!E103,
IF(SMALL(CALCULATIONS!D65:D106,25)=40,CALCULATIONS!E104,
IF(SMALL(CALCULATIONS!D65:D106,25)=41,CALCULATIONS!E105,
IF(SMALL(CALCULATIONS!D65:D106,25)=42,CALCULATIONS!E106,
"")))))))))))))))))))))))))))))))))))))))))),"")</f>
        <v/>
      </c>
      <c r="E39" s="33"/>
      <c r="F39" s="33" t="str">
        <f t="shared" si="1"/>
        <v/>
      </c>
      <c r="G39" s="33"/>
      <c r="H39" s="33" t="str">
        <f t="shared" si="2"/>
        <v/>
      </c>
    </row>
    <row r="40" spans="1:8" x14ac:dyDescent="0.25">
      <c r="A40" s="75" t="str">
        <f t="shared" si="0"/>
        <v/>
      </c>
      <c r="B40" s="33" t="str">
        <f>IF(COUNT(CALCULATIONS!D65:D106)&gt;=26,
IF(SMALL(CALCULATIONS!D65:D106,26)=1,CALCULATIONS!C65,
IF(SMALL(CALCULATIONS!D65:D106,26)=2,CALCULATIONS!C66,
IF(SMALL(CALCULATIONS!D65:D106,26)=3,CALCULATIONS!C67,
IF(SMALL(CALCULATIONS!D65:D106,26)=4,CALCULATIONS!C68,
IF(SMALL(CALCULATIONS!D65:D106,26)=5,CALCULATIONS!C69,
IF(SMALL(CALCULATIONS!D65:D106,26)=6,CALCULATIONS!C70,
IF(SMALL(CALCULATIONS!D65:D106,26)=7,CALCULATIONS!C71,
IF(SMALL(CALCULATIONS!D65:D106,26)=8,CALCULATIONS!C72,
IF(SMALL(CALCULATIONS!D65:D106,26)=9,CALCULATIONS!C73,
IF(SMALL(CALCULATIONS!D65:D106,26)=10,CALCULATIONS!C74,
IF(SMALL(CALCULATIONS!D65:D106,26)=11,CALCULATIONS!C75,
IF(SMALL(CALCULATIONS!D65:D106,26)=12,CALCULATIONS!C76,
IF(SMALL(CALCULATIONS!D65:D106,26)=13,CALCULATIONS!C77,
IF(SMALL(CALCULATIONS!D65:D106,26)=14,CALCULATIONS!C78,
IF(SMALL(CALCULATIONS!D65:D106,26)=15,CALCULATIONS!C79,
IF(SMALL(CALCULATIONS!D65:D106,26)=16,CALCULATIONS!C80,
IF(SMALL(CALCULATIONS!D65:D106,26)=17,CALCULATIONS!C81,
IF(SMALL(CALCULATIONS!D65:D106,26)=18,CALCULATIONS!C82,
IF(SMALL(CALCULATIONS!D65:D106,26)=19,CALCULATIONS!C83,
IF(SMALL(CALCULATIONS!D65:D106,26)=20,CALCULATIONS!C84,
IF(SMALL(CALCULATIONS!D65:D106,26)=21,CALCULATIONS!C85,
IF(SMALL(CALCULATIONS!D65:D106,26)=22,CALCULATIONS!C86,
IF(SMALL(CALCULATIONS!D65:D106,26)=23,CALCULATIONS!C87,
IF(SMALL(CALCULATIONS!D65:D106,26)=24,CALCULATIONS!C88,
IF(SMALL(CALCULATIONS!D65:D106,26)=25,CALCULATIONS!C89,
IF(SMALL(CALCULATIONS!D65:D106,26)=26,CALCULATIONS!C90,
IF(SMALL(CALCULATIONS!D65:D106,26)=27,CALCULATIONS!C91,
IF(SMALL(CALCULATIONS!D65:D106,26)=28,CALCULATIONS!C92,
IF(SMALL(CALCULATIONS!D65:D106,26)=29,CALCULATIONS!C93,
IF(SMALL(CALCULATIONS!D65:D106,26)=30,CALCULATIONS!C94,
IF(SMALL(CALCULATIONS!D65:D106,26)=31,CALCULATIONS!C95,
IF(SMALL(CALCULATIONS!D65:D106,26)=32,CALCULATIONS!C96,
IF(SMALL(CALCULATIONS!D65:D106,26)=33,CALCULATIONS!C97,
IF(SMALL(CALCULATIONS!D65:D106,26)=34,CALCULATIONS!C98,
IF(SMALL(CALCULATIONS!D65:D106,26)=35,CALCULATIONS!C99,
IF(SMALL(CALCULATIONS!D65:D106,26)=36,CALCULATIONS!C100,
IF(SMALL(CALCULATIONS!D65:D106,26)=37,CALCULATIONS!C101,
IF(SMALL(CALCULATIONS!D65:D106,26)=38,CALCULATIONS!C102,
IF(SMALL(CALCULATIONS!D65:D106,26)=39,CALCULATIONS!C103,
IF(SMALL(CALCULATIONS!D65:D106,26)=40,CALCULATIONS!C104,
IF(SMALL(CALCULATIONS!D65:D106,26)=41,CALCULATIONS!C105,
IF(SMALL(CALCULATIONS!D65:D106,26)=42,CALCULATIONS!C106,
"")))))))))))))))))))))))))))))))))))))))))),"")</f>
        <v/>
      </c>
      <c r="C40" s="33"/>
      <c r="D40" s="33" t="str">
        <f>IF(COUNT(CALCULATIONS!D65:D106)&gt;=26,
IF(SMALL(CALCULATIONS!D65:D106,26)=1,CALCULATIONS!E65,
IF(SMALL(CALCULATIONS!D65:D106,26)=2,CALCULATIONS!E66,
IF(SMALL(CALCULATIONS!D65:D106,26)=3,CALCULATIONS!E67,
IF(SMALL(CALCULATIONS!D65:D106,26)=4,CALCULATIONS!E68,
IF(SMALL(CALCULATIONS!D65:D106,26)=5,CALCULATIONS!E69,
IF(SMALL(CALCULATIONS!D65:D106,26)=6,CALCULATIONS!E70,
IF(SMALL(CALCULATIONS!D65:D106,26)=7,CALCULATIONS!E71,
IF(SMALL(CALCULATIONS!D65:D106,26)=8,CALCULATIONS!E72,
IF(SMALL(CALCULATIONS!D65:D106,26)=9,CALCULATIONS!E73,
IF(SMALL(CALCULATIONS!D65:D106,26)=10,CALCULATIONS!E74,
IF(SMALL(CALCULATIONS!D65:D106,26)=11,CALCULATIONS!E75,
IF(SMALL(CALCULATIONS!D65:D106,26)=12,CALCULATIONS!E76,
IF(SMALL(CALCULATIONS!D65:D106,26)=13,CALCULATIONS!E77,
IF(SMALL(CALCULATIONS!D65:D106,26)=14,CALCULATIONS!E78,
IF(SMALL(CALCULATIONS!D65:D106,26)=15,CALCULATIONS!E79,
IF(SMALL(CALCULATIONS!D65:D106,26)=16,CALCULATIONS!E80,
IF(SMALL(CALCULATIONS!D65:D106,26)=17,CALCULATIONS!E81,
IF(SMALL(CALCULATIONS!D65:D106,26)=18,CALCULATIONS!E82,
IF(SMALL(CALCULATIONS!D65:D106,26)=19,CALCULATIONS!E83,
IF(SMALL(CALCULATIONS!D65:D106,26)=20,CALCULATIONS!E84,
IF(SMALL(CALCULATIONS!D65:D106,26)=21,CALCULATIONS!E85,
IF(SMALL(CALCULATIONS!D65:D106,26)=22,CALCULATIONS!E86,
IF(SMALL(CALCULATIONS!D65:D106,26)=23,CALCULATIONS!E87,
IF(SMALL(CALCULATIONS!D65:D106,26)=24,CALCULATIONS!E88,
IF(SMALL(CALCULATIONS!D65:D106,26)=25,CALCULATIONS!E89,
IF(SMALL(CALCULATIONS!D65:D106,26)=26,CALCULATIONS!E90,
IF(SMALL(CALCULATIONS!D65:D106,26)=27,CALCULATIONS!E91,
IF(SMALL(CALCULATIONS!D65:D106,26)=28,CALCULATIONS!E92,
IF(SMALL(CALCULATIONS!D65:D106,26)=29,CALCULATIONS!E93,
IF(SMALL(CALCULATIONS!D65:D106,26)=30,CALCULATIONS!E94,
IF(SMALL(CALCULATIONS!D65:D106,26)=31,CALCULATIONS!E95,
IF(SMALL(CALCULATIONS!D65:D106,26)=32,CALCULATIONS!E96,
IF(SMALL(CALCULATIONS!D65:D106,26)=33,CALCULATIONS!E97,
IF(SMALL(CALCULATIONS!D65:D106,26)=34,CALCULATIONS!E98,
IF(SMALL(CALCULATIONS!D65:D106,26)=35,CALCULATIONS!E99,
IF(SMALL(CALCULATIONS!D65:D106,26)=36,CALCULATIONS!E100,
IF(SMALL(CALCULATIONS!D65:D106,26)=37,CALCULATIONS!E101,
IF(SMALL(CALCULATIONS!D65:D106,26)=38,CALCULATIONS!E102,
IF(SMALL(CALCULATIONS!D65:D106,26)=39,CALCULATIONS!E103,
IF(SMALL(CALCULATIONS!D65:D106,26)=40,CALCULATIONS!E104,
IF(SMALL(CALCULATIONS!D65:D106,26)=41,CALCULATIONS!E105,
IF(SMALL(CALCULATIONS!D65:D106,26)=42,CALCULATIONS!E106,
"")))))))))))))))))))))))))))))))))))))))))),"")</f>
        <v/>
      </c>
      <c r="E40" s="33"/>
      <c r="F40" s="33" t="str">
        <f t="shared" si="1"/>
        <v/>
      </c>
      <c r="G40" s="33"/>
      <c r="H40" s="33" t="str">
        <f t="shared" si="2"/>
        <v/>
      </c>
    </row>
    <row r="41" spans="1:8" x14ac:dyDescent="0.25">
      <c r="A41" s="75" t="str">
        <f t="shared" si="0"/>
        <v/>
      </c>
      <c r="B41" s="33" t="str">
        <f>IF(COUNT(CALCULATIONS!D65:D106)&gt;=27,
IF(SMALL(CALCULATIONS!D65:D106,27)=1,CALCULATIONS!C65,
IF(SMALL(CALCULATIONS!D65:D106,27)=2,CALCULATIONS!C66,
IF(SMALL(CALCULATIONS!D65:D106,27)=3,CALCULATIONS!C67,
IF(SMALL(CALCULATIONS!D65:D106,27)=4,CALCULATIONS!C68,
IF(SMALL(CALCULATIONS!D65:D106,27)=5,CALCULATIONS!C69,
IF(SMALL(CALCULATIONS!D65:D106,27)=6,CALCULATIONS!C70,
IF(SMALL(CALCULATIONS!D65:D106,27)=7,CALCULATIONS!C71,
IF(SMALL(CALCULATIONS!D65:D106,27)=8,CALCULATIONS!C72,
IF(SMALL(CALCULATIONS!D65:D106,27)=9,CALCULATIONS!C73,
IF(SMALL(CALCULATIONS!D65:D106,27)=10,CALCULATIONS!C74,
IF(SMALL(CALCULATIONS!D65:D106,27)=11,CALCULATIONS!C75,
IF(SMALL(CALCULATIONS!D65:D106,27)=12,CALCULATIONS!C76,
IF(SMALL(CALCULATIONS!D65:D106,27)=13,CALCULATIONS!C77,
IF(SMALL(CALCULATIONS!D65:D106,27)=14,CALCULATIONS!C78,
IF(SMALL(CALCULATIONS!D65:D106,27)=15,CALCULATIONS!C79,
IF(SMALL(CALCULATIONS!D65:D106,27)=16,CALCULATIONS!C80,
IF(SMALL(CALCULATIONS!D65:D106,27)=17,CALCULATIONS!C81,
IF(SMALL(CALCULATIONS!D65:D106,27)=18,CALCULATIONS!C82,
IF(SMALL(CALCULATIONS!D65:D106,27)=19,CALCULATIONS!C83,
IF(SMALL(CALCULATIONS!D65:D106,27)=20,CALCULATIONS!C84,
IF(SMALL(CALCULATIONS!D65:D106,27)=21,CALCULATIONS!C85,
IF(SMALL(CALCULATIONS!D65:D106,27)=22,CALCULATIONS!C86,
IF(SMALL(CALCULATIONS!D65:D106,27)=23,CALCULATIONS!C87,
IF(SMALL(CALCULATIONS!D65:D106,27)=24,CALCULATIONS!C88,
IF(SMALL(CALCULATIONS!D65:D106,27)=25,CALCULATIONS!C89,
IF(SMALL(CALCULATIONS!D65:D106,27)=26,CALCULATIONS!C90,
IF(SMALL(CALCULATIONS!D65:D106,27)=27,CALCULATIONS!C91,
IF(SMALL(CALCULATIONS!D65:D106,27)=28,CALCULATIONS!C92,
IF(SMALL(CALCULATIONS!D65:D106,27)=29,CALCULATIONS!C93,
IF(SMALL(CALCULATIONS!D65:D106,27)=30,CALCULATIONS!C94,
IF(SMALL(CALCULATIONS!D65:D106,27)=31,CALCULATIONS!C95,
IF(SMALL(CALCULATIONS!D65:D106,27)=32,CALCULATIONS!C96,
IF(SMALL(CALCULATIONS!D65:D106,27)=33,CALCULATIONS!C97,
IF(SMALL(CALCULATIONS!D65:D106,27)=34,CALCULATIONS!C98,
IF(SMALL(CALCULATIONS!D65:D106,27)=35,CALCULATIONS!C99,
IF(SMALL(CALCULATIONS!D65:D106,27)=36,CALCULATIONS!C100,
IF(SMALL(CALCULATIONS!D65:D106,27)=37,CALCULATIONS!C101,
IF(SMALL(CALCULATIONS!D65:D106,27)=38,CALCULATIONS!C102,
IF(SMALL(CALCULATIONS!D65:D106,27)=39,CALCULATIONS!C103,
IF(SMALL(CALCULATIONS!D65:D106,27)=40,CALCULATIONS!C104,
IF(SMALL(CALCULATIONS!D65:D106,27)=41,CALCULATIONS!C105,
IF(SMALL(CALCULATIONS!D65:D106,27)=42,CALCULATIONS!C106,
"")))))))))))))))))))))))))))))))))))))))))),"")</f>
        <v/>
      </c>
      <c r="C41" s="33"/>
      <c r="D41" s="33" t="str">
        <f>IF(COUNT(CALCULATIONS!D65:D106)&gt;=27,
IF(SMALL(CALCULATIONS!D65:D106,27)=1,CALCULATIONS!E65,
IF(SMALL(CALCULATIONS!D65:D106,27)=2,CALCULATIONS!E66,
IF(SMALL(CALCULATIONS!D65:D106,27)=3,CALCULATIONS!E67,
IF(SMALL(CALCULATIONS!D65:D106,27)=4,CALCULATIONS!E68,
IF(SMALL(CALCULATIONS!D65:D106,27)=5,CALCULATIONS!E69,
IF(SMALL(CALCULATIONS!D65:D106,27)=6,CALCULATIONS!E70,
IF(SMALL(CALCULATIONS!D65:D106,27)=7,CALCULATIONS!E71,
IF(SMALL(CALCULATIONS!D65:D106,27)=8,CALCULATIONS!E72,
IF(SMALL(CALCULATIONS!D65:D106,27)=9,CALCULATIONS!E73,
IF(SMALL(CALCULATIONS!D65:D106,27)=10,CALCULATIONS!E74,
IF(SMALL(CALCULATIONS!D65:D106,27)=11,CALCULATIONS!E75,
IF(SMALL(CALCULATIONS!D65:D106,27)=12,CALCULATIONS!E76,
IF(SMALL(CALCULATIONS!D65:D106,27)=13,CALCULATIONS!E77,
IF(SMALL(CALCULATIONS!D65:D106,27)=14,CALCULATIONS!E78,
IF(SMALL(CALCULATIONS!D65:D106,27)=15,CALCULATIONS!E79,
IF(SMALL(CALCULATIONS!D65:D106,27)=16,CALCULATIONS!E80,
IF(SMALL(CALCULATIONS!D65:D106,27)=17,CALCULATIONS!E81,
IF(SMALL(CALCULATIONS!D65:D106,27)=18,CALCULATIONS!E82,
IF(SMALL(CALCULATIONS!D65:D106,27)=19,CALCULATIONS!E83,
IF(SMALL(CALCULATIONS!D65:D106,27)=20,CALCULATIONS!E84,
IF(SMALL(CALCULATIONS!D65:D106,27)=21,CALCULATIONS!E85,
IF(SMALL(CALCULATIONS!D65:D106,27)=22,CALCULATIONS!E86,
IF(SMALL(CALCULATIONS!D65:D106,27)=23,CALCULATIONS!E87,
IF(SMALL(CALCULATIONS!D65:D106,27)=24,CALCULATIONS!E88,
IF(SMALL(CALCULATIONS!D65:D106,27)=25,CALCULATIONS!E89,
IF(SMALL(CALCULATIONS!D65:D106,27)=26,CALCULATIONS!E90,
IF(SMALL(CALCULATIONS!D65:D106,27)=27,CALCULATIONS!E91,
IF(SMALL(CALCULATIONS!D65:D106,27)=28,CALCULATIONS!E92,
IF(SMALL(CALCULATIONS!D65:D106,27)=29,CALCULATIONS!E93,
IF(SMALL(CALCULATIONS!D65:D106,27)=30,CALCULATIONS!E94,
IF(SMALL(CALCULATIONS!D65:D106,27)=31,CALCULATIONS!E95,
IF(SMALL(CALCULATIONS!D65:D106,27)=32,CALCULATIONS!E96,
IF(SMALL(CALCULATIONS!D65:D106,27)=33,CALCULATIONS!E97,
IF(SMALL(CALCULATIONS!D65:D106,27)=34,CALCULATIONS!E98,
IF(SMALL(CALCULATIONS!D65:D106,27)=35,CALCULATIONS!E99,
IF(SMALL(CALCULATIONS!D65:D106,27)=36,CALCULATIONS!E100,
IF(SMALL(CALCULATIONS!D65:D106,27)=37,CALCULATIONS!E101,
IF(SMALL(CALCULATIONS!D65:D106,27)=38,CALCULATIONS!E102,
IF(SMALL(CALCULATIONS!D65:D106,27)=39,CALCULATIONS!E103,
IF(SMALL(CALCULATIONS!D65:D106,27)=40,CALCULATIONS!E104,
IF(SMALL(CALCULATIONS!D65:D106,27)=41,CALCULATIONS!E105,
IF(SMALL(CALCULATIONS!D65:D106,27)=42,CALCULATIONS!E106,
"")))))))))))))))))))))))))))))))))))))))))),"")</f>
        <v/>
      </c>
      <c r="E41" s="33"/>
      <c r="F41" s="33" t="str">
        <f t="shared" si="1"/>
        <v/>
      </c>
      <c r="G41" s="33"/>
      <c r="H41" s="33" t="str">
        <f t="shared" si="2"/>
        <v/>
      </c>
    </row>
    <row r="42" spans="1:8" x14ac:dyDescent="0.25">
      <c r="A42" s="75" t="str">
        <f t="shared" si="0"/>
        <v/>
      </c>
      <c r="B42" s="33" t="str">
        <f>IF(COUNT(CALCULATIONS!D65:D106)&gt;=28,
IF(SMALL(CALCULATIONS!D65:D106,28)=1,CALCULATIONS!C65,
IF(SMALL(CALCULATIONS!D65:D106,28)=2,CALCULATIONS!C66,
IF(SMALL(CALCULATIONS!D65:D106,28)=3,CALCULATIONS!C67,
IF(SMALL(CALCULATIONS!D65:D106,28)=4,CALCULATIONS!C68,
IF(SMALL(CALCULATIONS!D65:D106,28)=5,CALCULATIONS!C69,
IF(SMALL(CALCULATIONS!D65:D106,28)=6,CALCULATIONS!C70,
IF(SMALL(CALCULATIONS!D65:D106,28)=7,CALCULATIONS!C71,
IF(SMALL(CALCULATIONS!D65:D106,28)=8,CALCULATIONS!C72,
IF(SMALL(CALCULATIONS!D65:D106,28)=9,CALCULATIONS!C73,
IF(SMALL(CALCULATIONS!D65:D106,28)=10,CALCULATIONS!C74,
IF(SMALL(CALCULATIONS!D65:D106,28)=11,CALCULATIONS!C75,
IF(SMALL(CALCULATIONS!D65:D106,28)=12,CALCULATIONS!C76,
IF(SMALL(CALCULATIONS!D65:D106,28)=13,CALCULATIONS!C77,
IF(SMALL(CALCULATIONS!D65:D106,28)=14,CALCULATIONS!C78,
IF(SMALL(CALCULATIONS!D65:D106,28)=15,CALCULATIONS!C79,
IF(SMALL(CALCULATIONS!D65:D106,28)=16,CALCULATIONS!C80,
IF(SMALL(CALCULATIONS!D65:D106,28)=17,CALCULATIONS!C81,
IF(SMALL(CALCULATIONS!D65:D106,28)=18,CALCULATIONS!C82,
IF(SMALL(CALCULATIONS!D65:D106,28)=19,CALCULATIONS!C83,
IF(SMALL(CALCULATIONS!D65:D106,28)=20,CALCULATIONS!C84,
IF(SMALL(CALCULATIONS!D65:D106,28)=21,CALCULATIONS!C85,
IF(SMALL(CALCULATIONS!D65:D106,28)=22,CALCULATIONS!C86,
IF(SMALL(CALCULATIONS!D65:D106,28)=23,CALCULATIONS!C87,
IF(SMALL(CALCULATIONS!D65:D106,28)=24,CALCULATIONS!C88,
IF(SMALL(CALCULATIONS!D65:D106,28)=25,CALCULATIONS!C89,
IF(SMALL(CALCULATIONS!D65:D106,28)=26,CALCULATIONS!C90,
IF(SMALL(CALCULATIONS!D65:D106,28)=27,CALCULATIONS!C91,
IF(SMALL(CALCULATIONS!D65:D106,28)=28,CALCULATIONS!C92,
IF(SMALL(CALCULATIONS!D65:D106,28)=29,CALCULATIONS!C93,
IF(SMALL(CALCULATIONS!D65:D106,28)=30,CALCULATIONS!C94,
IF(SMALL(CALCULATIONS!D65:D106,28)=31,CALCULATIONS!C95,
IF(SMALL(CALCULATIONS!D65:D106,28)=32,CALCULATIONS!C96,
IF(SMALL(CALCULATIONS!D65:D106,28)=33,CALCULATIONS!C97,
IF(SMALL(CALCULATIONS!D65:D106,28)=34,CALCULATIONS!C98,
IF(SMALL(CALCULATIONS!D65:D106,28)=35,CALCULATIONS!C99,
IF(SMALL(CALCULATIONS!D65:D106,28)=36,CALCULATIONS!C100,
IF(SMALL(CALCULATIONS!D65:D106,28)=37,CALCULATIONS!C101,
IF(SMALL(CALCULATIONS!D65:D106,28)=38,CALCULATIONS!C102,
IF(SMALL(CALCULATIONS!D65:D106,28)=39,CALCULATIONS!C103,
IF(SMALL(CALCULATIONS!D65:D106,28)=40,CALCULATIONS!C104,
IF(SMALL(CALCULATIONS!D65:D106,28)=41,CALCULATIONS!C105,
IF(SMALL(CALCULATIONS!D65:D106,28)=42,CALCULATIONS!C106,
"")))))))))))))))))))))))))))))))))))))))))),"")</f>
        <v/>
      </c>
      <c r="C42" s="33"/>
      <c r="D42" s="33" t="str">
        <f>IF(COUNT(CALCULATIONS!D65:D106)&gt;=28,
IF(SMALL(CALCULATIONS!D65:D106,28)=1,CALCULATIONS!E65,
IF(SMALL(CALCULATIONS!D65:D106,28)=2,CALCULATIONS!E66,
IF(SMALL(CALCULATIONS!D65:D106,28)=3,CALCULATIONS!E67,
IF(SMALL(CALCULATIONS!D65:D106,28)=4,CALCULATIONS!E68,
IF(SMALL(CALCULATIONS!D65:D106,28)=5,CALCULATIONS!E69,
IF(SMALL(CALCULATIONS!D65:D106,28)=6,CALCULATIONS!E70,
IF(SMALL(CALCULATIONS!D65:D106,28)=7,CALCULATIONS!E71,
IF(SMALL(CALCULATIONS!D65:D106,28)=8,CALCULATIONS!E72,
IF(SMALL(CALCULATIONS!D65:D106,28)=9,CALCULATIONS!E73,
IF(SMALL(CALCULATIONS!D65:D106,28)=10,CALCULATIONS!E74,
IF(SMALL(CALCULATIONS!D65:D106,28)=11,CALCULATIONS!E75,
IF(SMALL(CALCULATIONS!D65:D106,28)=12,CALCULATIONS!E76,
IF(SMALL(CALCULATIONS!D65:D106,28)=13,CALCULATIONS!E77,
IF(SMALL(CALCULATIONS!D65:D106,28)=14,CALCULATIONS!E78,
IF(SMALL(CALCULATIONS!D65:D106,28)=15,CALCULATIONS!E79,
IF(SMALL(CALCULATIONS!D65:D106,28)=16,CALCULATIONS!E80,
IF(SMALL(CALCULATIONS!D65:D106,28)=17,CALCULATIONS!E81,
IF(SMALL(CALCULATIONS!D65:D106,28)=18,CALCULATIONS!E82,
IF(SMALL(CALCULATIONS!D65:D106,28)=19,CALCULATIONS!E83,
IF(SMALL(CALCULATIONS!D65:D106,28)=20,CALCULATIONS!E84,
IF(SMALL(CALCULATIONS!D65:D106,28)=21,CALCULATIONS!E85,
IF(SMALL(CALCULATIONS!D65:D106,28)=22,CALCULATIONS!E86,
IF(SMALL(CALCULATIONS!D65:D106,28)=23,CALCULATIONS!E87,
IF(SMALL(CALCULATIONS!D65:D106,28)=24,CALCULATIONS!E88,
IF(SMALL(CALCULATIONS!D65:D106,28)=25,CALCULATIONS!E89,
IF(SMALL(CALCULATIONS!D65:D106,28)=26,CALCULATIONS!E90,
IF(SMALL(CALCULATIONS!D65:D106,28)=27,CALCULATIONS!E91,
IF(SMALL(CALCULATIONS!D65:D106,28)=28,CALCULATIONS!E92,
IF(SMALL(CALCULATIONS!D65:D106,28)=29,CALCULATIONS!E93,
IF(SMALL(CALCULATIONS!D65:D106,28)=30,CALCULATIONS!E94,
IF(SMALL(CALCULATIONS!D65:D106,28)=31,CALCULATIONS!E95,
IF(SMALL(CALCULATIONS!D65:D106,28)=32,CALCULATIONS!E96,
IF(SMALL(CALCULATIONS!D65:D106,28)=33,CALCULATIONS!E97,
IF(SMALL(CALCULATIONS!D65:D106,28)=34,CALCULATIONS!E98,
IF(SMALL(CALCULATIONS!D65:D106,28)=35,CALCULATIONS!E99,
IF(SMALL(CALCULATIONS!D65:D106,28)=36,CALCULATIONS!E100,
IF(SMALL(CALCULATIONS!D65:D106,28)=37,CALCULATIONS!E101,
IF(SMALL(CALCULATIONS!D65:D106,28)=38,CALCULATIONS!E102,
IF(SMALL(CALCULATIONS!D65:D106,28)=39,CALCULATIONS!E103,
IF(SMALL(CALCULATIONS!D65:D106,28)=40,CALCULATIONS!E104,
IF(SMALL(CALCULATIONS!D65:D106,28)=41,CALCULATIONS!E105,
IF(SMALL(CALCULATIONS!D65:D106,28)=42,CALCULATIONS!E106,
"")))))))))))))))))))))))))))))))))))))))))),"")</f>
        <v/>
      </c>
      <c r="E42" s="33"/>
      <c r="F42" s="33" t="str">
        <f t="shared" si="1"/>
        <v/>
      </c>
      <c r="G42" s="33"/>
      <c r="H42" s="33" t="str">
        <f t="shared" si="2"/>
        <v/>
      </c>
    </row>
    <row r="43" spans="1:8" x14ac:dyDescent="0.25">
      <c r="A43" s="75" t="str">
        <f t="shared" si="0"/>
        <v/>
      </c>
      <c r="B43" s="33" t="str">
        <f>IF(COUNT(CALCULATIONS!D65:D106)&gt;=29,
IF(SMALL(CALCULATIONS!D65:D106,29)=1,CALCULATIONS!C65,
IF(SMALL(CALCULATIONS!D65:D106,29)=2,CALCULATIONS!C66,
IF(SMALL(CALCULATIONS!D65:D106,29)=3,CALCULATIONS!C67,
IF(SMALL(CALCULATIONS!D65:D106,29)=4,CALCULATIONS!C68,
IF(SMALL(CALCULATIONS!D65:D106,29)=5,CALCULATIONS!C69,
IF(SMALL(CALCULATIONS!D65:D106,29)=6,CALCULATIONS!C70,
IF(SMALL(CALCULATIONS!D65:D106,29)=7,CALCULATIONS!C71,
IF(SMALL(CALCULATIONS!D65:D106,29)=8,CALCULATIONS!C72,
IF(SMALL(CALCULATIONS!D65:D106,29)=9,CALCULATIONS!C73,
IF(SMALL(CALCULATIONS!D65:D106,29)=10,CALCULATIONS!C74,
IF(SMALL(CALCULATIONS!D65:D106,29)=11,CALCULATIONS!C75,
IF(SMALL(CALCULATIONS!D65:D106,29)=12,CALCULATIONS!C76,
IF(SMALL(CALCULATIONS!D65:D106,29)=13,CALCULATIONS!C77,
IF(SMALL(CALCULATIONS!D65:D106,29)=14,CALCULATIONS!C78,
IF(SMALL(CALCULATIONS!D65:D106,29)=15,CALCULATIONS!C79,
IF(SMALL(CALCULATIONS!D65:D106,29)=16,CALCULATIONS!C80,
IF(SMALL(CALCULATIONS!D65:D106,29)=17,CALCULATIONS!C81,
IF(SMALL(CALCULATIONS!D65:D106,29)=18,CALCULATIONS!C82,
IF(SMALL(CALCULATIONS!D65:D106,29)=19,CALCULATIONS!C83,
IF(SMALL(CALCULATIONS!D65:D106,29)=20,CALCULATIONS!C84,
IF(SMALL(CALCULATIONS!D65:D106,29)=21,CALCULATIONS!C85,
IF(SMALL(CALCULATIONS!D65:D106,29)=22,CALCULATIONS!C86,
IF(SMALL(CALCULATIONS!D65:D106,29)=23,CALCULATIONS!C87,
IF(SMALL(CALCULATIONS!D65:D106,29)=24,CALCULATIONS!C88,
IF(SMALL(CALCULATIONS!D65:D106,29)=25,CALCULATIONS!C89,
IF(SMALL(CALCULATIONS!D65:D106,29)=26,CALCULATIONS!C90,
IF(SMALL(CALCULATIONS!D65:D106,29)=27,CALCULATIONS!C91,
IF(SMALL(CALCULATIONS!D65:D106,29)=28,CALCULATIONS!C92,
IF(SMALL(CALCULATIONS!D65:D106,29)=29,CALCULATIONS!C93,
IF(SMALL(CALCULATIONS!D65:D106,29)=30,CALCULATIONS!C94,
IF(SMALL(CALCULATIONS!D65:D106,29)=31,CALCULATIONS!C95,
IF(SMALL(CALCULATIONS!D65:D106,29)=32,CALCULATIONS!C96,
IF(SMALL(CALCULATIONS!D65:D106,29)=33,CALCULATIONS!C97,
IF(SMALL(CALCULATIONS!D65:D106,29)=34,CALCULATIONS!C98,
IF(SMALL(CALCULATIONS!D65:D106,29)=35,CALCULATIONS!C99,
IF(SMALL(CALCULATIONS!D65:D106,29)=36,CALCULATIONS!C100,
IF(SMALL(CALCULATIONS!D65:D106,29)=37,CALCULATIONS!C101,
IF(SMALL(CALCULATIONS!D65:D106,29)=38,CALCULATIONS!C102,
IF(SMALL(CALCULATIONS!D65:D106,29)=39,CALCULATIONS!C103,
IF(SMALL(CALCULATIONS!D65:D106,29)=40,CALCULATIONS!C104,
IF(SMALL(CALCULATIONS!D65:D106,29)=41,CALCULATIONS!C105,
IF(SMALL(CALCULATIONS!D65:D106,29)=42,CALCULATIONS!C106,
"")))))))))))))))))))))))))))))))))))))))))),"")</f>
        <v/>
      </c>
      <c r="C43" s="33"/>
      <c r="D43" s="33" t="str">
        <f>IF(COUNT(CALCULATIONS!D65:D106)&gt;=29,
IF(SMALL(CALCULATIONS!D65:D106,29)=1,CALCULATIONS!E65,
IF(SMALL(CALCULATIONS!D65:D106,29)=2,CALCULATIONS!E66,
IF(SMALL(CALCULATIONS!D65:D106,29)=3,CALCULATIONS!E67,
IF(SMALL(CALCULATIONS!D65:D106,29)=4,CALCULATIONS!E68,
IF(SMALL(CALCULATIONS!D65:D106,29)=5,CALCULATIONS!E69,
IF(SMALL(CALCULATIONS!D65:D106,29)=6,CALCULATIONS!E70,
IF(SMALL(CALCULATIONS!D65:D106,29)=7,CALCULATIONS!E71,
IF(SMALL(CALCULATIONS!D65:D106,29)=8,CALCULATIONS!E72,
IF(SMALL(CALCULATIONS!D65:D106,29)=9,CALCULATIONS!E73,
IF(SMALL(CALCULATIONS!D65:D106,29)=10,CALCULATIONS!E74,
IF(SMALL(CALCULATIONS!D65:D106,29)=11,CALCULATIONS!E75,
IF(SMALL(CALCULATIONS!D65:D106,29)=12,CALCULATIONS!E76,
IF(SMALL(CALCULATIONS!D65:D106,29)=13,CALCULATIONS!E77,
IF(SMALL(CALCULATIONS!D65:D106,29)=14,CALCULATIONS!E78,
IF(SMALL(CALCULATIONS!D65:D106,29)=15,CALCULATIONS!E79,
IF(SMALL(CALCULATIONS!D65:D106,29)=16,CALCULATIONS!E80,
IF(SMALL(CALCULATIONS!D65:D106,29)=17,CALCULATIONS!E81,
IF(SMALL(CALCULATIONS!D65:D106,29)=18,CALCULATIONS!E82,
IF(SMALL(CALCULATIONS!D65:D106,29)=19,CALCULATIONS!E83,
IF(SMALL(CALCULATIONS!D65:D106,29)=20,CALCULATIONS!E84,
IF(SMALL(CALCULATIONS!D65:D106,29)=21,CALCULATIONS!E85,
IF(SMALL(CALCULATIONS!D65:D106,29)=22,CALCULATIONS!E86,
IF(SMALL(CALCULATIONS!D65:D106,29)=23,CALCULATIONS!E87,
IF(SMALL(CALCULATIONS!D65:D106,29)=24,CALCULATIONS!E88,
IF(SMALL(CALCULATIONS!D65:D106,29)=25,CALCULATIONS!E89,
IF(SMALL(CALCULATIONS!D65:D106,29)=26,CALCULATIONS!E90,
IF(SMALL(CALCULATIONS!D65:D106,29)=27,CALCULATIONS!E91,
IF(SMALL(CALCULATIONS!D65:D106,29)=28,CALCULATIONS!E92,
IF(SMALL(CALCULATIONS!D65:D106,29)=29,CALCULATIONS!E93,
IF(SMALL(CALCULATIONS!D65:D106,29)=30,CALCULATIONS!E94,
IF(SMALL(CALCULATIONS!D65:D106,29)=31,CALCULATIONS!E95,
IF(SMALL(CALCULATIONS!D65:D106,29)=32,CALCULATIONS!E96,
IF(SMALL(CALCULATIONS!D65:D106,29)=33,CALCULATIONS!E97,
IF(SMALL(CALCULATIONS!D65:D106,29)=34,CALCULATIONS!E98,
IF(SMALL(CALCULATIONS!D65:D106,29)=35,CALCULATIONS!E99,
IF(SMALL(CALCULATIONS!D65:D106,29)=36,CALCULATIONS!E100,
IF(SMALL(CALCULATIONS!D65:D106,29)=37,CALCULATIONS!E101,
IF(SMALL(CALCULATIONS!D65:D106,29)=38,CALCULATIONS!E102,
IF(SMALL(CALCULATIONS!D65:D106,29)=39,CALCULATIONS!E103,
IF(SMALL(CALCULATIONS!D65:D106,29)=40,CALCULATIONS!E104,
IF(SMALL(CALCULATIONS!D65:D106,29)=41,CALCULATIONS!E105,
IF(SMALL(CALCULATIONS!D65:D106,29)=42,CALCULATIONS!E106,
"")))))))))))))))))))))))))))))))))))))))))),"")</f>
        <v/>
      </c>
      <c r="E43" s="33"/>
      <c r="F43" s="33" t="str">
        <f t="shared" si="1"/>
        <v/>
      </c>
      <c r="G43" s="33"/>
      <c r="H43" s="33" t="str">
        <f t="shared" si="2"/>
        <v/>
      </c>
    </row>
    <row r="44" spans="1:8" x14ac:dyDescent="0.25">
      <c r="A44" s="75" t="str">
        <f t="shared" si="0"/>
        <v/>
      </c>
      <c r="B44" s="33" t="str">
        <f>IF(COUNT(CALCULATIONS!D65:D106)&gt;=30,
IF(SMALL(CALCULATIONS!D65:D106,30)=1,CALCULATIONS!C65,
IF(SMALL(CALCULATIONS!D65:D106,30)=2,CALCULATIONS!C66,
IF(SMALL(CALCULATIONS!D65:D106,30)=3,CALCULATIONS!C67,
IF(SMALL(CALCULATIONS!D65:D106,30)=4,CALCULATIONS!C68,
IF(SMALL(CALCULATIONS!D65:D106,30)=5,CALCULATIONS!C69,
IF(SMALL(CALCULATIONS!D65:D106,30)=6,CALCULATIONS!C70,
IF(SMALL(CALCULATIONS!D65:D106,30)=7,CALCULATIONS!C71,
IF(SMALL(CALCULATIONS!D65:D106,30)=8,CALCULATIONS!C72,
IF(SMALL(CALCULATIONS!D65:D106,30)=9,CALCULATIONS!C73,
IF(SMALL(CALCULATIONS!D65:D106,30)=10,CALCULATIONS!C74,
IF(SMALL(CALCULATIONS!D65:D106,30)=11,CALCULATIONS!C75,
IF(SMALL(CALCULATIONS!D65:D106,30)=12,CALCULATIONS!C76,
IF(SMALL(CALCULATIONS!D65:D106,30)=13,CALCULATIONS!C77,
IF(SMALL(CALCULATIONS!D65:D106,30)=14,CALCULATIONS!C78,
IF(SMALL(CALCULATIONS!D65:D106,30)=15,CALCULATIONS!C79,
IF(SMALL(CALCULATIONS!D65:D106,30)=16,CALCULATIONS!C80,
IF(SMALL(CALCULATIONS!D65:D106,30)=17,CALCULATIONS!C81,
IF(SMALL(CALCULATIONS!D65:D106,30)=18,CALCULATIONS!C82,
IF(SMALL(CALCULATIONS!D65:D106,30)=19,CALCULATIONS!C83,
IF(SMALL(CALCULATIONS!D65:D106,30)=20,CALCULATIONS!C84,
IF(SMALL(CALCULATIONS!D65:D106,30)=21,CALCULATIONS!C85,
IF(SMALL(CALCULATIONS!D65:D106,30)=22,CALCULATIONS!C86,
IF(SMALL(CALCULATIONS!D65:D106,30)=23,CALCULATIONS!C87,
IF(SMALL(CALCULATIONS!D65:D106,30)=24,CALCULATIONS!C88,
IF(SMALL(CALCULATIONS!D65:D106,30)=25,CALCULATIONS!C89,
IF(SMALL(CALCULATIONS!D65:D106,30)=26,CALCULATIONS!C90,
IF(SMALL(CALCULATIONS!D65:D106,30)=27,CALCULATIONS!C91,
IF(SMALL(CALCULATIONS!D65:D106,30)=28,CALCULATIONS!C92,
IF(SMALL(CALCULATIONS!D65:D106,30)=29,CALCULATIONS!C93,
IF(SMALL(CALCULATIONS!D65:D106,30)=30,CALCULATIONS!C94,
IF(SMALL(CALCULATIONS!D65:D106,30)=31,CALCULATIONS!C95,
IF(SMALL(CALCULATIONS!D65:D106,30)=32,CALCULATIONS!C96,
IF(SMALL(CALCULATIONS!D65:D106,30)=33,CALCULATIONS!C97,
IF(SMALL(CALCULATIONS!D65:D106,30)=34,CALCULATIONS!C98,
IF(SMALL(CALCULATIONS!D65:D106,30)=35,CALCULATIONS!C99,
IF(SMALL(CALCULATIONS!D65:D106,30)=36,CALCULATIONS!C100,
IF(SMALL(CALCULATIONS!D65:D106,30)=37,CALCULATIONS!C101,
IF(SMALL(CALCULATIONS!D65:D106,30)=38,CALCULATIONS!C102,
IF(SMALL(CALCULATIONS!D65:D106,30)=39,CALCULATIONS!C103,
IF(SMALL(CALCULATIONS!D65:D106,30)=40,CALCULATIONS!C104,
IF(SMALL(CALCULATIONS!D65:D106,30)=41,CALCULATIONS!C105,
IF(SMALL(CALCULATIONS!D65:D106,30)=42,CALCULATIONS!C106,
"")))))))))))))))))))))))))))))))))))))))))),"")</f>
        <v/>
      </c>
      <c r="C44" s="33"/>
      <c r="D44" s="33" t="str">
        <f>IF(COUNT(CALCULATIONS!D65:D106)&gt;=30,
IF(SMALL(CALCULATIONS!D65:D106,30)=1,CALCULATIONS!E65,
IF(SMALL(CALCULATIONS!D65:D106,30)=2,CALCULATIONS!E66,
IF(SMALL(CALCULATIONS!D65:D106,30)=3,CALCULATIONS!E67,
IF(SMALL(CALCULATIONS!D65:D106,30)=4,CALCULATIONS!E68,
IF(SMALL(CALCULATIONS!D65:D106,30)=5,CALCULATIONS!E69,
IF(SMALL(CALCULATIONS!D65:D106,30)=6,CALCULATIONS!E70,
IF(SMALL(CALCULATIONS!D65:D106,30)=7,CALCULATIONS!E71,
IF(SMALL(CALCULATIONS!D65:D106,30)=8,CALCULATIONS!E72,
IF(SMALL(CALCULATIONS!D65:D106,30)=9,CALCULATIONS!E73,
IF(SMALL(CALCULATIONS!D65:D106,30)=10,CALCULATIONS!E74,
IF(SMALL(CALCULATIONS!D65:D106,30)=11,CALCULATIONS!E75,
IF(SMALL(CALCULATIONS!D65:D106,30)=12,CALCULATIONS!E76,
IF(SMALL(CALCULATIONS!D65:D106,30)=13,CALCULATIONS!E77,
IF(SMALL(CALCULATIONS!D65:D106,30)=14,CALCULATIONS!E78,
IF(SMALL(CALCULATIONS!D65:D106,30)=15,CALCULATIONS!E79,
IF(SMALL(CALCULATIONS!D65:D106,30)=16,CALCULATIONS!E80,
IF(SMALL(CALCULATIONS!D65:D106,30)=17,CALCULATIONS!E81,
IF(SMALL(CALCULATIONS!D65:D106,30)=18,CALCULATIONS!E82,
IF(SMALL(CALCULATIONS!D65:D106,30)=19,CALCULATIONS!E83,
IF(SMALL(CALCULATIONS!D65:D106,30)=20,CALCULATIONS!E84,
IF(SMALL(CALCULATIONS!D65:D106,30)=21,CALCULATIONS!E85,
IF(SMALL(CALCULATIONS!D65:D106,30)=22,CALCULATIONS!E86,
IF(SMALL(CALCULATIONS!D65:D106,30)=23,CALCULATIONS!E87,
IF(SMALL(CALCULATIONS!D65:D106,30)=24,CALCULATIONS!E88,
IF(SMALL(CALCULATIONS!D65:D106,30)=25,CALCULATIONS!E89,
IF(SMALL(CALCULATIONS!D65:D106,30)=26,CALCULATIONS!E90,
IF(SMALL(CALCULATIONS!D65:D106,30)=27,CALCULATIONS!E91,
IF(SMALL(CALCULATIONS!D65:D106,30)=28,CALCULATIONS!E92,
IF(SMALL(CALCULATIONS!D65:D106,30)=29,CALCULATIONS!E93,
IF(SMALL(CALCULATIONS!D65:D106,30)=30,CALCULATIONS!E94,
IF(SMALL(CALCULATIONS!D65:D106,30)=31,CALCULATIONS!E95,
IF(SMALL(CALCULATIONS!D65:D106,30)=32,CALCULATIONS!E96,
IF(SMALL(CALCULATIONS!D65:D106,30)=33,CALCULATIONS!E97,
IF(SMALL(CALCULATIONS!D65:D106,30)=34,CALCULATIONS!E98,
IF(SMALL(CALCULATIONS!D65:D106,30)=35,CALCULATIONS!E99,
IF(SMALL(CALCULATIONS!D65:D106,30)=36,CALCULATIONS!E100,
IF(SMALL(CALCULATIONS!D65:D106,30)=37,CALCULATIONS!E101,
IF(SMALL(CALCULATIONS!D65:D106,30)=38,CALCULATIONS!E102,
IF(SMALL(CALCULATIONS!D65:D106,30)=39,CALCULATIONS!E103,
IF(SMALL(CALCULATIONS!D65:D106,30)=40,CALCULATIONS!E104,
IF(SMALL(CALCULATIONS!D65:D106,30)=41,CALCULATIONS!E105,
IF(SMALL(CALCULATIONS!D65:D106,30)=42,CALCULATIONS!E106,
"")))))))))))))))))))))))))))))))))))))))))),"")</f>
        <v/>
      </c>
      <c r="E44" s="33"/>
      <c r="F44" s="33" t="str">
        <f t="shared" si="1"/>
        <v/>
      </c>
      <c r="G44" s="33"/>
      <c r="H44" s="33" t="str">
        <f t="shared" si="2"/>
        <v/>
      </c>
    </row>
    <row r="45" spans="1:8" x14ac:dyDescent="0.25">
      <c r="A45" s="75" t="str">
        <f t="shared" si="0"/>
        <v/>
      </c>
      <c r="B45" s="33"/>
      <c r="C45" s="33"/>
      <c r="D45" s="33"/>
      <c r="E45" s="33"/>
      <c r="F45" s="33"/>
      <c r="G45" s="33"/>
      <c r="H45" s="33"/>
    </row>
    <row r="46" spans="1:8" x14ac:dyDescent="0.25">
      <c r="A46" s="75" t="str">
        <f t="shared" si="0"/>
        <v/>
      </c>
      <c r="B46" s="33"/>
      <c r="C46" s="33"/>
      <c r="D46" s="33"/>
      <c r="E46" s="33"/>
      <c r="F46" s="33"/>
      <c r="G46" s="33"/>
      <c r="H46" s="33"/>
    </row>
    <row r="47" spans="1:8" x14ac:dyDescent="0.25">
      <c r="A47" s="75" t="str">
        <f t="shared" si="0"/>
        <v/>
      </c>
      <c r="B47" s="33"/>
      <c r="C47" s="33"/>
      <c r="D47" s="33"/>
      <c r="E47" s="33"/>
      <c r="F47" s="33"/>
      <c r="G47" s="33"/>
      <c r="H47" s="33"/>
    </row>
    <row r="48" spans="1:8" x14ac:dyDescent="0.25">
      <c r="A48" s="75" t="str">
        <f t="shared" si="0"/>
        <v/>
      </c>
      <c r="B48" s="33"/>
    </row>
    <row r="49" spans="1:2" x14ac:dyDescent="0.25">
      <c r="A49" s="75" t="str">
        <f t="shared" si="0"/>
        <v/>
      </c>
      <c r="B49" s="33"/>
    </row>
    <row r="50" spans="1:2" x14ac:dyDescent="0.25">
      <c r="A50" s="75" t="str">
        <f t="shared" si="0"/>
        <v/>
      </c>
      <c r="B50" s="33"/>
    </row>
    <row r="51" spans="1:2" x14ac:dyDescent="0.25">
      <c r="A51" s="75" t="str">
        <f t="shared" si="0"/>
        <v/>
      </c>
      <c r="B51" s="33"/>
    </row>
    <row r="52" spans="1:2" x14ac:dyDescent="0.25">
      <c r="A52" s="75" t="str">
        <f t="shared" si="0"/>
        <v/>
      </c>
      <c r="B52" s="33"/>
    </row>
    <row r="53" spans="1:2" x14ac:dyDescent="0.25">
      <c r="A53" s="75" t="str">
        <f t="shared" si="0"/>
        <v/>
      </c>
      <c r="B53" s="33"/>
    </row>
    <row r="54" spans="1:2" x14ac:dyDescent="0.25">
      <c r="A54" s="75" t="str">
        <f t="shared" si="0"/>
        <v/>
      </c>
      <c r="B54" s="33"/>
    </row>
    <row r="55" spans="1:2" x14ac:dyDescent="0.25">
      <c r="A55" s="75" t="str">
        <f t="shared" si="0"/>
        <v/>
      </c>
      <c r="B55" s="33"/>
    </row>
    <row r="56" spans="1:2" x14ac:dyDescent="0.25">
      <c r="A56" s="75" t="str">
        <f t="shared" si="0"/>
        <v/>
      </c>
      <c r="B56" s="33"/>
    </row>
    <row r="57" spans="1:2" x14ac:dyDescent="0.25">
      <c r="A57" s="75" t="str">
        <f t="shared" si="0"/>
        <v/>
      </c>
      <c r="B57" s="33"/>
    </row>
    <row r="58" spans="1:2" x14ac:dyDescent="0.25">
      <c r="A58" s="75" t="str">
        <f>IF(B58="","","□")</f>
        <v/>
      </c>
      <c r="B58" s="33"/>
    </row>
    <row r="71" spans="1:1" x14ac:dyDescent="0.25">
      <c r="A71" t="s">
        <v>230</v>
      </c>
    </row>
  </sheetData>
  <sheetProtection algorithmName="SHA-512" hashValue="D6nSJJRUQrgsQQiUmt6ojKYbb2wpUMgZ9GCarVSYU/DlMAVVibxhKK577FHYHkhRevB3i0dYZQWSekYDoEL1FA==" saltValue="YFCwOCmTl/EXH3OX8pzqEg==" spinCount="100000" sheet="1" objects="1" scenarios="1"/>
  <pageMargins left="0.25" right="0.25" top="0.75" bottom="0.75" header="0.3" footer="0.3"/>
  <pageSetup orientation="portrait" r:id="rId1"/>
  <headerFooter>
    <oddHeader>&amp;C&amp;22JOB SUMMARY/MATERIAL LIST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31</vt:i4>
      </vt:variant>
    </vt:vector>
  </HeadingPairs>
  <TitlesOfParts>
    <vt:vector size="41" baseType="lpstr">
      <vt:lpstr>FORM</vt:lpstr>
      <vt:lpstr>SMALL TABLES</vt:lpstr>
      <vt:lpstr>MODULES</vt:lpstr>
      <vt:lpstr>INVERTERS</vt:lpstr>
      <vt:lpstr>UTILITY &amp; DEALS</vt:lpstr>
      <vt:lpstr>CALCULATORS</vt:lpstr>
      <vt:lpstr>CALCULATIONS</vt:lpstr>
      <vt:lpstr>LARGE TABLE</vt:lpstr>
      <vt:lpstr>MATERIAL LIST</vt:lpstr>
      <vt:lpstr>Sheet1</vt:lpstr>
      <vt:lpstr>COVERTITLE</vt:lpstr>
      <vt:lpstr>DELETE</vt:lpstr>
      <vt:lpstr>EQUIPMENTLOCATION</vt:lpstr>
      <vt:lpstr>EQUIPMENTSCHEDULE</vt:lpstr>
      <vt:lpstr>FIVEMICROINVERTERS</vt:lpstr>
      <vt:lpstr>FOURMICROINVERTERS</vt:lpstr>
      <vt:lpstr>INVERTER1</vt:lpstr>
      <vt:lpstr>INVERTER2</vt:lpstr>
      <vt:lpstr>INVERTER3</vt:lpstr>
      <vt:lpstr>INVERTER4</vt:lpstr>
      <vt:lpstr>INVERTER5</vt:lpstr>
      <vt:lpstr>KEYTABLEHALF</vt:lpstr>
      <vt:lpstr>KEYTABLEWHOLE</vt:lpstr>
      <vt:lpstr>LARGETABLE</vt:lpstr>
      <vt:lpstr>MATERIAL</vt:lpstr>
      <vt:lpstr>MODULESPEC</vt:lpstr>
      <vt:lpstr>NEWROOFLAYOUTTITLEBLOCK</vt:lpstr>
      <vt:lpstr>ONELINETITLEBLOCK1</vt:lpstr>
      <vt:lpstr>ONELINETITLEBLOCK2</vt:lpstr>
      <vt:lpstr>ONEMICROINVERTER</vt:lpstr>
      <vt:lpstr>ROOFLAYOUTTITLEBLOCK</vt:lpstr>
      <vt:lpstr>ROOFSCHEDULE</vt:lpstr>
      <vt:lpstr>SMALLKEYTABLE</vt:lpstr>
      <vt:lpstr>STRINGING1INVERTER</vt:lpstr>
      <vt:lpstr>STRINGING2INVERTERS</vt:lpstr>
      <vt:lpstr>STRINGING3INVERTERS</vt:lpstr>
      <vt:lpstr>STRINGING4INVERTERS</vt:lpstr>
      <vt:lpstr>STRINGING5INVERTERS</vt:lpstr>
      <vt:lpstr>THREEMICROINVERTERS</vt:lpstr>
      <vt:lpstr>TWOMICROINVERTERS</vt:lpstr>
      <vt:lpstr>WHICHDRAWING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Birckbichler</dc:creator>
  <cp:lastModifiedBy>Jason Stolze</cp:lastModifiedBy>
  <cp:lastPrinted>2014-02-18T14:39:46Z</cp:lastPrinted>
  <dcterms:created xsi:type="dcterms:W3CDTF">2014-01-29T17:55:47Z</dcterms:created>
  <dcterms:modified xsi:type="dcterms:W3CDTF">2017-01-24T17:29:57Z</dcterms:modified>
</cp:coreProperties>
</file>