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450" yWindow="915" windowWidth="21600" windowHeight="11385" tabRatio="637"/>
  </bookViews>
  <sheets>
    <sheet name="FORM" sheetId="4" r:id="rId1"/>
    <sheet name="MODULES" sheetId="2" r:id="rId2"/>
    <sheet name="INVERTERS" sheetId="3" r:id="rId3"/>
    <sheet name="UTILITY, DEALS &amp; STATE" sheetId="15" r:id="rId4"/>
    <sheet name="MATERIAL LIST" sheetId="7" r:id="rId5"/>
    <sheet name="CURRENT EXCEL ROOFS" sheetId="16" r:id="rId6"/>
    <sheet name="REVISION LIST" sheetId="18" r:id="rId7"/>
    <sheet name="CALCULATORS" sheetId="8" r:id="rId8"/>
    <sheet name="CALCULATIONS" sheetId="1" state="hidden" r:id="rId9"/>
    <sheet name="SMALL TABLES" sheetId="5" state="hidden" r:id="rId10"/>
    <sheet name="LARGE TABLE" sheetId="6" state="hidden" r:id="rId11"/>
    <sheet name="Sheet1" sheetId="14" state="hidden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6" i="14" l="1"/>
  <c r="M35" i="14"/>
  <c r="M34" i="14"/>
  <c r="M33" i="14"/>
  <c r="M32" i="14"/>
  <c r="M31" i="14"/>
  <c r="M30" i="14"/>
  <c r="M29" i="14"/>
  <c r="M28" i="14"/>
  <c r="I17" i="14"/>
  <c r="G17" i="14"/>
  <c r="I16" i="14"/>
  <c r="R12" i="14"/>
  <c r="I12" i="14"/>
  <c r="R11" i="14"/>
  <c r="R10" i="14"/>
  <c r="G10" i="14"/>
  <c r="R9" i="14"/>
  <c r="G11" i="14" s="1"/>
  <c r="I11" i="14" s="1"/>
  <c r="B43" i="6"/>
  <c r="B38" i="6"/>
  <c r="B37" i="6"/>
  <c r="B36" i="6"/>
  <c r="B35" i="6"/>
  <c r="B34" i="6"/>
  <c r="B33" i="6"/>
  <c r="B32" i="6"/>
  <c r="B31" i="6"/>
  <c r="B30" i="6"/>
  <c r="B29" i="6"/>
  <c r="B3" i="6"/>
  <c r="C92" i="5"/>
  <c r="A92" i="5"/>
  <c r="A90" i="5"/>
  <c r="D84" i="5"/>
  <c r="B81" i="5"/>
  <c r="B79" i="5"/>
  <c r="D76" i="5"/>
  <c r="D72" i="5"/>
  <c r="O26" i="5"/>
  <c r="D13" i="5"/>
  <c r="N5" i="5"/>
  <c r="M5" i="5"/>
  <c r="P4" i="5"/>
  <c r="N4" i="5"/>
  <c r="M4" i="5"/>
  <c r="P3" i="5"/>
  <c r="N3" i="5"/>
  <c r="M3" i="5"/>
  <c r="P2" i="5"/>
  <c r="N2" i="5"/>
  <c r="M2" i="5"/>
  <c r="A2" i="5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C123" i="1"/>
  <c r="B123" i="1" s="1"/>
  <c r="G122" i="1"/>
  <c r="F122" i="1"/>
  <c r="E122" i="1"/>
  <c r="C122" i="1"/>
  <c r="B122" i="1" s="1"/>
  <c r="G121" i="1"/>
  <c r="F121" i="1"/>
  <c r="E121" i="1"/>
  <c r="G120" i="1"/>
  <c r="F120" i="1"/>
  <c r="E120" i="1"/>
  <c r="B111" i="1"/>
  <c r="B110" i="1"/>
  <c r="B112" i="1" s="1"/>
  <c r="B113" i="1" s="1"/>
  <c r="B109" i="1"/>
  <c r="D107" i="1"/>
  <c r="D106" i="1"/>
  <c r="D105" i="1"/>
  <c r="D104" i="1"/>
  <c r="D103" i="1"/>
  <c r="D102" i="1"/>
  <c r="D101" i="1"/>
  <c r="D100" i="1"/>
  <c r="D99" i="1"/>
  <c r="D98" i="1"/>
  <c r="D93" i="1"/>
  <c r="C92" i="1"/>
  <c r="D92" i="1" s="1"/>
  <c r="D91" i="1"/>
  <c r="C91" i="1"/>
  <c r="C90" i="1"/>
  <c r="D90" i="1" s="1"/>
  <c r="D88" i="1"/>
  <c r="C88" i="1"/>
  <c r="D87" i="1"/>
  <c r="C87" i="1"/>
  <c r="D85" i="1"/>
  <c r="C78" i="1"/>
  <c r="D78" i="1" s="1"/>
  <c r="D77" i="1"/>
  <c r="C77" i="1"/>
  <c r="I75" i="1"/>
  <c r="C73" i="1"/>
  <c r="D73" i="1" s="1"/>
  <c r="D70" i="1"/>
  <c r="C70" i="1"/>
  <c r="A32" i="5" s="1"/>
  <c r="C69" i="1"/>
  <c r="A24" i="5" s="1"/>
  <c r="I68" i="1"/>
  <c r="C68" i="1"/>
  <c r="A16" i="5" s="1"/>
  <c r="C67" i="1"/>
  <c r="D67" i="1" s="1"/>
  <c r="I66" i="1"/>
  <c r="G62" i="1"/>
  <c r="I61" i="1"/>
  <c r="J61" i="1" s="1"/>
  <c r="D59" i="1"/>
  <c r="C58" i="1"/>
  <c r="D58" i="1" s="1"/>
  <c r="C52" i="1"/>
  <c r="D52" i="1" s="1"/>
  <c r="H49" i="1"/>
  <c r="H48" i="1"/>
  <c r="D45" i="1"/>
  <c r="I42" i="1"/>
  <c r="C56" i="1" s="1"/>
  <c r="D56" i="1" s="1"/>
  <c r="E42" i="1"/>
  <c r="D42" i="1"/>
  <c r="C42" i="1"/>
  <c r="B42" i="1"/>
  <c r="D41" i="1"/>
  <c r="F40" i="1"/>
  <c r="E40" i="1"/>
  <c r="D40" i="1"/>
  <c r="G11" i="5" s="1"/>
  <c r="B37" i="1"/>
  <c r="I32" i="1"/>
  <c r="J32" i="1" s="1"/>
  <c r="J31" i="1"/>
  <c r="I31" i="1"/>
  <c r="J30" i="1"/>
  <c r="I30" i="1"/>
  <c r="I29" i="1"/>
  <c r="I28" i="1"/>
  <c r="J28" i="1" s="1"/>
  <c r="B28" i="1"/>
  <c r="M32" i="5" s="1"/>
  <c r="I27" i="1"/>
  <c r="B24" i="1"/>
  <c r="O17" i="5" s="1"/>
  <c r="B21" i="1"/>
  <c r="A3" i="5" s="1"/>
  <c r="B20" i="1"/>
  <c r="B88" i="5" s="1"/>
  <c r="O25" i="5" s="1"/>
  <c r="B18" i="1"/>
  <c r="M9" i="5" s="1"/>
  <c r="B17" i="1"/>
  <c r="B15" i="1"/>
  <c r="A102" i="5" s="1"/>
  <c r="B14" i="1"/>
  <c r="B2" i="7" s="1"/>
  <c r="B13" i="1"/>
  <c r="A71" i="5" s="1"/>
  <c r="M8" i="5" s="1"/>
  <c r="R12" i="1"/>
  <c r="E11" i="1"/>
  <c r="D11" i="1"/>
  <c r="B11" i="1"/>
  <c r="F10" i="1"/>
  <c r="R9" i="1"/>
  <c r="F9" i="1"/>
  <c r="E9" i="1"/>
  <c r="D9" i="1"/>
  <c r="B9" i="1"/>
  <c r="R6" i="1"/>
  <c r="R7" i="1" s="1"/>
  <c r="B28" i="4" s="1"/>
  <c r="F6" i="1"/>
  <c r="E6" i="1"/>
  <c r="D6" i="1"/>
  <c r="C6" i="1"/>
  <c r="F5" i="1"/>
  <c r="F8" i="1" s="1"/>
  <c r="E5" i="1"/>
  <c r="E41" i="1" s="1"/>
  <c r="D5" i="1"/>
  <c r="D8" i="1" s="1"/>
  <c r="C5" i="1"/>
  <c r="B5" i="1"/>
  <c r="F4" i="1"/>
  <c r="F7" i="1" s="1"/>
  <c r="E4" i="1"/>
  <c r="E7" i="1" s="1"/>
  <c r="D4" i="1"/>
  <c r="D7" i="1" s="1"/>
  <c r="C4" i="1"/>
  <c r="C7" i="1" s="1"/>
  <c r="B4" i="1"/>
  <c r="B7" i="1" s="1"/>
  <c r="F3" i="1"/>
  <c r="F11" i="1" s="1"/>
  <c r="E3" i="1"/>
  <c r="E8" i="1" s="1"/>
  <c r="D3" i="1"/>
  <c r="C51" i="1" s="1"/>
  <c r="D51" i="1" s="1"/>
  <c r="C3" i="1"/>
  <c r="C9" i="1" s="1"/>
  <c r="B3" i="1"/>
  <c r="O2" i="1"/>
  <c r="N2" i="1"/>
  <c r="L2" i="1"/>
  <c r="F2" i="1"/>
  <c r="E2" i="1"/>
  <c r="E28" i="1" s="1"/>
  <c r="D2" i="1"/>
  <c r="C54" i="1" s="1"/>
  <c r="D54" i="1" s="1"/>
  <c r="C2" i="1"/>
  <c r="B2" i="1"/>
  <c r="B20" i="8"/>
  <c r="D19" i="8"/>
  <c r="E19" i="8" s="1"/>
  <c r="E18" i="8"/>
  <c r="D18" i="8"/>
  <c r="D17" i="8"/>
  <c r="E17" i="8" s="1"/>
  <c r="D16" i="8"/>
  <c r="E16" i="8" s="1"/>
  <c r="E20" i="8" s="1"/>
  <c r="C11" i="8"/>
  <c r="C10" i="8"/>
  <c r="C9" i="8"/>
  <c r="C7" i="8"/>
  <c r="C6" i="8"/>
  <c r="C8" i="8" s="1"/>
  <c r="F5" i="8"/>
  <c r="E14" i="16"/>
  <c r="E15" i="16" s="1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/>
  <c r="B11" i="7"/>
  <c r="B10" i="7"/>
  <c r="B9" i="7"/>
  <c r="B1" i="7"/>
  <c r="F3" i="15"/>
  <c r="C3" i="15"/>
  <c r="A3" i="15"/>
  <c r="B22" i="4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 s="1"/>
  <c r="E15" i="3"/>
  <c r="D15" i="3" s="1"/>
  <c r="E14" i="3"/>
  <c r="D14" i="3"/>
  <c r="E13" i="3"/>
  <c r="D13" i="3" s="1"/>
  <c r="E12" i="3"/>
  <c r="D12" i="3"/>
  <c r="E11" i="3"/>
  <c r="D11" i="3" s="1"/>
  <c r="E10" i="3"/>
  <c r="D10" i="3"/>
  <c r="E8" i="3"/>
  <c r="D8" i="3"/>
  <c r="E7" i="3"/>
  <c r="D7" i="3" s="1"/>
  <c r="E6" i="3"/>
  <c r="D6" i="3" s="1"/>
  <c r="E5" i="3"/>
  <c r="D5" i="3"/>
  <c r="E4" i="3"/>
  <c r="D4" i="3" s="1"/>
  <c r="E3" i="3"/>
  <c r="D3" i="3"/>
  <c r="E2" i="3"/>
  <c r="D2" i="3" s="1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F6" i="8" s="1"/>
  <c r="A6" i="2"/>
  <c r="A5" i="2"/>
  <c r="A4" i="2"/>
  <c r="A3" i="2"/>
  <c r="I2" i="2"/>
  <c r="H2" i="2"/>
  <c r="G2" i="2"/>
  <c r="F2" i="2"/>
  <c r="E2" i="2"/>
  <c r="D2" i="2"/>
  <c r="C2" i="2"/>
  <c r="B2" i="2"/>
  <c r="A2" i="2"/>
  <c r="C12" i="1" s="1"/>
  <c r="F31" i="4"/>
  <c r="P5" i="5" s="1"/>
  <c r="B31" i="4"/>
  <c r="B25" i="1" s="1"/>
  <c r="A5" i="5" s="1"/>
  <c r="C30" i="4"/>
  <c r="I29" i="4"/>
  <c r="B39" i="6" s="1"/>
  <c r="B29" i="4"/>
  <c r="B23" i="1" s="1"/>
  <c r="A4" i="5" s="1"/>
  <c r="B27" i="4"/>
  <c r="F23" i="4"/>
  <c r="D23" i="4"/>
  <c r="D22" i="4"/>
  <c r="D21" i="4"/>
  <c r="B21" i="4"/>
  <c r="B41" i="6" s="1"/>
  <c r="B7" i="7"/>
  <c r="A7" i="7" s="1"/>
  <c r="B18" i="4"/>
  <c r="F14" i="4"/>
  <c r="F12" i="4"/>
  <c r="E12" i="4"/>
  <c r="D12" i="4"/>
  <c r="I4" i="4"/>
  <c r="A1" i="4"/>
  <c r="A75" i="5" l="1"/>
  <c r="M13" i="5" s="1"/>
  <c r="B80" i="5"/>
  <c r="C8" i="1"/>
  <c r="C11" i="1"/>
  <c r="E94" i="1"/>
  <c r="C50" i="1"/>
  <c r="D50" i="1" s="1"/>
  <c r="B8" i="1"/>
  <c r="C94" i="1"/>
  <c r="D94" i="1" s="1"/>
  <c r="L37" i="1"/>
  <c r="E33" i="1"/>
  <c r="B9" i="6" s="1"/>
  <c r="O37" i="1"/>
  <c r="E37" i="1"/>
  <c r="P2" i="1"/>
  <c r="I44" i="1"/>
  <c r="I43" i="1"/>
  <c r="I14" i="5"/>
  <c r="F28" i="1"/>
  <c r="D42" i="5" s="1"/>
  <c r="H12" i="1"/>
  <c r="B53" i="5" s="1"/>
  <c r="H11" i="1"/>
  <c r="H8" i="1"/>
  <c r="B86" i="5" s="1"/>
  <c r="O23" i="5" s="1"/>
  <c r="R2" i="5"/>
  <c r="H10" i="1"/>
  <c r="B51" i="5" s="1"/>
  <c r="H7" i="1"/>
  <c r="B85" i="5" s="1"/>
  <c r="O22" i="5" s="1"/>
  <c r="C119" i="1"/>
  <c r="H14" i="1"/>
  <c r="B31" i="1" s="1"/>
  <c r="B12" i="5" s="1"/>
  <c r="A50" i="5"/>
  <c r="H9" i="1"/>
  <c r="C66" i="1" s="1"/>
  <c r="D66" i="1" s="1"/>
  <c r="I18" i="5"/>
  <c r="D113" i="1"/>
  <c r="C113" i="1"/>
  <c r="C18" i="4"/>
  <c r="C90" i="5"/>
  <c r="O27" i="5"/>
  <c r="B16" i="1"/>
  <c r="H13" i="1"/>
  <c r="D45" i="5"/>
  <c r="A100" i="5"/>
  <c r="G12" i="5"/>
  <c r="I12" i="5"/>
  <c r="J29" i="1"/>
  <c r="I26" i="1" s="1"/>
  <c r="P32" i="5"/>
  <c r="B22" i="1"/>
  <c r="C26" i="4"/>
  <c r="I16" i="5"/>
  <c r="B114" i="1"/>
  <c r="C27" i="8"/>
  <c r="C26" i="8"/>
  <c r="C25" i="8"/>
  <c r="C28" i="8"/>
  <c r="A99" i="5"/>
  <c r="D71" i="5"/>
  <c r="A98" i="5"/>
  <c r="G3" i="5"/>
  <c r="D81" i="5"/>
  <c r="D82" i="5" s="1"/>
  <c r="M29" i="5"/>
  <c r="A40" i="5"/>
  <c r="D29" i="5"/>
  <c r="D21" i="5"/>
  <c r="D89" i="5"/>
  <c r="D37" i="5"/>
  <c r="A105" i="5"/>
  <c r="D35" i="5"/>
  <c r="D36" i="5" s="1"/>
  <c r="A104" i="5"/>
  <c r="B77" i="5"/>
  <c r="O15" i="5" s="1"/>
  <c r="A103" i="5"/>
  <c r="D34" i="5"/>
  <c r="C2" i="5"/>
  <c r="A101" i="5"/>
  <c r="B6" i="7"/>
  <c r="A6" i="7" s="1"/>
  <c r="G14" i="14"/>
  <c r="E26" i="1"/>
  <c r="C22" i="4"/>
  <c r="B19" i="1"/>
  <c r="M2" i="1"/>
  <c r="C12" i="4" s="1"/>
  <c r="C28" i="1"/>
  <c r="D18" i="5" s="1"/>
  <c r="C53" i="1"/>
  <c r="D53" i="1" s="1"/>
  <c r="B115" i="1"/>
  <c r="B116" i="1" s="1"/>
  <c r="A73" i="5"/>
  <c r="M11" i="5" s="1"/>
  <c r="B28" i="6"/>
  <c r="A8" i="5"/>
  <c r="G2" i="5"/>
  <c r="D28" i="1"/>
  <c r="C120" i="1"/>
  <c r="B33" i="1"/>
  <c r="C49" i="1"/>
  <c r="D49" i="1" s="1"/>
  <c r="E72" i="1"/>
  <c r="D68" i="1"/>
  <c r="F42" i="1"/>
  <c r="G13" i="5" s="1"/>
  <c r="C121" i="1"/>
  <c r="B121" i="1" s="1"/>
  <c r="D10" i="5"/>
  <c r="C5" i="5"/>
  <c r="D69" i="1"/>
  <c r="I10" i="5"/>
  <c r="B12" i="4" l="1"/>
  <c r="E3" i="4"/>
  <c r="D3" i="4"/>
  <c r="E31" i="1"/>
  <c r="B36" i="5" s="1"/>
  <c r="B12" i="1"/>
  <c r="I4" i="5" s="1"/>
  <c r="B38" i="1"/>
  <c r="B15" i="6"/>
  <c r="B14" i="6"/>
  <c r="B12" i="6"/>
  <c r="B13" i="6"/>
  <c r="B11" i="6"/>
  <c r="N32" i="5"/>
  <c r="C31" i="1"/>
  <c r="B20" i="5" s="1"/>
  <c r="C33" i="1"/>
  <c r="B35" i="1" s="1"/>
  <c r="F13" i="4" s="1"/>
  <c r="I39" i="1"/>
  <c r="M37" i="1"/>
  <c r="I40" i="1"/>
  <c r="C37" i="1"/>
  <c r="O32" i="5"/>
  <c r="D33" i="1"/>
  <c r="N37" i="1"/>
  <c r="D37" i="1"/>
  <c r="D26" i="5"/>
  <c r="A33" i="4"/>
  <c r="C55" i="1"/>
  <c r="D55" i="1" s="1"/>
  <c r="B61" i="1"/>
  <c r="C47" i="1" s="1"/>
  <c r="D47" i="1" s="1"/>
  <c r="C48" i="1"/>
  <c r="D48" i="1" s="1"/>
  <c r="I8" i="5"/>
  <c r="E87" i="1"/>
  <c r="G8" i="5"/>
  <c r="B52" i="5"/>
  <c r="B30" i="1"/>
  <c r="B41" i="1" s="1"/>
  <c r="D31" i="1"/>
  <c r="B28" i="5" s="1"/>
  <c r="G6" i="4"/>
  <c r="E4" i="4"/>
  <c r="B4" i="4"/>
  <c r="D4" i="4"/>
  <c r="D79" i="5"/>
  <c r="D83" i="5" s="1"/>
  <c r="B87" i="5"/>
  <c r="O24" i="5" s="1"/>
  <c r="B84" i="5"/>
  <c r="O21" i="5" s="1"/>
  <c r="B11" i="4"/>
  <c r="B34" i="1"/>
  <c r="D34" i="1" s="1"/>
  <c r="I67" i="1"/>
  <c r="Q2" i="5"/>
  <c r="E66" i="1"/>
  <c r="B119" i="1"/>
  <c r="B29" i="1"/>
  <c r="B10" i="5" s="1"/>
  <c r="P37" i="1"/>
  <c r="G33" i="1"/>
  <c r="F37" i="1"/>
  <c r="Q32" i="5"/>
  <c r="B10" i="6"/>
  <c r="C125" i="1"/>
  <c r="C84" i="1"/>
  <c r="D84" i="1" s="1"/>
  <c r="C124" i="1"/>
  <c r="B124" i="1" s="1"/>
  <c r="H8" i="4"/>
  <c r="H7" i="4"/>
  <c r="B125" i="1"/>
  <c r="Q3" i="5" s="1"/>
  <c r="H11" i="4"/>
  <c r="C81" i="1"/>
  <c r="D81" i="1" s="1"/>
  <c r="C97" i="1"/>
  <c r="D97" i="1" s="1"/>
  <c r="C83" i="1"/>
  <c r="D83" i="1" s="1"/>
  <c r="H10" i="4"/>
  <c r="C96" i="1"/>
  <c r="D96" i="1" s="1"/>
  <c r="C82" i="1"/>
  <c r="D82" i="1" s="1"/>
  <c r="F33" i="1"/>
  <c r="D43" i="5" s="1"/>
  <c r="D44" i="5" s="1"/>
  <c r="H9" i="4"/>
  <c r="C95" i="1"/>
  <c r="D95" i="1" s="1"/>
  <c r="C80" i="1"/>
  <c r="D80" i="1" s="1"/>
  <c r="H6" i="4"/>
  <c r="B17" i="6"/>
  <c r="C79" i="1"/>
  <c r="D79" i="1" s="1"/>
  <c r="C72" i="1"/>
  <c r="D72" i="1" s="1"/>
  <c r="B16" i="6"/>
  <c r="I6" i="4"/>
  <c r="I5" i="4"/>
  <c r="C71" i="1"/>
  <c r="D71" i="1" s="1"/>
  <c r="B27" i="6"/>
  <c r="C4" i="4"/>
  <c r="E29" i="1"/>
  <c r="B34" i="5" s="1"/>
  <c r="E30" i="1"/>
  <c r="B35" i="5" s="1"/>
  <c r="E32" i="1"/>
  <c r="B37" i="5" s="1"/>
  <c r="B54" i="5"/>
  <c r="B32" i="1"/>
  <c r="B13" i="5" s="1"/>
  <c r="D11" i="5"/>
  <c r="D12" i="5" s="1"/>
  <c r="B6" i="6"/>
  <c r="B120" i="1"/>
  <c r="R3" i="5"/>
  <c r="C3" i="5"/>
  <c r="B78" i="5"/>
  <c r="O16" i="5" s="1"/>
  <c r="E25" i="1" l="1"/>
  <c r="D80" i="5"/>
  <c r="B11" i="5"/>
  <c r="B40" i="1"/>
  <c r="G9" i="5" s="1"/>
  <c r="B3" i="4"/>
  <c r="H54" i="1"/>
  <c r="H60" i="1" s="1"/>
  <c r="I60" i="1" s="1"/>
  <c r="J60" i="1" s="1"/>
  <c r="B5" i="6"/>
  <c r="B4" i="6"/>
  <c r="B40" i="6" s="1"/>
  <c r="B2" i="6"/>
  <c r="B42" i="6" s="1"/>
  <c r="B36" i="1"/>
  <c r="B1" i="6" s="1"/>
  <c r="C74" i="1" s="1"/>
  <c r="D74" i="1" s="1"/>
  <c r="H52" i="1"/>
  <c r="H58" i="1" s="1"/>
  <c r="I58" i="1" s="1"/>
  <c r="J58" i="1" s="1"/>
  <c r="C29" i="1"/>
  <c r="C30" i="1"/>
  <c r="C32" i="1"/>
  <c r="B21" i="5" s="1"/>
  <c r="R4" i="5"/>
  <c r="Q4" i="5" s="1"/>
  <c r="R5" i="5" s="1"/>
  <c r="Q5" i="5" s="1"/>
  <c r="D86" i="5"/>
  <c r="D87" i="5" s="1"/>
  <c r="D85" i="5"/>
  <c r="O20" i="5"/>
  <c r="L3" i="1"/>
  <c r="B7" i="6"/>
  <c r="C76" i="1" s="1"/>
  <c r="D19" i="5"/>
  <c r="D20" i="5" s="1"/>
  <c r="B23" i="6"/>
  <c r="B24" i="6" s="1"/>
  <c r="B25" i="6" s="1"/>
  <c r="B26" i="6" s="1"/>
  <c r="B8" i="7"/>
  <c r="A8" i="7" s="1"/>
  <c r="B5" i="7"/>
  <c r="B6" i="1"/>
  <c r="F29" i="1"/>
  <c r="B42" i="5" s="1"/>
  <c r="F31" i="1"/>
  <c r="B44" i="5" s="1"/>
  <c r="F30" i="1"/>
  <c r="B43" i="5" s="1"/>
  <c r="F32" i="1"/>
  <c r="B45" i="5" s="1"/>
  <c r="D29" i="1"/>
  <c r="B26" i="5" s="1"/>
  <c r="D30" i="1"/>
  <c r="B27" i="5" s="1"/>
  <c r="D32" i="1"/>
  <c r="B29" i="5" s="1"/>
  <c r="A12" i="4"/>
  <c r="G12" i="4"/>
  <c r="B19" i="6"/>
  <c r="B20" i="6" s="1"/>
  <c r="B83" i="5"/>
  <c r="O19" i="5" s="1"/>
  <c r="G9" i="14"/>
  <c r="I3" i="5"/>
  <c r="E2" i="5" s="1"/>
  <c r="H50" i="1"/>
  <c r="H53" i="1" s="1"/>
  <c r="H59" i="1" s="1"/>
  <c r="I59" i="1" s="1"/>
  <c r="J59" i="1" s="1"/>
  <c r="C63" i="1"/>
  <c r="E90" i="1"/>
  <c r="I69" i="1"/>
  <c r="I70" i="1" s="1"/>
  <c r="I71" i="1" s="1"/>
  <c r="E88" i="1" s="1"/>
  <c r="E92" i="1"/>
  <c r="E91" i="1"/>
  <c r="B8" i="6"/>
  <c r="D27" i="5"/>
  <c r="D28" i="5" s="1"/>
  <c r="C40" i="1" l="1"/>
  <c r="G10" i="5" s="1"/>
  <c r="C41" i="1"/>
  <c r="C57" i="1"/>
  <c r="D57" i="1" s="1"/>
  <c r="C89" i="1"/>
  <c r="D89" i="1" s="1"/>
  <c r="D76" i="1"/>
  <c r="C75" i="1"/>
  <c r="D75" i="1" s="1"/>
  <c r="B19" i="5"/>
  <c r="C3" i="4"/>
  <c r="R6" i="5"/>
  <c r="Q6" i="5" s="1"/>
  <c r="D88" i="5"/>
  <c r="J62" i="1"/>
  <c r="H63" i="1" s="1"/>
  <c r="H51" i="1" s="1"/>
  <c r="C46" i="1" s="1"/>
  <c r="D46" i="1" s="1"/>
  <c r="B18" i="5"/>
  <c r="C86" i="1"/>
  <c r="D86" i="1" s="1"/>
  <c r="D22" i="7" s="1"/>
  <c r="I9" i="14"/>
  <c r="I15" i="14"/>
  <c r="I13" i="14"/>
  <c r="I10" i="14"/>
  <c r="I14" i="14"/>
  <c r="B18" i="6"/>
  <c r="B21" i="6" s="1"/>
  <c r="B22" i="6" s="1"/>
  <c r="D23" i="7" l="1"/>
  <c r="D19" i="7"/>
  <c r="D42" i="7"/>
  <c r="D4" i="14"/>
  <c r="D25" i="7"/>
  <c r="D21" i="7"/>
  <c r="B26" i="7"/>
  <c r="B42" i="7"/>
  <c r="B44" i="7"/>
  <c r="D41" i="7"/>
  <c r="D18" i="7"/>
  <c r="B20" i="7"/>
  <c r="B29" i="7"/>
  <c r="B15" i="7"/>
  <c r="B21" i="7"/>
  <c r="B17" i="7"/>
  <c r="D39" i="7"/>
  <c r="B31" i="7"/>
  <c r="D29" i="7"/>
  <c r="D27" i="7"/>
  <c r="B19" i="7"/>
  <c r="B16" i="7"/>
  <c r="D24" i="7"/>
  <c r="D30" i="7"/>
  <c r="D38" i="7"/>
  <c r="D31" i="7"/>
  <c r="B23" i="7"/>
  <c r="D33" i="7"/>
  <c r="D36" i="7"/>
  <c r="D20" i="7"/>
  <c r="D26" i="7"/>
  <c r="B27" i="7"/>
  <c r="B43" i="7"/>
  <c r="B33" i="7"/>
  <c r="B32" i="7"/>
  <c r="B28" i="7"/>
  <c r="B18" i="7"/>
  <c r="D17" i="7"/>
  <c r="B22" i="7"/>
  <c r="D40" i="7"/>
  <c r="B25" i="7"/>
  <c r="B38" i="7"/>
  <c r="B24" i="7"/>
  <c r="B36" i="7"/>
  <c r="D16" i="7"/>
  <c r="D37" i="7"/>
  <c r="D32" i="7"/>
  <c r="B34" i="7"/>
  <c r="D15" i="7"/>
  <c r="B30" i="7"/>
  <c r="D44" i="7"/>
  <c r="B37" i="7"/>
  <c r="D28" i="7"/>
  <c r="B41" i="7"/>
  <c r="D43" i="7"/>
  <c r="B40" i="7"/>
  <c r="D34" i="7"/>
  <c r="B35" i="7"/>
  <c r="B39" i="7"/>
  <c r="D64" i="5"/>
  <c r="C64" i="5" s="1"/>
  <c r="D62" i="5"/>
  <c r="C62" i="5" s="1"/>
  <c r="D63" i="5"/>
  <c r="C63" i="5" s="1"/>
  <c r="B60" i="5"/>
  <c r="D61" i="5"/>
  <c r="C61" i="5" s="1"/>
  <c r="B64" i="5"/>
  <c r="B62" i="5"/>
  <c r="D60" i="5"/>
  <c r="B63" i="5"/>
  <c r="B65" i="5"/>
  <c r="D65" i="5"/>
  <c r="C65" i="5" s="1"/>
  <c r="B61" i="5"/>
  <c r="D35" i="7"/>
  <c r="F27" i="7" l="1"/>
  <c r="A27" i="7"/>
  <c r="H27" i="7"/>
  <c r="H24" i="7"/>
  <c r="F24" i="7"/>
  <c r="A24" i="7"/>
  <c r="H35" i="7"/>
  <c r="F35" i="7"/>
  <c r="A35" i="7"/>
  <c r="H38" i="7"/>
  <c r="A38" i="7"/>
  <c r="F38" i="7"/>
  <c r="F25" i="7"/>
  <c r="H25" i="7"/>
  <c r="A25" i="7"/>
  <c r="H44" i="7"/>
  <c r="F44" i="7"/>
  <c r="A44" i="7"/>
  <c r="A20" i="7"/>
  <c r="F20" i="7"/>
  <c r="H20" i="7"/>
  <c r="A39" i="7"/>
  <c r="H39" i="7"/>
  <c r="F39" i="7"/>
  <c r="H40" i="7"/>
  <c r="F40" i="7"/>
  <c r="A40" i="7"/>
  <c r="F42" i="7"/>
  <c r="A42" i="7"/>
  <c r="H42" i="7"/>
  <c r="F43" i="7"/>
  <c r="A43" i="7"/>
  <c r="H43" i="7"/>
  <c r="H34" i="7"/>
  <c r="F34" i="7"/>
  <c r="A34" i="7"/>
  <c r="A17" i="7"/>
  <c r="H17" i="7"/>
  <c r="F17" i="7"/>
  <c r="A60" i="5"/>
  <c r="G60" i="5"/>
  <c r="F60" i="5" s="1"/>
  <c r="A19" i="7"/>
  <c r="H19" i="7"/>
  <c r="F19" i="7"/>
  <c r="G64" i="5"/>
  <c r="F64" i="5" s="1"/>
  <c r="A64" i="5"/>
  <c r="H15" i="7"/>
  <c r="F15" i="7"/>
  <c r="A15" i="7"/>
  <c r="H29" i="7"/>
  <c r="F29" i="7"/>
  <c r="A29" i="7"/>
  <c r="A36" i="7"/>
  <c r="F36" i="7"/>
  <c r="H36" i="7"/>
  <c r="H22" i="7"/>
  <c r="F22" i="7"/>
  <c r="A22" i="7"/>
  <c r="H16" i="7"/>
  <c r="F16" i="7"/>
  <c r="A16" i="7"/>
  <c r="G63" i="5"/>
  <c r="F63" i="5" s="1"/>
  <c r="A63" i="5"/>
  <c r="H37" i="7"/>
  <c r="F37" i="7"/>
  <c r="A37" i="7"/>
  <c r="F28" i="7"/>
  <c r="H28" i="7"/>
  <c r="A28" i="7"/>
  <c r="I6" i="14"/>
  <c r="D4" i="7" s="1"/>
  <c r="I5" i="14"/>
  <c r="F4" i="7" s="1"/>
  <c r="I4" i="14"/>
  <c r="H4" i="7" s="1"/>
  <c r="B4" i="7"/>
  <c r="H21" i="7"/>
  <c r="F21" i="7"/>
  <c r="A21" i="7"/>
  <c r="F26" i="7"/>
  <c r="A26" i="7"/>
  <c r="H26" i="7"/>
  <c r="H41" i="7"/>
  <c r="F41" i="7"/>
  <c r="A41" i="7"/>
  <c r="F18" i="7"/>
  <c r="A18" i="7"/>
  <c r="H18" i="7"/>
  <c r="G66" i="5"/>
  <c r="F66" i="5" s="1"/>
  <c r="C60" i="5"/>
  <c r="H32" i="7"/>
  <c r="F32" i="7"/>
  <c r="A32" i="7"/>
  <c r="A23" i="7"/>
  <c r="H23" i="7"/>
  <c r="F23" i="7"/>
  <c r="A61" i="5"/>
  <c r="G61" i="5"/>
  <c r="F61" i="5" s="1"/>
  <c r="G65" i="5"/>
  <c r="F65" i="5" s="1"/>
  <c r="A65" i="5"/>
  <c r="G62" i="5"/>
  <c r="F62" i="5" s="1"/>
  <c r="A62" i="5"/>
  <c r="H30" i="7"/>
  <c r="A30" i="7"/>
  <c r="F30" i="7"/>
  <c r="A33" i="7"/>
  <c r="F33" i="7"/>
  <c r="H33" i="7"/>
  <c r="F31" i="7"/>
  <c r="H31" i="7"/>
  <c r="A31" i="7"/>
</calcChain>
</file>

<file path=xl/sharedStrings.xml><?xml version="1.0" encoding="utf-8"?>
<sst xmlns="http://schemas.openxmlformats.org/spreadsheetml/2006/main" count="924" uniqueCount="482">
  <si>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</si>
  <si>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</si>
  <si>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</si>
  <si>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</si>
  <si>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</si>
  <si>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</si>
  <si>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</si>
  <si>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</si>
  <si>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</si>
  <si>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</si>
  <si>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</si>
  <si>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</si>
  <si>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</si>
  <si>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</si>
  <si>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</si>
  <si>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</si>
  <si>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</si>
  <si>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</si>
  <si>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</si>
  <si>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</si>
  <si>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</si>
  <si>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</si>
  <si>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</si>
  <si>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</si>
  <si>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</si>
  <si>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</si>
  <si>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</si>
  <si>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</si>
  <si>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</si>
  <si>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</si>
  <si>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</si>
  <si>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</si>
  <si>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</si>
  <si>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</si>
  <si>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</si>
  <si>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</si>
  <si>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</si>
  <si>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</si>
  <si>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</si>
  <si>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</si>
  <si>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</si>
  <si>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</si>
  <si>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</si>
  <si>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</si>
  <si>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</si>
  <si>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</si>
  <si>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</si>
  <si>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</si>
  <si>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</si>
  <si>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</si>
  <si>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</si>
  <si>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</si>
  <si>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</si>
  <si>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</si>
  <si>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</si>
  <si>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</si>
  <si>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</si>
  <si>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</si>
  <si>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</si>
  <si>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</si>
  <si>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</si>
  <si>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</si>
  <si>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</si>
  <si>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</si>
  <si>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</si>
  <si>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</si>
  <si>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</si>
  <si>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</si>
  <si>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</si>
  <si>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</si>
  <si>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</si>
  <si>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</si>
  <si>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</si>
  <si>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</si>
  <si>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</si>
  <si>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</si>
  <si>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</si>
  <si>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</si>
  <si>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</si>
  <si>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</si>
  <si>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</si>
  <si>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</si>
  <si>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</si>
  <si>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</si>
  <si>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</si>
  <si>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</si>
  <si>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</si>
  <si>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</si>
  <si>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</si>
  <si>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</si>
  <si>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</si>
  <si>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</si>
  <si>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</si>
  <si>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</si>
  <si>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</si>
  <si>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</si>
  <si>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</si>
  <si>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</si>
  <si>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</si>
  <si>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</si>
  <si>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</si>
  <si>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</si>
  <si>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</si>
  <si>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</si>
  <si>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</si>
  <si>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</si>
  <si>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</si>
  <si>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</si>
  <si>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</si>
  <si>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</si>
  <si>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</si>
  <si>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</si>
  <si>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</si>
  <si>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</si>
  <si>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</si>
  <si>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</si>
  <si>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</si>
  <si>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</si>
  <si>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</si>
  <si>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</si>
  <si>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</si>
  <si>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</si>
  <si>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</si>
  <si>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</si>
  <si>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</si>
  <si>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</si>
  <si>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</si>
  <si>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</si>
  <si>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</si>
  <si>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</si>
  <si>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</si>
  <si>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</si>
  <si>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</si>
  <si>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</si>
  <si>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</si>
  <si>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</si>
  <si>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</si>
  <si>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</si>
  <si>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</si>
  <si>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</si>
  <si>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</si>
  <si>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</si>
  <si>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</si>
  <si>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</si>
  <si>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</si>
  <si>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</si>
  <si>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</si>
  <si>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</si>
  <si>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</si>
  <si>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</si>
  <si>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</si>
  <si>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</si>
  <si>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</si>
  <si>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</si>
  <si>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</si>
  <si>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</si>
  <si>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</si>
  <si>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</si>
  <si>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</si>
  <si>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</si>
  <si>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</si>
  <si>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</si>
  <si>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</si>
  <si>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</si>
  <si>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</si>
  <si>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</si>
  <si>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</si>
  <si>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</si>
  <si>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</si>
  <si>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</si>
  <si>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</si>
  <si>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</si>
  <si>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</si>
  <si>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</si>
  <si>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</si>
  <si>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</si>
  <si>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</si>
  <si>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</si>
  <si>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</si>
  <si>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</si>
  <si>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</si>
  <si>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</si>
  <si>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</si>
  <si>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</si>
  <si>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</si>
  <si>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</si>
  <si>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</si>
  <si>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</si>
  <si>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</si>
  <si>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</si>
  <si>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</si>
  <si>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</si>
  <si>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</si>
  <si>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</si>
  <si>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</si>
  <si>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</si>
  <si>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</si>
  <si>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</si>
  <si>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</si>
  <si>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</si>
  <si>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</si>
  <si>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</si>
  <si>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</si>
  <si>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</si>
  <si>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</si>
  <si>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</si>
  <si>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</si>
  <si>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</si>
  <si>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</si>
  <si>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</si>
  <si>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</si>
  <si>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</si>
  <si>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</si>
  <si>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</si>
  <si>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</si>
  <si>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</si>
  <si>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</si>
  <si>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</si>
  <si>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</si>
  <si>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</si>
  <si>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</si>
  <si>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</si>
  <si>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</si>
  <si>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</si>
  <si>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</si>
  <si>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</si>
  <si>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</si>
  <si>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</si>
  <si>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</si>
  <si>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</si>
  <si>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</si>
  <si>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</si>
  <si>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</si>
  <si>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</si>
  <si>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</si>
  <si>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</si>
  <si>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</si>
  <si>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</si>
  <si>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</si>
  <si>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</si>
  <si>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</si>
  <si>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</si>
  <si>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</si>
  <si>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</si>
  <si>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</si>
  <si>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</si>
  <si>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</si>
  <si>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</si>
  <si>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</si>
  <si>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</si>
  <si>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</si>
  <si>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</si>
  <si>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</si>
  <si>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</si>
  <si>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</si>
  <si>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</si>
  <si>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</si>
  <si>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</si>
  <si>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</si>
  <si>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</si>
  <si>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</si>
  <si>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</si>
  <si>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</si>
  <si>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</si>
  <si>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</si>
  <si>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</si>
  <si>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</si>
  <si>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</si>
  <si>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</si>
  <si>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</si>
  <si>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</si>
  <si>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</si>
  <si>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</si>
  <si>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</si>
  <si>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</si>
  <si>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</si>
  <si>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</si>
  <si>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</si>
  <si>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</si>
  <si>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</si>
  <si>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</si>
  <si>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</si>
  <si>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</si>
  <si>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</si>
  <si>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</si>
  <si>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</si>
  <si>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</si>
  <si>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</si>
  <si>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</si>
  <si>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</si>
  <si>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</si>
  <si>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</si>
  <si>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</si>
  <si>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</si>
  <si>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</si>
  <si>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</si>
  <si>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</si>
  <si>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</si>
  <si>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</si>
  <si>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</si>
  <si>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</si>
  <si>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</si>
  <si>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</si>
  <si>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</si>
  <si>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</si>
  <si>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</si>
  <si>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</si>
  <si>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</si>
  <si>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</si>
  <si>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</si>
  <si>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</si>
  <si>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</si>
  <si>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</si>
  <si>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</si>
  <si>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</si>
  <si>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</si>
  <si>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</si>
  <si>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</si>
  <si>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</si>
  <si>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</si>
  <si>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</si>
  <si>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</si>
  <si>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</si>
  <si>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</si>
  <si>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</si>
  <si>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</si>
  <si>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</si>
  <si>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</si>
  <si>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</si>
  <si>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</si>
  <si>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</si>
  <si>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</si>
  <si>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</si>
  <si>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</si>
  <si>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</si>
  <si>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</si>
  <si>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</si>
  <si>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</si>
  <si>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</si>
  <si>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</si>
  <si>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</si>
  <si>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</si>
  <si>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</si>
  <si>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</si>
  <si>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</si>
  <si>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</si>
  <si>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</si>
  <si>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</si>
  <si>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</si>
  <si>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</si>
  <si>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</si>
  <si>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</si>
  <si>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</si>
  <si>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</si>
  <si>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</si>
  <si>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</si>
  <si>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</si>
  <si>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</si>
  <si>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Allgeyer, Robert-</t>
  </si>
  <si>
    <t>CONGA CODES</t>
  </si>
  <si>
    <t>Roof 8</t>
  </si>
  <si>
    <t>Sunrun</t>
  </si>
  <si>
    <t>2019-07-361837</t>
  </si>
  <si>
    <t>55004797977</t>
  </si>
  <si>
    <t>99f104547328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</si>
  <si>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</si>
  <si>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</si>
  <si>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</si>
  <si>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</si>
  <si>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</si>
  <si>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</si>
  <si>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</si>
  <si>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</si>
  <si>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</si>
  <si>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</si>
  <si>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</si>
  <si>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</si>
  <si>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</si>
  <si>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</si>
  <si>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</si>
  <si>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</si>
  <si>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</si>
  <si>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</si>
  <si>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</si>
  <si>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</si>
  <si>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</si>
  <si>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</si>
  <si>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</si>
  <si>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</si>
  <si>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</si>
  <si>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</si>
  <si>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Karl Dickson</t>
  </si>
  <si>
    <t>PPL</t>
  </si>
  <si>
    <t>MET ED</t>
  </si>
  <si>
    <t>Roof 9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</si>
  <si>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</si>
  <si>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</si>
  <si>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</si>
  <si>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</si>
  <si>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</si>
  <si>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</si>
  <si>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</si>
  <si>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</si>
  <si>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</si>
  <si>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</si>
  <si>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</si>
  <si>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</si>
  <si>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</si>
  <si>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</si>
  <si>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</si>
  <si>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</si>
  <si>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</si>
  <si>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</si>
  <si>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</si>
  <si>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</si>
  <si>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</si>
  <si>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</si>
  <si>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</si>
  <si>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</si>
  <si>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</si>
  <si>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</si>
  <si>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</si>
  <si>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href="/0013200001C1EBoAAN" target="_blank"&gt;Galloway Township, NJ&lt;/a&gt;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</si>
  <si>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</si>
  <si>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</si>
  <si>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</si>
  <si>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</si>
  <si>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</si>
  <si>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</si>
  <si>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</si>
  <si>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</si>
  <si>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</si>
  <si>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</si>
  <si>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</si>
  <si>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</si>
  <si>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</si>
  <si>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</si>
  <si>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</si>
  <si>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</si>
  <si>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</si>
  <si>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</si>
  <si>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</si>
  <si>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</si>
  <si>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</si>
  <si>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</si>
  <si>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</si>
  <si>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</si>
  <si>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</si>
  <si>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</si>
  <si>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</si>
  <si>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</si>
  <si>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- 295W Q.PEAK BLK G4.1</t>
  </si>
  <si>
    <t>400 West Liebig Avenue</t>
  </si>
  <si>
    <t>Egg harbor city, NJ 08215</t>
  </si>
  <si>
    <t>39.511394,-74.557062</t>
  </si>
  <si>
    <t>Roof 7</t>
  </si>
  <si>
    <t>Atlantic City Electric (ACE)</t>
  </si>
  <si>
    <t>MAIN BREAKER AMPERAGE:</t>
  </si>
  <si>
    <t>MAIN BUSBAR AMPERAGE:</t>
  </si>
  <si>
    <t>NEC705.12</t>
  </si>
  <si>
    <t>IQ7 MICROINVERTERS</t>
  </si>
  <si>
    <t>IQ7PLUS MICROINVERTERS</t>
  </si>
  <si>
    <t>Test</t>
  </si>
  <si>
    <t>INV PN:</t>
  </si>
  <si>
    <t>HD Inverter PN Suffix:</t>
  </si>
  <si>
    <t>000BNC4 - APP NO SCREEN</t>
  </si>
  <si>
    <t>Roof 10</t>
  </si>
  <si>
    <t>Roof 11</t>
  </si>
  <si>
    <t>KTD</t>
  </si>
  <si>
    <t>LINE TAPS</t>
  </si>
  <si>
    <t>IN BASEMENT</t>
  </si>
  <si>
    <t>UNIRAC SMF (RAILLESS)</t>
  </si>
  <si>
    <t>Fused</t>
  </si>
  <si>
    <t>No P Meter</t>
  </si>
  <si>
    <t>IF NEEDED</t>
  </si>
  <si>
    <t>INVERTER CHANGE</t>
  </si>
  <si>
    <t>TRINA 295 (TSM-295 DD05A.05)</t>
  </si>
  <si>
    <t>MODULE TYPE CHANGE</t>
  </si>
  <si>
    <t>JMS</t>
  </si>
  <si>
    <t>AS BUILT</t>
  </si>
  <si>
    <t>Breaker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</si>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</sst>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1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8">
    <xf numFmtId="0" fontId="0" fillId="0" borderId="0" xfId="0"/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1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1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1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30" fillId="0" borderId="0" xfId="0" applyFont="1" applyBorder="1" applyProtection="1">
      <protection locked="0"/>
    </xf>
    <xf numFmtId="0" fontId="0" fillId="0" borderId="0" xfId="0" quotePrefix="1" applyFont="1" applyAlignment="1" applyProtection="1">
      <alignment wrapText="1"/>
      <protection hidden="1"/>
    </xf>
    <xf numFmtId="0" fontId="27" fillId="0" borderId="0" xfId="10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8" fillId="7" borderId="48" xfId="0" applyFont="1" applyFill="1" applyBorder="1" applyAlignment="1" applyProtection="1">
      <alignment horizontal="center"/>
      <protection hidden="1"/>
    </xf>
    <xf numFmtId="0" fontId="18" fillId="7" borderId="49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52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3" fillId="0" borderId="2" xfId="7" applyAlignment="1" applyProtection="1">
      <alignment horizontal="center"/>
      <protection hidden="1"/>
    </xf>
    <xf numFmtId="14" fontId="0" fillId="0" borderId="5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53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1" fontId="0" fillId="0" borderId="5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54" xfId="0" applyBorder="1" applyAlignment="1" applyProtection="1">
      <alignment horizontal="center"/>
      <protection hidden="1"/>
    </xf>
    <xf numFmtId="0" fontId="0" fillId="0" borderId="54" xfId="0" applyFill="1" applyBorder="1" applyAlignment="1" applyProtection="1">
      <alignment horizontal="center"/>
      <protection hidden="1"/>
    </xf>
    <xf numFmtId="0" fontId="0" fillId="0" borderId="55" xfId="0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0" fontId="0" fillId="0" borderId="5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5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53" xfId="0" applyFill="1" applyBorder="1" applyAlignment="1" applyProtection="1">
      <alignment horizontal="center" vertical="center"/>
      <protection hidden="1"/>
    </xf>
    <xf numFmtId="0" fontId="0" fillId="0" borderId="5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5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 wrapText="1"/>
      <protection hidden="1"/>
    </xf>
    <xf numFmtId="0" fontId="0" fillId="0" borderId="5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5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55" xfId="0" applyBorder="1" applyAlignment="1" applyProtection="1">
      <alignment horizontal="center" vertical="center"/>
      <protection hidden="1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zoomScale="110" zoomScaleNormal="110" workbookViewId="0">
      <selection activeCell="F28" sqref="F28"/>
    </sheetView>
  </sheetViews>
  <sheetFormatPr defaultRowHeight="15" x14ac:dyDescent="0.25"/>
  <cols>
    <col min="1" max="1" width="29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0" s="26" customFormat="1" ht="26.25" customHeight="1" x14ac:dyDescent="0.25">
      <c r="A1" s="243" t="str">
        <f>""</f>
        <v/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ht="15.75" x14ac:dyDescent="0.25">
      <c r="A2" s="9" t="s">
        <v>17</v>
      </c>
      <c r="B2" s="24" t="s">
        <v>476</v>
      </c>
      <c r="C2" s="4"/>
      <c r="D2" s="4"/>
      <c r="E2" s="4"/>
      <c r="F2" s="4"/>
      <c r="G2" s="4"/>
    </row>
    <row r="3" spans="1:10" s="194" customFormat="1" ht="15.75" x14ac:dyDescent="0.25">
      <c r="A3" s="9" t="s">
        <v>384</v>
      </c>
      <c r="B3" s="5">
        <f>IF((CALCULATIONS!L2*1.35)/CALCULATIONS!$H$9=0,"",ROUNDDOWN(((CALCULATIONS!B30*15)/CALCULATIONS!$H$9),0))</f>
        <v>20</v>
      </c>
      <c r="C3" s="5">
        <f>IF((CALCULATIONS!M2*1.35)/CALCULATIONS!$H$9=0,"",ROUNDDOWN(((CALCULATIONS!C30*15)/CALCULATIONS!$H$9),0))</f>
        <v>19</v>
      </c>
      <c r="D3" s="5" t="str">
        <f>IF((CALCULATIONS!N2*1.35)/CALCULATIONS!$H$9=0,"",ROUNDDOWN(((CALCULATIONS!D30*15)/CALCULATIONS!$H$9),0))</f>
        <v/>
      </c>
      <c r="E3" s="5" t="str">
        <f>IF((CALCULATIONS!O2*1.35)/CALCULATIONS!$H$9=0,"",ROUNDDOWN(((CALCULATIONS!E30*15)/CALCULATIONS!$H$9),0))</f>
        <v/>
      </c>
      <c r="F3" s="4"/>
      <c r="G3" s="4"/>
    </row>
    <row r="4" spans="1:10" ht="15.75" x14ac:dyDescent="0.25">
      <c r="A4" s="9" t="s">
        <v>385</v>
      </c>
      <c r="B4" s="5">
        <f>IF((CALCULATIONS!L2*1.35)/CALCULATIONS!$H$9=0,"",ROUNDDOWN(((CALCULATIONS!L2*1.35)/CALCULATIONS!$H$9),0))</f>
        <v>34</v>
      </c>
      <c r="C4" s="5">
        <f>IF((CALCULATIONS!M2*1.35)/CALCULATIONS!$H$9=0,"",ROUNDDOWN(((CALCULATIONS!M2*1.35)/CALCULATIONS!$H$9),0))</f>
        <v>27</v>
      </c>
      <c r="D4" s="5" t="str">
        <f>IF((CALCULATIONS!N2*1.35)/CALCULATIONS!$H$9=0,"",ROUNDDOWN(((CALCULATIONS!N2*1.35)/CALCULATIONS!$H$9),0))</f>
        <v/>
      </c>
      <c r="E4" s="5" t="str">
        <f>IF((CALCULATIONS!O2*1.35)/CALCULATIONS!$H$9=0,"",ROUNDDOWN(((CALCULATIONS!O2*1.35)/CALCULATIONS!$H$9),0))</f>
        <v/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0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0" ht="15.75" x14ac:dyDescent="0.25">
      <c r="A6" s="6" t="s">
        <v>14</v>
      </c>
      <c r="B6" s="18" t="s">
        <v>327</v>
      </c>
      <c r="C6" s="24" t="s">
        <v>328</v>
      </c>
      <c r="D6" s="18"/>
      <c r="E6" s="18"/>
      <c r="F6" s="24"/>
      <c r="G6" s="85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3" t="str">
        <f>IF(CALCULATIONS!I43="YES","REMAING:","")</f>
        <v/>
      </c>
      <c r="I6" s="17" t="str">
        <f>IF(CALCULATIONS!I43="YES",F11-SUM(I7:I12),"")</f>
        <v/>
      </c>
    </row>
    <row r="7" spans="1:10" ht="15.75" x14ac:dyDescent="0.25">
      <c r="A7" s="6" t="s">
        <v>15</v>
      </c>
      <c r="B7" s="19">
        <v>2</v>
      </c>
      <c r="C7" s="19">
        <v>2</v>
      </c>
      <c r="D7" s="19"/>
      <c r="E7" s="20"/>
      <c r="F7" s="19"/>
      <c r="H7" s="3" t="str">
        <f>IF(CALCULATIONS!I43="YES","CIRCUIT 1:","")</f>
        <v/>
      </c>
      <c r="I7" s="22"/>
    </row>
    <row r="8" spans="1:10" ht="16.5" customHeight="1" x14ac:dyDescent="0.25">
      <c r="A8" s="11" t="s">
        <v>388</v>
      </c>
      <c r="B8" s="196">
        <v>16</v>
      </c>
      <c r="C8" s="196">
        <v>13</v>
      </c>
      <c r="D8" s="196"/>
      <c r="E8" s="196"/>
      <c r="F8" s="196"/>
      <c r="H8" s="3" t="str">
        <f>IF(CALCULATIONS!I43="YES","CIRCUIT 2:","")</f>
        <v/>
      </c>
      <c r="I8" s="22"/>
    </row>
    <row r="9" spans="1:10" ht="17.25" customHeight="1" x14ac:dyDescent="0.25">
      <c r="A9" s="11" t="s">
        <v>387</v>
      </c>
      <c r="B9" s="196"/>
      <c r="C9" s="196"/>
      <c r="D9" s="196"/>
      <c r="E9" s="196"/>
      <c r="F9" s="196"/>
      <c r="H9" s="3" t="str">
        <f>IF(CALCULATIONS!I43="YES","CIRCUIT 3:","")</f>
        <v/>
      </c>
      <c r="I9" s="22"/>
    </row>
    <row r="10" spans="1:10" s="188" customFormat="1" ht="15.75" customHeight="1" x14ac:dyDescent="0.25">
      <c r="A10" s="11" t="s">
        <v>382</v>
      </c>
      <c r="B10" s="196"/>
      <c r="C10" s="196"/>
      <c r="D10" s="196"/>
      <c r="E10" s="196"/>
      <c r="F10" s="196"/>
      <c r="H10" s="3" t="str">
        <f>IF(CALCULATIONS!I43="YES","CIRCUIT 4:","")</f>
        <v/>
      </c>
      <c r="I10" s="22"/>
    </row>
    <row r="11" spans="1:10" ht="15.75" x14ac:dyDescent="0.25">
      <c r="A11" s="9" t="s">
        <v>124</v>
      </c>
      <c r="B11" s="53">
        <f>CALCULATIONS!B12</f>
        <v>58</v>
      </c>
      <c r="C11" s="5"/>
      <c r="D11" s="5"/>
      <c r="E11" s="6" t="s">
        <v>28</v>
      </c>
      <c r="F11" s="192"/>
      <c r="H11" s="3" t="str">
        <f>IF(CALCULATIONS!I43="YES","CIRCUIT 5:","")</f>
        <v/>
      </c>
      <c r="I11" s="22"/>
    </row>
    <row r="12" spans="1:10" ht="21" x14ac:dyDescent="0.25">
      <c r="A12" s="236" t="str">
        <f>IF(A33="","","↓ CHECK ALERT WINDOW! ↓")</f>
        <v/>
      </c>
      <c r="B12" s="67" t="str">
        <f>IF(B6="","",ROUNDUP(((SUM(CALCULATIONS!B7:B11)*CALCULATIONS!H9)*100)/CALCULATIONS!L2,0)&amp;"%")</f>
        <v>125%</v>
      </c>
      <c r="C12" s="67" t="str">
        <f>IF(C6="","",ROUNDUP(((SUM(CALCULATIONS!C7:C11)*CALCULATIONS!H9)*100)/CALCULATIONS!M2,0)&amp;"%")</f>
        <v>128%</v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/>
      </c>
      <c r="G12" s="244" t="str">
        <f>IF(A33="","","↓ CHECK ALERT WINDOW! ↓")</f>
        <v/>
      </c>
      <c r="H12" s="244"/>
      <c r="I12" s="244"/>
    </row>
    <row r="13" spans="1:10" ht="15.75" x14ac:dyDescent="0.25">
      <c r="A13" s="6" t="s">
        <v>20</v>
      </c>
      <c r="B13" s="22" t="s">
        <v>358</v>
      </c>
      <c r="C13" s="4"/>
      <c r="D13" s="8" t="s">
        <v>84</v>
      </c>
      <c r="E13" s="115" t="s">
        <v>469</v>
      </c>
      <c r="F13" s="55" t="str">
        <f>IF(B20="","",IF((B21*1.2-B20)&gt;=CALCULATIONS!B35,"USE BREAKER *IF THERE'S SPACE*","USE LINE TAPS"))</f>
        <v>USE LINE TAPS</v>
      </c>
      <c r="H13" s="3" t="s">
        <v>463</v>
      </c>
      <c r="I13" s="115" t="s">
        <v>465</v>
      </c>
    </row>
    <row r="14" spans="1:10" ht="15.75" x14ac:dyDescent="0.25">
      <c r="A14" s="6" t="s">
        <v>379</v>
      </c>
      <c r="B14" s="225" t="s">
        <v>452</v>
      </c>
      <c r="C14" s="179"/>
      <c r="D14" s="8" t="s">
        <v>227</v>
      </c>
      <c r="E14" s="178" t="s">
        <v>366</v>
      </c>
      <c r="F14" s="55" t="str">
        <f>IF(E14="NY"," IF LI, 1” CONDUITS!",IF(E14="CT","   1” CONDUIT!",""))</f>
        <v/>
      </c>
      <c r="I14" s="180"/>
    </row>
    <row r="15" spans="1:10" s="175" customFormat="1" ht="15.75" customHeight="1" x14ac:dyDescent="0.25">
      <c r="A15" s="6" t="s">
        <v>380</v>
      </c>
      <c r="B15" s="225" t="s">
        <v>453</v>
      </c>
      <c r="C15" s="179"/>
      <c r="D15" s="8"/>
      <c r="E15" s="178"/>
      <c r="F15" s="55"/>
      <c r="I15" s="180"/>
    </row>
    <row r="16" spans="1:10" s="175" customFormat="1" ht="16.5" customHeight="1" x14ac:dyDescent="0.25">
      <c r="A16" s="181" t="s">
        <v>381</v>
      </c>
      <c r="B16" s="225" t="s">
        <v>454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>
        <v>43699</v>
      </c>
      <c r="C17" s="4"/>
      <c r="D17" s="8" t="s">
        <v>108</v>
      </c>
      <c r="E17" s="115" t="s">
        <v>268</v>
      </c>
      <c r="F17" s="4"/>
      <c r="H17" s="74"/>
      <c r="I17" s="180" t="s">
        <v>423</v>
      </c>
    </row>
    <row r="18" spans="1:10" ht="15.75" x14ac:dyDescent="0.25">
      <c r="A18" s="6" t="s">
        <v>18</v>
      </c>
      <c r="B18" s="66" t="str">
        <f>'UTILITY, DEALS &amp; STATE'!C3</f>
        <v>SUNRUN</v>
      </c>
      <c r="C18" s="172" t="str">
        <f>IF(B18="SUNRUN","       SOLAREDGE ONLY!!"," ")</f>
        <v xml:space="preserve">       SOLAREDGE ONLY!!</v>
      </c>
      <c r="D18" s="47" t="s">
        <v>107</v>
      </c>
      <c r="E18" s="225"/>
      <c r="F18" s="4"/>
      <c r="H18" s="74" t="s">
        <v>156</v>
      </c>
      <c r="I18" s="75">
        <v>34</v>
      </c>
      <c r="J18" s="71" t="s">
        <v>157</v>
      </c>
    </row>
    <row r="19" spans="1:10" ht="15.75" x14ac:dyDescent="0.25">
      <c r="A19" s="6" t="s">
        <v>22</v>
      </c>
      <c r="B19" s="22" t="s">
        <v>362</v>
      </c>
      <c r="C19" s="4"/>
      <c r="D19" s="47" t="s">
        <v>176</v>
      </c>
      <c r="E19" s="21" t="s">
        <v>329</v>
      </c>
      <c r="F19" s="4"/>
      <c r="H19" s="74"/>
      <c r="I19" s="75"/>
      <c r="J19" s="72" t="s">
        <v>158</v>
      </c>
    </row>
    <row r="20" spans="1:10" ht="15.75" x14ac:dyDescent="0.25">
      <c r="A20" s="6" t="s">
        <v>457</v>
      </c>
      <c r="B20" s="23">
        <v>200</v>
      </c>
      <c r="C20" s="4"/>
      <c r="D20" s="47" t="s">
        <v>184</v>
      </c>
      <c r="E20" s="89"/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458</v>
      </c>
      <c r="B21" s="23">
        <f>B20</f>
        <v>200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>ACE</v>
      </c>
      <c r="C22" s="55" t="str">
        <f>IF(B22="EVERSOURCE","   PROPERTY LINES!"," ")</f>
        <v xml:space="preserve"> 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363</v>
      </c>
      <c r="C23" s="4"/>
      <c r="D23" s="90" t="str">
        <f>IF(OR(E20="NO",E20=""),"","MORE THAN ONE BUILDING?:")</f>
        <v/>
      </c>
      <c r="E23" s="48"/>
      <c r="F23" s="140" t="str">
        <f>IF(E23="YES","TRENCH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364</v>
      </c>
      <c r="C24" s="4"/>
      <c r="D24" s="47" t="s">
        <v>214</v>
      </c>
      <c r="E24" s="89"/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442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">
        <v>468</v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/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2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421</v>
      </c>
      <c r="B28" s="225" t="str">
        <f>CALCULATIONS!R7</f>
        <v>Galloway Township, NJ</v>
      </c>
      <c r="C28" s="55"/>
      <c r="D28" s="21" t="s">
        <v>408</v>
      </c>
      <c r="E28" s="88" t="s">
        <v>479</v>
      </c>
      <c r="F28" s="65">
        <v>43727</v>
      </c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A1</v>
      </c>
      <c r="C29" s="54"/>
      <c r="D29" s="115" t="s">
        <v>404</v>
      </c>
      <c r="E29" s="88" t="s">
        <v>477</v>
      </c>
      <c r="F29" s="65">
        <v>43707</v>
      </c>
      <c r="H29" s="74" t="s">
        <v>171</v>
      </c>
      <c r="I29" s="54" t="str">
        <f>RIGHT(B14,LEN(B14)-FIND("|",SUBSTITUTE(B14," ","|",1)))</f>
        <v>West Liebig Avenue</v>
      </c>
    </row>
    <row r="30" spans="1:10" ht="15.75" x14ac:dyDescent="0.25">
      <c r="A30" s="7" t="s">
        <v>31</v>
      </c>
      <c r="B30" s="22" t="s">
        <v>478</v>
      </c>
      <c r="C30" s="55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>KAMEHAMEHA!</v>
      </c>
      <c r="D30" s="115" t="s">
        <v>403</v>
      </c>
      <c r="E30" s="88" t="s">
        <v>475</v>
      </c>
      <c r="F30" s="65">
        <v>43704</v>
      </c>
      <c r="H30" s="74" t="s">
        <v>172</v>
      </c>
      <c r="I30" s="54" t="s">
        <v>470</v>
      </c>
    </row>
    <row r="31" spans="1:10" x14ac:dyDescent="0.25">
      <c r="A31" s="3" t="s">
        <v>34</v>
      </c>
      <c r="B31" s="86">
        <f>IF(F28&lt;&gt;"",F28,IF(F29&lt;&gt;"",F29,IF(F30&lt;&gt;"",F30,IF(F31&lt;&gt;"",F31,""))))</f>
        <v>43727</v>
      </c>
      <c r="C31" s="54"/>
      <c r="D31" s="42" t="s">
        <v>141</v>
      </c>
      <c r="E31" s="42" t="s">
        <v>142</v>
      </c>
      <c r="F31" s="57">
        <f>IF(B17="","",B17)</f>
        <v>43699</v>
      </c>
      <c r="H31" s="226" t="s">
        <v>424</v>
      </c>
      <c r="I31" s="54" t="s">
        <v>425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1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/>
      </c>
      <c r="B33" s="241"/>
      <c r="C33" s="241"/>
      <c r="D33" s="241"/>
      <c r="E33" s="241"/>
      <c r="F33" s="241"/>
      <c r="G33" s="241"/>
      <c r="H33" s="241"/>
      <c r="I33" s="241"/>
      <c r="J33" s="241"/>
      <c r="K33" s="241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2"/>
      <c r="E38" s="242"/>
    </row>
  </sheetData>
  <sheetProtection algorithmName="SHA-512" hashValue="6CLBhxJ6f8msKe0x5i6XfoDOZi+TmHNgCxUzt5WI4GvClZWrMyxP4FFMMhBYcsz3K3H//p6RaeBvBk1uVR1LPg==" saltValue="kIY5jgnDhcParYGM+7w6XA==" spinCount="100000" sheet="1"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I13">
      <formula1>"000BNC4 - APP NO SCREEN, 000NNC2 - SCREEN"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zoomScale="85" zoomScaleNormal="85" workbookViewId="0">
      <selection activeCell="A8" sqref="A8:D8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64" t="s">
        <v>46</v>
      </c>
      <c r="B1" s="264"/>
      <c r="C1" s="264"/>
      <c r="D1" s="30"/>
      <c r="E1" s="264" t="s">
        <v>47</v>
      </c>
      <c r="F1" s="264"/>
      <c r="G1" s="264"/>
      <c r="H1" s="26"/>
      <c r="I1" s="26"/>
      <c r="M1" s="285" t="s">
        <v>143</v>
      </c>
      <c r="N1" s="285"/>
      <c r="O1" s="285"/>
      <c r="P1" s="285"/>
      <c r="Q1" s="264" t="s">
        <v>150</v>
      </c>
      <c r="R1" s="264"/>
    </row>
    <row r="2" spans="1:18" ht="15.75" thickTop="1" x14ac:dyDescent="0.25">
      <c r="A2" s="31" t="str">
        <f>IF(CALCULATIONS!B20=0,"",CALCULATIONS!B20)</f>
        <v>55004797977</v>
      </c>
      <c r="B2" s="26"/>
      <c r="C2" s="32">
        <f>CALCULATIONS!B15</f>
        <v>43699</v>
      </c>
      <c r="D2" s="26"/>
      <c r="E2" s="293" t="str">
        <f ca="1">I2&amp;CHAR(10)&amp;I3&amp;CHAR(10)&amp;I4</f>
        <v>ELECTRICAL 3 LINE DIAGRAM
17.11kW PV SYSTEM (SUNRUN)
58 - TRINA 295 (TSM-295 DD05A.05)</v>
      </c>
      <c r="F2" s="275"/>
      <c r="G2" s="26" t="str">
        <f>CALCULATIONS!B13</f>
        <v>ALLGEYER, ROBERT-</v>
      </c>
      <c r="H2" s="26"/>
      <c r="I2" s="26" t="s">
        <v>151</v>
      </c>
      <c r="M2" s="59" t="str">
        <f>IF(FORM!D28="","",FORM!D28)</f>
        <v>A1</v>
      </c>
      <c r="N2" s="286" t="str">
        <f>IF(FORM!E28="","",UPPER(FORM!E28))</f>
        <v>AS BUILT</v>
      </c>
      <c r="O2" s="286"/>
      <c r="P2" s="64">
        <f>IF(FORM!F28="","",FORM!F28)</f>
        <v>43727</v>
      </c>
      <c r="Q2" s="61">
        <f>(CALCULATIONS!B12)</f>
        <v>58</v>
      </c>
      <c r="R2" s="61" t="str">
        <f>(CALCULATIONS!C12)</f>
        <v>TRINA 295 (TSM-295 DD05A.05)</v>
      </c>
    </row>
    <row r="3" spans="1:18" x14ac:dyDescent="0.25">
      <c r="A3" s="31" t="str">
        <f>IF(CALCULATIONS!B21=0,"",CALCULATIONS!B21)</f>
        <v>99f104547328</v>
      </c>
      <c r="B3" s="26"/>
      <c r="C3" s="26" t="str">
        <f>CALCULATIONS!B22</f>
        <v>KTD</v>
      </c>
      <c r="D3" s="26"/>
      <c r="E3" s="294"/>
      <c r="F3" s="243"/>
      <c r="G3" s="295" t="str">
        <f ca="1">IF(AND(CALCULATIONS!A1&lt;TODAY(),OR(CALCULATIONS!B15="NODATE",CALCULATIONS!A1&lt;CALCULATIONS!B15)),"",CALCULATIONS!B14&amp;CHAR(10)&amp;"TRINITY ACCOUNT #: "&amp;CALCULATIONS!B18)</f>
        <v>400 West Liebig Avenue
Egg harbor city, NJ 08215
39.511394,-74.557062
TRINITY ACCOUNT #: 2019-07-361837</v>
      </c>
      <c r="H3" s="26"/>
      <c r="I3" s="26" t="str">
        <f ca="1">IF(AND(CALCULATIONS!A1&lt;TODAY(),OR(CALCULATIONS!B15="NODATE",CALCULATIONS!A1&lt;CALCULATIONS!B15)),"",CALCULATIONS!D34&amp;"kW PV SYSTEM "&amp;CALCULATIONS!B16)</f>
        <v>17.11kW PV SYSTEM (SUNRUN)</v>
      </c>
      <c r="M3" s="59" t="str">
        <f>IF(FORM!D29="","",FORM!D29)</f>
        <v>R2</v>
      </c>
      <c r="N3" s="286" t="str">
        <f>IF(FORM!E29="","",UPPER(FORM!E29))</f>
        <v>MODULE TYPE CHANGE</v>
      </c>
      <c r="O3" s="286"/>
      <c r="P3" s="64">
        <f>IF(FORM!F29="","",FORM!F29)</f>
        <v>43707</v>
      </c>
      <c r="Q3" s="62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62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SE7600H-US000BNC4</v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AS BUILT 1</v>
      </c>
      <c r="B4" s="26"/>
      <c r="C4" s="26"/>
      <c r="D4" s="26"/>
      <c r="E4" s="294"/>
      <c r="F4" s="243"/>
      <c r="G4" s="295"/>
      <c r="H4" s="26"/>
      <c r="I4" s="26" t="str">
        <f ca="1">IF(AND(CALCULATIONS!A1&lt;TODAY(),OR(CALCULATIONS!B15="NODATE",CALCULATIONS!A1&lt;CALCULATIONS!B15)),"",CALCULATIONS!B12&amp;" - "&amp;CALCULATIONS!C12)</f>
        <v>58 - TRINA 295 (TSM-295 DD05A.05)</v>
      </c>
      <c r="M4" s="59" t="str">
        <f>IF(FORM!D30="","",FORM!D30)</f>
        <v>R1</v>
      </c>
      <c r="N4" s="286" t="str">
        <f>IF(FORM!E30="","",UPPER(FORM!E30))</f>
        <v>INVERTER CHANGE</v>
      </c>
      <c r="O4" s="286"/>
      <c r="P4" s="64">
        <f>IF(FORM!F30="","",FORM!F30)</f>
        <v>43704</v>
      </c>
      <c r="Q4" s="62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4" s="62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>SE6000H-US000BNC4</v>
      </c>
    </row>
    <row r="5" spans="1:18" x14ac:dyDescent="0.25">
      <c r="A5" s="32">
        <f>IF(CALCULATIONS!B25="","",CALCULATIONS!B25)</f>
        <v>43727</v>
      </c>
      <c r="B5" s="26"/>
      <c r="C5" s="26" t="str">
        <f>IF(CALCULATIONS!B24=0,"",CALCULATIONS!B24)</f>
        <v>JMS</v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86" t="str">
        <f>IF(FORM!E31="","",FORM!E31)</f>
        <v>ISSUED TO TOWNSHIP FOR PERMIT</v>
      </c>
      <c r="O5" s="286"/>
      <c r="P5" s="64">
        <f>IF(FORM!F31="","",FORM!F31)</f>
        <v>43699</v>
      </c>
      <c r="Q5" s="62" t="str">
        <f>IF(R5="","",1)</f>
        <v/>
      </c>
      <c r="R5" s="62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87" t="s">
        <v>138</v>
      </c>
      <c r="O6" s="288"/>
      <c r="P6" s="60" t="s">
        <v>139</v>
      </c>
      <c r="Q6" s="62" t="str">
        <f>IF(R6="","",1)</f>
        <v/>
      </c>
      <c r="R6" s="62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64" t="s">
        <v>63</v>
      </c>
      <c r="B7" s="264"/>
      <c r="C7" s="264"/>
      <c r="D7" s="264"/>
      <c r="E7" s="26"/>
      <c r="F7" s="26"/>
      <c r="G7" s="35" t="s">
        <v>75</v>
      </c>
      <c r="H7" s="26"/>
      <c r="I7" s="36" t="s">
        <v>79</v>
      </c>
      <c r="M7" s="289"/>
      <c r="N7" s="289"/>
      <c r="O7" s="289"/>
      <c r="P7" s="289"/>
      <c r="Q7" s="63"/>
      <c r="R7" s="63"/>
    </row>
    <row r="8" spans="1:18" ht="60.75" thickTop="1" x14ac:dyDescent="0.25">
      <c r="A8" s="275" t="str">
        <f>("INVERTER #1 - "&amp;CALCULATIONS!C67)</f>
        <v>INVERTER #1 - SE7600H-US000BNC4</v>
      </c>
      <c r="B8" s="275"/>
      <c r="C8" s="275"/>
      <c r="D8" s="275"/>
      <c r="E8" s="26"/>
      <c r="F8" s="26"/>
      <c r="G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2 ARRAYS
58 - 295W MODULES W/ 1 SOLAR EDGE P320 PER MODULE</v>
      </c>
      <c r="H8" s="26"/>
      <c r="I8" s="38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2 ARRAYS
58 - 295W MODULES
0 - ENPHASE 0
FALSE</v>
      </c>
      <c r="M8" s="290" t="str">
        <f>(UPPER(A71))</f>
        <v>ALLGEYER, ROBERT-</v>
      </c>
      <c r="N8" s="291"/>
      <c r="O8" s="291"/>
      <c r="P8" s="292"/>
    </row>
    <row r="9" spans="1:18" ht="73.5" customHeight="1" x14ac:dyDescent="0.25">
      <c r="A9" s="243" t="s">
        <v>64</v>
      </c>
      <c r="B9" s="243"/>
      <c r="C9" s="243" t="s">
        <v>65</v>
      </c>
      <c r="D9" s="243"/>
      <c r="E9" s="39"/>
      <c r="F9" s="26"/>
      <c r="G9" s="37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2 STRINGS OF 16 MODULES IN SERIES - 400 Vmax
*2 STRINGS TO BE TERMINATED IN PARALLEL INSIDE INVERTER 1</v>
      </c>
      <c r="H9" s="37"/>
      <c r="I9" s="38"/>
      <c r="J9" s="37"/>
      <c r="K9" s="37"/>
      <c r="M9" s="269" t="str">
        <f>("TRINITY ACCT #: "&amp;CALCULATIONS!B18)</f>
        <v>TRINITY ACCT #: 2019-07-361837</v>
      </c>
      <c r="N9" s="274"/>
      <c r="O9" s="274"/>
      <c r="P9" s="27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IF(AND(CALCULATIONS!A1&lt;TODAY(),OR(CALCULATIONS!B15="NODATE",CALCULATIONS!A1&lt;CALCULATIONS!B15)),"#VALUE!",CALCULATIONS!B29)</f>
        <v>20</v>
      </c>
      <c r="C10" s="27" t="s">
        <v>66</v>
      </c>
      <c r="D10" s="27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7600</v>
      </c>
      <c r="G10" s="193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>2 STRINGS OF 13 MODULES IN SERIES - 380 Vmax
*2 STRINGS TO BE TERMINATED IN PARALLEL INSIDE INVERTER 2</v>
      </c>
      <c r="I10" s="41" t="str">
        <f>(CALCULATIONS!I28&amp;" MODULES ON "&amp;CALCULATIONS!I28&amp;" ENPHASE "&amp;CALCULATIONS!F2)</f>
        <v>0 MODULES ON 0 ENPHASE 0</v>
      </c>
      <c r="M10" s="267"/>
      <c r="N10" s="273"/>
      <c r="O10" s="273"/>
      <c r="P10" s="268"/>
    </row>
    <row r="11" spans="1:18" ht="70.5" customHeight="1" x14ac:dyDescent="0.25">
      <c r="A11" s="27" t="s">
        <v>4</v>
      </c>
      <c r="B11" s="27">
        <f>(CALCULATIONS!B30)</f>
        <v>400</v>
      </c>
      <c r="C11" s="27" t="s">
        <v>68</v>
      </c>
      <c r="D11" s="27">
        <f>(CALCULATIONS!B33)</f>
        <v>32</v>
      </c>
      <c r="G11" s="40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41"/>
      <c r="M11" s="290" t="str">
        <f>(UPPER(A73))</f>
        <v>400 WEST LIEBIG AVENUE
EGG HARBOR CITY, NJ 08215
39.511394,-74.557062</v>
      </c>
      <c r="N11" s="291"/>
      <c r="O11" s="291"/>
      <c r="P11" s="292"/>
    </row>
    <row r="12" spans="1:18" ht="75" customHeight="1" x14ac:dyDescent="0.25">
      <c r="A12" s="27" t="s">
        <v>5</v>
      </c>
      <c r="B12" s="27">
        <f>(CALCULATIONS!B31)</f>
        <v>480</v>
      </c>
      <c r="C12" s="27" t="s">
        <v>310</v>
      </c>
      <c r="D12" s="27">
        <f>(D11*1.25)</f>
        <v>40</v>
      </c>
      <c r="G12" s="40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41" t="str">
        <f>(CALCULATIONS!I29&amp;" MODULES ON "&amp;CALCULATIONS!I29&amp;" ENPHASE "&amp;CALCULATIONS!F2)</f>
        <v>0 MODULES ON 0 ENPHASE 0</v>
      </c>
      <c r="M12" s="269"/>
      <c r="N12" s="274"/>
      <c r="O12" s="274"/>
      <c r="P12" s="270"/>
    </row>
    <row r="13" spans="1:18" ht="60" customHeight="1" x14ac:dyDescent="0.25">
      <c r="A13" s="27" t="s">
        <v>6</v>
      </c>
      <c r="B13" s="27">
        <f>(CALCULATIONS!B32)</f>
        <v>30</v>
      </c>
      <c r="C13" s="27" t="s">
        <v>67</v>
      </c>
      <c r="D13" s="27">
        <f>(240)</f>
        <v>240</v>
      </c>
      <c r="G13" s="40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41"/>
      <c r="M13" s="290" t="str">
        <f ca="1">(A75)</f>
        <v>AS BUILT PV SOLAR SYSTEM</v>
      </c>
      <c r="N13" s="291"/>
      <c r="O13" s="291"/>
      <c r="P13" s="292"/>
    </row>
    <row r="14" spans="1:18" x14ac:dyDescent="0.25">
      <c r="I14" s="41" t="str">
        <f>(CALCULATIONS!I30&amp;" MODULES ON "&amp;CALCULATIONS!I30&amp;" ENPHASE "&amp;CALCULATIONS!F2)</f>
        <v>0 MODULES ON 0 ENPHASE 0</v>
      </c>
      <c r="M14" s="269"/>
      <c r="N14" s="274"/>
      <c r="O14" s="274"/>
      <c r="P14" s="270"/>
    </row>
    <row r="15" spans="1:18" ht="18" thickBot="1" x14ac:dyDescent="0.35">
      <c r="A15" s="264" t="s">
        <v>69</v>
      </c>
      <c r="B15" s="264"/>
      <c r="C15" s="264"/>
      <c r="D15" s="264"/>
      <c r="I15" s="41"/>
      <c r="M15" s="278" t="s">
        <v>144</v>
      </c>
      <c r="N15" s="279"/>
      <c r="O15" s="265">
        <f>(B77)</f>
        <v>43699</v>
      </c>
      <c r="P15" s="266"/>
    </row>
    <row r="16" spans="1:18" ht="15.75" thickTop="1" x14ac:dyDescent="0.25">
      <c r="A16" s="275" t="str">
        <f>("INVERTER #2 - "&amp;CALCULATIONS!C68)</f>
        <v>INVERTER #2 - SE6000H-US000BNC4</v>
      </c>
      <c r="B16" s="275"/>
      <c r="C16" s="275"/>
      <c r="D16" s="275"/>
      <c r="I16" s="41" t="str">
        <f>(CALCULATIONS!I31&amp;" MODULES ON "&amp;CALCULATIONS!I31&amp;" ENPHASE "&amp;CALCULATIONS!F2)</f>
        <v>0 MODULES ON 0 ENPHASE 0</v>
      </c>
      <c r="M16" s="278" t="s">
        <v>145</v>
      </c>
      <c r="N16" s="279"/>
      <c r="O16" s="267" t="str">
        <f>(UPPER(B78))</f>
        <v>KTD</v>
      </c>
      <c r="P16" s="268"/>
    </row>
    <row r="17" spans="1:17" x14ac:dyDescent="0.25">
      <c r="A17" s="243" t="s">
        <v>64</v>
      </c>
      <c r="B17" s="243"/>
      <c r="C17" s="243" t="s">
        <v>65</v>
      </c>
      <c r="D17" s="243"/>
      <c r="I17" s="41"/>
      <c r="M17" s="278" t="s">
        <v>146</v>
      </c>
      <c r="N17" s="279"/>
      <c r="O17" s="267" t="str">
        <f>(UPPER(IF(CALCULATIONS!B24=0,"",CALCULATIONS!B24)))</f>
        <v>JMS</v>
      </c>
      <c r="P17" s="268"/>
    </row>
    <row r="18" spans="1:17" x14ac:dyDescent="0.25">
      <c r="A18" s="27" t="s">
        <v>3</v>
      </c>
      <c r="B18" s="27">
        <f ca="1">IF(AND(CALCULATIONS!A1&lt;TODAY(),OR(CALCULATIONS!B15="NODATE",CALCULATIONS!A1&lt;CALCULATIONS!B15)),"",CALCULATIONS!C29)</f>
        <v>16.5</v>
      </c>
      <c r="C18" s="27" t="s">
        <v>66</v>
      </c>
      <c r="D18" s="27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>6000</v>
      </c>
      <c r="I18" s="41" t="str">
        <f>(CALCULATIONS!I32&amp;" MODULES ON "&amp;CALCULATIONS!I32&amp;" ENPHASE "&amp;CALCULATIONS!F2)</f>
        <v>0 MODULES ON 0 ENPHASE 0</v>
      </c>
      <c r="M18" s="267"/>
      <c r="N18" s="273"/>
      <c r="O18" s="273"/>
      <c r="P18" s="268"/>
    </row>
    <row r="19" spans="1:17" x14ac:dyDescent="0.25">
      <c r="A19" s="27" t="s">
        <v>4</v>
      </c>
      <c r="B19" s="27">
        <f ca="1">IF(AND(CALCULATIONS!A1&lt;TODAY(),OR(CALCULATIONS!B15="NODATE",CALCULATIONS!A1&lt;CALCULATIONS!B15)),"",CALCULATIONS!C30)</f>
        <v>380</v>
      </c>
      <c r="C19" s="27" t="s">
        <v>68</v>
      </c>
      <c r="D19" s="27">
        <f ca="1">IF(AND(CALCULATIONS!A1&lt;TODAY(),OR(CALCULATIONS!B15="NODATE",CALCULATIONS!A1&lt;CALCULATIONS!B15)),"",CALCULATIONS!C33)</f>
        <v>25</v>
      </c>
      <c r="M19" s="278" t="s">
        <v>311</v>
      </c>
      <c r="N19" s="279"/>
      <c r="O19" s="267" t="str">
        <f>(B83)</f>
        <v>17.11kW</v>
      </c>
      <c r="P19" s="268"/>
    </row>
    <row r="20" spans="1:17" x14ac:dyDescent="0.25">
      <c r="A20" s="27" t="s">
        <v>5</v>
      </c>
      <c r="B20" s="27">
        <f ca="1">IF(AND(CALCULATIONS!A1&lt;TODAY(),OR(CALCULATIONS!B15="NODATE",CALCULATIONS!A1&lt;CALCULATIONS!B15)),"",CALCULATIONS!C31)</f>
        <v>480</v>
      </c>
      <c r="C20" s="27" t="s">
        <v>310</v>
      </c>
      <c r="D20" s="27">
        <f ca="1">IF(AND(CALCULATIONS!A1&lt;TODAY(),OR(CALCULATIONS!B15="NODATE",CALCULATIONS!A1&lt;CALCULATIONS!B15)),"",D19*1.25)</f>
        <v>31.25</v>
      </c>
      <c r="M20" s="278" t="s">
        <v>312</v>
      </c>
      <c r="N20" s="279"/>
      <c r="O20" s="267" t="str">
        <f>(SUM(M32:Q32)/1000)&amp;"kW"</f>
        <v>13.6kW</v>
      </c>
      <c r="P20" s="268"/>
    </row>
    <row r="21" spans="1:17" x14ac:dyDescent="0.25">
      <c r="A21" s="27" t="s">
        <v>6</v>
      </c>
      <c r="B21" s="27">
        <f ca="1">IF(AND(CALCULATIONS!A1&lt;TODAY(),OR(CALCULATIONS!B15="NODATE",CALCULATIONS!A1&lt;CALCULATIONS!B15)),"",CALCULATIONS!C32)</f>
        <v>30</v>
      </c>
      <c r="C21" s="27" t="s">
        <v>67</v>
      </c>
      <c r="D21" s="27">
        <f ca="1">IF(AND(CALCULATIONS!A1&lt;TODAY(),OR(CALCULATIONS!B15="NODATE",CALCULATIONS!A1&lt;CALCULATIONS!B15)),"",240)</f>
        <v>240</v>
      </c>
      <c r="M21" s="278" t="s">
        <v>147</v>
      </c>
      <c r="N21" s="279"/>
      <c r="O21" s="267">
        <f>(B84)</f>
        <v>58</v>
      </c>
      <c r="P21" s="268"/>
    </row>
    <row r="22" spans="1:17" x14ac:dyDescent="0.25">
      <c r="M22" s="278" t="s">
        <v>148</v>
      </c>
      <c r="N22" s="279"/>
      <c r="O22" s="267" t="str">
        <f>(B85)</f>
        <v>TRINA 295</v>
      </c>
      <c r="P22" s="268"/>
    </row>
    <row r="23" spans="1:17" ht="18" thickBot="1" x14ac:dyDescent="0.35">
      <c r="A23" s="264" t="s">
        <v>70</v>
      </c>
      <c r="B23" s="264"/>
      <c r="C23" s="264"/>
      <c r="D23" s="264"/>
      <c r="M23" s="276" t="s">
        <v>149</v>
      </c>
      <c r="N23" s="277"/>
      <c r="O23" s="267" t="str">
        <f>(B86)</f>
        <v>TSM-295 DD05A.05</v>
      </c>
      <c r="P23" s="268"/>
    </row>
    <row r="24" spans="1:17" ht="15.75" thickTop="1" x14ac:dyDescent="0.25">
      <c r="A24" s="275" t="str">
        <f>("INVERTER #3 - "&amp;CALCULATIONS!C69)</f>
        <v xml:space="preserve">INVERTER #3 - </v>
      </c>
      <c r="B24" s="275"/>
      <c r="C24" s="275"/>
      <c r="D24" s="275"/>
      <c r="M24" s="276" t="s">
        <v>23</v>
      </c>
      <c r="N24" s="277"/>
      <c r="O24" s="271" t="str">
        <f>(B87)</f>
        <v>ACE</v>
      </c>
      <c r="P24" s="272"/>
    </row>
    <row r="25" spans="1:17" x14ac:dyDescent="0.25">
      <c r="A25" s="243" t="s">
        <v>64</v>
      </c>
      <c r="B25" s="243"/>
      <c r="C25" s="243" t="s">
        <v>65</v>
      </c>
      <c r="D25" s="243"/>
      <c r="M25" s="276" t="s">
        <v>153</v>
      </c>
      <c r="N25" s="277"/>
      <c r="O25" s="267" t="str">
        <f>(UPPER(B88))</f>
        <v>55004797977</v>
      </c>
      <c r="P25" s="268"/>
    </row>
    <row r="26" spans="1:17" x14ac:dyDescent="0.25">
      <c r="A26" s="27" t="s">
        <v>3</v>
      </c>
      <c r="B26" s="27">
        <f ca="1">IF(AND(CALCULATIONS!A1&lt;TODAY(),OR(CALCULATIONS!B15="NODATE",CALCULATIONS!A1&lt;CALCULATIONS!B15)),"",CALCULATIONS!D29)</f>
        <v>0</v>
      </c>
      <c r="C26" s="27" t="s">
        <v>66</v>
      </c>
      <c r="D26" s="27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76" t="s">
        <v>25</v>
      </c>
      <c r="N26" s="277"/>
      <c r="O26" s="269" t="str">
        <f>(UPPER(IF(CALCULATIONS!B21=0,"",CALCULATIONS!B21)))</f>
        <v>99F104547328</v>
      </c>
      <c r="P26" s="270"/>
    </row>
    <row r="27" spans="1:17" ht="20.25" customHeight="1" x14ac:dyDescent="0.25">
      <c r="A27" s="27" t="s">
        <v>4</v>
      </c>
      <c r="B27" s="27">
        <f ca="1">IF(AND(CALCULATIONS!A1&lt;TODAY(),OR(CALCULATIONS!B15="NODATE",CALCULATIONS!A1&lt;CALCULATIONS!B15)),"",CALCULATIONS!D30)</f>
        <v>0</v>
      </c>
      <c r="C27" s="27" t="s">
        <v>68</v>
      </c>
      <c r="D27" s="27">
        <f ca="1">IF(AND(CALCULATIONS!A1&lt;TODAY(),OR(CALCULATIONS!B15="NODATE",CALCULATIONS!A1&lt;CALCULATIONS!B15)),"",CALCULATIONS!D33)</f>
        <v>0</v>
      </c>
      <c r="M27" s="280" t="s">
        <v>155</v>
      </c>
      <c r="N27" s="281"/>
      <c r="O27" s="269" t="str">
        <f>(IF(FORM!B18="","",FORM!B18))</f>
        <v>SUNRUN</v>
      </c>
      <c r="P27" s="270"/>
    </row>
    <row r="28" spans="1:17" x14ac:dyDescent="0.25">
      <c r="A28" s="27" t="s">
        <v>5</v>
      </c>
      <c r="B28" s="27">
        <f ca="1">IF(AND(CALCULATIONS!A1&lt;TODAY(),OR(CALCULATIONS!B15="NODATE",CALCULATIONS!A1&lt;CALCULATIONS!B15)),"",CALCULATIONS!D31)</f>
        <v>0</v>
      </c>
      <c r="C28" s="27" t="s">
        <v>310</v>
      </c>
      <c r="D28" s="27">
        <f ca="1">IF(AND(CALCULATIONS!A1&lt;TODAY(),OR(CALCULATIONS!B15="NODATE",CALCULATIONS!A1&lt;CALCULATIONS!B15)),"",D27*1.25)</f>
        <v>0</v>
      </c>
      <c r="M28" s="282"/>
      <c r="N28" s="283"/>
      <c r="O28" s="283"/>
      <c r="P28" s="284"/>
    </row>
    <row r="29" spans="1:17" ht="39.75" customHeight="1" x14ac:dyDescent="0.25">
      <c r="A29" s="27" t="s">
        <v>6</v>
      </c>
      <c r="B29" s="27">
        <f ca="1">IF(AND(CALCULATIONS!A1&lt;TODAY(),OR(CALCULATIONS!B15="NODATE",CALCULATIONS!A1&lt;CALCULATIONS!B15)),"",CALCULATIONS!D32)</f>
        <v>0</v>
      </c>
      <c r="C29" s="27" t="s">
        <v>67</v>
      </c>
      <c r="D29" s="27">
        <f ca="1">IF(AND(CALCULATIONS!A1&lt;TODAY(),OR(CALCULATIONS!B15="NODATE",CALCULATIONS!A1&lt;CALCULATIONS!B15)),"",240)</f>
        <v>240</v>
      </c>
      <c r="M29" s="299" t="str">
        <f ca="1">IF(AND(CALCULATIONS!A1&lt;TODAY(),OR(CALCULATIONS!B15="NODATE",CALCULATIONS!A1&lt;CALCULATIONS!B15)),"",IF(FORM!B29="","P1",FORM!B29))</f>
        <v>A1</v>
      </c>
      <c r="N29" s="300"/>
      <c r="O29" s="267"/>
      <c r="P29" s="268"/>
    </row>
    <row r="31" spans="1:17" ht="18" thickBot="1" x14ac:dyDescent="0.35">
      <c r="A31" s="264" t="s">
        <v>71</v>
      </c>
      <c r="B31" s="264"/>
      <c r="C31" s="264"/>
      <c r="D31" s="26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75" t="str">
        <f>("INVERTER #4 - "&amp;CALCULATIONS!C70)</f>
        <v xml:space="preserve">INVERTER #4 - </v>
      </c>
      <c r="B32" s="275"/>
      <c r="C32" s="275"/>
      <c r="D32" s="275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7600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6000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243" t="s">
        <v>64</v>
      </c>
      <c r="B33" s="243"/>
      <c r="C33" s="243" t="s">
        <v>65</v>
      </c>
      <c r="D33" s="243"/>
    </row>
    <row r="34" spans="1:4" x14ac:dyDescent="0.25">
      <c r="A34" s="27" t="s">
        <v>3</v>
      </c>
      <c r="B34" s="27">
        <f ca="1">IF(AND(CALCULATIONS!A1&lt;TODAY(),OR(CALCULATIONS!B15="NODATE",CALCULATIONS!A1&lt;CALCULATIONS!B15)),"",CALCULATIONS!E29)</f>
        <v>0</v>
      </c>
      <c r="C34" s="27" t="s">
        <v>66</v>
      </c>
      <c r="D34" s="27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27" t="s">
        <v>4</v>
      </c>
      <c r="B35" s="27">
        <f ca="1">IF(AND(CALCULATIONS!A1&lt;TODAY(),OR(CALCULATIONS!B15="NODATE",CALCULATIONS!A1&lt;CALCULATIONS!B15)),"",CALCULATIONS!E30)</f>
        <v>0</v>
      </c>
      <c r="C35" s="27" t="s">
        <v>68</v>
      </c>
      <c r="D35" s="27">
        <f ca="1">IF(AND(CALCULATIONS!A1&lt;TODAY(),OR(CALCULATIONS!B15="NODATE",CALCULATIONS!A1&lt;CALCULATIONS!B15)),"",CALCULATIONS!E33)</f>
        <v>0</v>
      </c>
    </row>
    <row r="36" spans="1:4" x14ac:dyDescent="0.25">
      <c r="A36" s="27" t="s">
        <v>5</v>
      </c>
      <c r="B36" s="27">
        <f ca="1">IF(AND(CALCULATIONS!A1&lt;TODAY(),OR(CALCULATIONS!B15="NODATE",CALCULATIONS!A1&lt;CALCULATIONS!B15)),"",CALCULATIONS!E31)</f>
        <v>0</v>
      </c>
      <c r="C36" s="27" t="s">
        <v>310</v>
      </c>
      <c r="D36" s="27">
        <f ca="1">IF(AND(CALCULATIONS!A1&lt;TODAY(),OR(CALCULATIONS!B15="NODATE",CALCULATIONS!A1&lt;CALCULATIONS!B15)),"",D35*1.25)</f>
        <v>0</v>
      </c>
    </row>
    <row r="37" spans="1:4" x14ac:dyDescent="0.25">
      <c r="A37" s="27" t="s">
        <v>6</v>
      </c>
      <c r="B37" s="27">
        <f ca="1">IF(AND(CALCULATIONS!A1&lt;TODAY(),OR(CALCULATIONS!B15="NODATE",CALCULATIONS!A1&lt;CALCULATIONS!B15)),"",CALCULATIONS!E32)</f>
        <v>0</v>
      </c>
      <c r="C37" s="27" t="s">
        <v>67</v>
      </c>
      <c r="D37" s="27">
        <f ca="1">IF(AND(CALCULATIONS!A1&lt;TODAY(),OR(CALCULATIONS!B15="NODATE",CALCULATIONS!A1&lt;CALCULATIONS!B15)),"",240)</f>
        <v>240</v>
      </c>
    </row>
    <row r="39" spans="1:4" ht="18" thickBot="1" x14ac:dyDescent="0.35">
      <c r="A39" s="264" t="s">
        <v>72</v>
      </c>
      <c r="B39" s="264"/>
      <c r="C39" s="264"/>
      <c r="D39" s="264"/>
    </row>
    <row r="40" spans="1:4" ht="15.75" thickTop="1" x14ac:dyDescent="0.25">
      <c r="A40" s="275" t="str">
        <f ca="1">IF(AND(CALCULATIONS!A1&lt;TODAY(),OR(CALCULATIONS!B15="NODATE",CALCULATIONS!A1&lt;CALCULATIONS!B15)),"","INVERTER #5 - "&amp;CALCULATIONS!F28)</f>
        <v>INVERTER #5 - 0</v>
      </c>
      <c r="B40" s="275"/>
      <c r="C40" s="275"/>
      <c r="D40" s="275"/>
    </row>
    <row r="41" spans="1:4" x14ac:dyDescent="0.25">
      <c r="A41" s="243" t="s">
        <v>64</v>
      </c>
      <c r="B41" s="243"/>
      <c r="C41" s="243" t="s">
        <v>65</v>
      </c>
      <c r="D41" s="243"/>
    </row>
    <row r="42" spans="1:4" x14ac:dyDescent="0.25">
      <c r="A42" s="27" t="s">
        <v>3</v>
      </c>
      <c r="B42" s="27">
        <f ca="1">IF(AND(CALCULATIONS!A1&lt;TODAY(),OR(CALCULATIONS!B15="NODATE",CALCULATIONS!A1&lt;CALCULATIONS!B15)),"",CALCULATIONS!F29)</f>
        <v>0</v>
      </c>
      <c r="C42" s="27" t="s">
        <v>66</v>
      </c>
      <c r="D42" s="27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27" t="s">
        <v>4</v>
      </c>
      <c r="B43" s="27">
        <f ca="1">IF(AND(CALCULATIONS!A1&lt;TODAY(),OR(CALCULATIONS!B15="NODATE",CALCULATIONS!A1&lt;CALCULATIONS!B15)),"",CALCULATIONS!F30)</f>
        <v>0</v>
      </c>
      <c r="C43" s="27" t="s">
        <v>68</v>
      </c>
      <c r="D43" s="27">
        <f ca="1">IF(AND(CALCULATIONS!A1&lt;TODAY(),OR(CALCULATIONS!B15="NODATE",CALCULATIONS!A1&lt;CALCULATIONS!B15)),"",CALCULATIONS!F33)</f>
        <v>0</v>
      </c>
    </row>
    <row r="44" spans="1:4" x14ac:dyDescent="0.25">
      <c r="A44" s="27" t="s">
        <v>5</v>
      </c>
      <c r="B44" s="27">
        <f ca="1">IF(AND(CALCULATIONS!A1&lt;TODAY(),OR(CALCULATIONS!B15="NODATE",CALCULATIONS!A1&lt;CALCULATIONS!B15)),"",CALCULATIONS!F31)</f>
        <v>0</v>
      </c>
      <c r="C44" s="27" t="s">
        <v>310</v>
      </c>
      <c r="D44" s="27">
        <f ca="1">IF(AND(CALCULATIONS!A1&lt;TODAY(),OR(CALCULATIONS!B15="NODATE",CALCULATIONS!A1&lt;CALCULATIONS!B15)),"",D43*1.25)</f>
        <v>0</v>
      </c>
    </row>
    <row r="45" spans="1:4" x14ac:dyDescent="0.25">
      <c r="A45" s="27" t="s">
        <v>6</v>
      </c>
      <c r="B45" s="27">
        <f ca="1">IF(AND(CALCULATIONS!A1&lt;TODAY(),OR(CALCULATIONS!B15="NODATE",CALCULATIONS!A1&lt;CALCULATIONS!B15)),"",CALCULATIONS!F32)</f>
        <v>0</v>
      </c>
      <c r="C45" s="27" t="s">
        <v>67</v>
      </c>
      <c r="D45" s="27">
        <f ca="1">IF(AND(CALCULATIONS!A1&lt;TODAY(),OR(CALCULATIONS!B15="NODATE",CALCULATIONS!A1&lt;CALCULATIONS!B15)),"",240)</f>
        <v>240</v>
      </c>
    </row>
    <row r="48" spans="1:4" ht="18" thickBot="1" x14ac:dyDescent="0.35">
      <c r="A48" s="264" t="s">
        <v>76</v>
      </c>
      <c r="B48" s="264"/>
    </row>
    <row r="49" spans="1:7" ht="15.75" thickTop="1" x14ac:dyDescent="0.25">
      <c r="A49" s="298" t="s">
        <v>77</v>
      </c>
      <c r="B49" s="298"/>
    </row>
    <row r="50" spans="1:7" x14ac:dyDescent="0.25">
      <c r="A50" s="298" t="str">
        <f>(CALCULATIONS!C12)</f>
        <v>TRINA 295 (TSM-295 DD05A.05)</v>
      </c>
      <c r="B50" s="298"/>
    </row>
    <row r="51" spans="1:7" x14ac:dyDescent="0.25">
      <c r="A51" s="27" t="s">
        <v>3</v>
      </c>
      <c r="B51" s="27">
        <f>(CALCULATIONS!H10)</f>
        <v>9.08</v>
      </c>
    </row>
    <row r="52" spans="1:7" x14ac:dyDescent="0.25">
      <c r="A52" s="27" t="s">
        <v>4</v>
      </c>
      <c r="B52" s="27">
        <f>(CALCULATIONS!H11)</f>
        <v>32.5</v>
      </c>
    </row>
    <row r="53" spans="1:7" x14ac:dyDescent="0.25">
      <c r="A53" s="27" t="s">
        <v>5</v>
      </c>
      <c r="B53" s="27">
        <f>(CALCULATIONS!H12)</f>
        <v>39.700000000000003</v>
      </c>
    </row>
    <row r="54" spans="1:7" x14ac:dyDescent="0.25">
      <c r="A54" s="27" t="s">
        <v>6</v>
      </c>
      <c r="B54" s="27">
        <f>(CALCULATIONS!H13)</f>
        <v>9.5500000000000007</v>
      </c>
    </row>
    <row r="59" spans="1:7" ht="17.25" x14ac:dyDescent="0.3">
      <c r="A59" s="285" t="s">
        <v>80</v>
      </c>
      <c r="B59" s="285"/>
      <c r="C59" s="285"/>
      <c r="D59" s="285"/>
      <c r="G59" s="27" t="s">
        <v>114</v>
      </c>
    </row>
    <row r="60" spans="1:7" x14ac:dyDescent="0.25">
      <c r="A60" s="42" t="str">
        <f>IF(B60="","","A")</f>
        <v>A</v>
      </c>
      <c r="B60" s="42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42" t="str">
        <f>IF(D60="","","G")</f>
        <v>G</v>
      </c>
      <c r="D60" s="42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>3/4'' CONDUIT W/ 2-#8 THWN-2, 1-#10 THWN-2, 1-#10 THWN-2 GROUND</v>
      </c>
      <c r="F60" s="42" t="str">
        <f>IF(G60="","","A")</f>
        <v>A</v>
      </c>
      <c r="G60" s="42" t="str">
        <f t="shared" ref="G60:G65" si="0">B60</f>
        <v>#6 THWN-2 GEC TO EXISTING GROUND ROD</v>
      </c>
    </row>
    <row r="61" spans="1:7" x14ac:dyDescent="0.25">
      <c r="A61" s="42" t="str">
        <f>IF(B61="","","B")</f>
        <v>B</v>
      </c>
      <c r="B61" s="42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1'' CONDUIT W/ 2-#4 THWN-2, 1-#8 THWN-2, 1-#8 THWN-2 GROUND</v>
      </c>
      <c r="C61" s="42" t="str">
        <f>IF(D61="","","H")</f>
        <v>H</v>
      </c>
      <c r="D61" s="42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>#10 PV WIRE (FREE AIR) W/ #6 BARE COPPER BOND TO ARRAY</v>
      </c>
      <c r="F61" s="42" t="str">
        <f>IF(G61="","","B")</f>
        <v>B</v>
      </c>
      <c r="G61" s="42" t="str">
        <f t="shared" si="0"/>
        <v>1'' CONDUIT W/ 2-#4 THWN-2, 1-#8 THWN-2, 1-#8 THWN-2 GROUND</v>
      </c>
    </row>
    <row r="62" spans="1:7" x14ac:dyDescent="0.25">
      <c r="A62" s="42" t="str">
        <f>IF(B62="","","C")</f>
        <v>C</v>
      </c>
      <c r="B62" s="42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8-#10 THWN-2, 1-#10 THWN-2 GROUND</v>
      </c>
      <c r="C62" s="42" t="str">
        <f>IF(D62="","","I")</f>
        <v>I</v>
      </c>
      <c r="D62" s="42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>1'' CONDUIT W/ 2-#4 THWN-2,1-#4 THWN-2, 1-#8 THWN-2 GROUND</v>
      </c>
      <c r="F62" s="42" t="str">
        <f>IF(G62="","","C")</f>
        <v>C</v>
      </c>
      <c r="G62" s="42" t="str">
        <f t="shared" si="0"/>
        <v>3/4'' CONDUIT W/ 8-#10 THWN-2, 1-#10 THWN-2 GROUND</v>
      </c>
    </row>
    <row r="63" spans="1:7" x14ac:dyDescent="0.25">
      <c r="A63" s="42" t="str">
        <f>IF(B63="","","D")</f>
        <v>D</v>
      </c>
      <c r="B63" s="42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4-#10 THWN-2, 1-#10 THWN-2 GROUND</v>
      </c>
      <c r="C63" s="42" t="str">
        <f>IF(D63="","","J")</f>
        <v/>
      </c>
      <c r="D63" s="42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42" t="str">
        <f>IF(G63="","","D")</f>
        <v>D</v>
      </c>
      <c r="G63" s="42" t="str">
        <f t="shared" si="0"/>
        <v>3/4'' CONDUIT W/ 4-#10 THWN-2, 1-#10 THWN-2 GROUND</v>
      </c>
    </row>
    <row r="64" spans="1:7" x14ac:dyDescent="0.25">
      <c r="A64" s="42" t="str">
        <f>IF(B64="","","E")</f>
        <v>E</v>
      </c>
      <c r="B64" s="42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4-#10 THWN-2, 1-#10 THWN-2 GROUND</v>
      </c>
      <c r="C64" s="42" t="str">
        <f>IF(D64="","","K")</f>
        <v/>
      </c>
      <c r="D64" s="42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42" t="str">
        <f>IF(G64="","","E")</f>
        <v>E</v>
      </c>
      <c r="G64" s="42" t="str">
        <f t="shared" si="0"/>
        <v>3/4'' CONDUIT W/ 4-#10 THWN-2, 1-#10 THWN-2 GROUND</v>
      </c>
    </row>
    <row r="65" spans="1:7" x14ac:dyDescent="0.25">
      <c r="A65" s="42" t="str">
        <f>IF(B65="","","F")</f>
        <v>F</v>
      </c>
      <c r="B65" s="42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3/4'' CONDUIT W/ 2-#8 THWN-2, 1-#10 THWN-2, 1-#10 THWN-2 GROUND</v>
      </c>
      <c r="C65" s="42" t="str">
        <f>IF(D65="","","L")</f>
        <v/>
      </c>
      <c r="D65" s="42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42" t="str">
        <f>IF(G65="","","F")</f>
        <v>F</v>
      </c>
      <c r="G65" s="42" t="str">
        <f t="shared" si="0"/>
        <v>3/4'' CONDUIT W/ 2-#8 THWN-2, 1-#10 THWN-2, 1-#10 THWN-2 GROUND</v>
      </c>
    </row>
    <row r="66" spans="1:7" x14ac:dyDescent="0.25">
      <c r="A66" s="26"/>
      <c r="B66" s="26"/>
      <c r="C66" s="26"/>
      <c r="D66" s="26"/>
      <c r="F66" s="42" t="str">
        <f>IF(G66="","","G")</f>
        <v>G</v>
      </c>
      <c r="G66" s="42" t="str">
        <f>D60</f>
        <v>3/4'' CONDUIT W/ 2-#8 THWN-2, 1-#10 THWN-2, 1-#10 THWN-2 GROUND</v>
      </c>
    </row>
    <row r="70" spans="1:7" ht="18" thickBot="1" x14ac:dyDescent="0.35">
      <c r="A70" s="264" t="s">
        <v>104</v>
      </c>
      <c r="B70" s="264"/>
      <c r="D70" s="69" t="s">
        <v>154</v>
      </c>
    </row>
    <row r="71" spans="1:7" ht="30.75" thickTop="1" x14ac:dyDescent="0.25">
      <c r="A71" s="301" t="str">
        <f>CALCULATIONS!B13</f>
        <v>ALLGEYER, ROBERT-</v>
      </c>
      <c r="B71" s="301"/>
      <c r="D71" s="76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70" t="str">
        <f>UPPER(CALCULATIONS!B14)</f>
        <v>400 WEST LIEBIG AVENUE
EGG HARBOR CITY, NJ 08215
39.511394,-74.557062</v>
      </c>
    </row>
    <row r="73" spans="1:7" ht="15.75" customHeight="1" x14ac:dyDescent="0.25">
      <c r="A73" s="296" t="str">
        <f>CALCULATIONS!B14</f>
        <v>400 West Liebig Avenue
Egg harbor city, NJ 08215
39.511394,-74.557062</v>
      </c>
      <c r="B73" s="296"/>
    </row>
    <row r="75" spans="1:7" ht="18" thickBot="1" x14ac:dyDescent="0.35">
      <c r="A75" s="297" t="str">
        <f ca="1">IF(AND(CALCULATIONS!A1&lt;TODAY(),OR(CALCULATIONS!B15="NODATE",CALCULATIONS!A1&lt;CALCULATIONS!B15)),"",IF(OR(FORM!B29="A1",FORM!B29="A2",FORM!B29="A3"),"AS BUILT ","PROPOSED ")&amp;"PV SOLAR SYSTEM")</f>
        <v>AS BUILT PV SOLAR SYSTEM</v>
      </c>
      <c r="B75" s="297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>
        <f>CALCULATIONS!B15</f>
        <v>43699</v>
      </c>
    </row>
    <row r="78" spans="1:7" ht="18" thickBot="1" x14ac:dyDescent="0.35">
      <c r="B78" s="44" t="str">
        <f>CALCULATIONS!B22</f>
        <v>KTD</v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NO UTILITY DISCONNECT</v>
      </c>
    </row>
    <row r="80" spans="1:7" x14ac:dyDescent="0.25">
      <c r="B80" s="44" t="str">
        <f>IF(CALCULATIONS!B24=0,"",CALCULATIONS!B24)</f>
        <v>JMS</v>
      </c>
      <c r="D80" s="27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44" t="str">
        <f>"N.T.S"</f>
        <v>N.T.S</v>
      </c>
      <c r="D81" s="27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2 INVERETER(S)</v>
      </c>
    </row>
    <row r="82" spans="1:5" x14ac:dyDescent="0.25">
      <c r="B82" s="44"/>
      <c r="D82" s="27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/>
      </c>
    </row>
    <row r="83" spans="1:5" x14ac:dyDescent="0.25">
      <c r="B83" s="44" t="str">
        <f>CALCULATIONS!D34&amp;"kW"</f>
        <v>17.11kW</v>
      </c>
      <c r="D83" s="27" t="str">
        <f ca="1">IF(AND(CALCULATIONS!A1&lt;TODAY(),OR(CALCULATIONS!B15="NODATE",CALCULATIONS!A1&lt;CALCULATIONS!B15)),"",IF((OR(FORM!E20="AC",FORM!E20="DC")),"T",IF(D79="UTILITY DISCONNECT","U","N")))</f>
        <v>N</v>
      </c>
    </row>
    <row r="84" spans="1:5" x14ac:dyDescent="0.25">
      <c r="B84" s="44">
        <f>CALCULATIONS!B12</f>
        <v>58</v>
      </c>
      <c r="D84" s="27" t="str">
        <f ca="1">IF(AND(CALCULATIONS!A1&lt;TODAY(),OR(CALCULATIONS!B15="NODATE",CALCULATIONS!A1&lt;CALCULATIONS!B15)),"",IF(FORM!E13="LINE TAPS","L","B"))</f>
        <v>L</v>
      </c>
    </row>
    <row r="85" spans="1:5" x14ac:dyDescent="0.25">
      <c r="B85" s="44" t="str">
        <f>CALCULATIONS!H7</f>
        <v>TRINA 295</v>
      </c>
      <c r="D85" s="27" t="str">
        <f ca="1">IF(AND(D83="T",D81="MICROINVERTERS"),"M","")</f>
        <v/>
      </c>
    </row>
    <row r="86" spans="1:5" x14ac:dyDescent="0.25">
      <c r="B86" s="44" t="str">
        <f>CALCULATIONS!H8</f>
        <v>TSM-295 DD05A.05</v>
      </c>
      <c r="D86" s="27">
        <f ca="1">IF(AND(D83="T",FORM!B7=3),COUNTA(FORM!B6:F6)&amp;"C",IF(D83="T",COUNTA(FORM!B6:F6),IF(OR(D83="U",D83="N"),IF(D81="MICROINVERTERS","M",IF(D81="COMBINER","C",COUNTA(FORM!B6:F6))))))</f>
        <v>2</v>
      </c>
    </row>
    <row r="87" spans="1:5" x14ac:dyDescent="0.25">
      <c r="B87" s="44" t="str">
        <f>IF(CALCULATIONS!B19=0,"",CALCULATIONS!B19)</f>
        <v>ACE</v>
      </c>
      <c r="D87" s="27" t="str">
        <f ca="1">IF(AND(D83="T",D81="MICROINVERTERS"),COUNTA(FORM!I7:I11),IF(D83="T",FORM!E20&amp;IF(FORM!E23="YES","SS",""),IF(OR(D83="U",D83="N"),IF(D86="C",IF(D82="2 INVERTER(S) 1 COMBINED","21C",COUNTA(FORM!B6:C6)),IF(D86="M",COUNT(FORM!I7:I12),"")))))</f>
        <v/>
      </c>
    </row>
    <row r="88" spans="1:5" x14ac:dyDescent="0.25">
      <c r="B88" s="45" t="str">
        <f>IF(CALCULATIONS!B20=0,"",CALCULATIONS!B20)</f>
        <v>55004797977</v>
      </c>
      <c r="D88" s="27" t="str">
        <f ca="1">(D83&amp;D84&amp;D85&amp;D86&amp;D87)</f>
        <v>NL2</v>
      </c>
      <c r="E88" s="27" t="s">
        <v>226</v>
      </c>
    </row>
    <row r="89" spans="1:5" ht="18" thickBot="1" x14ac:dyDescent="0.35">
      <c r="A89" s="264" t="s">
        <v>173</v>
      </c>
      <c r="B89" s="264"/>
      <c r="C89" s="264"/>
      <c r="D89" s="27" t="str">
        <f ca="1">IF(AND(CALCULATIONS!A1&lt;TODAY(),OR(CALCULATIONS!B15="NODATE",CALCULATIONS!A1&lt;CALCULATIONS!B15)),"",IF(AND(COUNTA(FORM!B6:F6)=1,SUM(FORM!B7:F7)=1),"1","0"))</f>
        <v>0</v>
      </c>
      <c r="E89" s="27" t="s">
        <v>269</v>
      </c>
    </row>
    <row r="90" spans="1:5" ht="15.75" thickTop="1" x14ac:dyDescent="0.25">
      <c r="A90" s="27" t="str">
        <f>FORM!I30</f>
        <v>IN BASEMENT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 BASEMENT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40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77"/>
    </row>
    <row r="100" spans="1:2" x14ac:dyDescent="0.25">
      <c r="A100" s="78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40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78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40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79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40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sheetProtection algorithmName="SHA-512" hashValue="vcjWlrLWDwP9oRDyCRL1xf9W2IKWc0dh1rHeAyPD14LoevpDb7bDn6VCVwzdzgoUxQjrdBeOykqdlbDqOx34Bg==" saltValue="DdlFW589SPRzBFnsuVY5KA==" spinCount="100000" sheet="1" objects="1" scenarios="1"/>
  <mergeCells count="77">
    <mergeCell ref="A48:B48"/>
    <mergeCell ref="A49:B49"/>
    <mergeCell ref="O29:P29"/>
    <mergeCell ref="M29:N29"/>
    <mergeCell ref="A71:B71"/>
    <mergeCell ref="A41:B41"/>
    <mergeCell ref="C41:D41"/>
    <mergeCell ref="A73:B73"/>
    <mergeCell ref="A75:B75"/>
    <mergeCell ref="A59:D59"/>
    <mergeCell ref="A50:B50"/>
    <mergeCell ref="A70:B70"/>
    <mergeCell ref="A1:C1"/>
    <mergeCell ref="E1:G1"/>
    <mergeCell ref="E2:E4"/>
    <mergeCell ref="G3:G4"/>
    <mergeCell ref="F2:F4"/>
    <mergeCell ref="A7:D7"/>
    <mergeCell ref="A8:D8"/>
    <mergeCell ref="A9:B9"/>
    <mergeCell ref="C9:D9"/>
    <mergeCell ref="A15:D15"/>
    <mergeCell ref="M12:P12"/>
    <mergeCell ref="M13:P13"/>
    <mergeCell ref="A16:D16"/>
    <mergeCell ref="A17:B17"/>
    <mergeCell ref="C17:D17"/>
    <mergeCell ref="M15:N15"/>
    <mergeCell ref="M17:N17"/>
    <mergeCell ref="M16:N16"/>
    <mergeCell ref="N6:O6"/>
    <mergeCell ref="M7:P7"/>
    <mergeCell ref="M8:P8"/>
    <mergeCell ref="M9:P9"/>
    <mergeCell ref="M11:P11"/>
    <mergeCell ref="M1:P1"/>
    <mergeCell ref="N2:O2"/>
    <mergeCell ref="N3:O3"/>
    <mergeCell ref="N4:O4"/>
    <mergeCell ref="N5:O5"/>
    <mergeCell ref="O27:P27"/>
    <mergeCell ref="A25:B25"/>
    <mergeCell ref="C25:D25"/>
    <mergeCell ref="A31:D31"/>
    <mergeCell ref="A32:D32"/>
    <mergeCell ref="M28:P28"/>
    <mergeCell ref="M22:N22"/>
    <mergeCell ref="M21:N21"/>
    <mergeCell ref="M20:N20"/>
    <mergeCell ref="M19:N19"/>
    <mergeCell ref="M27:N27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topLeftCell="A19" workbookViewId="0">
      <selection activeCell="B43" sqref="B43"/>
    </sheetView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>
        <f>(IF(CALCULATIONS!B36="","0",CALCULATIONS!B36))</f>
        <v>80</v>
      </c>
    </row>
    <row r="2" spans="1:2" x14ac:dyDescent="0.25">
      <c r="A2" s="28" t="s">
        <v>78</v>
      </c>
      <c r="B2" s="27">
        <f>(IF(CALCULATIONS!B35&lt;=60,60,IF(CALCULATIONS!B35&lt;=100,100,IF(CALCULATIONS!B35&lt;=125,125,""))))</f>
        <v>100</v>
      </c>
    </row>
    <row r="3" spans="1:2" x14ac:dyDescent="0.25">
      <c r="A3" s="28" t="s">
        <v>19</v>
      </c>
      <c r="B3" s="27">
        <f>(FORM!B20)</f>
        <v>200</v>
      </c>
    </row>
    <row r="4" spans="1:2" x14ac:dyDescent="0.25">
      <c r="A4" s="28" t="s">
        <v>91</v>
      </c>
      <c r="B4" s="27">
        <f>(IF(CALCULATIONS!B35&lt;=60,60,IF(CALCULATIONS!B35&lt;=100,100,"SIZE ACCORDINGLY")))</f>
        <v>100</v>
      </c>
    </row>
    <row r="5" spans="1:2" x14ac:dyDescent="0.25">
      <c r="A5" s="28" t="s">
        <v>92</v>
      </c>
      <c r="B5" s="27">
        <f>(IF(CALCULATIONS!B35&lt;=100,100,IF(CALCULATIONS!B35&lt;=125,125,"SIZE ACCORDINGLY")))</f>
        <v>100</v>
      </c>
    </row>
    <row r="6" spans="1:2" x14ac:dyDescent="0.25">
      <c r="A6" s="28" t="s">
        <v>93</v>
      </c>
      <c r="B6" s="27">
        <f>(IF((CALCULATIONS!B33*1.25)&lt;=20,20,IF((CALCULATIONS!B33*1.25)&lt;=30,30,IF((CALCULATIONS!B33*1.25)&lt;=40,40,IF((CALCULATIONS!B33*1.25)&lt;=50,50,IF((CALCULATIONS!B33*1.25)&lt;=60,60,""))))))</f>
        <v>40</v>
      </c>
    </row>
    <row r="7" spans="1:2" x14ac:dyDescent="0.25">
      <c r="A7" s="28" t="s">
        <v>94</v>
      </c>
      <c r="B7" s="27">
        <f>(IF((CALCULATIONS!C33*1.25)&lt;=20,20,IF((CALCULATIONS!C33*1.25)&lt;=30,30,IF((CALCULATIONS!C33*1.25)&lt;=40,40,IF((CALCULATIONS!C33*1.25)&lt;=50,50,IF((CALCULATIONS!C33*1.25)&lt;=60,60,""))))))</f>
        <v>40</v>
      </c>
    </row>
    <row r="8" spans="1:2" x14ac:dyDescent="0.25">
      <c r="A8" s="28" t="s">
        <v>95</v>
      </c>
      <c r="B8" s="27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28" t="s">
        <v>96</v>
      </c>
      <c r="B9" s="27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28" t="s">
        <v>97</v>
      </c>
      <c r="B10" s="27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28" t="s">
        <v>98</v>
      </c>
      <c r="B11" s="27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MICROINVERTERS",IF(CALCULATIONS!I28&lt;=10,15,IF(CALCULATIONS!I28&lt;=13,20,"0")),"0")))))</f>
        <v>0</v>
      </c>
    </row>
    <row r="12" spans="1:2" x14ac:dyDescent="0.25">
      <c r="A12" s="28" t="s">
        <v>99</v>
      </c>
      <c r="B12" s="27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MICROINVERTERS",IF(CALCULATIONS!I29&lt;=10,15,IF(CALCULATIONS!I29&lt;=13,20,"0")),"0")))))</f>
        <v>0</v>
      </c>
    </row>
    <row r="13" spans="1:2" x14ac:dyDescent="0.25">
      <c r="A13" s="28" t="s">
        <v>100</v>
      </c>
      <c r="B13" s="27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MICROINVERTERS",IF(CALCULATIONS!I30&lt;=10,15,IF(CALCULATIONS!I30&lt;=13,20,"0")),"0")))))</f>
        <v>0</v>
      </c>
    </row>
    <row r="14" spans="1:2" x14ac:dyDescent="0.25">
      <c r="A14" s="28" t="s">
        <v>101</v>
      </c>
      <c r="B14" s="27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MICROINVERTERS",IF(CALCULATIONS!I31&lt;=10,15,IF(CALCULATIONS!I31&lt;=13,20,"0")),"0")))))</f>
        <v>0</v>
      </c>
    </row>
    <row r="15" spans="1:2" x14ac:dyDescent="0.25">
      <c r="A15" s="28" t="s">
        <v>102</v>
      </c>
      <c r="B15" s="27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MICROINVERTERS",IF(CALCULATIONS!I32&lt;=10,15,IF(CALCULATIONS!I32&lt;=13,20,"0")),"0")))))</f>
        <v>0</v>
      </c>
    </row>
    <row r="16" spans="1:2" x14ac:dyDescent="0.25">
      <c r="A16" s="28" t="s">
        <v>182</v>
      </c>
      <c r="B16" s="27">
        <f>(IF(CALCULATIONS!I43="YES",LARGE(CALCULATIONS!I28:I32,1),IF(AND(CALCULATIONS!B3=3,CALCULATIONS!B37="YES"),1,1)))</f>
        <v>1</v>
      </c>
    </row>
    <row r="17" spans="1:2" x14ac:dyDescent="0.25">
      <c r="A17" s="28" t="s">
        <v>126</v>
      </c>
      <c r="B17" s="83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28" t="s">
        <v>127</v>
      </c>
      <c r="B18" s="27">
        <f>(IF(B16=3,6,IF(AND(B19&gt;=21,CALCULATIONS!B37="YES"),8,10)))</f>
        <v>10</v>
      </c>
    </row>
    <row r="19" spans="1:2" x14ac:dyDescent="0.25">
      <c r="A19" s="28" t="s">
        <v>128</v>
      </c>
      <c r="B19" s="27">
        <f>(IF(B16=3,2,CALCULATIONS!B61))</f>
        <v>8</v>
      </c>
    </row>
    <row r="20" spans="1:2" x14ac:dyDescent="0.25">
      <c r="A20" s="28" t="s">
        <v>129</v>
      </c>
      <c r="B20" s="27">
        <f>(IF(B19&lt;4,1,IF(B19&lt;=6,0.8,IF(B19&lt;=9,0.7,IF(B19&lt;=20,0.5,IF(B19&lt;=30,0.45,IF(B19&lt;=40,0.4,0.35)))))))</f>
        <v>0.7</v>
      </c>
    </row>
    <row r="21" spans="1:2" x14ac:dyDescent="0.25">
      <c r="A21" s="28" t="s">
        <v>130</v>
      </c>
      <c r="B21" s="27">
        <f>(IF(B18=10,40,IF(B18=8,55,IF(B18=6,75,IF(B18=4,95,"")))))</f>
        <v>40</v>
      </c>
    </row>
    <row r="22" spans="1:2" x14ac:dyDescent="0.25">
      <c r="A22" s="28" t="s">
        <v>131</v>
      </c>
      <c r="B22" s="27">
        <f>(B21*0.96*IF(B20="N/A",1,B20))</f>
        <v>26.88</v>
      </c>
    </row>
    <row r="23" spans="1:2" x14ac:dyDescent="0.25">
      <c r="A23" s="28" t="s">
        <v>132</v>
      </c>
      <c r="B23" s="83">
        <f>(SUM(CALCULATIONS!B33:F33))</f>
        <v>57</v>
      </c>
    </row>
    <row r="24" spans="1:2" x14ac:dyDescent="0.25">
      <c r="A24" s="28" t="s">
        <v>133</v>
      </c>
      <c r="B24" s="83">
        <f>(B23*1.25)</f>
        <v>71.25</v>
      </c>
    </row>
    <row r="25" spans="1:2" x14ac:dyDescent="0.25">
      <c r="A25" s="28" t="s">
        <v>134</v>
      </c>
      <c r="B25" s="27">
        <f>(IF(B24&lt;=30,10,IF(B24&lt;=50,8,IF(B24&lt;=65,6,IF(B24&lt;=85,4,IF(B24&lt;=100,3,IF(B24&lt;=115,2,IF(B24&lt;=130,1,""))))))))</f>
        <v>4</v>
      </c>
    </row>
    <row r="26" spans="1:2" x14ac:dyDescent="0.25">
      <c r="A26" s="28" t="s">
        <v>135</v>
      </c>
      <c r="B26" s="27">
        <f>(IF(B25=10,40,IF(B25=8,55,IF(B25=6,75,IF(B25=4,95,IF(B25=3,115,IF(B25=2,130,IF(B25=1,145,""))))))))</f>
        <v>95</v>
      </c>
    </row>
    <row r="27" spans="1:2" x14ac:dyDescent="0.25">
      <c r="A27" s="28" t="s">
        <v>183</v>
      </c>
      <c r="B27" s="83">
        <f>(IF(CALCULATIONS!I43="YES",CALCULATIONS!G33,IF(CALCULATIONS!B37="YES",15,CALCULATIONS!H13)))</f>
        <v>15</v>
      </c>
    </row>
    <row r="28" spans="1:2" x14ac:dyDescent="0.25">
      <c r="A28" s="28" t="s">
        <v>136</v>
      </c>
      <c r="B28" s="27">
        <f>(IF(OR(CALCULATIONS!B37="YES",CALCULATIONS!I43="YES"),1.25,1.56))</f>
        <v>1.25</v>
      </c>
    </row>
    <row r="29" spans="1:2" x14ac:dyDescent="0.25">
      <c r="A29" s="28" t="s">
        <v>165</v>
      </c>
      <c r="B29" s="27">
        <f>(FORM!I18)</f>
        <v>34</v>
      </c>
    </row>
    <row r="30" spans="1:2" x14ac:dyDescent="0.25">
      <c r="A30" s="28" t="s">
        <v>166</v>
      </c>
      <c r="B30" s="27">
        <f>(FORM!I19)</f>
        <v>0</v>
      </c>
    </row>
    <row r="31" spans="1:2" x14ac:dyDescent="0.25">
      <c r="A31" s="28" t="s">
        <v>167</v>
      </c>
      <c r="B31" s="27">
        <f>(FORM!I20)</f>
        <v>0</v>
      </c>
    </row>
    <row r="32" spans="1:2" x14ac:dyDescent="0.25">
      <c r="A32" s="28" t="s">
        <v>161</v>
      </c>
      <c r="B32" s="27">
        <f>(FORM!I21)</f>
        <v>0</v>
      </c>
    </row>
    <row r="33" spans="1:2" x14ac:dyDescent="0.25">
      <c r="A33" s="28" t="s">
        <v>168</v>
      </c>
      <c r="B33" s="27">
        <f>(FORM!I22)</f>
        <v>0</v>
      </c>
    </row>
    <row r="34" spans="1:2" x14ac:dyDescent="0.25">
      <c r="A34" s="28" t="s">
        <v>161</v>
      </c>
      <c r="B34" s="27">
        <f>(FORM!I23)</f>
        <v>0</v>
      </c>
    </row>
    <row r="35" spans="1:2" x14ac:dyDescent="0.25">
      <c r="A35" s="28" t="s">
        <v>169</v>
      </c>
      <c r="B35" s="27">
        <f>(FORM!I24)</f>
        <v>0</v>
      </c>
    </row>
    <row r="36" spans="1:2" x14ac:dyDescent="0.25">
      <c r="A36" s="28" t="s">
        <v>161</v>
      </c>
      <c r="B36" s="27">
        <f>(FORM!I25)</f>
        <v>0</v>
      </c>
    </row>
    <row r="37" spans="1:2" x14ac:dyDescent="0.25">
      <c r="A37" s="28" t="s">
        <v>170</v>
      </c>
      <c r="B37" s="27">
        <f>(FORM!I26)</f>
        <v>0</v>
      </c>
    </row>
    <row r="38" spans="1:2" x14ac:dyDescent="0.25">
      <c r="A38" s="28" t="s">
        <v>161</v>
      </c>
      <c r="B38" s="27">
        <f>(FORM!I27)</f>
        <v>0</v>
      </c>
    </row>
    <row r="39" spans="1:2" x14ac:dyDescent="0.25">
      <c r="A39" s="28" t="s">
        <v>171</v>
      </c>
      <c r="B39" s="27" t="str">
        <f>(UPPER(IF(FORM!I29="","",FORM!I29)))</f>
        <v>WEST LIEBIG AVENUE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438</v>
      </c>
      <c r="B41" s="27">
        <f>FORM!B21</f>
        <v>200</v>
      </c>
    </row>
    <row r="42" spans="1:2" x14ac:dyDescent="0.25">
      <c r="A42" s="46" t="s">
        <v>439</v>
      </c>
      <c r="B42" s="27" t="str">
        <f>IF(B2&lt;=60,"D222N",IF(B2&lt;=100,"D323N",IF(B2=200,"D224N","")))</f>
        <v>D323N</v>
      </c>
    </row>
    <row r="43" spans="1:2" x14ac:dyDescent="0.25">
      <c r="A43" s="46" t="s">
        <v>459</v>
      </c>
      <c r="B43" s="27" t="str">
        <f>IF(OR(FORM!E14="CT",FORM!E14="MA",FORM!E14="RI"),"B","D")</f>
        <v>D</v>
      </c>
    </row>
  </sheetData>
  <sheetProtection algorithmName="SHA-512" hashValue="XP8bSBHihKwN+OL8We0iY+GAKOcSOhVgGC7zfEkYRSp5e27pcVWCc9m3TmDi33u+C70s22/csGmkZ94QFGehlA==" saltValue="7YTs//Yfsb90OhcJImTVpg==" spinCount="100000" sheet="1" objects="1" scenarios="1"/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workbookViewId="0">
      <selection activeCell="G16" sqref="G16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94.393999999999991</v>
      </c>
      <c r="E4" s="302" t="s">
        <v>228</v>
      </c>
      <c r="F4" s="302"/>
      <c r="G4" s="303"/>
      <c r="H4" s="4"/>
      <c r="I4" s="125">
        <f>ROUND((D4/48),2)</f>
        <v>1.97</v>
      </c>
      <c r="J4" s="302" t="s">
        <v>229</v>
      </c>
      <c r="K4" s="302"/>
      <c r="L4" s="302"/>
      <c r="M4" s="303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2.95</v>
      </c>
      <c r="J5" s="302" t="s">
        <v>230</v>
      </c>
      <c r="K5" s="302"/>
      <c r="L5" s="302"/>
      <c r="M5" s="303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3.93</v>
      </c>
      <c r="J6" s="302" t="s">
        <v>231</v>
      </c>
      <c r="K6" s="302"/>
      <c r="L6" s="302"/>
      <c r="M6" s="303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304" t="s">
        <v>232</v>
      </c>
      <c r="E9" s="305"/>
      <c r="F9" s="129"/>
      <c r="G9" s="130">
        <f>CALCULATIONS!D34</f>
        <v>17.11</v>
      </c>
      <c r="H9" s="131"/>
      <c r="I9" s="132">
        <f>(G9*1000)/M28+2</f>
        <v>84.128</v>
      </c>
      <c r="J9" s="306" t="s">
        <v>233</v>
      </c>
      <c r="K9" s="306"/>
      <c r="L9" s="307"/>
      <c r="M9" s="4"/>
      <c r="N9" s="124"/>
      <c r="O9" s="4"/>
      <c r="P9" s="4"/>
      <c r="Q9" s="4"/>
      <c r="R9" s="4">
        <f>FORM!I21</f>
        <v>0</v>
      </c>
      <c r="S9" s="4"/>
      <c r="T9" s="4"/>
    </row>
    <row r="10" spans="2:20" ht="21.75" thickBot="1" x14ac:dyDescent="0.4">
      <c r="C10" s="123"/>
      <c r="D10" s="304" t="s">
        <v>234</v>
      </c>
      <c r="E10" s="305"/>
      <c r="F10" s="129"/>
      <c r="G10" s="130">
        <f>IF(FORM!I18&gt;19,2,1)</f>
        <v>2</v>
      </c>
      <c r="H10" s="131"/>
      <c r="I10" s="132">
        <f>IF(G10&gt;1,G9*M29,0)</f>
        <v>3.4220000000000002</v>
      </c>
      <c r="J10" s="306" t="s">
        <v>235</v>
      </c>
      <c r="K10" s="306"/>
      <c r="L10" s="307"/>
      <c r="M10" s="4"/>
      <c r="N10" s="124"/>
      <c r="O10" s="4"/>
      <c r="P10" s="4"/>
      <c r="Q10" s="4"/>
      <c r="R10" s="4">
        <f>FORM!I23</f>
        <v>0</v>
      </c>
      <c r="S10" s="4"/>
      <c r="T10" s="4"/>
    </row>
    <row r="11" spans="2:20" ht="21.75" thickBot="1" x14ac:dyDescent="0.4">
      <c r="C11" s="123"/>
      <c r="D11" s="304" t="s">
        <v>236</v>
      </c>
      <c r="E11" s="305"/>
      <c r="F11" s="129"/>
      <c r="G11" s="130">
        <f>LARGE(R9:R12,1)</f>
        <v>0</v>
      </c>
      <c r="H11" s="131"/>
      <c r="I11" s="132">
        <f>IF(G11&gt;35,(M30*G9),0)</f>
        <v>0</v>
      </c>
      <c r="J11" s="306" t="s">
        <v>235</v>
      </c>
      <c r="K11" s="306"/>
      <c r="L11" s="307"/>
      <c r="M11" s="4"/>
      <c r="N11" s="124"/>
      <c r="O11" s="4"/>
      <c r="P11" s="4"/>
      <c r="Q11" s="4"/>
      <c r="R11" s="4">
        <f>FORM!I25</f>
        <v>0</v>
      </c>
      <c r="S11" s="4"/>
      <c r="T11" s="4"/>
    </row>
    <row r="12" spans="2:20" ht="21.75" thickBot="1" x14ac:dyDescent="0.4">
      <c r="C12" s="123"/>
      <c r="D12" s="304" t="s">
        <v>237</v>
      </c>
      <c r="E12" s="305"/>
      <c r="F12" s="129"/>
      <c r="G12" s="130"/>
      <c r="H12" s="131"/>
      <c r="I12" s="132">
        <f>IF(FORM!E17="YES",0,M31*G9)</f>
        <v>0</v>
      </c>
      <c r="J12" s="306" t="s">
        <v>235</v>
      </c>
      <c r="K12" s="306"/>
      <c r="L12" s="307"/>
      <c r="M12" s="4"/>
      <c r="N12" s="124"/>
      <c r="O12" s="4"/>
      <c r="P12" s="4"/>
      <c r="Q12" s="4"/>
      <c r="R12" s="4">
        <f>FORM!I27</f>
        <v>0</v>
      </c>
      <c r="S12" s="4"/>
      <c r="T12" s="4"/>
    </row>
    <row r="13" spans="2:20" ht="21.75" thickBot="1" x14ac:dyDescent="0.4">
      <c r="C13" s="123"/>
      <c r="D13" s="304" t="s">
        <v>238</v>
      </c>
      <c r="E13" s="305"/>
      <c r="F13" s="129"/>
      <c r="G13" s="130" t="s">
        <v>239</v>
      </c>
      <c r="H13" s="131"/>
      <c r="I13" s="132">
        <f>IF(G13="attic",M32*G9,0)</f>
        <v>3.4220000000000002</v>
      </c>
      <c r="J13" s="306" t="s">
        <v>235</v>
      </c>
      <c r="K13" s="306"/>
      <c r="L13" s="307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304" t="s">
        <v>240</v>
      </c>
      <c r="E14" s="305"/>
      <c r="F14" s="129"/>
      <c r="G14" s="130">
        <f>FORM!B27</f>
        <v>2</v>
      </c>
      <c r="H14" s="131"/>
      <c r="I14" s="132">
        <f>IF(G14&gt;1,(G14*(M33*G9)),0)</f>
        <v>3.4220000000000002</v>
      </c>
      <c r="J14" s="306" t="s">
        <v>235</v>
      </c>
      <c r="K14" s="306"/>
      <c r="L14" s="307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304" t="s">
        <v>241</v>
      </c>
      <c r="E15" s="305"/>
      <c r="F15" s="129"/>
      <c r="G15" s="130">
        <v>0</v>
      </c>
      <c r="H15" s="131"/>
      <c r="I15" s="132">
        <f>G15*(M34*G9)</f>
        <v>0</v>
      </c>
      <c r="J15" s="306" t="s">
        <v>235</v>
      </c>
      <c r="K15" s="306"/>
      <c r="L15" s="307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304" t="s">
        <v>242</v>
      </c>
      <c r="E16" s="305"/>
      <c r="F16" s="129"/>
      <c r="G16" s="130"/>
      <c r="H16" s="131"/>
      <c r="I16" s="132">
        <f>IF(FORM!E26="NO",M35*G9,0)</f>
        <v>0</v>
      </c>
      <c r="J16" s="306" t="s">
        <v>235</v>
      </c>
      <c r="K16" s="306"/>
      <c r="L16" s="307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304" t="s">
        <v>243</v>
      </c>
      <c r="E17" s="305"/>
      <c r="F17" s="133"/>
      <c r="G17" s="130">
        <f>FORM!E21</f>
        <v>0</v>
      </c>
      <c r="H17" s="4"/>
      <c r="I17" s="134">
        <f>M36*G17</f>
        <v>0</v>
      </c>
      <c r="J17" s="306" t="s">
        <v>235</v>
      </c>
      <c r="K17" s="306"/>
      <c r="L17" s="307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sheetProtection algorithmName="SHA-512" hashValue="c4gEMqSX2g5M4alFpeWl/U0Ft+YG8FwABBxhRP7cHRu+Cs4Tq6Hn52XrMOYK+5y15MpJrwuvfXkykVQg/7VOjg==" saltValue="bA+t1kYwH6g7U2KKumU29A==" spinCount="100000" sheet="1" objects="1" scenarios="1"/>
  <mergeCells count="22"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  <mergeCell ref="D10:E10"/>
    <mergeCell ref="J10:L10"/>
    <mergeCell ref="D11:E11"/>
    <mergeCell ref="J11:L11"/>
    <mergeCell ref="D12:E12"/>
    <mergeCell ref="J12:L12"/>
    <mergeCell ref="E4:G4"/>
    <mergeCell ref="J4:M4"/>
    <mergeCell ref="J5:M5"/>
    <mergeCell ref="J6:M6"/>
    <mergeCell ref="D9:E9"/>
    <mergeCell ref="J9:L9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B2" sqref="B2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 t="shared" ref="A2:A27" si="0">IF(B2="","N/A",B2&amp;" ("&amp;C2&amp;")")</f>
        <v>HANWHA 295 (Q.PEAK-BLK G4.1 295)</v>
      </c>
      <c r="B2" s="200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295</v>
      </c>
      <c r="C2" s="200" t="str">
        <f t="shared" si="1"/>
        <v>Q.PEAK-BLK G4.1 295</v>
      </c>
      <c r="D2" s="200">
        <f t="shared" si="1"/>
        <v>295</v>
      </c>
      <c r="E2" s="200">
        <f t="shared" si="1"/>
        <v>9.17</v>
      </c>
      <c r="F2" s="200">
        <f t="shared" si="1"/>
        <v>32.19</v>
      </c>
      <c r="G2" s="200">
        <f t="shared" si="1"/>
        <v>39.479999999999997</v>
      </c>
      <c r="H2" s="200">
        <f t="shared" si="1"/>
        <v>9.6999999999999993</v>
      </c>
      <c r="I2" s="200">
        <f t="shared" si="1"/>
        <v>45.007199999999997</v>
      </c>
    </row>
    <row r="3" spans="1:9" x14ac:dyDescent="0.25">
      <c r="A3" s="29" t="str">
        <f t="shared" si="0"/>
        <v>HANWHA 300 (HLS72P6-PB-1-300)</v>
      </c>
      <c r="B3" s="201" t="s">
        <v>356</v>
      </c>
      <c r="C3" s="202" t="s">
        <v>357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si="0"/>
        <v>HANWHA 295 (Q.PEAK-BLK G4.1 295)</v>
      </c>
      <c r="B4" s="25" t="s">
        <v>337</v>
      </c>
      <c r="C4" s="25" t="s">
        <v>338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 t="shared" si="0"/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0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0"/>
        <v>TRINA 290 (TSM-290 DD05A.05)</v>
      </c>
      <c r="B7" s="25" t="s">
        <v>339</v>
      </c>
      <c r="C7" s="25" t="s">
        <v>340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0"/>
        <v>TRINA 295 (TSM-295 DD05A.05)</v>
      </c>
      <c r="B8" s="25" t="s">
        <v>341</v>
      </c>
      <c r="C8" s="25" t="s">
        <v>342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0"/>
        <v>TRINA 300 (TSM-300 DD05A.05)</v>
      </c>
      <c r="B9" s="25" t="s">
        <v>418</v>
      </c>
      <c r="C9" s="25" t="s">
        <v>419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0"/>
        <v>LG 310 (LG310N1C-G4)</v>
      </c>
      <c r="B10" s="25" t="s">
        <v>343</v>
      </c>
      <c r="C10" s="25" t="s">
        <v>344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0"/>
        <v>LG 325 (LG325N1C-A5)</v>
      </c>
      <c r="B11" s="25" t="s">
        <v>345</v>
      </c>
      <c r="C11" s="25" t="s">
        <v>346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0"/>
        <v>LG 330 (LG330N1C-A5)</v>
      </c>
      <c r="B12" s="25" t="s">
        <v>347</v>
      </c>
      <c r="C12" s="25" t="s">
        <v>348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0"/>
        <v>LG 335 (LG335N1C-A5)</v>
      </c>
      <c r="B13" s="25" t="s">
        <v>349</v>
      </c>
      <c r="C13" s="25" t="s">
        <v>350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0"/>
        <v>HANWHA 315 (Q.PEAK DUO BLK-G5 315)</v>
      </c>
      <c r="B14" s="25" t="s">
        <v>440</v>
      </c>
      <c r="C14" s="25" t="s">
        <v>441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0"/>
        <v>HANWHA 310 (Q.PEAK DUO BLK-G5 310)</v>
      </c>
      <c r="B15" s="25" t="s">
        <v>443</v>
      </c>
      <c r="C15" s="25" t="s">
        <v>444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0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0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0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0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0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0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0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0"/>
        <v>RECOM 290 (RCM-290-6MB)</v>
      </c>
      <c r="B23" s="174" t="s">
        <v>351</v>
      </c>
      <c r="C23" s="174" t="s">
        <v>352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0"/>
        <v>JINKO 280 (JKM280M-60B)</v>
      </c>
      <c r="B24" s="25" t="s">
        <v>333</v>
      </c>
      <c r="C24" s="25" t="s">
        <v>334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si="0"/>
        <v>JINKO 285 (JKM285M-60B)</v>
      </c>
      <c r="B25" s="25" t="s">
        <v>335</v>
      </c>
      <c r="C25" s="25" t="s">
        <v>336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0"/>
        <v>JINKO 290 (JKM290M-60B)</v>
      </c>
      <c r="B26" s="25" t="s">
        <v>353</v>
      </c>
      <c r="C26" s="25" t="s">
        <v>354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0"/>
        <v>SILFAB SOLAR (SLA285M)</v>
      </c>
      <c r="B27" s="25" t="s">
        <v>271</v>
      </c>
      <c r="C27" s="25" t="s">
        <v>355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389</v>
      </c>
    </row>
    <row r="29" spans="1:9" ht="15.75" thickTop="1" x14ac:dyDescent="0.25">
      <c r="A29" s="205" t="s">
        <v>451</v>
      </c>
    </row>
    <row r="30" spans="1:9" x14ac:dyDescent="0.25">
      <c r="A30" s="205"/>
      <c r="B30" s="198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>HANWHA 295</v>
      </c>
      <c r="C30" s="198" t="str">
        <f t="shared" si="2"/>
        <v>Q.PEAK-BLK G4.1 295</v>
      </c>
      <c r="D30" s="198">
        <f t="shared" si="2"/>
        <v>295</v>
      </c>
      <c r="E30" s="198">
        <f t="shared" si="2"/>
        <v>9.17</v>
      </c>
      <c r="F30" s="198">
        <f t="shared" si="2"/>
        <v>32.19</v>
      </c>
      <c r="G30" s="198">
        <f t="shared" si="2"/>
        <v>39.479999999999997</v>
      </c>
      <c r="H30" s="198">
        <f t="shared" si="2"/>
        <v>9.6999999999999993</v>
      </c>
      <c r="I30" s="198">
        <f t="shared" si="2"/>
        <v>45.007199999999997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24" customFormat="1" x14ac:dyDescent="0.25">
      <c r="A7" s="49" t="s">
        <v>420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38" customFormat="1" x14ac:dyDescent="0.25">
      <c r="A8" s="49" t="s">
        <v>450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331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332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460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461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365</v>
      </c>
    </row>
    <row r="2" spans="1:6" ht="15.75" thickTop="1" x14ac:dyDescent="0.25">
      <c r="A2" s="205" t="s">
        <v>456</v>
      </c>
      <c r="B2" s="27"/>
      <c r="C2" s="168" t="s">
        <v>361</v>
      </c>
      <c r="F2" s="25" t="s">
        <v>366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ACE</v>
      </c>
      <c r="C3" s="25" t="str">
        <f>UPPER(C2)</f>
        <v>SUNRUN</v>
      </c>
      <c r="F3" s="25" t="str">
        <f>UPPER(F2)</f>
        <v>NJ</v>
      </c>
    </row>
    <row r="4" spans="1:6" x14ac:dyDescent="0.25">
      <c r="A4" s="25" t="s">
        <v>295</v>
      </c>
      <c r="C4" s="25" t="s">
        <v>305</v>
      </c>
      <c r="F4" s="25" t="s">
        <v>366</v>
      </c>
    </row>
    <row r="5" spans="1:6" x14ac:dyDescent="0.25">
      <c r="A5" s="25" t="s">
        <v>285</v>
      </c>
      <c r="C5" s="25" t="s">
        <v>274</v>
      </c>
      <c r="F5" s="25" t="s">
        <v>367</v>
      </c>
    </row>
    <row r="6" spans="1:6" x14ac:dyDescent="0.25">
      <c r="A6" s="25" t="s">
        <v>286</v>
      </c>
      <c r="C6" s="25" t="s">
        <v>275</v>
      </c>
      <c r="F6" s="25" t="s">
        <v>369</v>
      </c>
    </row>
    <row r="7" spans="1:6" x14ac:dyDescent="0.25">
      <c r="A7" s="25" t="s">
        <v>287</v>
      </c>
      <c r="C7" s="25" t="s">
        <v>276</v>
      </c>
      <c r="F7" s="25" t="s">
        <v>368</v>
      </c>
    </row>
    <row r="8" spans="1:6" x14ac:dyDescent="0.25">
      <c r="A8" s="25" t="s">
        <v>288</v>
      </c>
      <c r="C8" s="25" t="s">
        <v>277</v>
      </c>
      <c r="F8" s="25" t="s">
        <v>370</v>
      </c>
    </row>
    <row r="9" spans="1:6" x14ac:dyDescent="0.25">
      <c r="A9" s="25" t="s">
        <v>289</v>
      </c>
      <c r="C9" s="25" t="s">
        <v>278</v>
      </c>
      <c r="F9" s="25" t="s">
        <v>371</v>
      </c>
    </row>
    <row r="10" spans="1:6" x14ac:dyDescent="0.25">
      <c r="A10" s="25" t="s">
        <v>290</v>
      </c>
      <c r="C10" s="25" t="s">
        <v>279</v>
      </c>
      <c r="F10" s="25" t="s">
        <v>372</v>
      </c>
    </row>
    <row r="11" spans="1:6" x14ac:dyDescent="0.25">
      <c r="A11" s="25" t="s">
        <v>291</v>
      </c>
      <c r="C11" s="25" t="s">
        <v>280</v>
      </c>
      <c r="F11" s="25" t="s">
        <v>373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392</v>
      </c>
      <c r="C23" s="25"/>
    </row>
    <row r="24" spans="1:6" x14ac:dyDescent="0.25">
      <c r="A24" s="25" t="s">
        <v>393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workbookViewId="0">
      <selection activeCell="B16" sqref="B16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ALLGEYER, ROBERT-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400 West Liebig Avenue
Egg harbor city, NJ 08215
39.511394,-74.557062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94.394 ESTIMATED MAN HOURS</v>
      </c>
      <c r="C4" s="27"/>
      <c r="D4" s="27" t="str">
        <f>Sheet1!I6&amp;" DAYS (3 MEN)"</f>
        <v>3.93 DAYS (3 MEN)</v>
      </c>
      <c r="E4" s="27"/>
      <c r="F4" s="27" t="str">
        <f>Sheet1!I5&amp;" DAYS (4 MEN)"</f>
        <v>2.95 DAYS (4 MEN)</v>
      </c>
      <c r="G4" s="27"/>
      <c r="H4" s="27" t="str">
        <f>Sheet1!I4&amp;" DAYS (6 MEN)"</f>
        <v>1.97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58 TRINA 295's (17.11KW)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2 SEPARATE ARRAYS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34'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>•</v>
      </c>
      <c r="B8" t="str">
        <f>IF(FORM!B11=0,"",(FORM!B11-FORM!E18)&amp;" PORTRAIT &amp; "&amp;IF(FORM!E18="",0,FORM!E18)&amp;" LANDSCAPED")</f>
        <v>58 PORTRAIT &amp; 0 LANDSCAPED</v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2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 t="shared" ref="A15:A58" si="0">IF(B15="","","□")</f>
        <v>□</v>
      </c>
      <c r="B15" s="27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TRINA 295 (TSM-295 DD05A.05) --- P320 SE OPTIMIZERS</v>
      </c>
      <c r="C15" s="27"/>
      <c r="D15" s="27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58</v>
      </c>
      <c r="E15" s="27"/>
      <c r="F15" s="27" t="str">
        <f t="shared" ref="F15:F44" si="1">IF(B15="","","___")</f>
        <v>___</v>
      </c>
      <c r="G15" s="27"/>
      <c r="H15" s="27" t="str">
        <f t="shared" ref="H15:H44" si="2">IF(B15="","","___")</f>
        <v>___</v>
      </c>
    </row>
    <row r="16" spans="1:8" x14ac:dyDescent="0.25">
      <c r="A16" s="68" t="str">
        <f t="shared" si="0"/>
        <v>□</v>
      </c>
      <c r="B16" s="27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SE7600H-US000BNC4</v>
      </c>
      <c r="C16" s="27"/>
      <c r="D16" s="27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27"/>
      <c r="F16" s="27" t="str">
        <f t="shared" si="1"/>
        <v>___</v>
      </c>
      <c r="G16" s="27"/>
      <c r="H16" s="27" t="str">
        <f t="shared" si="2"/>
        <v>___</v>
      </c>
    </row>
    <row r="17" spans="1:8" x14ac:dyDescent="0.25">
      <c r="A17" s="68" t="str">
        <f t="shared" si="0"/>
        <v>□</v>
      </c>
      <c r="B17" s="27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SE6000H-US000BNC4</v>
      </c>
      <c r="C17" s="27"/>
      <c r="D17" s="27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4-SPACE SUBPANEL (OUTDOOR)</v>
      </c>
      <c r="C18" s="27"/>
      <c r="D18" s="27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1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100A INDOOR FUSED DISCONNECT W/ (2) 80A FUSES</v>
      </c>
      <c r="C19" s="27"/>
      <c r="D19" s="27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1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>2p40A BREAKER</v>
      </c>
      <c r="C20" s="27"/>
      <c r="D20" s="27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1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2p40A BREAKER</v>
      </c>
      <c r="C21" s="27"/>
      <c r="D21" s="27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1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SOLADECK BOX(ES) &amp; HAYCO CONNECTOR(S)</v>
      </c>
      <c r="C22" s="27"/>
      <c r="D22" s="27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2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14' SECTIONS OF RAIL</v>
      </c>
      <c r="C23" s="27"/>
      <c r="D23" s="27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32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 xml:space="preserve"> INSULATED BUG BITES (LINE TAPS)</v>
      </c>
      <c r="C24" s="27"/>
      <c r="D24" s="27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2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FLASHINGS</v>
      </c>
      <c r="C25" s="27"/>
      <c r="D25" s="27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116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CASE(S) OF BLACK SPRAY PAINT</v>
      </c>
      <c r="C26" s="27"/>
      <c r="D26" s="27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2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CASE(S) OF TAR</v>
      </c>
      <c r="C27" s="27"/>
      <c r="D27" s="27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2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>□</v>
      </c>
      <c r="B28" s="27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PV LEAD WIRE</v>
      </c>
      <c r="C28" s="27"/>
      <c r="D28" s="46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200'</v>
      </c>
      <c r="E28" s="27"/>
      <c r="F28" s="27" t="str">
        <f t="shared" si="1"/>
        <v>___</v>
      </c>
      <c r="G28" s="27"/>
      <c r="H28" s="27" t="str">
        <f t="shared" si="2"/>
        <v>___</v>
      </c>
    </row>
    <row r="29" spans="1:8" x14ac:dyDescent="0.25">
      <c r="A29" s="68" t="str">
        <f t="shared" si="0"/>
        <v>□</v>
      </c>
      <c r="B29" s="27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>T-BOLTS</v>
      </c>
      <c r="C29" s="27"/>
      <c r="D29" s="27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>___</v>
      </c>
      <c r="E29" s="27"/>
      <c r="F29" s="27" t="str">
        <f t="shared" si="1"/>
        <v>___</v>
      </c>
      <c r="G29" s="27"/>
      <c r="H29" s="27" t="str">
        <f t="shared" si="2"/>
        <v>___</v>
      </c>
    </row>
    <row r="30" spans="1:8" x14ac:dyDescent="0.25">
      <c r="A30" s="68" t="str">
        <f t="shared" si="0"/>
        <v>□</v>
      </c>
      <c r="B30" s="27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>MID CLIPS</v>
      </c>
      <c r="C30" s="27"/>
      <c r="D30" s="27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>___</v>
      </c>
      <c r="E30" s="27"/>
      <c r="F30" s="27" t="str">
        <f t="shared" si="1"/>
        <v>___</v>
      </c>
      <c r="G30" s="27"/>
      <c r="H30" s="27" t="str">
        <f t="shared" si="2"/>
        <v>___</v>
      </c>
    </row>
    <row r="31" spans="1:8" x14ac:dyDescent="0.25">
      <c r="A31" s="68" t="str">
        <f t="shared" si="0"/>
        <v>□</v>
      </c>
      <c r="B31" s="27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>END CLIPS</v>
      </c>
      <c r="C31" s="27"/>
      <c r="D31" s="27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>___</v>
      </c>
      <c r="E31" s="27"/>
      <c r="F31" s="27" t="str">
        <f t="shared" si="1"/>
        <v>___</v>
      </c>
      <c r="G31" s="27"/>
      <c r="H31" s="27" t="str">
        <f t="shared" si="2"/>
        <v>___</v>
      </c>
    </row>
    <row r="32" spans="1:8" x14ac:dyDescent="0.25">
      <c r="A32" s="68" t="str">
        <f t="shared" si="0"/>
        <v>□</v>
      </c>
      <c r="B32" s="27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>SPLICE KITS</v>
      </c>
      <c r="C32" s="27"/>
      <c r="D32" s="27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>___</v>
      </c>
      <c r="E32" s="27"/>
      <c r="F32" s="27" t="str">
        <f t="shared" si="1"/>
        <v>___</v>
      </c>
      <c r="G32" s="27"/>
      <c r="H32" s="27" t="str">
        <f t="shared" si="2"/>
        <v>___</v>
      </c>
    </row>
    <row r="33" spans="1:8" x14ac:dyDescent="0.25">
      <c r="A33" s="68" t="str">
        <f t="shared" si="0"/>
        <v>□</v>
      </c>
      <c r="B33" s="27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>GROUND LUGS</v>
      </c>
      <c r="C33" s="27"/>
      <c r="D33" s="27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>___</v>
      </c>
      <c r="E33" s="27"/>
      <c r="F33" s="27" t="str">
        <f t="shared" si="1"/>
        <v>___</v>
      </c>
      <c r="G33" s="27"/>
      <c r="H33" s="27" t="str">
        <f t="shared" si="2"/>
        <v>___</v>
      </c>
    </row>
    <row r="34" spans="1:8" x14ac:dyDescent="0.25">
      <c r="A34" s="68" t="str">
        <f t="shared" si="0"/>
        <v/>
      </c>
      <c r="B34" s="27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27"/>
      <c r="D34" s="27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27"/>
      <c r="F34" s="27" t="str">
        <f t="shared" si="1"/>
        <v/>
      </c>
      <c r="G34" s="27"/>
      <c r="H34" s="27" t="str">
        <f t="shared" si="2"/>
        <v/>
      </c>
    </row>
    <row r="35" spans="1:8" x14ac:dyDescent="0.25">
      <c r="A35" s="68" t="str">
        <f t="shared" si="0"/>
        <v/>
      </c>
      <c r="B35" s="27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27"/>
      <c r="D35" s="27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27"/>
      <c r="D36" s="27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27"/>
      <c r="D37" s="27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27"/>
      <c r="D38" s="27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27"/>
      <c r="D39" s="27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27"/>
      <c r="D40" s="27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27"/>
      <c r="D41" s="27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27"/>
      <c r="D42" s="27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27"/>
      <c r="D43" s="27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27"/>
      <c r="D44" s="27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 t="shared" si="0"/>
        <v/>
      </c>
      <c r="B58" s="27"/>
    </row>
    <row r="71" spans="1:1" x14ac:dyDescent="0.25">
      <c r="A71" t="s">
        <v>215</v>
      </c>
    </row>
  </sheetData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42"/>
  <sheetViews>
    <sheetView workbookViewId="0">
      <selection activeCell="G2" sqref="G2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45" t="s">
        <v>359</v>
      </c>
      <c r="B1" s="245"/>
      <c r="C1" s="245"/>
      <c r="D1" s="246"/>
    </row>
    <row r="2" spans="1:17" ht="31.5" thickTop="1" thickBot="1" x14ac:dyDescent="0.3">
      <c r="A2" s="184" t="s">
        <v>377</v>
      </c>
      <c r="B2" s="186"/>
      <c r="C2" s="185" t="s">
        <v>378</v>
      </c>
      <c r="D2" s="186"/>
      <c r="E2" s="186" t="s">
        <v>390</v>
      </c>
      <c r="G2" s="205" t="s">
        <v>391</v>
      </c>
      <c r="L2" s="206" t="s">
        <v>395</v>
      </c>
      <c r="M2" t="s">
        <v>378</v>
      </c>
      <c r="N2" t="s">
        <v>377</v>
      </c>
      <c r="P2" s="223">
        <v>33</v>
      </c>
      <c r="Q2" s="223">
        <v>11</v>
      </c>
    </row>
    <row r="3" spans="1:17" ht="15.75" thickBot="1" x14ac:dyDescent="0.3">
      <c r="A3" s="176">
        <v>1</v>
      </c>
      <c r="B3" s="187">
        <v>223</v>
      </c>
      <c r="C3" s="176">
        <v>1</v>
      </c>
      <c r="D3" s="187">
        <v>30</v>
      </c>
      <c r="E3" s="205">
        <v>33</v>
      </c>
      <c r="K3" s="205" t="s">
        <v>398</v>
      </c>
      <c r="L3" s="207">
        <v>30</v>
      </c>
      <c r="M3" s="205">
        <v>30</v>
      </c>
      <c r="N3" s="205">
        <v>223</v>
      </c>
    </row>
    <row r="4" spans="1:17" ht="15.75" thickBot="1" x14ac:dyDescent="0.3">
      <c r="A4" s="176"/>
      <c r="B4" s="187">
        <v>43</v>
      </c>
      <c r="C4" s="176"/>
      <c r="D4" s="187">
        <v>30</v>
      </c>
      <c r="E4" s="205"/>
      <c r="K4" s="205" t="s">
        <v>375</v>
      </c>
      <c r="L4" s="207">
        <v>0</v>
      </c>
      <c r="M4" s="205">
        <v>30</v>
      </c>
      <c r="N4" s="205">
        <v>43</v>
      </c>
    </row>
    <row r="5" spans="1:17" ht="15.75" thickBot="1" x14ac:dyDescent="0.3">
      <c r="A5" s="176"/>
      <c r="B5" s="187">
        <v>223</v>
      </c>
      <c r="C5" s="176"/>
      <c r="D5" s="187">
        <v>45</v>
      </c>
      <c r="E5" s="205"/>
      <c r="K5" s="205" t="s">
        <v>376</v>
      </c>
      <c r="L5" s="207">
        <v>28</v>
      </c>
      <c r="M5" s="205">
        <v>45</v>
      </c>
      <c r="N5" s="205">
        <v>223</v>
      </c>
    </row>
    <row r="6" spans="1:17" ht="15.75" thickBot="1" x14ac:dyDescent="0.3">
      <c r="A6" s="176"/>
      <c r="B6" s="187">
        <v>43</v>
      </c>
      <c r="C6" s="176"/>
      <c r="D6" s="187">
        <v>45</v>
      </c>
      <c r="E6" s="205"/>
      <c r="K6" s="205" t="s">
        <v>396</v>
      </c>
      <c r="L6" s="207">
        <v>0</v>
      </c>
      <c r="M6" s="205">
        <v>45</v>
      </c>
      <c r="N6" s="205">
        <v>43</v>
      </c>
    </row>
    <row r="7" spans="1:17" ht="15.75" thickBot="1" x14ac:dyDescent="0.3">
      <c r="A7" s="176"/>
      <c r="B7" s="187">
        <v>43</v>
      </c>
      <c r="C7" s="176"/>
      <c r="D7" s="187">
        <v>18</v>
      </c>
      <c r="E7" s="205"/>
      <c r="K7" s="205" t="s">
        <v>417</v>
      </c>
      <c r="L7" s="207">
        <v>0</v>
      </c>
      <c r="M7" s="205">
        <v>18</v>
      </c>
      <c r="N7" s="205">
        <v>43</v>
      </c>
    </row>
    <row r="8" spans="1:17" ht="15.75" thickBot="1" x14ac:dyDescent="0.3">
      <c r="A8" s="176"/>
      <c r="B8" s="187">
        <v>133</v>
      </c>
      <c r="C8" s="176"/>
      <c r="D8" s="187">
        <v>34</v>
      </c>
      <c r="E8" s="205"/>
      <c r="K8" s="205" t="s">
        <v>374</v>
      </c>
      <c r="L8" s="207">
        <v>0</v>
      </c>
      <c r="M8" s="205">
        <v>34</v>
      </c>
      <c r="N8" s="205">
        <v>133</v>
      </c>
    </row>
    <row r="9" spans="1:17" ht="15.75" thickBot="1" x14ac:dyDescent="0.3">
      <c r="A9" s="176"/>
      <c r="B9" s="187">
        <v>313</v>
      </c>
      <c r="C9" s="176"/>
      <c r="D9" s="187">
        <v>34</v>
      </c>
      <c r="E9" s="205"/>
      <c r="K9" s="205" t="s">
        <v>455</v>
      </c>
      <c r="L9" s="207">
        <v>0</v>
      </c>
      <c r="M9" s="205">
        <v>34</v>
      </c>
      <c r="N9" s="205">
        <v>313</v>
      </c>
    </row>
    <row r="10" spans="1:17" ht="15.75" thickBot="1" x14ac:dyDescent="0.3">
      <c r="A10" s="176"/>
      <c r="B10" s="187">
        <v>133</v>
      </c>
      <c r="C10" s="176"/>
      <c r="D10" s="187">
        <v>45</v>
      </c>
      <c r="E10" s="205"/>
      <c r="K10" s="205" t="s">
        <v>360</v>
      </c>
      <c r="L10" s="207">
        <v>0</v>
      </c>
      <c r="M10" s="205">
        <v>45</v>
      </c>
      <c r="N10" s="205">
        <v>133</v>
      </c>
    </row>
    <row r="11" spans="1:17" ht="15.75" thickBot="1" x14ac:dyDescent="0.3">
      <c r="A11" s="176"/>
      <c r="B11" s="187">
        <v>313</v>
      </c>
      <c r="C11" s="176"/>
      <c r="D11" s="187">
        <v>45</v>
      </c>
      <c r="E11" s="205"/>
      <c r="K11" s="205" t="s">
        <v>394</v>
      </c>
      <c r="L11" s="207">
        <v>0</v>
      </c>
      <c r="M11" s="205">
        <v>45</v>
      </c>
      <c r="N11" s="205">
        <v>313</v>
      </c>
    </row>
    <row r="12" spans="1:17" ht="15.75" thickBot="1" x14ac:dyDescent="0.3">
      <c r="A12" s="176"/>
      <c r="B12" s="187">
        <v>313</v>
      </c>
      <c r="C12" s="176"/>
      <c r="D12" s="187">
        <v>45</v>
      </c>
      <c r="E12" s="205"/>
      <c r="K12" s="205" t="s">
        <v>466</v>
      </c>
      <c r="L12" s="207">
        <v>0</v>
      </c>
      <c r="M12" s="205">
        <v>45</v>
      </c>
      <c r="N12" s="205">
        <v>313</v>
      </c>
    </row>
    <row r="13" spans="1:17" ht="15.75" thickBot="1" x14ac:dyDescent="0.3">
      <c r="A13" s="176"/>
      <c r="B13" s="187">
        <v>133</v>
      </c>
      <c r="C13" s="176"/>
      <c r="D13" s="187">
        <v>45</v>
      </c>
      <c r="E13" s="205"/>
      <c r="K13" s="205" t="s">
        <v>467</v>
      </c>
      <c r="L13" s="207">
        <v>0</v>
      </c>
      <c r="M13" s="205">
        <v>45</v>
      </c>
      <c r="N13" s="205">
        <v>133</v>
      </c>
    </row>
    <row r="14" spans="1:17" ht="15.75" thickBot="1" x14ac:dyDescent="0.3">
      <c r="A14" s="176">
        <v>2</v>
      </c>
      <c r="B14" s="187"/>
      <c r="C14" s="176">
        <v>2</v>
      </c>
      <c r="D14" s="187"/>
      <c r="E14" s="186" t="str">
        <f>IF(ISNUMBER(E3:E13),ROUNDDOWN(E3:E13,0),"")</f>
        <v/>
      </c>
    </row>
    <row r="15" spans="1:17" ht="15.75" thickBot="1" x14ac:dyDescent="0.3">
      <c r="A15" s="176">
        <v>3</v>
      </c>
      <c r="B15" s="187"/>
      <c r="C15" s="176">
        <v>3</v>
      </c>
      <c r="D15" s="187"/>
      <c r="E15" s="186" t="str">
        <f>IF(E14&lt;&gt;"",12*(E3:E13-E14),"")</f>
        <v/>
      </c>
    </row>
    <row r="16" spans="1:17" ht="15.75" thickBot="1" x14ac:dyDescent="0.3">
      <c r="A16" s="176">
        <v>4</v>
      </c>
      <c r="B16" s="187"/>
      <c r="C16" s="176">
        <v>4</v>
      </c>
      <c r="D16" s="187"/>
      <c r="E16" s="186"/>
    </row>
    <row r="17" spans="1:11" ht="15.75" thickBot="1" x14ac:dyDescent="0.3">
      <c r="A17" s="176">
        <v>5</v>
      </c>
      <c r="B17" s="187"/>
      <c r="C17" s="176">
        <v>5</v>
      </c>
      <c r="D17" s="187"/>
      <c r="E17" s="186"/>
    </row>
    <row r="18" spans="1:11" ht="15.75" thickBot="1" x14ac:dyDescent="0.3">
      <c r="A18" s="177">
        <v>6</v>
      </c>
      <c r="B18" s="187"/>
      <c r="C18" s="176">
        <v>6</v>
      </c>
      <c r="D18" s="187"/>
      <c r="E18" s="186"/>
    </row>
    <row r="19" spans="1:11" ht="15.75" thickBot="1" x14ac:dyDescent="0.3">
      <c r="A19" s="177">
        <v>7</v>
      </c>
      <c r="B19" s="187"/>
      <c r="C19" s="176">
        <v>7</v>
      </c>
      <c r="D19" s="187"/>
      <c r="E19" s="186"/>
    </row>
    <row r="20" spans="1:11" ht="15.75" thickBot="1" x14ac:dyDescent="0.3">
      <c r="A20" s="177">
        <v>8</v>
      </c>
      <c r="B20" s="187"/>
      <c r="C20" s="176">
        <v>8</v>
      </c>
      <c r="D20" s="187"/>
      <c r="E20" s="186"/>
    </row>
    <row r="21" spans="1:11" x14ac:dyDescent="0.25">
      <c r="A21" s="177"/>
      <c r="B21" s="54"/>
      <c r="D21" s="54"/>
    </row>
    <row r="22" spans="1:11" x14ac:dyDescent="0.25">
      <c r="A22" s="177"/>
      <c r="B22" s="54"/>
      <c r="D22" s="54"/>
    </row>
    <row r="23" spans="1:11" x14ac:dyDescent="0.25">
      <c r="A23" s="177"/>
      <c r="B23" s="54"/>
      <c r="D23" s="54"/>
    </row>
    <row r="24" spans="1:11" x14ac:dyDescent="0.25">
      <c r="A24" s="177"/>
      <c r="B24" s="54"/>
      <c r="D24" s="54"/>
    </row>
    <row r="25" spans="1:11" x14ac:dyDescent="0.25">
      <c r="A25" s="177"/>
      <c r="B25" s="54"/>
      <c r="D25" s="54"/>
    </row>
    <row r="26" spans="1:11" x14ac:dyDescent="0.25">
      <c r="A26" s="177"/>
      <c r="B26" s="54"/>
      <c r="D26" s="54"/>
    </row>
    <row r="27" spans="1:11" x14ac:dyDescent="0.25">
      <c r="A27" s="177"/>
      <c r="B27" s="54"/>
      <c r="D27" s="54"/>
    </row>
    <row r="28" spans="1:11" x14ac:dyDescent="0.25">
      <c r="A28" s="177"/>
      <c r="B28" s="54"/>
      <c r="D28" s="54"/>
    </row>
    <row r="29" spans="1:11" x14ac:dyDescent="0.25">
      <c r="A29" s="177"/>
      <c r="B29" s="54"/>
      <c r="D29" s="54"/>
    </row>
    <row r="30" spans="1:11" x14ac:dyDescent="0.25">
      <c r="A30" s="177"/>
      <c r="B30" s="54"/>
      <c r="D30" s="54"/>
    </row>
    <row r="31" spans="1:11" x14ac:dyDescent="0.25">
      <c r="A31" s="177"/>
      <c r="B31" s="54"/>
      <c r="D31" s="54"/>
      <c r="K31" s="4"/>
    </row>
    <row r="32" spans="1:11" x14ac:dyDescent="0.25">
      <c r="A32" s="177"/>
      <c r="B32" s="54"/>
      <c r="D32" s="54"/>
      <c r="K32" s="4"/>
    </row>
    <row r="33" spans="1:11" x14ac:dyDescent="0.25">
      <c r="A33" s="177"/>
      <c r="B33" s="54"/>
      <c r="D33" s="54"/>
      <c r="K33" s="4"/>
    </row>
    <row r="34" spans="1:11" x14ac:dyDescent="0.25">
      <c r="A34" s="177"/>
      <c r="B34" s="54"/>
      <c r="D34" s="54"/>
    </row>
    <row r="35" spans="1:11" x14ac:dyDescent="0.25">
      <c r="A35" s="177"/>
      <c r="B35" s="54"/>
      <c r="D35" s="54"/>
    </row>
    <row r="36" spans="1:11" x14ac:dyDescent="0.25">
      <c r="A36" s="177"/>
      <c r="B36" s="54"/>
      <c r="C36" s="4"/>
      <c r="D36" s="54"/>
    </row>
    <row r="37" spans="1:11" x14ac:dyDescent="0.25">
      <c r="A37" s="177"/>
      <c r="B37" s="54"/>
      <c r="C37" s="4"/>
      <c r="D37" s="54"/>
    </row>
    <row r="38" spans="1:11" x14ac:dyDescent="0.25">
      <c r="A38" s="177"/>
      <c r="B38" s="54"/>
      <c r="C38" s="4"/>
      <c r="D38" s="54"/>
    </row>
    <row r="39" spans="1:11" x14ac:dyDescent="0.25">
      <c r="A39" s="182"/>
      <c r="C39" s="190"/>
      <c r="D39" s="183"/>
    </row>
    <row r="40" spans="1:11" x14ac:dyDescent="0.25">
      <c r="C40" s="191"/>
    </row>
    <row r="41" spans="1:11" x14ac:dyDescent="0.25">
      <c r="C41" s="191"/>
    </row>
    <row r="42" spans="1:11" x14ac:dyDescent="0.25">
      <c r="C42" s="191"/>
    </row>
  </sheetData>
  <sheetProtection selectLockedCells="1"/>
  <mergeCells count="1">
    <mergeCell ref="A1:D1"/>
  </mergeCells>
  <conditionalFormatting sqref="L3:L53">
    <cfRule type="cellIs" dxfId="3" priority="11" operator="greaterThan">
      <formula>0</formula>
    </cfRule>
  </conditionalFormatting>
  <conditionalFormatting sqref="M3:M13">
    <cfRule type="expression" dxfId="2" priority="10">
      <formula>$L$3&gt;0</formula>
    </cfRule>
  </conditionalFormatting>
  <conditionalFormatting sqref="K3:K13">
    <cfRule type="expression" dxfId="1" priority="8">
      <formula>$L$3&gt;0</formula>
    </cfRule>
  </conditionalFormatting>
  <conditionalFormatting sqref="N3:N13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56"/>
  <sheetViews>
    <sheetView topLeftCell="AD1" workbookViewId="0">
      <selection activeCell="AR3" sqref="AR3:AR43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247" t="s">
        <v>141</v>
      </c>
      <c r="B1" s="247"/>
      <c r="C1" s="247"/>
      <c r="D1" s="247"/>
      <c r="E1" s="247" t="s">
        <v>399</v>
      </c>
      <c r="F1" s="247"/>
      <c r="G1" s="247"/>
      <c r="H1" s="247"/>
      <c r="I1" s="247" t="s">
        <v>400</v>
      </c>
      <c r="J1" s="247"/>
      <c r="K1" s="247"/>
      <c r="L1" s="247"/>
      <c r="M1" s="247" t="s">
        <v>401</v>
      </c>
      <c r="N1" s="247"/>
      <c r="O1" s="247"/>
      <c r="P1" s="247"/>
      <c r="Q1" s="248" t="s">
        <v>402</v>
      </c>
      <c r="R1" s="249"/>
      <c r="S1" s="249"/>
      <c r="T1" s="250"/>
      <c r="U1" s="247" t="s">
        <v>403</v>
      </c>
      <c r="V1" s="247"/>
      <c r="W1" s="247"/>
      <c r="X1" s="247"/>
      <c r="Y1" s="247" t="s">
        <v>404</v>
      </c>
      <c r="Z1" s="247"/>
      <c r="AA1" s="247"/>
      <c r="AB1" s="247"/>
      <c r="AC1" s="247" t="s">
        <v>405</v>
      </c>
      <c r="AD1" s="247"/>
      <c r="AE1" s="247"/>
      <c r="AF1" s="247"/>
      <c r="AG1" s="248" t="s">
        <v>406</v>
      </c>
      <c r="AH1" s="249"/>
      <c r="AI1" s="249"/>
      <c r="AJ1" s="250"/>
      <c r="AK1" s="248" t="s">
        <v>407</v>
      </c>
      <c r="AL1" s="249"/>
      <c r="AM1" s="249"/>
      <c r="AN1" s="250"/>
      <c r="AO1" s="247" t="s">
        <v>408</v>
      </c>
      <c r="AP1" s="247"/>
      <c r="AQ1" s="247"/>
      <c r="AR1" s="247"/>
      <c r="AS1" s="247" t="s">
        <v>409</v>
      </c>
      <c r="AT1" s="247"/>
      <c r="AU1" s="247"/>
      <c r="AV1" s="247"/>
      <c r="AW1" s="247" t="s">
        <v>410</v>
      </c>
      <c r="AX1" s="247"/>
      <c r="AY1" s="247"/>
      <c r="AZ1" s="247"/>
      <c r="BA1" s="247" t="s">
        <v>411</v>
      </c>
      <c r="BB1" s="247"/>
      <c r="BC1" s="247"/>
      <c r="BD1" s="247"/>
      <c r="BE1" s="247" t="s">
        <v>412</v>
      </c>
      <c r="BF1" s="247"/>
      <c r="BG1" s="247"/>
      <c r="BH1" s="247"/>
    </row>
    <row r="2" spans="1:60" ht="16.5" thickTop="1" thickBot="1" x14ac:dyDescent="0.3">
      <c r="A2" s="212" t="s">
        <v>413</v>
      </c>
      <c r="B2" s="213" t="s">
        <v>414</v>
      </c>
      <c r="C2" s="213" t="s">
        <v>415</v>
      </c>
      <c r="D2" s="214" t="s">
        <v>416</v>
      </c>
      <c r="E2" s="215" t="s">
        <v>413</v>
      </c>
      <c r="F2" s="213" t="s">
        <v>414</v>
      </c>
      <c r="G2" s="213" t="s">
        <v>415</v>
      </c>
      <c r="H2" s="214" t="s">
        <v>416</v>
      </c>
      <c r="I2" s="212" t="s">
        <v>413</v>
      </c>
      <c r="J2" s="213" t="s">
        <v>414</v>
      </c>
      <c r="K2" s="213" t="s">
        <v>415</v>
      </c>
      <c r="L2" s="214" t="s">
        <v>416</v>
      </c>
      <c r="M2" s="212" t="s">
        <v>413</v>
      </c>
      <c r="N2" s="213" t="s">
        <v>414</v>
      </c>
      <c r="O2" s="213" t="s">
        <v>415</v>
      </c>
      <c r="P2" s="214" t="s">
        <v>416</v>
      </c>
      <c r="Q2" s="212" t="s">
        <v>413</v>
      </c>
      <c r="R2" s="213" t="s">
        <v>414</v>
      </c>
      <c r="S2" s="213" t="s">
        <v>415</v>
      </c>
      <c r="T2" s="214" t="s">
        <v>416</v>
      </c>
      <c r="U2" s="212" t="s">
        <v>413</v>
      </c>
      <c r="V2" s="213" t="s">
        <v>414</v>
      </c>
      <c r="W2" s="213" t="s">
        <v>415</v>
      </c>
      <c r="X2" s="214" t="s">
        <v>416</v>
      </c>
      <c r="Y2" s="215" t="s">
        <v>413</v>
      </c>
      <c r="Z2" s="213" t="s">
        <v>414</v>
      </c>
      <c r="AA2" s="213" t="s">
        <v>415</v>
      </c>
      <c r="AB2" s="214" t="s">
        <v>416</v>
      </c>
      <c r="AC2" s="212" t="s">
        <v>413</v>
      </c>
      <c r="AD2" s="213" t="s">
        <v>414</v>
      </c>
      <c r="AE2" s="213" t="s">
        <v>415</v>
      </c>
      <c r="AF2" s="214" t="s">
        <v>416</v>
      </c>
      <c r="AG2" s="212" t="s">
        <v>413</v>
      </c>
      <c r="AH2" s="213" t="s">
        <v>414</v>
      </c>
      <c r="AI2" s="213" t="s">
        <v>415</v>
      </c>
      <c r="AJ2" s="214" t="s">
        <v>416</v>
      </c>
      <c r="AK2" s="212" t="s">
        <v>413</v>
      </c>
      <c r="AL2" s="213" t="s">
        <v>414</v>
      </c>
      <c r="AM2" s="213" t="s">
        <v>415</v>
      </c>
      <c r="AN2" s="214" t="s">
        <v>416</v>
      </c>
      <c r="AO2" s="212" t="s">
        <v>413</v>
      </c>
      <c r="AP2" s="213" t="s">
        <v>414</v>
      </c>
      <c r="AQ2" s="213" t="s">
        <v>415</v>
      </c>
      <c r="AR2" s="214" t="s">
        <v>416</v>
      </c>
      <c r="AS2" s="212" t="s">
        <v>413</v>
      </c>
      <c r="AT2" s="213" t="s">
        <v>414</v>
      </c>
      <c r="AU2" s="213" t="s">
        <v>415</v>
      </c>
      <c r="AV2" s="214" t="s">
        <v>416</v>
      </c>
      <c r="AW2" s="212" t="s">
        <v>413</v>
      </c>
      <c r="AX2" s="213" t="s">
        <v>414</v>
      </c>
      <c r="AY2" s="213" t="s">
        <v>415</v>
      </c>
      <c r="AZ2" s="214" t="s">
        <v>416</v>
      </c>
      <c r="BA2" s="212" t="s">
        <v>413</v>
      </c>
      <c r="BB2" s="213" t="s">
        <v>414</v>
      </c>
      <c r="BC2" s="213" t="s">
        <v>415</v>
      </c>
      <c r="BD2" s="214" t="s">
        <v>416</v>
      </c>
      <c r="BE2" s="212" t="s">
        <v>413</v>
      </c>
      <c r="BF2" s="213" t="s">
        <v>414</v>
      </c>
      <c r="BG2" s="213" t="s">
        <v>415</v>
      </c>
      <c r="BH2" s="214" t="s">
        <v>416</v>
      </c>
    </row>
    <row r="3" spans="1:60" ht="15.75" thickTop="1" x14ac:dyDescent="0.25">
      <c r="A3" s="216" t="s">
        <v>398</v>
      </c>
      <c r="B3" s="217">
        <v>30</v>
      </c>
      <c r="C3" s="217">
        <v>30</v>
      </c>
      <c r="D3" s="218">
        <v>223</v>
      </c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/>
      <c r="V3" s="217"/>
      <c r="W3" s="217"/>
      <c r="X3" s="218"/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 t="s">
        <v>398</v>
      </c>
      <c r="AP3" s="217">
        <v>30</v>
      </c>
      <c r="AQ3" s="217">
        <v>30</v>
      </c>
      <c r="AR3" s="220">
        <v>223</v>
      </c>
      <c r="AS3" s="219"/>
      <c r="AT3" s="217"/>
      <c r="AU3" s="217"/>
      <c r="AV3" s="220"/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 t="s">
        <v>375</v>
      </c>
      <c r="B4" s="221">
        <v>0</v>
      </c>
      <c r="C4" s="221">
        <v>30</v>
      </c>
      <c r="D4" s="222">
        <v>43</v>
      </c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/>
      <c r="V4" s="221"/>
      <c r="W4" s="221"/>
      <c r="X4" s="222"/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 t="s">
        <v>375</v>
      </c>
      <c r="AP4" s="221">
        <v>0</v>
      </c>
      <c r="AQ4" s="221">
        <v>30</v>
      </c>
      <c r="AR4" s="222">
        <v>43</v>
      </c>
      <c r="AS4" s="219"/>
      <c r="AT4" s="221"/>
      <c r="AU4" s="221"/>
      <c r="AV4" s="222"/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 t="s">
        <v>376</v>
      </c>
      <c r="B5" s="221">
        <v>28</v>
      </c>
      <c r="C5" s="221">
        <v>45</v>
      </c>
      <c r="D5" s="222">
        <v>223</v>
      </c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/>
      <c r="V5" s="221"/>
      <c r="W5" s="221"/>
      <c r="X5" s="222"/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 t="s">
        <v>376</v>
      </c>
      <c r="AP5" s="221">
        <v>28</v>
      </c>
      <c r="AQ5" s="221">
        <v>45</v>
      </c>
      <c r="AR5" s="222">
        <v>223</v>
      </c>
      <c r="AS5" s="219"/>
      <c r="AT5" s="221"/>
      <c r="AU5" s="221"/>
      <c r="AV5" s="222"/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 t="s">
        <v>396</v>
      </c>
      <c r="B6" s="221">
        <v>0</v>
      </c>
      <c r="C6" s="221">
        <v>45</v>
      </c>
      <c r="D6" s="222">
        <v>43</v>
      </c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/>
      <c r="V6" s="221"/>
      <c r="W6" s="221"/>
      <c r="X6" s="222"/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 t="s">
        <v>396</v>
      </c>
      <c r="AP6" s="221">
        <v>0</v>
      </c>
      <c r="AQ6" s="221">
        <v>45</v>
      </c>
      <c r="AR6" s="222">
        <v>43</v>
      </c>
      <c r="AS6" s="219"/>
      <c r="AT6" s="221"/>
      <c r="AU6" s="221"/>
      <c r="AV6" s="222"/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 t="s">
        <v>417</v>
      </c>
      <c r="B7" s="221">
        <v>0</v>
      </c>
      <c r="C7" s="221">
        <v>18</v>
      </c>
      <c r="D7" s="222">
        <v>43</v>
      </c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/>
      <c r="V7" s="221"/>
      <c r="W7" s="221"/>
      <c r="X7" s="222"/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 t="s">
        <v>417</v>
      </c>
      <c r="AP7" s="221">
        <v>0</v>
      </c>
      <c r="AQ7" s="221">
        <v>18</v>
      </c>
      <c r="AR7" s="222">
        <v>43</v>
      </c>
      <c r="AS7" s="219"/>
      <c r="AT7" s="221"/>
      <c r="AU7" s="221"/>
      <c r="AV7" s="222"/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 t="s">
        <v>374</v>
      </c>
      <c r="B8" s="221">
        <v>0</v>
      </c>
      <c r="C8" s="221">
        <v>34</v>
      </c>
      <c r="D8" s="222">
        <v>133</v>
      </c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/>
      <c r="V8" s="221"/>
      <c r="W8" s="221"/>
      <c r="X8" s="222"/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 t="s">
        <v>374</v>
      </c>
      <c r="AP8" s="221">
        <v>0</v>
      </c>
      <c r="AQ8" s="221">
        <v>34</v>
      </c>
      <c r="AR8" s="222">
        <v>133</v>
      </c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 t="s">
        <v>455</v>
      </c>
      <c r="B9" s="221">
        <v>0</v>
      </c>
      <c r="C9" s="221">
        <v>34</v>
      </c>
      <c r="D9" s="222">
        <v>313</v>
      </c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/>
      <c r="V9" s="221"/>
      <c r="W9" s="221"/>
      <c r="X9" s="222"/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 t="s">
        <v>455</v>
      </c>
      <c r="AP9" s="221">
        <v>0</v>
      </c>
      <c r="AQ9" s="221">
        <v>34</v>
      </c>
      <c r="AR9" s="222">
        <v>313</v>
      </c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 t="s">
        <v>360</v>
      </c>
      <c r="B10" s="221">
        <v>0</v>
      </c>
      <c r="C10" s="221">
        <v>45</v>
      </c>
      <c r="D10" s="222">
        <v>133</v>
      </c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/>
      <c r="V10" s="221"/>
      <c r="W10" s="221"/>
      <c r="X10" s="222"/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 t="s">
        <v>360</v>
      </c>
      <c r="AP10" s="221">
        <v>0</v>
      </c>
      <c r="AQ10" s="221">
        <v>45</v>
      </c>
      <c r="AR10" s="222">
        <v>133</v>
      </c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 t="s">
        <v>394</v>
      </c>
      <c r="B11" s="221">
        <v>0</v>
      </c>
      <c r="C11" s="221">
        <v>45</v>
      </c>
      <c r="D11" s="222">
        <v>313</v>
      </c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 t="s">
        <v>394</v>
      </c>
      <c r="AP11" s="221">
        <v>0</v>
      </c>
      <c r="AQ11" s="221">
        <v>45</v>
      </c>
      <c r="AR11" s="222">
        <v>313</v>
      </c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 t="s">
        <v>466</v>
      </c>
      <c r="B12" s="221">
        <v>0</v>
      </c>
      <c r="C12" s="221">
        <v>45</v>
      </c>
      <c r="D12" s="222">
        <v>313</v>
      </c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 t="s">
        <v>466</v>
      </c>
      <c r="AP12" s="221">
        <v>0</v>
      </c>
      <c r="AQ12" s="221">
        <v>45</v>
      </c>
      <c r="AR12" s="222">
        <v>313</v>
      </c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 t="s">
        <v>467</v>
      </c>
      <c r="B13" s="221">
        <v>0</v>
      </c>
      <c r="C13" s="221">
        <v>45</v>
      </c>
      <c r="D13" s="222">
        <v>133</v>
      </c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 t="s">
        <v>467</v>
      </c>
      <c r="AP13" s="221">
        <v>0</v>
      </c>
      <c r="AQ13" s="221">
        <v>45</v>
      </c>
      <c r="AR13" s="222">
        <v>133</v>
      </c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/>
      <c r="B14" s="221"/>
      <c r="C14" s="221"/>
      <c r="D14" s="222"/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/>
      <c r="AP14" s="221"/>
      <c r="AQ14" s="221"/>
      <c r="AR14" s="222"/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/>
      <c r="B15" s="221"/>
      <c r="C15" s="221"/>
      <c r="D15" s="222"/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/>
      <c r="AP15" s="221"/>
      <c r="AQ15" s="221"/>
      <c r="AR15" s="222"/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/>
      <c r="B16" s="221"/>
      <c r="C16" s="221"/>
      <c r="D16" s="222"/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/>
      <c r="AP16" s="221"/>
      <c r="AQ16" s="221"/>
      <c r="AR16" s="222"/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7"/>
      <c r="B43" s="228"/>
      <c r="C43" s="228"/>
      <c r="D43" s="229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251" t="s">
        <v>437</v>
      </c>
      <c r="B44" s="252"/>
      <c r="C44" s="252"/>
      <c r="D44" s="253"/>
      <c r="E44" s="251" t="s">
        <v>437</v>
      </c>
      <c r="F44" s="252"/>
      <c r="G44" s="252"/>
      <c r="H44" s="253"/>
      <c r="I44" s="251" t="s">
        <v>437</v>
      </c>
      <c r="J44" s="252"/>
      <c r="K44" s="252"/>
      <c r="L44" s="253"/>
      <c r="M44" s="251" t="s">
        <v>437</v>
      </c>
      <c r="N44" s="252"/>
      <c r="O44" s="252"/>
      <c r="P44" s="253"/>
      <c r="Q44" s="251" t="s">
        <v>437</v>
      </c>
      <c r="R44" s="252"/>
      <c r="S44" s="252"/>
      <c r="T44" s="253"/>
      <c r="U44" s="251" t="s">
        <v>437</v>
      </c>
      <c r="V44" s="252"/>
      <c r="W44" s="252"/>
      <c r="X44" s="253"/>
      <c r="Y44" s="251" t="s">
        <v>437</v>
      </c>
      <c r="Z44" s="252"/>
      <c r="AA44" s="252"/>
      <c r="AB44" s="253"/>
      <c r="AC44" s="251" t="s">
        <v>437</v>
      </c>
      <c r="AD44" s="252"/>
      <c r="AE44" s="252"/>
      <c r="AF44" s="253"/>
      <c r="AG44" s="251" t="s">
        <v>437</v>
      </c>
      <c r="AH44" s="252"/>
      <c r="AI44" s="252"/>
      <c r="AJ44" s="253"/>
      <c r="AK44" s="251" t="s">
        <v>437</v>
      </c>
      <c r="AL44" s="252"/>
      <c r="AM44" s="252"/>
      <c r="AN44" s="253"/>
      <c r="AO44" s="251" t="s">
        <v>437</v>
      </c>
      <c r="AP44" s="252"/>
      <c r="AQ44" s="252"/>
      <c r="AR44" s="253"/>
      <c r="AS44" s="251" t="s">
        <v>437</v>
      </c>
      <c r="AT44" s="252"/>
      <c r="AU44" s="252"/>
      <c r="AV44" s="253"/>
      <c r="AW44" s="251" t="s">
        <v>437</v>
      </c>
      <c r="AX44" s="252"/>
      <c r="AY44" s="252"/>
      <c r="AZ44" s="253"/>
      <c r="BA44" s="251" t="s">
        <v>437</v>
      </c>
      <c r="BB44" s="252"/>
      <c r="BC44" s="252"/>
      <c r="BD44" s="253"/>
      <c r="BE44" s="251" t="s">
        <v>437</v>
      </c>
      <c r="BF44" s="252"/>
      <c r="BG44" s="252"/>
      <c r="BH44" s="253"/>
    </row>
    <row r="45" spans="1:60" x14ac:dyDescent="0.25">
      <c r="A45" s="216"/>
      <c r="B45" s="216"/>
      <c r="C45" s="216"/>
      <c r="D45" s="234"/>
      <c r="E45" s="219"/>
      <c r="F45" s="216"/>
      <c r="G45" s="216"/>
      <c r="H45" s="234"/>
      <c r="I45" s="219"/>
      <c r="J45" s="216"/>
      <c r="K45" s="216"/>
      <c r="L45" s="234"/>
      <c r="M45" s="219"/>
      <c r="N45" s="216"/>
      <c r="O45" s="216"/>
      <c r="P45" s="234"/>
      <c r="Q45" s="219"/>
      <c r="R45" s="216"/>
      <c r="S45" s="216"/>
      <c r="T45" s="234"/>
      <c r="U45" s="219"/>
      <c r="V45" s="216"/>
      <c r="W45" s="216"/>
      <c r="X45" s="234"/>
      <c r="Y45" s="219"/>
      <c r="Z45" s="216"/>
      <c r="AA45" s="216"/>
      <c r="AB45" s="234"/>
      <c r="AC45" s="219"/>
      <c r="AD45" s="216"/>
      <c r="AE45" s="216"/>
      <c r="AF45" s="234"/>
      <c r="AG45" s="219"/>
      <c r="AH45" s="216"/>
      <c r="AI45" s="216"/>
      <c r="AJ45" s="234"/>
      <c r="AK45" s="219"/>
      <c r="AL45" s="216"/>
      <c r="AM45" s="216"/>
      <c r="AN45" s="234"/>
      <c r="AO45" s="219"/>
      <c r="AP45" s="216"/>
      <c r="AQ45" s="216"/>
      <c r="AR45" s="234"/>
      <c r="AS45" s="219"/>
      <c r="AT45" s="216"/>
      <c r="AU45" s="216"/>
      <c r="AV45" s="234"/>
      <c r="AW45" s="219"/>
      <c r="AX45" s="216"/>
      <c r="AY45" s="216"/>
      <c r="AZ45" s="234"/>
      <c r="BA45" s="219"/>
      <c r="BB45" s="216"/>
      <c r="BC45" s="216"/>
      <c r="BD45" s="234"/>
      <c r="BE45" s="219"/>
      <c r="BF45" s="216"/>
      <c r="BG45" s="216"/>
      <c r="BH45" s="234"/>
    </row>
    <row r="46" spans="1:60" x14ac:dyDescent="0.25">
      <c r="A46" s="230" t="s">
        <v>426</v>
      </c>
      <c r="B46" s="230" t="s">
        <v>471</v>
      </c>
      <c r="C46" s="230"/>
      <c r="D46" s="177"/>
      <c r="E46" s="232" t="s">
        <v>426</v>
      </c>
      <c r="F46" s="230"/>
      <c r="G46" s="230"/>
      <c r="H46" s="177"/>
      <c r="I46" s="232" t="s">
        <v>426</v>
      </c>
      <c r="J46" s="230"/>
      <c r="K46" s="230"/>
      <c r="L46" s="177"/>
      <c r="M46" s="232" t="s">
        <v>426</v>
      </c>
      <c r="N46" s="230"/>
      <c r="O46" s="230"/>
      <c r="P46" s="177"/>
      <c r="Q46" s="232" t="s">
        <v>426</v>
      </c>
      <c r="R46" s="230"/>
      <c r="S46" s="230"/>
      <c r="T46" s="177"/>
      <c r="U46" s="232" t="s">
        <v>426</v>
      </c>
      <c r="V46" s="230" t="s">
        <v>471</v>
      </c>
      <c r="W46" s="230"/>
      <c r="X46" s="177"/>
      <c r="Y46" s="232" t="s">
        <v>426</v>
      </c>
      <c r="Z46" s="230" t="s">
        <v>471</v>
      </c>
      <c r="AA46" s="230"/>
      <c r="AB46" s="177"/>
      <c r="AC46" s="232" t="s">
        <v>426</v>
      </c>
      <c r="AD46" s="230"/>
      <c r="AE46" s="230"/>
      <c r="AF46" s="177"/>
      <c r="AG46" s="232" t="s">
        <v>426</v>
      </c>
      <c r="AH46" s="230"/>
      <c r="AI46" s="230"/>
      <c r="AJ46" s="177"/>
      <c r="AK46" s="232" t="s">
        <v>426</v>
      </c>
      <c r="AL46" s="230"/>
      <c r="AM46" s="230"/>
      <c r="AN46" s="177"/>
      <c r="AO46" s="232" t="s">
        <v>426</v>
      </c>
      <c r="AP46" s="230" t="s">
        <v>471</v>
      </c>
      <c r="AQ46" s="230"/>
      <c r="AR46" s="177"/>
      <c r="AS46" s="232" t="s">
        <v>426</v>
      </c>
      <c r="AT46" s="230"/>
      <c r="AU46" s="230"/>
      <c r="AV46" s="177"/>
      <c r="AW46" s="232" t="s">
        <v>426</v>
      </c>
      <c r="AX46" s="230"/>
      <c r="AY46" s="230"/>
      <c r="AZ46" s="177"/>
      <c r="BA46" s="232" t="s">
        <v>426</v>
      </c>
      <c r="BB46" s="230"/>
      <c r="BC46" s="230"/>
      <c r="BD46" s="177"/>
      <c r="BE46" s="232" t="s">
        <v>426</v>
      </c>
      <c r="BF46" s="230"/>
      <c r="BG46" s="230"/>
      <c r="BH46" s="177"/>
    </row>
    <row r="47" spans="1:60" x14ac:dyDescent="0.25">
      <c r="A47" s="231" t="s">
        <v>427</v>
      </c>
      <c r="B47" s="230" t="s">
        <v>337</v>
      </c>
      <c r="C47" s="230"/>
      <c r="D47" s="177"/>
      <c r="E47" s="233" t="s">
        <v>427</v>
      </c>
      <c r="F47" s="230"/>
      <c r="G47" s="230"/>
      <c r="H47" s="177"/>
      <c r="I47" s="233" t="s">
        <v>427</v>
      </c>
      <c r="J47" s="230"/>
      <c r="K47" s="230"/>
      <c r="L47" s="177"/>
      <c r="M47" s="233" t="s">
        <v>427</v>
      </c>
      <c r="N47" s="230"/>
      <c r="O47" s="230"/>
      <c r="P47" s="177"/>
      <c r="Q47" s="233" t="s">
        <v>427</v>
      </c>
      <c r="R47" s="230"/>
      <c r="S47" s="230"/>
      <c r="T47" s="177"/>
      <c r="U47" s="233" t="s">
        <v>427</v>
      </c>
      <c r="V47" s="230" t="s">
        <v>337</v>
      </c>
      <c r="W47" s="230"/>
      <c r="X47" s="177"/>
      <c r="Y47" s="233" t="s">
        <v>427</v>
      </c>
      <c r="Z47" s="230" t="s">
        <v>341</v>
      </c>
      <c r="AA47" s="230"/>
      <c r="AB47" s="177"/>
      <c r="AC47" s="233" t="s">
        <v>427</v>
      </c>
      <c r="AD47" s="230"/>
      <c r="AE47" s="230"/>
      <c r="AF47" s="177"/>
      <c r="AG47" s="233" t="s">
        <v>427</v>
      </c>
      <c r="AH47" s="230"/>
      <c r="AI47" s="230"/>
      <c r="AJ47" s="177"/>
      <c r="AK47" s="233" t="s">
        <v>427</v>
      </c>
      <c r="AL47" s="230"/>
      <c r="AM47" s="230"/>
      <c r="AN47" s="177"/>
      <c r="AO47" s="233" t="s">
        <v>427</v>
      </c>
      <c r="AP47" s="230" t="s">
        <v>341</v>
      </c>
      <c r="AQ47" s="230"/>
      <c r="AR47" s="177"/>
      <c r="AS47" s="233" t="s">
        <v>427</v>
      </c>
      <c r="AT47" s="230"/>
      <c r="AU47" s="230"/>
      <c r="AV47" s="177"/>
      <c r="AW47" s="233" t="s">
        <v>427</v>
      </c>
      <c r="AX47" s="230"/>
      <c r="AY47" s="230"/>
      <c r="AZ47" s="177"/>
      <c r="BA47" s="233" t="s">
        <v>427</v>
      </c>
      <c r="BB47" s="230"/>
      <c r="BC47" s="230"/>
      <c r="BD47" s="177"/>
      <c r="BE47" s="233" t="s">
        <v>427</v>
      </c>
      <c r="BF47" s="230"/>
      <c r="BG47" s="230"/>
      <c r="BH47" s="177"/>
    </row>
    <row r="48" spans="1:60" x14ac:dyDescent="0.25">
      <c r="A48" s="231" t="s">
        <v>428</v>
      </c>
      <c r="B48" s="230"/>
      <c r="C48" s="230"/>
      <c r="D48" s="177"/>
      <c r="E48" s="233" t="s">
        <v>428</v>
      </c>
      <c r="F48" s="230"/>
      <c r="G48" s="230"/>
      <c r="H48" s="177"/>
      <c r="I48" s="233" t="s">
        <v>428</v>
      </c>
      <c r="J48" s="230"/>
      <c r="K48" s="230"/>
      <c r="L48" s="177"/>
      <c r="M48" s="233" t="s">
        <v>428</v>
      </c>
      <c r="N48" s="230"/>
      <c r="O48" s="230"/>
      <c r="P48" s="177"/>
      <c r="Q48" s="233" t="s">
        <v>428</v>
      </c>
      <c r="R48" s="230"/>
      <c r="S48" s="230"/>
      <c r="T48" s="177"/>
      <c r="U48" s="233" t="s">
        <v>428</v>
      </c>
      <c r="V48" s="230"/>
      <c r="W48" s="230"/>
      <c r="X48" s="177"/>
      <c r="Y48" s="233" t="s">
        <v>428</v>
      </c>
      <c r="Z48" s="230"/>
      <c r="AA48" s="230"/>
      <c r="AB48" s="177"/>
      <c r="AC48" s="233" t="s">
        <v>428</v>
      </c>
      <c r="AD48" s="230"/>
      <c r="AE48" s="230"/>
      <c r="AF48" s="177"/>
      <c r="AG48" s="233" t="s">
        <v>428</v>
      </c>
      <c r="AH48" s="230"/>
      <c r="AI48" s="230"/>
      <c r="AJ48" s="177"/>
      <c r="AK48" s="233" t="s">
        <v>428</v>
      </c>
      <c r="AL48" s="230"/>
      <c r="AM48" s="230"/>
      <c r="AN48" s="177"/>
      <c r="AO48" s="233" t="s">
        <v>428</v>
      </c>
      <c r="AP48" s="230"/>
      <c r="AQ48" s="230"/>
      <c r="AR48" s="177"/>
      <c r="AS48" s="233" t="s">
        <v>428</v>
      </c>
      <c r="AT48" s="230"/>
      <c r="AU48" s="230"/>
      <c r="AV48" s="177"/>
      <c r="AW48" s="233" t="s">
        <v>428</v>
      </c>
      <c r="AX48" s="230"/>
      <c r="AY48" s="230"/>
      <c r="AZ48" s="177"/>
      <c r="BA48" s="233" t="s">
        <v>428</v>
      </c>
      <c r="BB48" s="230"/>
      <c r="BC48" s="230"/>
      <c r="BD48" s="177"/>
      <c r="BE48" s="233" t="s">
        <v>428</v>
      </c>
      <c r="BF48" s="230"/>
      <c r="BG48" s="230"/>
      <c r="BH48" s="177"/>
    </row>
    <row r="49" spans="1:60" x14ac:dyDescent="0.25">
      <c r="A49" s="230" t="s">
        <v>429</v>
      </c>
      <c r="B49" s="230"/>
      <c r="C49" s="230"/>
      <c r="D49" s="177"/>
      <c r="E49" s="232" t="s">
        <v>429</v>
      </c>
      <c r="F49" s="230"/>
      <c r="G49" s="230"/>
      <c r="H49" s="177"/>
      <c r="I49" s="232" t="s">
        <v>429</v>
      </c>
      <c r="J49" s="230"/>
      <c r="K49" s="230"/>
      <c r="L49" s="177"/>
      <c r="M49" s="232" t="s">
        <v>429</v>
      </c>
      <c r="N49" s="230"/>
      <c r="O49" s="230"/>
      <c r="P49" s="177"/>
      <c r="Q49" s="232" t="s">
        <v>429</v>
      </c>
      <c r="R49" s="230"/>
      <c r="S49" s="230"/>
      <c r="T49" s="177"/>
      <c r="U49" s="232" t="s">
        <v>429</v>
      </c>
      <c r="V49" s="230"/>
      <c r="W49" s="230"/>
      <c r="X49" s="177"/>
      <c r="Y49" s="232" t="s">
        <v>429</v>
      </c>
      <c r="Z49" s="230"/>
      <c r="AA49" s="230"/>
      <c r="AB49" s="177"/>
      <c r="AC49" s="232" t="s">
        <v>429</v>
      </c>
      <c r="AD49" s="230"/>
      <c r="AE49" s="230"/>
      <c r="AF49" s="177"/>
      <c r="AG49" s="232" t="s">
        <v>429</v>
      </c>
      <c r="AH49" s="230"/>
      <c r="AI49" s="230"/>
      <c r="AJ49" s="177"/>
      <c r="AK49" s="232" t="s">
        <v>429</v>
      </c>
      <c r="AL49" s="230"/>
      <c r="AM49" s="230"/>
      <c r="AN49" s="177"/>
      <c r="AO49" s="232" t="s">
        <v>429</v>
      </c>
      <c r="AP49" s="230"/>
      <c r="AQ49" s="230"/>
      <c r="AR49" s="177"/>
      <c r="AS49" s="232" t="s">
        <v>429</v>
      </c>
      <c r="AT49" s="230"/>
      <c r="AU49" s="230"/>
      <c r="AV49" s="177"/>
      <c r="AW49" s="232" t="s">
        <v>429</v>
      </c>
      <c r="AX49" s="230"/>
      <c r="AY49" s="230"/>
      <c r="AZ49" s="177"/>
      <c r="BA49" s="232" t="s">
        <v>429</v>
      </c>
      <c r="BB49" s="230"/>
      <c r="BC49" s="230"/>
      <c r="BD49" s="177"/>
      <c r="BE49" s="232" t="s">
        <v>429</v>
      </c>
      <c r="BF49" s="230"/>
      <c r="BG49" s="230"/>
      <c r="BH49" s="177"/>
    </row>
    <row r="50" spans="1:60" x14ac:dyDescent="0.25">
      <c r="A50" s="230" t="s">
        <v>430</v>
      </c>
      <c r="B50" s="230" t="s">
        <v>472</v>
      </c>
      <c r="C50" s="230"/>
      <c r="D50" s="177"/>
      <c r="E50" s="232" t="s">
        <v>430</v>
      </c>
      <c r="F50" s="230"/>
      <c r="G50" s="230"/>
      <c r="H50" s="177"/>
      <c r="I50" s="232" t="s">
        <v>430</v>
      </c>
      <c r="J50" s="230"/>
      <c r="K50" s="230"/>
      <c r="L50" s="177"/>
      <c r="M50" s="232" t="s">
        <v>430</v>
      </c>
      <c r="N50" s="230"/>
      <c r="O50" s="230"/>
      <c r="P50" s="177"/>
      <c r="Q50" s="232" t="s">
        <v>430</v>
      </c>
      <c r="R50" s="230"/>
      <c r="S50" s="230"/>
      <c r="T50" s="177"/>
      <c r="U50" s="232" t="s">
        <v>430</v>
      </c>
      <c r="V50" s="230" t="s">
        <v>472</v>
      </c>
      <c r="W50" s="230"/>
      <c r="X50" s="177"/>
      <c r="Y50" s="232" t="s">
        <v>430</v>
      </c>
      <c r="Z50" s="230" t="s">
        <v>472</v>
      </c>
      <c r="AA50" s="230"/>
      <c r="AB50" s="177"/>
      <c r="AC50" s="232" t="s">
        <v>430</v>
      </c>
      <c r="AD50" s="230"/>
      <c r="AE50" s="230"/>
      <c r="AF50" s="177"/>
      <c r="AG50" s="232" t="s">
        <v>430</v>
      </c>
      <c r="AH50" s="230"/>
      <c r="AI50" s="230"/>
      <c r="AJ50" s="177"/>
      <c r="AK50" s="232" t="s">
        <v>430</v>
      </c>
      <c r="AL50" s="230"/>
      <c r="AM50" s="230"/>
      <c r="AN50" s="177"/>
      <c r="AO50" s="232" t="s">
        <v>430</v>
      </c>
      <c r="AP50" s="230" t="s">
        <v>480</v>
      </c>
      <c r="AQ50" s="230"/>
      <c r="AR50" s="177"/>
      <c r="AS50" s="232" t="s">
        <v>430</v>
      </c>
      <c r="AT50" s="230"/>
      <c r="AU50" s="230"/>
      <c r="AV50" s="177"/>
      <c r="AW50" s="232" t="s">
        <v>430</v>
      </c>
      <c r="AX50" s="230"/>
      <c r="AY50" s="230"/>
      <c r="AZ50" s="177"/>
      <c r="BA50" s="232" t="s">
        <v>430</v>
      </c>
      <c r="BB50" s="230"/>
      <c r="BC50" s="230"/>
      <c r="BD50" s="177"/>
      <c r="BE50" s="232" t="s">
        <v>430</v>
      </c>
      <c r="BF50" s="230"/>
      <c r="BG50" s="230"/>
      <c r="BH50" s="177"/>
    </row>
    <row r="51" spans="1:60" ht="30" x14ac:dyDescent="0.25">
      <c r="A51" s="231" t="s">
        <v>431</v>
      </c>
      <c r="B51" s="230" t="s">
        <v>473</v>
      </c>
      <c r="C51" s="230"/>
      <c r="D51" s="177"/>
      <c r="E51" s="233" t="s">
        <v>431</v>
      </c>
      <c r="F51" s="230"/>
      <c r="G51" s="230"/>
      <c r="H51" s="177"/>
      <c r="I51" s="233" t="s">
        <v>431</v>
      </c>
      <c r="J51" s="230"/>
      <c r="K51" s="230"/>
      <c r="L51" s="177"/>
      <c r="M51" s="233" t="s">
        <v>431</v>
      </c>
      <c r="N51" s="230"/>
      <c r="O51" s="230"/>
      <c r="P51" s="177"/>
      <c r="Q51" s="233" t="s">
        <v>431</v>
      </c>
      <c r="R51" s="230"/>
      <c r="S51" s="230"/>
      <c r="T51" s="177"/>
      <c r="U51" s="233" t="s">
        <v>431</v>
      </c>
      <c r="V51" s="230" t="s">
        <v>473</v>
      </c>
      <c r="W51" s="230"/>
      <c r="X51" s="177"/>
      <c r="Y51" s="233" t="s">
        <v>431</v>
      </c>
      <c r="Z51" s="230" t="s">
        <v>473</v>
      </c>
      <c r="AA51" s="230"/>
      <c r="AB51" s="177"/>
      <c r="AC51" s="233" t="s">
        <v>431</v>
      </c>
      <c r="AD51" s="230"/>
      <c r="AE51" s="230"/>
      <c r="AF51" s="177"/>
      <c r="AG51" s="233" t="s">
        <v>431</v>
      </c>
      <c r="AH51" s="230"/>
      <c r="AI51" s="230"/>
      <c r="AJ51" s="177"/>
      <c r="AK51" s="233" t="s">
        <v>431</v>
      </c>
      <c r="AL51" s="230"/>
      <c r="AM51" s="230"/>
      <c r="AN51" s="177"/>
      <c r="AO51" s="233" t="s">
        <v>431</v>
      </c>
      <c r="AP51" s="230" t="s">
        <v>473</v>
      </c>
      <c r="AQ51" s="230"/>
      <c r="AR51" s="177"/>
      <c r="AS51" s="233" t="s">
        <v>431</v>
      </c>
      <c r="AT51" s="230"/>
      <c r="AU51" s="230"/>
      <c r="AV51" s="177"/>
      <c r="AW51" s="233" t="s">
        <v>431</v>
      </c>
      <c r="AX51" s="230"/>
      <c r="AY51" s="230"/>
      <c r="AZ51" s="177"/>
      <c r="BA51" s="233" t="s">
        <v>431</v>
      </c>
      <c r="BB51" s="230"/>
      <c r="BC51" s="230"/>
      <c r="BD51" s="177"/>
      <c r="BE51" s="233" t="s">
        <v>431</v>
      </c>
      <c r="BF51" s="230"/>
      <c r="BG51" s="230"/>
      <c r="BH51" s="177"/>
    </row>
    <row r="52" spans="1:60" x14ac:dyDescent="0.25">
      <c r="A52" s="230" t="s">
        <v>432</v>
      </c>
      <c r="B52" s="230" t="s">
        <v>474</v>
      </c>
      <c r="C52" s="230"/>
      <c r="D52" s="177"/>
      <c r="E52" s="232" t="s">
        <v>432</v>
      </c>
      <c r="F52" s="230"/>
      <c r="G52" s="230"/>
      <c r="H52" s="177"/>
      <c r="I52" s="232" t="s">
        <v>432</v>
      </c>
      <c r="J52" s="230"/>
      <c r="K52" s="230"/>
      <c r="L52" s="177"/>
      <c r="M52" s="232" t="s">
        <v>432</v>
      </c>
      <c r="N52" s="230"/>
      <c r="O52" s="230"/>
      <c r="P52" s="177"/>
      <c r="Q52" s="232" t="s">
        <v>432</v>
      </c>
      <c r="R52" s="230"/>
      <c r="S52" s="230"/>
      <c r="T52" s="177"/>
      <c r="U52" s="232" t="s">
        <v>432</v>
      </c>
      <c r="V52" s="230" t="s">
        <v>474</v>
      </c>
      <c r="W52" s="230"/>
      <c r="X52" s="177"/>
      <c r="Y52" s="232" t="s">
        <v>432</v>
      </c>
      <c r="Z52" s="230" t="s">
        <v>474</v>
      </c>
      <c r="AA52" s="230"/>
      <c r="AB52" s="177"/>
      <c r="AC52" s="232" t="s">
        <v>432</v>
      </c>
      <c r="AD52" s="230"/>
      <c r="AE52" s="230"/>
      <c r="AF52" s="177"/>
      <c r="AG52" s="232" t="s">
        <v>432</v>
      </c>
      <c r="AH52" s="230"/>
      <c r="AI52" s="230"/>
      <c r="AJ52" s="177"/>
      <c r="AK52" s="232" t="s">
        <v>432</v>
      </c>
      <c r="AL52" s="230"/>
      <c r="AM52" s="230"/>
      <c r="AN52" s="177"/>
      <c r="AO52" s="232" t="s">
        <v>432</v>
      </c>
      <c r="AP52" s="230" t="s">
        <v>481</v>
      </c>
      <c r="AQ52" s="230"/>
      <c r="AR52" s="177"/>
      <c r="AS52" s="232" t="s">
        <v>432</v>
      </c>
      <c r="AT52" s="230"/>
      <c r="AU52" s="230"/>
      <c r="AV52" s="177"/>
      <c r="AW52" s="232" t="s">
        <v>432</v>
      </c>
      <c r="AX52" s="230"/>
      <c r="AY52" s="230"/>
      <c r="AZ52" s="177"/>
      <c r="BA52" s="232" t="s">
        <v>432</v>
      </c>
      <c r="BB52" s="230"/>
      <c r="BC52" s="230"/>
      <c r="BD52" s="177"/>
      <c r="BE52" s="232" t="s">
        <v>432</v>
      </c>
      <c r="BF52" s="230"/>
      <c r="BG52" s="230"/>
      <c r="BH52" s="177"/>
    </row>
    <row r="53" spans="1:60" x14ac:dyDescent="0.25">
      <c r="A53" s="230" t="s">
        <v>433</v>
      </c>
      <c r="B53" s="230">
        <v>80</v>
      </c>
      <c r="C53" s="230"/>
      <c r="D53" s="177"/>
      <c r="E53" s="232" t="s">
        <v>433</v>
      </c>
      <c r="F53" s="230"/>
      <c r="G53" s="230"/>
      <c r="H53" s="177"/>
      <c r="I53" s="232" t="s">
        <v>433</v>
      </c>
      <c r="J53" s="230"/>
      <c r="K53" s="230"/>
      <c r="L53" s="177"/>
      <c r="M53" s="232" t="s">
        <v>433</v>
      </c>
      <c r="N53" s="230"/>
      <c r="O53" s="230"/>
      <c r="P53" s="177"/>
      <c r="Q53" s="232" t="s">
        <v>433</v>
      </c>
      <c r="R53" s="230"/>
      <c r="S53" s="230"/>
      <c r="T53" s="177"/>
      <c r="U53" s="232" t="s">
        <v>433</v>
      </c>
      <c r="V53" s="230">
        <v>80</v>
      </c>
      <c r="W53" s="230"/>
      <c r="X53" s="177"/>
      <c r="Y53" s="232" t="s">
        <v>433</v>
      </c>
      <c r="Z53" s="230">
        <v>80</v>
      </c>
      <c r="AA53" s="230"/>
      <c r="AB53" s="177"/>
      <c r="AC53" s="232" t="s">
        <v>433</v>
      </c>
      <c r="AD53" s="230"/>
      <c r="AE53" s="230"/>
      <c r="AF53" s="177"/>
      <c r="AG53" s="232" t="s">
        <v>433</v>
      </c>
      <c r="AH53" s="230"/>
      <c r="AI53" s="230"/>
      <c r="AJ53" s="177"/>
      <c r="AK53" s="232" t="s">
        <v>433</v>
      </c>
      <c r="AL53" s="230"/>
      <c r="AM53" s="230"/>
      <c r="AN53" s="177"/>
      <c r="AO53" s="232" t="s">
        <v>433</v>
      </c>
      <c r="AP53" s="230">
        <v>80</v>
      </c>
      <c r="AQ53" s="230"/>
      <c r="AR53" s="177"/>
      <c r="AS53" s="232" t="s">
        <v>433</v>
      </c>
      <c r="AT53" s="230"/>
      <c r="AU53" s="230"/>
      <c r="AV53" s="177"/>
      <c r="AW53" s="232" t="s">
        <v>433</v>
      </c>
      <c r="AX53" s="230"/>
      <c r="AY53" s="230"/>
      <c r="AZ53" s="177"/>
      <c r="BA53" s="232" t="s">
        <v>433</v>
      </c>
      <c r="BB53" s="230"/>
      <c r="BC53" s="230"/>
      <c r="BD53" s="177"/>
      <c r="BE53" s="232" t="s">
        <v>433</v>
      </c>
      <c r="BF53" s="230"/>
      <c r="BG53" s="230"/>
      <c r="BH53" s="177"/>
    </row>
    <row r="54" spans="1:60" x14ac:dyDescent="0.25">
      <c r="A54" s="230" t="s">
        <v>434</v>
      </c>
      <c r="B54" s="230">
        <v>17110</v>
      </c>
      <c r="C54" s="230"/>
      <c r="D54" s="177"/>
      <c r="E54" s="232" t="s">
        <v>434</v>
      </c>
      <c r="F54" s="230"/>
      <c r="G54" s="230"/>
      <c r="H54" s="177"/>
      <c r="I54" s="232" t="s">
        <v>434</v>
      </c>
      <c r="J54" s="230"/>
      <c r="K54" s="230"/>
      <c r="L54" s="177"/>
      <c r="M54" s="232" t="s">
        <v>434</v>
      </c>
      <c r="N54" s="230"/>
      <c r="O54" s="230"/>
      <c r="P54" s="177"/>
      <c r="Q54" s="232" t="s">
        <v>434</v>
      </c>
      <c r="R54" s="230"/>
      <c r="S54" s="230"/>
      <c r="T54" s="177"/>
      <c r="U54" s="232" t="s">
        <v>434</v>
      </c>
      <c r="V54" s="230">
        <v>17110</v>
      </c>
      <c r="W54" s="230"/>
      <c r="X54" s="177"/>
      <c r="Y54" s="232" t="s">
        <v>434</v>
      </c>
      <c r="Z54" s="230">
        <v>17110</v>
      </c>
      <c r="AA54" s="230"/>
      <c r="AB54" s="177"/>
      <c r="AC54" s="232" t="s">
        <v>434</v>
      </c>
      <c r="AD54" s="230"/>
      <c r="AE54" s="230"/>
      <c r="AF54" s="177"/>
      <c r="AG54" s="232" t="s">
        <v>434</v>
      </c>
      <c r="AH54" s="230"/>
      <c r="AI54" s="230"/>
      <c r="AJ54" s="177"/>
      <c r="AK54" s="232" t="s">
        <v>434</v>
      </c>
      <c r="AL54" s="230"/>
      <c r="AM54" s="230"/>
      <c r="AN54" s="177"/>
      <c r="AO54" s="232" t="s">
        <v>434</v>
      </c>
      <c r="AP54" s="230">
        <v>17110</v>
      </c>
      <c r="AQ54" s="230"/>
      <c r="AR54" s="177"/>
      <c r="AS54" s="232" t="s">
        <v>434</v>
      </c>
      <c r="AT54" s="230"/>
      <c r="AU54" s="230"/>
      <c r="AV54" s="177"/>
      <c r="AW54" s="232" t="s">
        <v>434</v>
      </c>
      <c r="AX54" s="230"/>
      <c r="AY54" s="230"/>
      <c r="AZ54" s="177"/>
      <c r="BA54" s="232" t="s">
        <v>434</v>
      </c>
      <c r="BB54" s="230"/>
      <c r="BC54" s="230"/>
      <c r="BD54" s="177"/>
      <c r="BE54" s="232" t="s">
        <v>434</v>
      </c>
      <c r="BF54" s="230"/>
      <c r="BG54" s="230"/>
      <c r="BH54" s="177"/>
    </row>
    <row r="55" spans="1:60" x14ac:dyDescent="0.25">
      <c r="A55" s="230" t="s">
        <v>435</v>
      </c>
      <c r="B55" s="230">
        <v>15200</v>
      </c>
      <c r="C55" s="230"/>
      <c r="D55" s="177"/>
      <c r="E55" s="232" t="s">
        <v>435</v>
      </c>
      <c r="F55" s="230"/>
      <c r="G55" s="230"/>
      <c r="H55" s="177"/>
      <c r="I55" s="232" t="s">
        <v>435</v>
      </c>
      <c r="J55" s="230"/>
      <c r="K55" s="230"/>
      <c r="L55" s="177"/>
      <c r="M55" s="232" t="s">
        <v>435</v>
      </c>
      <c r="N55" s="230"/>
      <c r="O55" s="230"/>
      <c r="P55" s="177"/>
      <c r="Q55" s="232" t="s">
        <v>435</v>
      </c>
      <c r="R55" s="230"/>
      <c r="S55" s="230"/>
      <c r="T55" s="177"/>
      <c r="U55" s="232" t="s">
        <v>435</v>
      </c>
      <c r="V55" s="230">
        <v>13600</v>
      </c>
      <c r="W55" s="230"/>
      <c r="X55" s="177"/>
      <c r="Y55" s="232" t="s">
        <v>435</v>
      </c>
      <c r="Z55" s="230">
        <v>13600</v>
      </c>
      <c r="AA55" s="230"/>
      <c r="AB55" s="177"/>
      <c r="AC55" s="232" t="s">
        <v>435</v>
      </c>
      <c r="AD55" s="230"/>
      <c r="AE55" s="230"/>
      <c r="AF55" s="177"/>
      <c r="AG55" s="232" t="s">
        <v>435</v>
      </c>
      <c r="AH55" s="230"/>
      <c r="AI55" s="230"/>
      <c r="AJ55" s="177"/>
      <c r="AK55" s="232" t="s">
        <v>435</v>
      </c>
      <c r="AL55" s="230"/>
      <c r="AM55" s="230"/>
      <c r="AN55" s="177"/>
      <c r="AO55" s="232" t="s">
        <v>435</v>
      </c>
      <c r="AP55" s="230">
        <v>13600</v>
      </c>
      <c r="AQ55" s="230"/>
      <c r="AR55" s="177"/>
      <c r="AS55" s="232" t="s">
        <v>435</v>
      </c>
      <c r="AT55" s="230"/>
      <c r="AU55" s="230"/>
      <c r="AV55" s="177"/>
      <c r="AW55" s="232" t="s">
        <v>435</v>
      </c>
      <c r="AX55" s="230"/>
      <c r="AY55" s="230"/>
      <c r="AZ55" s="177"/>
      <c r="BA55" s="232" t="s">
        <v>435</v>
      </c>
      <c r="BB55" s="230"/>
      <c r="BC55" s="230"/>
      <c r="BD55" s="177"/>
      <c r="BE55" s="232" t="s">
        <v>435</v>
      </c>
      <c r="BF55" s="230"/>
      <c r="BG55" s="230"/>
      <c r="BH55" s="177"/>
    </row>
    <row r="56" spans="1:60" x14ac:dyDescent="0.25">
      <c r="A56" s="230" t="s">
        <v>436</v>
      </c>
      <c r="B56" s="230">
        <v>58</v>
      </c>
      <c r="C56" s="230"/>
      <c r="D56" s="177"/>
      <c r="E56" s="232" t="s">
        <v>436</v>
      </c>
      <c r="F56" s="230"/>
      <c r="G56" s="230"/>
      <c r="H56" s="177"/>
      <c r="I56" s="232" t="s">
        <v>436</v>
      </c>
      <c r="J56" s="230"/>
      <c r="K56" s="230"/>
      <c r="L56" s="177"/>
      <c r="M56" s="232" t="s">
        <v>436</v>
      </c>
      <c r="N56" s="230"/>
      <c r="O56" s="230"/>
      <c r="P56" s="177"/>
      <c r="Q56" s="232" t="s">
        <v>436</v>
      </c>
      <c r="R56" s="230"/>
      <c r="S56" s="230"/>
      <c r="T56" s="177"/>
      <c r="U56" s="232" t="s">
        <v>436</v>
      </c>
      <c r="V56" s="230">
        <v>58</v>
      </c>
      <c r="W56" s="230"/>
      <c r="X56" s="177"/>
      <c r="Y56" s="232" t="s">
        <v>436</v>
      </c>
      <c r="Z56" s="230">
        <v>58</v>
      </c>
      <c r="AA56" s="230"/>
      <c r="AB56" s="177"/>
      <c r="AC56" s="232" t="s">
        <v>436</v>
      </c>
      <c r="AD56" s="230"/>
      <c r="AE56" s="230"/>
      <c r="AF56" s="177"/>
      <c r="AG56" s="232" t="s">
        <v>436</v>
      </c>
      <c r="AH56" s="230"/>
      <c r="AI56" s="230"/>
      <c r="AJ56" s="177"/>
      <c r="AK56" s="232" t="s">
        <v>436</v>
      </c>
      <c r="AL56" s="230"/>
      <c r="AM56" s="230"/>
      <c r="AN56" s="177"/>
      <c r="AO56" s="232" t="s">
        <v>436</v>
      </c>
      <c r="AP56" s="230">
        <v>58</v>
      </c>
      <c r="AQ56" s="230"/>
      <c r="AR56" s="177"/>
      <c r="AS56" s="232" t="s">
        <v>436</v>
      </c>
      <c r="AT56" s="230"/>
      <c r="AU56" s="230"/>
      <c r="AV56" s="177"/>
      <c r="AW56" s="232" t="s">
        <v>436</v>
      </c>
      <c r="AX56" s="230"/>
      <c r="AY56" s="230"/>
      <c r="AZ56" s="177"/>
      <c r="BA56" s="232" t="s">
        <v>436</v>
      </c>
      <c r="BB56" s="230"/>
      <c r="BC56" s="230"/>
      <c r="BD56" s="177"/>
      <c r="BE56" s="232" t="s">
        <v>436</v>
      </c>
      <c r="BF56" s="230"/>
      <c r="BG56" s="230"/>
      <c r="BH56" s="177"/>
    </row>
  </sheetData>
  <mergeCells count="30">
    <mergeCell ref="AO44:AR44"/>
    <mergeCell ref="AS44:AV44"/>
    <mergeCell ref="AW44:AZ44"/>
    <mergeCell ref="BA44:BD44"/>
    <mergeCell ref="BE44:BH44"/>
    <mergeCell ref="U44:X44"/>
    <mergeCell ref="Y44:AB44"/>
    <mergeCell ref="AC44:AF44"/>
    <mergeCell ref="AG44:AJ44"/>
    <mergeCell ref="AK44:AN44"/>
    <mergeCell ref="A44:D44"/>
    <mergeCell ref="E44:H44"/>
    <mergeCell ref="I44:L44"/>
    <mergeCell ref="M44:P44"/>
    <mergeCell ref="Q44:T44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3" sqref="C3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54" t="s">
        <v>197</v>
      </c>
      <c r="C2" s="255"/>
      <c r="E2" s="254" t="s">
        <v>200</v>
      </c>
      <c r="F2" s="25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56" t="s">
        <v>212</v>
      </c>
      <c r="C14" s="257"/>
      <c r="D14" s="257"/>
      <c r="E14" s="25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/>
      <c r="D16" s="113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100" t="str">
        <f>IF(D16="","",(B16*D16))</f>
        <v/>
      </c>
    </row>
    <row r="17" spans="2:6" x14ac:dyDescent="0.25">
      <c r="B17" s="98">
        <v>1</v>
      </c>
      <c r="C17" s="99"/>
      <c r="D17" s="113" t="str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100" t="str">
        <f>IF(D17="","",(B17*D17))</f>
        <v/>
      </c>
      <c r="F17" s="96"/>
    </row>
    <row r="18" spans="2:6" x14ac:dyDescent="0.25">
      <c r="B18" s="98">
        <v>1</v>
      </c>
      <c r="C18" s="99"/>
      <c r="D18" s="113" t="str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/>
      </c>
      <c r="E18" s="100" t="str">
        <f>IF(D18="","",(B18*D18))</f>
        <v/>
      </c>
      <c r="F18" s="96"/>
    </row>
    <row r="19" spans="2:6" x14ac:dyDescent="0.25">
      <c r="B19" s="98"/>
      <c r="C19" s="99"/>
      <c r="D19" s="113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00" t="str">
        <f>IF(D19="","",(B19*D19))</f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4"/>
      <c r="E25" s="4"/>
      <c r="F25" s="96"/>
    </row>
    <row r="26" spans="2:6" x14ac:dyDescent="0.25">
      <c r="B26" s="101" t="s">
        <v>209</v>
      </c>
      <c r="C26" s="97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4"/>
      <c r="E26" s="4"/>
    </row>
    <row r="27" spans="2:6" x14ac:dyDescent="0.25">
      <c r="B27" s="101" t="s">
        <v>210</v>
      </c>
      <c r="C27" s="97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4"/>
      <c r="E27" s="4"/>
    </row>
    <row r="28" spans="2:6" ht="15.75" thickBot="1" x14ac:dyDescent="0.3">
      <c r="B28" s="101" t="s">
        <v>211</v>
      </c>
      <c r="C28" s="97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4"/>
      <c r="E28" s="4"/>
    </row>
  </sheetData>
  <sheetProtection algorithmName="SHA-512" hashValue="827gr/xVjacIGTlbr0O1Y9wI5PXyWV/61Td1m9HBdL9OBr899E7tZ4HooAWyqCER+v6EKyVxJqAgy8RotZymjQ==" saltValue="oRSRFq3QmbbQa2K5rswH6w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workbookViewId="0">
      <selection activeCell="B113" sqref="B113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 t="str">
        <f>FORM!B6</f>
        <v>SE7600H-US</v>
      </c>
      <c r="C2" s="145" t="str">
        <f>FORM!C6</f>
        <v>SE6000H-US</v>
      </c>
      <c r="D2" s="145">
        <f>FORM!D6</f>
        <v>0</v>
      </c>
      <c r="E2" s="145">
        <f>FORM!E6</f>
        <v>0</v>
      </c>
      <c r="F2" s="145">
        <f>FORM!F6</f>
        <v>0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7600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6000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43" t="s">
        <v>307</v>
      </c>
    </row>
    <row r="3" spans="1:18" x14ac:dyDescent="0.25">
      <c r="A3" s="144" t="s">
        <v>15</v>
      </c>
      <c r="B3" s="145">
        <f>FORM!B7</f>
        <v>2</v>
      </c>
      <c r="C3" s="145">
        <f>FORM!C7</f>
        <v>2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13600</v>
      </c>
      <c r="R3" s="143" t="s">
        <v>309</v>
      </c>
    </row>
    <row r="4" spans="1:18" x14ac:dyDescent="0.25">
      <c r="A4" s="144" t="s">
        <v>16</v>
      </c>
      <c r="B4" s="145">
        <f>FORM!B8</f>
        <v>16</v>
      </c>
      <c r="C4" s="145">
        <f>FORM!C8</f>
        <v>13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0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422</v>
      </c>
    </row>
    <row r="6" spans="1:18" x14ac:dyDescent="0.25">
      <c r="A6" s="147" t="s">
        <v>28</v>
      </c>
      <c r="B6" s="145">
        <f>FORM!B11</f>
        <v>58</v>
      </c>
      <c r="C6" s="145">
        <f>FORM!C11</f>
        <v>0</v>
      </c>
      <c r="D6" s="145">
        <f>FORM!D11</f>
        <v>0</v>
      </c>
      <c r="E6" s="145" t="e">
        <f>#REF!</f>
        <v>#REF!</v>
      </c>
      <c r="F6" s="145">
        <f>FORM!F11</f>
        <v>0</v>
      </c>
      <c r="K6" s="259" t="s">
        <v>125</v>
      </c>
      <c r="L6" s="260"/>
      <c r="M6" s="260"/>
      <c r="N6" s="260"/>
      <c r="O6" s="260"/>
      <c r="P6" s="261"/>
      <c r="R6" s="143" t="str">
        <f>RIGHT(R5,LEN(R5)-FIND("&gt;",R5))</f>
        <v>Galloway Township, NJ&lt;/a&gt;</v>
      </c>
    </row>
    <row r="7" spans="1:18" x14ac:dyDescent="0.25">
      <c r="B7" s="148">
        <f>IF(B4&gt;0,B4,"")</f>
        <v>16</v>
      </c>
      <c r="C7" s="148">
        <f>IF(C4&gt;0,C4,"")</f>
        <v>13</v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TRINA 295</v>
      </c>
      <c r="K7" s="149"/>
      <c r="L7" s="150"/>
      <c r="M7" s="150"/>
      <c r="N7" s="150"/>
      <c r="O7" s="150"/>
      <c r="P7" s="151"/>
      <c r="R7" s="143" t="str">
        <f>LEFT(R6,LEN(R6)-4)</f>
        <v>Galloway Township, NJ</v>
      </c>
    </row>
    <row r="8" spans="1:18" x14ac:dyDescent="0.25">
      <c r="B8" s="148">
        <f>IF(AND(OR(B3=2,B3=3),B5=0),B4,IF(AND(OR(B3=2,B3=3),B5&lt;&gt;0),B5,""))</f>
        <v>16</v>
      </c>
      <c r="C8" s="148">
        <f>IF(AND(OR(C3=2,C3=3),C5=0),C4,IF(AND(OR(C3=2,C3=3),C5&lt;&gt;0),C5,""))</f>
        <v>13</v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TSM-295 DD05A.05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295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A1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9.08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32.5</v>
      </c>
      <c r="K11" s="149"/>
      <c r="L11" s="150"/>
      <c r="M11" s="150"/>
      <c r="N11" s="150"/>
      <c r="O11" s="150"/>
      <c r="P11" s="151"/>
      <c r="R11" s="239"/>
    </row>
    <row r="12" spans="1:18" x14ac:dyDescent="0.25">
      <c r="A12" s="146" t="s">
        <v>32</v>
      </c>
      <c r="B12" s="143">
        <f>SUM(B7:F11)+I27</f>
        <v>58</v>
      </c>
      <c r="C12" s="143" t="str">
        <f>FORM!B2</f>
        <v>TRINA 295 (TSM-295 DD05A.05)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39.700000000000003</v>
      </c>
      <c r="K12" s="149"/>
      <c r="L12" s="150"/>
      <c r="M12" s="150"/>
      <c r="N12" s="150"/>
      <c r="O12" s="150"/>
      <c r="P12" s="151"/>
      <c r="R12" s="143" t="str">
        <f>IF(ISNUMBER(SEARCH("P1",R11)),"P1",IF(ISNUMBER(SEARCH("P2",R11)),"P2",IF(ISNUMBER(SEARCH("P3",R11)),"P3",IF(ISNUMBER(SEARCH("P4",R11)),"P4",IF(ISNUMBER(SEARCH("P5",R11)),"P5",IF(ISNUMBER(SEARCH("R1",R11)),"R1",IF(ISNUMBER(SEARCH("R2",R11)),"R2",IF(ISNUMBER(SEARCH("R3",R11)),"R3",IF(ISNUMBER(SEARCH("R4",R11)),"R4",IF(ISNUMBER(SEARCH("R5",R11)),"R5",IF(ISNUMBER(SEARCH("A1",R11)),"A1",IF(ISNUMBER(SEARCH("A2",R11)),"A2",IF(ISNUMBER(SEARCH("A3",R11)),"A3",IF(ISNUMBER(SEARCH("A4",R11)),"A4",IF(ISNUMBER(SEARCH("A5",R11)),"A5","")))))))))))))))</f>
        <v/>
      </c>
    </row>
    <row r="13" spans="1:18" ht="15.75" x14ac:dyDescent="0.25">
      <c r="A13" s="154" t="s">
        <v>20</v>
      </c>
      <c r="B13" s="143" t="str">
        <f>UPPER(FORM!B13)</f>
        <v>ALLGEYER, ROBERT-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9.5500000000000007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400 West Liebig Avenue
Egg harbor city, NJ 08215
39.511394,-74.557062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45.456499999999998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>
        <f>IF(FORM!B17="","NODATE",FORM!B17)</f>
        <v>43699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(SUNRUN)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200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2019-07-361837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>ACE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55004797977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99f104547328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>KTD</v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A1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 t="str">
        <f>FORM!B30</f>
        <v>JMS</v>
      </c>
    </row>
    <row r="25" spans="1:16" ht="15.75" x14ac:dyDescent="0.25">
      <c r="A25" s="160" t="s">
        <v>34</v>
      </c>
      <c r="B25" s="155">
        <f>IF(FORM!B31="","",FORM!B31)</f>
        <v>43727</v>
      </c>
      <c r="D25" s="146" t="s">
        <v>85</v>
      </c>
      <c r="E25" s="143" t="str">
        <f>IF(FORM!F13="USE LINE TAPS","YES",IF(FORM!E13="LINE TAPS","YES",""))</f>
        <v>YES</v>
      </c>
    </row>
    <row r="26" spans="1:16" ht="15.75" x14ac:dyDescent="0.25">
      <c r="A26" s="160" t="s">
        <v>35</v>
      </c>
      <c r="D26" s="146" t="s">
        <v>54</v>
      </c>
      <c r="E26" s="143">
        <f>FORM!B27</f>
        <v>2</v>
      </c>
      <c r="H26" s="146" t="s">
        <v>87</v>
      </c>
      <c r="I26" s="143">
        <f>COUNTIF(J28:J32,1)</f>
        <v>0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0</v>
      </c>
    </row>
    <row r="28" spans="1:16" x14ac:dyDescent="0.25">
      <c r="B28" s="143" t="str">
        <f>FORM!B6</f>
        <v>SE7600H-US</v>
      </c>
      <c r="C28" s="143" t="str">
        <f>C2</f>
        <v>SE6000H-US</v>
      </c>
      <c r="D28" s="143">
        <f>D2</f>
        <v>0</v>
      </c>
      <c r="E28" s="143">
        <f>E2</f>
        <v>0</v>
      </c>
      <c r="F28" s="143">
        <f>F2</f>
        <v>0</v>
      </c>
      <c r="H28" s="146" t="s">
        <v>56</v>
      </c>
      <c r="I28" s="143">
        <f>FORM!I7</f>
        <v>0</v>
      </c>
      <c r="J28" s="143" t="str">
        <f>IF(I28&gt;0,1,"")</f>
        <v/>
      </c>
    </row>
    <row r="29" spans="1:16" x14ac:dyDescent="0.25">
      <c r="A29" s="153" t="s">
        <v>39</v>
      </c>
      <c r="B29" s="143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20</v>
      </c>
      <c r="C29" s="143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16.5</v>
      </c>
      <c r="D29" s="143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43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400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380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>IF(I30&gt;0,1,"")</f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480</v>
      </c>
      <c r="C31" s="143">
        <f>IF(AND(B37="YES",ISNUMBER(SEARCH("H-US",C28))),480,IF(AND(B37="YES",ISNUMBER(SEARCH("A-US",C28))),500,$H14*C4))</f>
        <v>480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>IF(I31&gt;0,1,"")</f>
        <v/>
      </c>
    </row>
    <row r="32" spans="1:16" x14ac:dyDescent="0.25">
      <c r="A32" s="153" t="s">
        <v>42</v>
      </c>
      <c r="B32" s="143">
        <f>IF(B37="YES",B3*15,($H13*B3)*1.25)</f>
        <v>30</v>
      </c>
      <c r="C32" s="143">
        <f>IF(C37="YES",C3*15,($H13*C3)*1.25)</f>
        <v>30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>IF(I32&gt;0,1,"")</f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32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25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43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53" t="s">
        <v>35</v>
      </c>
      <c r="B34" s="143">
        <f>B12*H9</f>
        <v>17110</v>
      </c>
      <c r="C34" s="143" t="s">
        <v>48</v>
      </c>
      <c r="D34" s="143">
        <f>B34/1000</f>
        <v>17.11</v>
      </c>
      <c r="E34" s="143" t="s">
        <v>49</v>
      </c>
    </row>
    <row r="35" spans="1:16" x14ac:dyDescent="0.25">
      <c r="A35" s="153" t="s">
        <v>52</v>
      </c>
      <c r="B35" s="143">
        <f>SUM(B33:F33)*1.25</f>
        <v>71.25</v>
      </c>
    </row>
    <row r="36" spans="1:16" x14ac:dyDescent="0.25">
      <c r="A36" s="153" t="s">
        <v>62</v>
      </c>
      <c r="B36" s="143">
        <f>IF(B35&gt;125,"SIZE ACCORDINGLY",IF(B35&gt;110,125,IF(B35&gt;100,110,IF(B35&gt;90,100,IF(B35&gt;80,90,IF(B35&gt;70,80,IF(B35&gt;60,70,IF(B35&gt;50,60,IF(B35&gt;40,50,IF(B35&gt;30,40,IF(B35&gt;20,30,IF(B35&gt;15,20,IF(B35&gt;0,15,"")))))))))))))</f>
        <v>80</v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43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>YES</v>
      </c>
      <c r="D37" s="143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46" t="s">
        <v>123</v>
      </c>
      <c r="L37" s="143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20</v>
      </c>
      <c r="M37" s="143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>16.5</v>
      </c>
      <c r="N37" s="143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43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43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46" t="s">
        <v>122</v>
      </c>
      <c r="B38" s="162">
        <f>ROUND(IF(B37="YES",(LARGE(B7:B11,1)*H9)/350,""),2)</f>
        <v>13.49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2 STRINGS OF 16 MODULES IN SERIES - 400 Vmax</v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>2 STRINGS OF 13 MODULES IN SERIES - 380 Vmax</v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/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383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46" t="s">
        <v>181</v>
      </c>
      <c r="I44" s="143">
        <f>F2</f>
        <v>0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1'' CONDUIT W/ 2-#4 THWN-2, 1-#8 THWN-2, 1-#8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8-#10 THWN-2, 1-#10 THWN-2 GROUND</v>
      </c>
      <c r="D47" s="143">
        <f>IF(C47="","",3)</f>
        <v>3</v>
      </c>
      <c r="G47" s="262" t="s">
        <v>449</v>
      </c>
      <c r="H47" s="263"/>
    </row>
    <row r="48" spans="1:16" x14ac:dyDescent="0.25">
      <c r="B48" s="143">
        <v>4</v>
      </c>
      <c r="C48" s="143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43" t="str">
        <f>IF(C48="","",4)</f>
        <v/>
      </c>
      <c r="G48" s="216"/>
      <c r="H48" s="216" t="str">
        <f>IF(FORM!I28="STANDARD SIZING","STANDARD SIZING","1 INCH")</f>
        <v>STANDARD SIZING</v>
      </c>
    </row>
    <row r="49" spans="1:10" x14ac:dyDescent="0.25">
      <c r="B49" s="143">
        <v>5</v>
      </c>
      <c r="C49" s="143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4-#10 THWN-2, 1-#10 THWN-2 GROUND</v>
      </c>
      <c r="D49" s="143">
        <f>IF(C49="","",5)</f>
        <v>5</v>
      </c>
      <c r="G49" s="230" t="s">
        <v>365</v>
      </c>
      <c r="H49" s="230" t="str">
        <f>IF(FORM!E14="PA","PA",FORM!E14)</f>
        <v>NJ</v>
      </c>
    </row>
    <row r="50" spans="1:10" x14ac:dyDescent="0.25">
      <c r="B50" s="143">
        <v>6</v>
      </c>
      <c r="C50" s="143" t="str">
        <f>IF(FORM!I28="STANDARD SIZING",IF(C3=0,"","3/4'' CONDUIT W/ "&amp;(C3*2)&amp;"-#10 THWN-2, 1-#10 THWN-2 GROUND"),IF(C3=0,"","1'' CONDUIT W/ "&amp;(C3*2)&amp;"-#10 THWN-2, 1-#10 THWN-2 GROUND"))</f>
        <v>3/4'' CONDUIT W/ 4-#10 THWN-2, 1-#10 THWN-2 GROUND</v>
      </c>
      <c r="D50" s="143">
        <f>IF(C50="","",6)</f>
        <v>6</v>
      </c>
      <c r="G50" s="230" t="s">
        <v>0</v>
      </c>
      <c r="H50" s="230" t="str">
        <f>IF(CALCULATIONS!I39&lt;&gt;"","PVP",IF(CALCULATIONS!I40&lt;&gt;"","SMA",IF(CALCULATIONS!I43="YES","MICROS","SE")))</f>
        <v>SE</v>
      </c>
    </row>
    <row r="51" spans="1:10" x14ac:dyDescent="0.25">
      <c r="B51" s="143">
        <v>7</v>
      </c>
      <c r="C51" s="143" t="str">
        <f>IF(FORM!I28="STANDARD SIZING",IF(D3=0,"","3/4'' CONDUIT W/ "&amp;(D3*2)&amp;"-#10 THWN-2, 1-#10 THWN-2 GROUND"),IF(D3=0,"","1'' CONDUIT W/ "&amp;(D3*2)&amp;"-#10 THWN-2, 1-#10 THWN-2 GROUND"))</f>
        <v/>
      </c>
      <c r="D51" s="143" t="str">
        <f>IF(C51="","",7)</f>
        <v/>
      </c>
      <c r="G51" s="230" t="s">
        <v>448</v>
      </c>
      <c r="H51" s="230" t="str">
        <f>IF(H63=1.25,"1 1/4''",IF(FORM!I28="1 INCH","1''",IF(H63&lt;=3/4,"3/4''",TEXT(H63,"1")&amp;"''")))</f>
        <v>1''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2-#8 THWN-2, 1-#10 THWN-2, 1-#10 THWN-2 GROUND</v>
      </c>
      <c r="D52" s="143">
        <f>IF(C52="","",8)</f>
        <v>8</v>
      </c>
      <c r="G52" s="230" t="s">
        <v>445</v>
      </c>
      <c r="H52" s="237">
        <f>IF(CALCULATIONS!B35&gt;100,"SIZE ACCORDINGLY",IF(CALCULATIONS!B35&gt;85,3,IF(CALCULATIONS!B35&gt;65,4,IF(AND(CALCULATIONS!B35&gt;50,CALCULATIONS!B35&lt;=60),6,IF(CALCULATIONS!B35&gt;50,6,IF(CALCULATIONS!B35&gt;30,8,10))))))</f>
        <v>4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>3/4'' CONDUIT W/ 2-#8 THWN-2, 1-#10 THWN-2, 1-#10 THWN-2 GROUND</v>
      </c>
      <c r="D53" s="143">
        <f>IF(C53="","",9)</f>
        <v>9</v>
      </c>
      <c r="G53" s="230" t="s">
        <v>446</v>
      </c>
      <c r="H53" s="237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8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0" t="s">
        <v>447</v>
      </c>
      <c r="H54" s="237">
        <f>IF(H49="PA",IF(CALCULATIONS!B35&gt;100,6,8),IF(CALCULATIONS!B35&gt;100,6,IF(CALCULATIONS!B35&gt;60,8,10)))</f>
        <v>8</v>
      </c>
    </row>
    <row r="55" spans="1:10" ht="15.75" thickBot="1" x14ac:dyDescent="0.3">
      <c r="B55" s="143">
        <v>11</v>
      </c>
      <c r="C55" s="143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#6 BARE COPPER BOND TO ARRAY</v>
      </c>
      <c r="D56" s="143">
        <f>IF(C56="","",12)</f>
        <v>12</v>
      </c>
      <c r="G56" s="256" t="s">
        <v>212</v>
      </c>
      <c r="H56" s="257"/>
      <c r="I56" s="257"/>
      <c r="J56" s="258"/>
    </row>
    <row r="57" spans="1:10" x14ac:dyDescent="0.25">
      <c r="B57" s="143">
        <v>13</v>
      </c>
      <c r="C57" s="143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>1'' CONDUIT W/ 2-#4 THWN-2,1-#4 THWN-2, 1-#8 THWN-2 GROUND</v>
      </c>
      <c r="D57" s="143">
        <f>IF(C57="","",13)</f>
        <v>13</v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1-#10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4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8.2400000000000001E-2</v>
      </c>
      <c r="J58" s="100">
        <f>IF(I58="","",(G58*I58))</f>
        <v>0.1648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8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3.6600000000000001E-2</v>
      </c>
      <c r="J59" s="100">
        <f>IF(I59="","",(G59*I59))</f>
        <v>3.6600000000000001E-2</v>
      </c>
    </row>
    <row r="60" spans="1:10" x14ac:dyDescent="0.25">
      <c r="G60" s="98">
        <v>1</v>
      </c>
      <c r="H60" s="99">
        <f>H54</f>
        <v>8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3.6600000000000001E-2</v>
      </c>
      <c r="J60" s="100">
        <f>IF(I60="","",(G60*I60))</f>
        <v>3.6600000000000001E-2</v>
      </c>
    </row>
    <row r="61" spans="1:10" x14ac:dyDescent="0.25">
      <c r="A61" s="146" t="s">
        <v>89</v>
      </c>
      <c r="B61" s="143">
        <f>(SUM(B3:F3)*2)+(I26*2)</f>
        <v>8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0.23799999999999999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2-#4 THWN-2, 1-#8 THWN-2, 1-#8THWN-2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1</v>
      </c>
    </row>
    <row r="66" spans="1:9" x14ac:dyDescent="0.25">
      <c r="A66" s="146" t="s">
        <v>103</v>
      </c>
      <c r="B66" s="143">
        <v>1</v>
      </c>
      <c r="C66" s="143" t="str">
        <f>C12&amp;IF(B37="YES"," ---"&amp;" "&amp;IF(H9&lt;=320,"P320","P370")&amp;" SE OPTIMIZERS","")</f>
        <v>TRINA 295 (TSM-295 DD05A.05) --- P320 SE OPTIMIZERS</v>
      </c>
      <c r="D66" s="143">
        <f>IF(C66="","",1)</f>
        <v>1</v>
      </c>
      <c r="E66" s="143">
        <f>B12</f>
        <v>58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I75,FORM!B6))))</f>
        <v>SE7600H-US000BNC4</v>
      </c>
      <c r="D67" s="143">
        <f>IF(C67="","",2)</f>
        <v>2</v>
      </c>
      <c r="E67" s="143">
        <v>1</v>
      </c>
      <c r="H67" s="146" t="s">
        <v>109</v>
      </c>
      <c r="I67" s="143">
        <f>CALCULATIONS!B12-FORM!E18</f>
        <v>58</v>
      </c>
    </row>
    <row r="68" spans="1:9" x14ac:dyDescent="0.25">
      <c r="B68" s="143">
        <v>3</v>
      </c>
      <c r="C68" s="143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I75,FORM!C6))))</f>
        <v>SE6000H-US000BNC4</v>
      </c>
      <c r="D68" s="143">
        <f>IF(C68="","",3)</f>
        <v>3</v>
      </c>
      <c r="E68" s="143">
        <v>1</v>
      </c>
      <c r="H68" s="146" t="s">
        <v>110</v>
      </c>
      <c r="I68" s="143">
        <f>FORM!E18</f>
        <v>0</v>
      </c>
    </row>
    <row r="69" spans="1:9" x14ac:dyDescent="0.25">
      <c r="B69" s="143">
        <v>4</v>
      </c>
      <c r="C69" s="143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I75,FORM!D6))))</f>
        <v/>
      </c>
      <c r="D69" s="143" t="str">
        <f>IF(C69="","",4)</f>
        <v/>
      </c>
      <c r="E69" s="143">
        <v>1</v>
      </c>
      <c r="H69" s="146" t="s">
        <v>111</v>
      </c>
      <c r="I69" s="143">
        <f>(I67*7.5)+(I68*11.5)</f>
        <v>435</v>
      </c>
    </row>
    <row r="70" spans="1:9" x14ac:dyDescent="0.25">
      <c r="B70" s="143">
        <v>5</v>
      </c>
      <c r="C70" s="143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I75,FORM!E6))))</f>
        <v/>
      </c>
      <c r="D70" s="143" t="str">
        <f>IF(C70="","",5)</f>
        <v/>
      </c>
      <c r="E70" s="143">
        <v>1</v>
      </c>
      <c r="H70" s="146" t="s">
        <v>113</v>
      </c>
      <c r="I70" s="143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600,600,0))))))))))))))))))))))))))))))</f>
        <v>440</v>
      </c>
    </row>
    <row r="71" spans="1:9" x14ac:dyDescent="0.25">
      <c r="B71" s="143">
        <v>6</v>
      </c>
      <c r="C71" s="143" t="str">
        <f>IF(AND(I43="YES",FORM!I10=""),"ENPHASE IQ COMBINER (X-IQ-AM1-240-B)",IF(AND(I43="YES",FORM!I10&lt;&gt;""),"ENVOY MONITORING",""))</f>
        <v/>
      </c>
      <c r="D71" s="143" t="str">
        <f>IF(C71="","",6)</f>
        <v/>
      </c>
      <c r="E71" s="143">
        <v>1</v>
      </c>
      <c r="H71" s="146" t="s">
        <v>112</v>
      </c>
      <c r="I71" s="143">
        <f>ROUNDUP((I70/14),0)</f>
        <v>32</v>
      </c>
    </row>
    <row r="72" spans="1:9" x14ac:dyDescent="0.25">
      <c r="B72" s="143">
        <v>7</v>
      </c>
      <c r="C72" s="143" t="str">
        <f>IF(I43="YES",F2,"")</f>
        <v/>
      </c>
      <c r="D72" s="143" t="str">
        <f>IF(C72="","",7)</f>
        <v/>
      </c>
      <c r="E72" s="143">
        <f>I27</f>
        <v>0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>4-SPACE SUBPANEL (OUTDOOR)</v>
      </c>
      <c r="D73" s="143">
        <f>IF(C73="","",8)</f>
        <v>8</v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>100A INDOOR FUSED DISCONNECT W/ (2) 80A FUSES</v>
      </c>
      <c r="D74" s="143">
        <f>IF(C74="","",9)</f>
        <v>9</v>
      </c>
      <c r="E74" s="143">
        <v>1</v>
      </c>
    </row>
    <row r="75" spans="1:9" ht="15.75" customHeight="1" x14ac:dyDescent="0.25">
      <c r="B75" s="143">
        <v>10</v>
      </c>
      <c r="C75" s="143" t="str">
        <f>IF(C76="","","2p"&amp;'LARGE TABLE'!B6&amp;"A BREAKER")</f>
        <v>2p40A BREAKER</v>
      </c>
      <c r="D75" s="143">
        <f>IF(C75="","",10)</f>
        <v>10</v>
      </c>
      <c r="E75" s="143">
        <v>1</v>
      </c>
      <c r="H75" s="143" t="s">
        <v>464</v>
      </c>
      <c r="I75" s="240" t="str">
        <f>IF(FORM!I13="000BNC4 - APP NO SCREEN","000BNC4","000NNC2")</f>
        <v>000BNC4</v>
      </c>
    </row>
    <row r="76" spans="1:9" x14ac:dyDescent="0.25">
      <c r="A76" s="143" t="s">
        <v>462</v>
      </c>
      <c r="B76" s="143">
        <v>11</v>
      </c>
      <c r="C76" s="143" t="str">
        <f>IF(FORM!C6="","","2p"&amp;'LARGE TABLE'!B7&amp;"A BREAKER")</f>
        <v>2p40A BREAKER</v>
      </c>
      <c r="D76" s="143">
        <f>IF(C76="","",11)</f>
        <v>11</v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IF(AND(I43="YES",CALCULATIONS!I26&gt;=1),"2p"&amp;'LARGE TABLE'!B11&amp;"A BREAKER","")</f>
        <v/>
      </c>
      <c r="D80" s="143" t="str">
        <f>IF(C80="","",15)</f>
        <v/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IF(OR(FORM!E14="CT",FORM!E14="MA",FORM!E14="MD",AND(FORM!E14="NJ",5-COUNTIF(B28:F29,"=0")=1)),'LARGE TABLE'!B4&amp;"A OUTDOOR NON-FUSED DISCONNECT","")</f>
        <v/>
      </c>
      <c r="D86" s="143" t="str">
        <f>IF(C86="","",21)</f>
        <v/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2</v>
      </c>
    </row>
    <row r="88" spans="2:5" x14ac:dyDescent="0.25">
      <c r="B88" s="143">
        <v>23</v>
      </c>
      <c r="C88" s="143" t="str">
        <f>IF(FORM!B25="ECOLIBRIUM","",IF(FORM!E19="GROUND MOUNT","","14' SECTIONS OF RAIL"))</f>
        <v>14' SECTIONS OF RAIL</v>
      </c>
      <c r="D88" s="143">
        <f>IF(C88="","",23)</f>
        <v>23</v>
      </c>
      <c r="E88" s="143">
        <f>IF(FORM!B25="ECOLIBRIUM","",I71)</f>
        <v>32</v>
      </c>
    </row>
    <row r="89" spans="2:5" x14ac:dyDescent="0.25">
      <c r="B89" s="143">
        <v>24</v>
      </c>
      <c r="C89" s="143" t="str">
        <f>IF(E25="YES"," INSULATED BUG BITES (LINE TAPS)","")</f>
        <v xml:space="preserve"> INSULATED BUG BITES (LINE TAPS)</v>
      </c>
      <c r="D89" s="143">
        <f>IF(C89="","",24)</f>
        <v>24</v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>
        <f>(I67+I68)*2</f>
        <v>116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>
        <f>IF(ROUNDDOWN((I67+I68)/20,0.1)=0,1,ROUNDDOWN((I67+I68)/20,0.1))</f>
        <v>2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>
        <f>IF(ROUNDDOWN((I67+I68)/20,0.1)=0,1,ROUNDDOWN((I67+I68)/20,0.1))</f>
        <v>2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200'</v>
      </c>
    </row>
    <row r="95" spans="2:5" x14ac:dyDescent="0.25">
      <c r="B95" s="143">
        <v>30</v>
      </c>
      <c r="C95" s="143" t="str">
        <f>IF(I43="YES","TRUNK CABLE","")</f>
        <v/>
      </c>
      <c r="D95" s="143" t="str">
        <f>IF(C95="","",30)</f>
        <v/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/>
      </c>
      <c r="D96" s="143" t="str">
        <f>IF(C96="","",31)</f>
        <v/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/>
      </c>
      <c r="D97" s="143" t="str">
        <f>IF(C97="","",32)</f>
        <v/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FORM!E22+30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386</v>
      </c>
      <c r="C118" s="195"/>
    </row>
    <row r="119" spans="1:7" ht="15.75" thickTop="1" x14ac:dyDescent="0.25">
      <c r="B119" s="143">
        <f>(CALCULATIONS!B12)</f>
        <v>58</v>
      </c>
      <c r="C119" s="143" t="str">
        <f>(CALCULATIONS!C12)</f>
        <v>TRINA 295 (TSM-295 DD05A.05)</v>
      </c>
      <c r="E119" s="208" t="s">
        <v>397</v>
      </c>
      <c r="F119" s="143" t="s">
        <v>378</v>
      </c>
      <c r="G119" s="143" t="s">
        <v>377</v>
      </c>
    </row>
    <row r="120" spans="1:7" x14ac:dyDescent="0.25">
      <c r="B120" s="143">
        <f>(IF(C120="","",1))</f>
        <v>1</v>
      </c>
      <c r="C120" s="143" t="str">
        <f>C67</f>
        <v>SE7600H-US000BNC4</v>
      </c>
      <c r="E120" t="str">
        <f>IF('CURRENT EXCEL ROOFS'!K3&lt;&gt;"",CONCATENATE(SUBSTITUTE('CURRENT EXCEL ROOFS'!K3," ",""),"S"),IF('CURRENT EXCEL ROOFS'!K3="","",""))</f>
        <v>Roof1S</v>
      </c>
      <c r="F120" s="210" t="str">
        <f>IF('CURRENT EXCEL ROOFS'!K3&lt;&gt;"",CONCATENATE(SUBSTITUTE('CURRENT EXCEL ROOFS'!K3," ",""),"PS"),IF('CURRENT EXCEL ROOFS'!K3="","",""))</f>
        <v>Roof1PS</v>
      </c>
      <c r="G120" s="210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43">
        <f>(IF(C121="","",1))</f>
        <v>1</v>
      </c>
      <c r="C121" s="143" t="str">
        <f>C68</f>
        <v>SE6000H-US000BNC4</v>
      </c>
      <c r="E121" s="209" t="str">
        <f>IF('CURRENT EXCEL ROOFS'!K4&lt;&gt;"",CONCATENATE(SUBSTITUTE('CURRENT EXCEL ROOFS'!K4," ",""),"S"),IF('CURRENT EXCEL ROOFS'!K4="","",""))</f>
        <v>Roof2S</v>
      </c>
      <c r="F121" s="211" t="str">
        <f>IF('CURRENT EXCEL ROOFS'!K4&lt;&gt;"",CONCATENATE(SUBSTITUTE('CURRENT EXCEL ROOFS'!K4," ",""),"PS"),IF('CURRENT EXCEL ROOFS'!K4="","",""))</f>
        <v>Roof2PS</v>
      </c>
      <c r="G121" s="211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43" t="str">
        <f>(IF(C122="","",1))</f>
        <v/>
      </c>
      <c r="C122" s="143" t="str">
        <f>C69</f>
        <v/>
      </c>
      <c r="E122" s="209" t="str">
        <f>IF('CURRENT EXCEL ROOFS'!K5&lt;&gt;"",CONCATENATE(SUBSTITUTE('CURRENT EXCEL ROOFS'!K5," ",""),"S"),IF('CURRENT EXCEL ROOFS'!K5="","",""))</f>
        <v>Roof3S</v>
      </c>
      <c r="F122" s="211" t="str">
        <f>IF('CURRENT EXCEL ROOFS'!K5&lt;&gt;"",CONCATENATE(SUBSTITUTE('CURRENT EXCEL ROOFS'!K5," ",""),"PS"),IF('CURRENT EXCEL ROOFS'!K5="","",""))</f>
        <v>Roof3PS</v>
      </c>
      <c r="G122" s="211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43" t="str">
        <f>(IF(C123="","",1))</f>
        <v/>
      </c>
      <c r="C123" s="143" t="str">
        <f>C70</f>
        <v/>
      </c>
      <c r="E123" s="209" t="str">
        <f>IF('CURRENT EXCEL ROOFS'!K6&lt;&gt;"",CONCATENATE(SUBSTITUTE('CURRENT EXCEL ROOFS'!K6," ",""),"S"),IF('CURRENT EXCEL ROOFS'!K6="","",""))</f>
        <v>Roof4S</v>
      </c>
      <c r="F123" s="211" t="str">
        <f>IF('CURRENT EXCEL ROOFS'!K6&lt;&gt;"",CONCATENATE(SUBSTITUTE('CURRENT EXCEL ROOFS'!K6," ",""),"PS"),IF('CURRENT EXCEL ROOFS'!K6="","",""))</f>
        <v>Roof4PS</v>
      </c>
      <c r="G123" s="211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43" t="str">
        <f>(IF(C124="","",1))</f>
        <v/>
      </c>
      <c r="C124" s="143" t="str">
        <f>IF(AND(I43="YES",FORM!I10=""),"ENPHASE IQ COMBINER (X-IQ-AM1-240-B)","")</f>
        <v/>
      </c>
      <c r="E124" s="209" t="str">
        <f>IF('CURRENT EXCEL ROOFS'!K7&lt;&gt;"",CONCATENATE(SUBSTITUTE('CURRENT EXCEL ROOFS'!K7," ",""),"S"),IF('CURRENT EXCEL ROOFS'!K7="","",""))</f>
        <v>Roof5S</v>
      </c>
      <c r="F124" s="211" t="str">
        <f>IF('CURRENT EXCEL ROOFS'!K7&lt;&gt;"",CONCATENATE(SUBSTITUTE('CURRENT EXCEL ROOFS'!K7," ",""),"PS"),IF('CURRENT EXCEL ROOFS'!K7="","",""))</f>
        <v>Roof5PS</v>
      </c>
      <c r="G124" s="211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43" t="str">
        <f>(IF(CALCULATIONS!I43="YES",FORM!F11,IF(C125="","",1)))</f>
        <v/>
      </c>
      <c r="C125" s="143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09" t="str">
        <f>IF('CURRENT EXCEL ROOFS'!K8&lt;&gt;"",CONCATENATE(SUBSTITUTE('CURRENT EXCEL ROOFS'!K8," ",""),"S"),IF('CURRENT EXCEL ROOFS'!K8="","",""))</f>
        <v>Roof6S</v>
      </c>
      <c r="F125" s="211" t="str">
        <f>IF('CURRENT EXCEL ROOFS'!K8&lt;&gt;"",CONCATENATE(SUBSTITUTE('CURRENT EXCEL ROOFS'!K8," ",""),"PS"),IF('CURRENT EXCEL ROOFS'!K8="","",""))</f>
        <v>Roof6PS</v>
      </c>
      <c r="G125" s="211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09" t="str">
        <f>IF('CURRENT EXCEL ROOFS'!K9&lt;&gt;"",CONCATENATE(SUBSTITUTE('CURRENT EXCEL ROOFS'!K9," ",""),"S"),IF('CURRENT EXCEL ROOFS'!K9="","",""))</f>
        <v>Roof7S</v>
      </c>
      <c r="F126" s="211" t="str">
        <f>IF('CURRENT EXCEL ROOFS'!K9&lt;&gt;"",CONCATENATE(SUBSTITUTE('CURRENT EXCEL ROOFS'!K9," ",""),"PS"),IF('CURRENT EXCEL ROOFS'!K9="","",""))</f>
        <v>Roof7PS</v>
      </c>
      <c r="G126" s="211" t="str">
        <f>IF('CURRENT EXCEL ROOFS'!K9&lt;&gt;"",CONCATENATE(SUBSTITUTE('CURRENT EXCEL ROOFS'!K9," ",""),"OS"),IF('CURRENT EXCEL ROOFS'!K9="","",""))</f>
        <v>Roof7OS</v>
      </c>
    </row>
    <row r="127" spans="1:7" x14ac:dyDescent="0.25">
      <c r="E127" s="209" t="str">
        <f>IF('CURRENT EXCEL ROOFS'!K10&lt;&gt;"",CONCATENATE(SUBSTITUTE('CURRENT EXCEL ROOFS'!K10," ",""),"S"),IF('CURRENT EXCEL ROOFS'!K10="","",""))</f>
        <v>Roof8S</v>
      </c>
      <c r="F127" s="211" t="str">
        <f>IF('CURRENT EXCEL ROOFS'!K10&lt;&gt;"",CONCATENATE(SUBSTITUTE('CURRENT EXCEL ROOFS'!K10," ",""),"PS"),IF('CURRENT EXCEL ROOFS'!K10="","",""))</f>
        <v>Roof8PS</v>
      </c>
      <c r="G127" s="211" t="str">
        <f>IF('CURRENT EXCEL ROOFS'!K10&lt;&gt;"",CONCATENATE(SUBSTITUTE('CURRENT EXCEL ROOFS'!K10," ",""),"OS"),IF('CURRENT EXCEL ROOFS'!K10="","",""))</f>
        <v>Roof8OS</v>
      </c>
    </row>
    <row r="128" spans="1:7" x14ac:dyDescent="0.25">
      <c r="E128" s="209" t="str">
        <f>IF('CURRENT EXCEL ROOFS'!K11&lt;&gt;"",CONCATENATE(SUBSTITUTE('CURRENT EXCEL ROOFS'!K11," ",""),"S"),IF('CURRENT EXCEL ROOFS'!K11="","",""))</f>
        <v>Roof9S</v>
      </c>
      <c r="F128" s="211" t="str">
        <f>IF('CURRENT EXCEL ROOFS'!K11&lt;&gt;"",CONCATENATE(SUBSTITUTE('CURRENT EXCEL ROOFS'!K11," ",""),"PS"),IF('CURRENT EXCEL ROOFS'!K11="","",""))</f>
        <v>Roof9PS</v>
      </c>
      <c r="G128" s="211" t="str">
        <f>IF('CURRENT EXCEL ROOFS'!K11&lt;&gt;"",CONCATENATE(SUBSTITUTE('CURRENT EXCEL ROOFS'!K11," ",""),"OS"),IF('CURRENT EXCEL ROOFS'!K11="","",""))</f>
        <v>Roof9OS</v>
      </c>
    </row>
    <row r="129" spans="5:7" x14ac:dyDescent="0.25">
      <c r="E129" s="209" t="str">
        <f>IF('CURRENT EXCEL ROOFS'!K12&lt;&gt;"",CONCATENATE(SUBSTITUTE('CURRENT EXCEL ROOFS'!K12," ",""),"S"),IF('CURRENT EXCEL ROOFS'!K12="","",""))</f>
        <v>Roof10S</v>
      </c>
      <c r="F129" s="211" t="str">
        <f>IF('CURRENT EXCEL ROOFS'!K12&lt;&gt;"",CONCATENATE(SUBSTITUTE('CURRENT EXCEL ROOFS'!K12," ",""),"PS"),IF('CURRENT EXCEL ROOFS'!K12="","",""))</f>
        <v>Roof10PS</v>
      </c>
      <c r="G129" s="211" t="str">
        <f>IF('CURRENT EXCEL ROOFS'!K12&lt;&gt;"",CONCATENATE(SUBSTITUTE('CURRENT EXCEL ROOFS'!K12," ",""),"OS"),IF('CURRENT EXCEL ROOFS'!K12="","",""))</f>
        <v>Roof10OS</v>
      </c>
    </row>
    <row r="130" spans="5:7" x14ac:dyDescent="0.25">
      <c r="E130" s="209" t="str">
        <f>IF('CURRENT EXCEL ROOFS'!K13&lt;&gt;"",CONCATENATE(SUBSTITUTE('CURRENT EXCEL ROOFS'!K13," ",""),"S"),IF('CURRENT EXCEL ROOFS'!K13="","",""))</f>
        <v>Roof11S</v>
      </c>
      <c r="F130" s="211" t="str">
        <f>IF('CURRENT EXCEL ROOFS'!K13&lt;&gt;"",CONCATENATE(SUBSTITUTE('CURRENT EXCEL ROOFS'!K13," ",""),"PS"),IF('CURRENT EXCEL ROOFS'!K13="","",""))</f>
        <v>Roof11PS</v>
      </c>
      <c r="G130" s="211" t="str">
        <f>IF('CURRENT EXCEL ROOFS'!K13&lt;&gt;"",CONCATENATE(SUBSTITUTE('CURRENT EXCEL ROOFS'!K13," ",""),"OS"),IF('CURRENT EXCEL ROOFS'!K13="","",""))</f>
        <v>Roof11OS</v>
      </c>
    </row>
    <row r="131" spans="5:7" x14ac:dyDescent="0.25">
      <c r="E131" s="209" t="str">
        <f>IF('CURRENT EXCEL ROOFS'!K14&lt;&gt;"",CONCATENATE(SUBSTITUTE('CURRENT EXCEL ROOFS'!K14," ",""),"S"),IF('CURRENT EXCEL ROOFS'!K14="","",""))</f>
        <v/>
      </c>
      <c r="F131" s="211" t="str">
        <f>IF('CURRENT EXCEL ROOFS'!K14&lt;&gt;"",CONCATENATE(SUBSTITUTE('CURRENT EXCEL ROOFS'!K14," ",""),"PS"),IF('CURRENT EXCEL ROOFS'!K14="","",""))</f>
        <v/>
      </c>
      <c r="G131" s="211" t="str">
        <f>IF('CURRENT EXCEL ROOFS'!K14&lt;&gt;"",CONCATENATE(SUBSTITUTE('CURRENT EXCEL ROOFS'!K14," ",""),"OS"),IF('CURRENT EXCEL ROOFS'!K14="","",""))</f>
        <v/>
      </c>
    </row>
    <row r="132" spans="5:7" x14ac:dyDescent="0.25">
      <c r="E132" s="209" t="str">
        <f>IF('CURRENT EXCEL ROOFS'!K15&lt;&gt;"",CONCATENATE(SUBSTITUTE('CURRENT EXCEL ROOFS'!K15," ",""),"S"),IF('CURRENT EXCEL ROOFS'!K15="","",""))</f>
        <v/>
      </c>
      <c r="F132" s="211" t="str">
        <f>IF('CURRENT EXCEL ROOFS'!K15&lt;&gt;"",CONCATENATE(SUBSTITUTE('CURRENT EXCEL ROOFS'!K15," ",""),"PS"),IF('CURRENT EXCEL ROOFS'!K15="","",""))</f>
        <v/>
      </c>
      <c r="G132" s="211" t="str">
        <f>IF('CURRENT EXCEL ROOFS'!K15&lt;&gt;"",CONCATENATE(SUBSTITUTE('CURRENT EXCEL ROOFS'!K15," ",""),"OS"),IF('CURRENT EXCEL ROOFS'!K15="","",""))</f>
        <v/>
      </c>
    </row>
    <row r="133" spans="5:7" x14ac:dyDescent="0.25">
      <c r="E133" s="209" t="str">
        <f>IF('CURRENT EXCEL ROOFS'!K16&lt;&gt;"",CONCATENATE(SUBSTITUTE('CURRENT EXCEL ROOFS'!K16," ",""),"S"),IF('CURRENT EXCEL ROOFS'!K16="","",""))</f>
        <v/>
      </c>
      <c r="F133" s="211" t="str">
        <f>IF('CURRENT EXCEL ROOFS'!K16&lt;&gt;"",CONCATENATE(SUBSTITUTE('CURRENT EXCEL ROOFS'!K16," ",""),"PS"),IF('CURRENT EXCEL ROOFS'!K16="","",""))</f>
        <v/>
      </c>
      <c r="G133" s="211" t="str">
        <f>IF('CURRENT EXCEL ROOFS'!K16&lt;&gt;"",CONCATENATE(SUBSTITUTE('CURRENT EXCEL ROOFS'!K16," ",""),"OS"),IF('CURRENT EXCEL ROOFS'!K16="","",""))</f>
        <v/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5" t="str">
        <f>IF('CURRENT EXCEL ROOFS'!K24&lt;&gt;"",CONCATENATE(SUBSTITUTE('CURRENT EXCEL ROOFS'!K24," ",""),"S"),IF('CURRENT EXCEL ROOFS'!K24="","",""))</f>
        <v/>
      </c>
      <c r="F141" s="235" t="str">
        <f>IF('CURRENT EXCEL ROOFS'!K24&lt;&gt;"",CONCATENATE(SUBSTITUTE('CURRENT EXCEL ROOFS'!K24," ",""),"PS"),IF('CURRENT EXCEL ROOFS'!K24="","",""))</f>
        <v/>
      </c>
      <c r="G141" s="235" t="str">
        <f>IF('CURRENT EXCEL ROOFS'!K24&lt;&gt;"",CONCATENATE(SUBSTITUTE('CURRENT EXCEL ROOFS'!K24," ",""),"OS"),IF('CURRENT EXCEL ROOFS'!K24="","",""))</f>
        <v/>
      </c>
    </row>
    <row r="142" spans="5:7" x14ac:dyDescent="0.25">
      <c r="E142" s="235" t="str">
        <f>IF('CURRENT EXCEL ROOFS'!K25&lt;&gt;"",CONCATENATE(SUBSTITUTE('CURRENT EXCEL ROOFS'!K25," ",""),"S"),IF('CURRENT EXCEL ROOFS'!K25="","",""))</f>
        <v/>
      </c>
      <c r="F142" s="235" t="str">
        <f>IF('CURRENT EXCEL ROOFS'!K25&lt;&gt;"",CONCATENATE(SUBSTITUTE('CURRENT EXCEL ROOFS'!K25," ",""),"PS"),IF('CURRENT EXCEL ROOFS'!K25="","",""))</f>
        <v/>
      </c>
      <c r="G142" s="235" t="str">
        <f>IF('CURRENT EXCEL ROOFS'!K25&lt;&gt;"",CONCATENATE(SUBSTITUTE('CURRENT EXCEL ROOFS'!K25," ",""),"OS"),IF('CURRENT EXCEL ROOFS'!K25="","",""))</f>
        <v/>
      </c>
    </row>
    <row r="143" spans="5:7" x14ac:dyDescent="0.25">
      <c r="E143" s="235" t="str">
        <f>IF('CURRENT EXCEL ROOFS'!K26&lt;&gt;"",CONCATENATE(SUBSTITUTE('CURRENT EXCEL ROOFS'!K26," ",""),"S"),IF('CURRENT EXCEL ROOFS'!K26="","",""))</f>
        <v/>
      </c>
      <c r="F143" s="235" t="str">
        <f>IF('CURRENT EXCEL ROOFS'!K26&lt;&gt;"",CONCATENATE(SUBSTITUTE('CURRENT EXCEL ROOFS'!K26," ",""),"PS"),IF('CURRENT EXCEL ROOFS'!K26="","",""))</f>
        <v/>
      </c>
      <c r="G143" s="235" t="str">
        <f>IF('CURRENT EXCEL ROOFS'!K26&lt;&gt;"",CONCATENATE(SUBSTITUTE('CURRENT EXCEL ROOFS'!K26," ",""),"OS"),IF('CURRENT EXCEL ROOFS'!K26="","",""))</f>
        <v/>
      </c>
    </row>
    <row r="144" spans="5:7" x14ac:dyDescent="0.25">
      <c r="E144" s="235" t="str">
        <f>IF('CURRENT EXCEL ROOFS'!K27&lt;&gt;"",CONCATENATE(SUBSTITUTE('CURRENT EXCEL ROOFS'!K27," ",""),"S"),IF('CURRENT EXCEL ROOFS'!K27="","",""))</f>
        <v/>
      </c>
      <c r="F144" s="235" t="str">
        <f>IF('CURRENT EXCEL ROOFS'!K27&lt;&gt;"",CONCATENATE(SUBSTITUTE('CURRENT EXCEL ROOFS'!K27," ",""),"PS"),IF('CURRENT EXCEL ROOFS'!K27="","",""))</f>
        <v/>
      </c>
      <c r="G144" s="235" t="str">
        <f>IF('CURRENT EXCEL ROOFS'!K27&lt;&gt;"",CONCATENATE(SUBSTITUTE('CURRENT EXCEL ROOFS'!K27," ",""),"OS"),IF('CURRENT EXCEL ROOFS'!K27="","",""))</f>
        <v/>
      </c>
    </row>
    <row r="145" spans="5:7" x14ac:dyDescent="0.25">
      <c r="E145" s="235" t="str">
        <f>IF('CURRENT EXCEL ROOFS'!K28&lt;&gt;"",CONCATENATE(SUBSTITUTE('CURRENT EXCEL ROOFS'!K28," ",""),"S"),IF('CURRENT EXCEL ROOFS'!K28="","",""))</f>
        <v/>
      </c>
      <c r="F145" s="235" t="str">
        <f>IF('CURRENT EXCEL ROOFS'!K28&lt;&gt;"",CONCATENATE(SUBSTITUTE('CURRENT EXCEL ROOFS'!K28," ",""),"PS"),IF('CURRENT EXCEL ROOFS'!K28="","",""))</f>
        <v/>
      </c>
      <c r="G145" s="235" t="str">
        <f>IF('CURRENT EXCEL ROOFS'!K28&lt;&gt;"",CONCATENATE(SUBSTITUTE('CURRENT EXCEL ROOFS'!K28," ",""),"OS"),IF('CURRENT EXCEL ROOFS'!K28="","",""))</f>
        <v/>
      </c>
    </row>
    <row r="146" spans="5:7" x14ac:dyDescent="0.25">
      <c r="E146" s="235" t="str">
        <f>IF('CURRENT EXCEL ROOFS'!K29&lt;&gt;"",CONCATENATE(SUBSTITUTE('CURRENT EXCEL ROOFS'!K29," ",""),"S"),IF('CURRENT EXCEL ROOFS'!K29="","",""))</f>
        <v/>
      </c>
      <c r="F146" s="235" t="str">
        <f>IF('CURRENT EXCEL ROOFS'!K29&lt;&gt;"",CONCATENATE(SUBSTITUTE('CURRENT EXCEL ROOFS'!K29," ",""),"PS"),IF('CURRENT EXCEL ROOFS'!K29="","",""))</f>
        <v/>
      </c>
      <c r="G146" s="235" t="str">
        <f>IF('CURRENT EXCEL ROOFS'!K29&lt;&gt;"",CONCATENATE(SUBSTITUTE('CURRENT EXCEL ROOFS'!K29," ",""),"OS"),IF('CURRENT EXCEL ROOFS'!K29="","",""))</f>
        <v/>
      </c>
    </row>
    <row r="147" spans="5:7" x14ac:dyDescent="0.25">
      <c r="E147" s="235" t="str">
        <f>IF('CURRENT EXCEL ROOFS'!K30&lt;&gt;"",CONCATENATE(SUBSTITUTE('CURRENT EXCEL ROOFS'!K30," ",""),"S"),IF('CURRENT EXCEL ROOFS'!K30="","",""))</f>
        <v/>
      </c>
      <c r="F147" s="235" t="str">
        <f>IF('CURRENT EXCEL ROOFS'!K30&lt;&gt;"",CONCATENATE(SUBSTITUTE('CURRENT EXCEL ROOFS'!K30," ",""),"PS"),IF('CURRENT EXCEL ROOFS'!K30="","",""))</f>
        <v/>
      </c>
      <c r="G147" s="235" t="str">
        <f>IF('CURRENT EXCEL ROOFS'!K30&lt;&gt;"",CONCATENATE(SUBSTITUTE('CURRENT EXCEL ROOFS'!K30," ",""),"OS"),IF('CURRENT EXCEL ROOFS'!K30="","",""))</f>
        <v/>
      </c>
    </row>
    <row r="148" spans="5:7" x14ac:dyDescent="0.25">
      <c r="E148" s="235" t="str">
        <f>IF('CURRENT EXCEL ROOFS'!K31&lt;&gt;"",CONCATENATE(SUBSTITUTE('CURRENT EXCEL ROOFS'!K31," ",""),"S"),IF('CURRENT EXCEL ROOFS'!K31="","",""))</f>
        <v/>
      </c>
      <c r="F148" s="235" t="str">
        <f>IF('CURRENT EXCEL ROOFS'!K31&lt;&gt;"",CONCATENATE(SUBSTITUTE('CURRENT EXCEL ROOFS'!K31," ",""),"PS"),IF('CURRENT EXCEL ROOFS'!K31="","",""))</f>
        <v/>
      </c>
      <c r="G148" s="235" t="str">
        <f>IF('CURRENT EXCEL ROOFS'!K31&lt;&gt;"",CONCATENATE(SUBSTITUTE('CURRENT EXCEL ROOFS'!K31," ",""),"OS"),IF('CURRENT EXCEL ROOFS'!K31="","",""))</f>
        <v/>
      </c>
    </row>
    <row r="149" spans="5:7" x14ac:dyDescent="0.25">
      <c r="E149" s="235" t="str">
        <f>IF('CURRENT EXCEL ROOFS'!K32&lt;&gt;"",CONCATENATE(SUBSTITUTE('CURRENT EXCEL ROOFS'!K32," ",""),"S"),IF('CURRENT EXCEL ROOFS'!K32="","",""))</f>
        <v/>
      </c>
      <c r="F149" s="235" t="str">
        <f>IF('CURRENT EXCEL ROOFS'!K32&lt;&gt;"",CONCATENATE(SUBSTITUTE('CURRENT EXCEL ROOFS'!K32," ",""),"PS"),IF('CURRENT EXCEL ROOFS'!K32="","",""))</f>
        <v/>
      </c>
      <c r="G149" s="235" t="str">
        <f>IF('CURRENT EXCEL ROOFS'!K32&lt;&gt;"",CONCATENATE(SUBSTITUTE('CURRENT EXCEL ROOFS'!K32," ",""),"OS"),IF('CURRENT EXCEL ROOFS'!K32="","",""))</f>
        <v/>
      </c>
    </row>
    <row r="150" spans="5:7" x14ac:dyDescent="0.25">
      <c r="E150" s="235" t="str">
        <f>IF('CURRENT EXCEL ROOFS'!K33&lt;&gt;"",CONCATENATE(SUBSTITUTE('CURRENT EXCEL ROOFS'!K33," ",""),"S"),IF('CURRENT EXCEL ROOFS'!K33="","",""))</f>
        <v/>
      </c>
      <c r="F150" s="235" t="str">
        <f>IF('CURRENT EXCEL ROOFS'!K33&lt;&gt;"",CONCATENATE(SUBSTITUTE('CURRENT EXCEL ROOFS'!K33," ",""),"PS"),IF('CURRENT EXCEL ROOFS'!K33="","",""))</f>
        <v/>
      </c>
      <c r="G150" s="235" t="str">
        <f>IF('CURRENT EXCEL ROOFS'!K33&lt;&gt;"",CONCATENATE(SUBSTITUTE('CURRENT EXCEL ROOFS'!K33," ",""),"OS"),IF('CURRENT EXCEL ROOFS'!K33="","",""))</f>
        <v/>
      </c>
    </row>
    <row r="151" spans="5:7" x14ac:dyDescent="0.25">
      <c r="E151" s="235" t="str">
        <f>IF('CURRENT EXCEL ROOFS'!K34&lt;&gt;"",CONCATENATE(SUBSTITUTE('CURRENT EXCEL ROOFS'!K34," ",""),"S"),IF('CURRENT EXCEL ROOFS'!K34="","",""))</f>
        <v/>
      </c>
      <c r="F151" s="235" t="str">
        <f>IF('CURRENT EXCEL ROOFS'!K34&lt;&gt;"",CONCATENATE(SUBSTITUTE('CURRENT EXCEL ROOFS'!K34," ",""),"PS"),IF('CURRENT EXCEL ROOFS'!K34="","",""))</f>
        <v/>
      </c>
      <c r="G151" s="235" t="str">
        <f>IF('CURRENT EXCEL ROOFS'!K34&lt;&gt;"",CONCATENATE(SUBSTITUTE('CURRENT EXCEL ROOFS'!K34," ",""),"OS"),IF('CURRENT EXCEL ROOFS'!K34="","",""))</f>
        <v/>
      </c>
    </row>
    <row r="152" spans="5:7" x14ac:dyDescent="0.25">
      <c r="E152" s="235" t="str">
        <f>IF('CURRENT EXCEL ROOFS'!K35&lt;&gt;"",CONCATENATE(SUBSTITUTE('CURRENT EXCEL ROOFS'!K35," ",""),"S"),IF('CURRENT EXCEL ROOFS'!K35="","",""))</f>
        <v/>
      </c>
      <c r="F152" s="235" t="str">
        <f>IF('CURRENT EXCEL ROOFS'!K35&lt;&gt;"",CONCATENATE(SUBSTITUTE('CURRENT EXCEL ROOFS'!K35," ",""),"PS"),IF('CURRENT EXCEL ROOFS'!K35="","",""))</f>
        <v/>
      </c>
      <c r="G152" s="235" t="str">
        <f>IF('CURRENT EXCEL ROOFS'!K35&lt;&gt;"",CONCATENATE(SUBSTITUTE('CURRENT EXCEL ROOFS'!K35," ",""),"OS"),IF('CURRENT EXCEL ROOFS'!K35="","",""))</f>
        <v/>
      </c>
    </row>
    <row r="153" spans="5:7" x14ac:dyDescent="0.25">
      <c r="E153" s="235" t="str">
        <f>IF('CURRENT EXCEL ROOFS'!K36&lt;&gt;"",CONCATENATE(SUBSTITUTE('CURRENT EXCEL ROOFS'!K36," ",""),"S"),IF('CURRENT EXCEL ROOFS'!K36="","",""))</f>
        <v/>
      </c>
      <c r="F153" s="235" t="str">
        <f>IF('CURRENT EXCEL ROOFS'!K36&lt;&gt;"",CONCATENATE(SUBSTITUTE('CURRENT EXCEL ROOFS'!K36," ",""),"PS"),IF('CURRENT EXCEL ROOFS'!K36="","",""))</f>
        <v/>
      </c>
      <c r="G153" s="235" t="str">
        <f>IF('CURRENT EXCEL ROOFS'!K36&lt;&gt;"",CONCATENATE(SUBSTITUTE('CURRENT EXCEL ROOFS'!K36," ",""),"OS"),IF('CURRENT EXCEL ROOFS'!K36="","",""))</f>
        <v/>
      </c>
    </row>
    <row r="154" spans="5:7" x14ac:dyDescent="0.25">
      <c r="E154" s="235" t="str">
        <f>IF('CURRENT EXCEL ROOFS'!K37&lt;&gt;"",CONCATENATE(SUBSTITUTE('CURRENT EXCEL ROOFS'!K37," ",""),"S"),IF('CURRENT EXCEL ROOFS'!K37="","",""))</f>
        <v/>
      </c>
      <c r="F154" s="235" t="str">
        <f>IF('CURRENT EXCEL ROOFS'!K37&lt;&gt;"",CONCATENATE(SUBSTITUTE('CURRENT EXCEL ROOFS'!K37," ",""),"PS"),IF('CURRENT EXCEL ROOFS'!K37="","",""))</f>
        <v/>
      </c>
      <c r="G154" s="235" t="str">
        <f>IF('CURRENT EXCEL ROOFS'!K37&lt;&gt;"",CONCATENATE(SUBSTITUTE('CURRENT EXCEL ROOFS'!K37," ",""),"OS"),IF('CURRENT EXCEL ROOFS'!K37="","",""))</f>
        <v/>
      </c>
    </row>
    <row r="155" spans="5:7" x14ac:dyDescent="0.25">
      <c r="E155" s="235" t="str">
        <f>IF('CURRENT EXCEL ROOFS'!K38&lt;&gt;"",CONCATENATE(SUBSTITUTE('CURRENT EXCEL ROOFS'!K38," ",""),"S"),IF('CURRENT EXCEL ROOFS'!K38="","",""))</f>
        <v/>
      </c>
      <c r="F155" s="235" t="str">
        <f>IF('CURRENT EXCEL ROOFS'!K38&lt;&gt;"",CONCATENATE(SUBSTITUTE('CURRENT EXCEL ROOFS'!K38," ",""),"PS"),IF('CURRENT EXCEL ROOFS'!K38="","",""))</f>
        <v/>
      </c>
      <c r="G155" s="235" t="str">
        <f>IF('CURRENT EXCEL ROOFS'!K38&lt;&gt;"",CONCATENATE(SUBSTITUTE('CURRENT EXCEL ROOFS'!K38," ",""),"OS"),IF('CURRENT EXCEL ROOFS'!K38="","",""))</f>
        <v/>
      </c>
    </row>
    <row r="156" spans="5:7" x14ac:dyDescent="0.25">
      <c r="E156" s="235" t="str">
        <f>IF('CURRENT EXCEL ROOFS'!K39&lt;&gt;"",CONCATENATE(SUBSTITUTE('CURRENT EXCEL ROOFS'!K39," ",""),"S"),IF('CURRENT EXCEL ROOFS'!K39="","",""))</f>
        <v/>
      </c>
      <c r="F156" s="235" t="str">
        <f>IF('CURRENT EXCEL ROOFS'!K39&lt;&gt;"",CONCATENATE(SUBSTITUTE('CURRENT EXCEL ROOFS'!K39," ",""),"PS"),IF('CURRENT EXCEL ROOFS'!K39="","",""))</f>
        <v/>
      </c>
      <c r="G156" s="235" t="str">
        <f>IF('CURRENT EXCEL ROOFS'!K39&lt;&gt;"",CONCATENATE(SUBSTITUTE('CURRENT EXCEL ROOFS'!K39," ",""),"OS"),IF('CURRENT EXCEL ROOFS'!K39="","",""))</f>
        <v/>
      </c>
    </row>
    <row r="157" spans="5:7" x14ac:dyDescent="0.25">
      <c r="E157" s="235" t="str">
        <f>IF('CURRENT EXCEL ROOFS'!K40&lt;&gt;"",CONCATENATE(SUBSTITUTE('CURRENT EXCEL ROOFS'!K40," ",""),"S"),IF('CURRENT EXCEL ROOFS'!K40="","",""))</f>
        <v/>
      </c>
      <c r="F157" s="235" t="str">
        <f>IF('CURRENT EXCEL ROOFS'!K40&lt;&gt;"",CONCATENATE(SUBSTITUTE('CURRENT EXCEL ROOFS'!K40," ",""),"PS"),IF('CURRENT EXCEL ROOFS'!K40="","",""))</f>
        <v/>
      </c>
      <c r="G157" s="235" t="str">
        <f>IF('CURRENT EXCEL ROOFS'!K40&lt;&gt;"",CONCATENATE(SUBSTITUTE('CURRENT EXCEL ROOFS'!K40," ",""),"OS"),IF('CURRENT EXCEL ROOFS'!K40="","",""))</f>
        <v/>
      </c>
    </row>
    <row r="158" spans="5:7" x14ac:dyDescent="0.25">
      <c r="E158" s="235" t="str">
        <f>IF('CURRENT EXCEL ROOFS'!K41&lt;&gt;"",CONCATENATE(SUBSTITUTE('CURRENT EXCEL ROOFS'!K41," ",""),"S"),IF('CURRENT EXCEL ROOFS'!K41="","",""))</f>
        <v/>
      </c>
      <c r="F158" s="235" t="str">
        <f>IF('CURRENT EXCEL ROOFS'!K41&lt;&gt;"",CONCATENATE(SUBSTITUTE('CURRENT EXCEL ROOFS'!K41," ",""),"PS"),IF('CURRENT EXCEL ROOFS'!K41="","",""))</f>
        <v/>
      </c>
      <c r="G158" s="235" t="str">
        <f>IF('CURRENT EXCEL ROOFS'!K41&lt;&gt;"",CONCATENATE(SUBSTITUTE('CURRENT EXCEL ROOFS'!K41," ",""),"OS"),IF('CURRENT EXCEL ROOFS'!K41="","",""))</f>
        <v/>
      </c>
    </row>
    <row r="159" spans="5:7" x14ac:dyDescent="0.25">
      <c r="E159" s="235" t="str">
        <f>IF('CURRENT EXCEL ROOFS'!K42&lt;&gt;"",CONCATENATE(SUBSTITUTE('CURRENT EXCEL ROOFS'!K42," ",""),"S"),IF('CURRENT EXCEL ROOFS'!K42="","",""))</f>
        <v/>
      </c>
      <c r="F159" s="235" t="str">
        <f>IF('CURRENT EXCEL ROOFS'!K42&lt;&gt;"",CONCATENATE(SUBSTITUTE('CURRENT EXCEL ROOFS'!K42," ",""),"PS"),IF('CURRENT EXCEL ROOFS'!K42="","",""))</f>
        <v/>
      </c>
      <c r="G159" s="235" t="str">
        <f>IF('CURRENT EXCEL ROOFS'!K42&lt;&gt;"",CONCATENATE(SUBSTITUTE('CURRENT EXCEL ROOFS'!K42," ",""),"OS"),IF('CURRENT EXCEL ROOFS'!K42="","",""))</f>
        <v/>
      </c>
    </row>
    <row r="160" spans="5:7" x14ac:dyDescent="0.25">
      <c r="E160" s="235" t="str">
        <f>IF('CURRENT EXCEL ROOFS'!K43&lt;&gt;"",CONCATENATE(SUBSTITUTE('CURRENT EXCEL ROOFS'!K43," ",""),"S"),IF('CURRENT EXCEL ROOFS'!K43="","",""))</f>
        <v/>
      </c>
      <c r="F160" s="235" t="str">
        <f>IF('CURRENT EXCEL ROOFS'!K43&lt;&gt;"",CONCATENATE(SUBSTITUTE('CURRENT EXCEL ROOFS'!K43," ",""),"PS"),IF('CURRENT EXCEL ROOFS'!K43="","",""))</f>
        <v/>
      </c>
      <c r="G160" s="235" t="str">
        <f>IF('CURRENT EXCEL ROOFS'!K43&lt;&gt;"",CONCATENATE(SUBSTITUTE('CURRENT EXCEL ROOFS'!K43," ",""),"OS"),IF('CURRENT EXCEL ROOFS'!K43="","",""))</f>
        <v/>
      </c>
    </row>
    <row r="161" spans="5:7" x14ac:dyDescent="0.25">
      <c r="E161" s="235" t="str">
        <f>IF('CURRENT EXCEL ROOFS'!K44&lt;&gt;"",CONCATENATE(SUBSTITUTE('CURRENT EXCEL ROOFS'!K44," ",""),"S"),IF('CURRENT EXCEL ROOFS'!K44="","",""))</f>
        <v/>
      </c>
      <c r="F161" s="235" t="str">
        <f>IF('CURRENT EXCEL ROOFS'!K44&lt;&gt;"",CONCATENATE(SUBSTITUTE('CURRENT EXCEL ROOFS'!K44," ",""),"PS"),IF('CURRENT EXCEL ROOFS'!K44="","",""))</f>
        <v/>
      </c>
      <c r="G161" s="235" t="str">
        <f>IF('CURRENT EXCEL ROOFS'!K44&lt;&gt;"",CONCATENATE(SUBSTITUTE('CURRENT EXCEL ROOFS'!K44," ",""),"OS"),IF('CURRENT EXCEL ROOFS'!K44="","",""))</f>
        <v/>
      </c>
    </row>
    <row r="162" spans="5:7" x14ac:dyDescent="0.25">
      <c r="F162" s="235" t="str">
        <f>IF('CURRENT EXCEL ROOFS'!K45&lt;&gt;"",CONCATENATE(SUBSTITUTE('CURRENT EXCEL ROOFS'!K45," ",""),"PS"),IF('CURRENT EXCEL ROOFS'!K45="","",""))</f>
        <v/>
      </c>
      <c r="G162" s="235" t="str">
        <f>IF('CURRENT EXCEL ROOFS'!K45&lt;&gt;"",CONCATENATE(SUBSTITUTE('CURRENT EXCEL ROOFS'!K45," ",""),"OS"),IF('CURRENT EXCEL ROOFS'!K45="","",""))</f>
        <v/>
      </c>
    </row>
    <row r="163" spans="5:7" x14ac:dyDescent="0.25">
      <c r="G163" s="235" t="str">
        <f>IF('CURRENT EXCEL ROOFS'!K46&lt;&gt;"",CONCATENATE(SUBSTITUTE('CURRENT EXCEL ROOFS'!K46," ",""),"OS"),IF('CURRENT EXCEL ROOFS'!K46="","",""))</f>
        <v/>
      </c>
    </row>
  </sheetData>
  <sheetProtection algorithmName="SHA-512" hashValue="brGBcHc8Aib0Tm0z/jDDo7brOENqvmMhkfMHqRwR52GIKKpqlJ+jIoDcHF71sNy3KM23LVS44/DuOPgir9fDRQ==" saltValue="CAEPLKQshaVIJTMxAI4I7g==" spinCount="100000" sheet="1" objects="1" scenarios="1"/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MODULES</vt:lpstr>
      <vt:lpstr>INVERTERS</vt:lpstr>
      <vt:lpstr>UTILITY, DEALS &amp; STATE</vt:lpstr>
      <vt:lpstr>MATERIAL LIST</vt:lpstr>
      <vt:lpstr>CURRENT EXCEL ROOFS</vt:lpstr>
      <vt:lpstr>REVISION LIST</vt:lpstr>
      <vt:lpstr>CALCULATORS</vt:lpstr>
      <vt:lpstr>CALCULATIONS</vt:lpstr>
      <vt:lpstr>SMALL TABLES</vt:lpstr>
      <vt:lpstr>LARGE TABLE</vt:lpstr>
      <vt:lpstr>Sheet1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Jon Seybolt</cp:lastModifiedBy>
  <cp:lastPrinted>2018-01-10T08:36:41Z</cp:lastPrinted>
  <dcterms:created xsi:type="dcterms:W3CDTF">2014-01-29T17:55:47Z</dcterms:created>
  <dcterms:modified xsi:type="dcterms:W3CDTF">2019-09-19T20:17:41Z</dcterms:modified>
  <cp:category/>
  <cp:contentStatus/>
</cp:coreProperties>
</file>