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. RESIDENTIAL JOBS\001 Residential Jobs\RYAN, MICHAEL\01 CAD Drawings\"/>
    </mc:Choice>
  </mc:AlternateContent>
  <bookViews>
    <workbookView xWindow="34725" yWindow="4665" windowWidth="21600" windowHeight="12735" tabRatio="637"/>
  </bookViews>
  <sheets>
    <sheet name="FORM" sheetId="4" r:id="rId1"/>
    <sheet name="SMALL TABLES" sheetId="5" state="hidden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state="hidden" r:id="rId9"/>
    <sheet name="LARGE TABLE" sheetId="6" state="hidden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6" i="14"/>
  <c r="R12" i="14"/>
  <c r="G11" i="14" s="1"/>
  <c r="I11" i="14" s="1"/>
  <c r="I12" i="14"/>
  <c r="R11" i="14"/>
  <c r="R10" i="14"/>
  <c r="G10" i="14"/>
  <c r="R9" i="14"/>
  <c r="B43" i="6"/>
  <c r="B38" i="6"/>
  <c r="B37" i="6"/>
  <c r="B36" i="6"/>
  <c r="B35" i="6"/>
  <c r="B34" i="6"/>
  <c r="B33" i="6"/>
  <c r="B32" i="6"/>
  <c r="B31" i="6"/>
  <c r="B30" i="6"/>
  <c r="B3" i="6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C90" i="1"/>
  <c r="D90" i="1" s="1"/>
  <c r="C88" i="1"/>
  <c r="D88" i="1" s="1"/>
  <c r="C87" i="1"/>
  <c r="D87" i="1" s="1"/>
  <c r="D85" i="1"/>
  <c r="D78" i="1"/>
  <c r="C78" i="1"/>
  <c r="C77" i="1"/>
  <c r="D77" i="1" s="1"/>
  <c r="C76" i="1"/>
  <c r="C75" i="1" s="1"/>
  <c r="D75" i="1" s="1"/>
  <c r="C73" i="1"/>
  <c r="D73" i="1" s="1"/>
  <c r="C70" i="1"/>
  <c r="D70" i="1" s="1"/>
  <c r="C69" i="1"/>
  <c r="D69" i="1" s="1"/>
  <c r="I68" i="1"/>
  <c r="C68" i="1"/>
  <c r="D68" i="1" s="1"/>
  <c r="C67" i="1"/>
  <c r="D67" i="1" s="1"/>
  <c r="I66" i="1"/>
  <c r="G62" i="1"/>
  <c r="I61" i="1"/>
  <c r="J61" i="1" s="1"/>
  <c r="D59" i="1"/>
  <c r="C58" i="1"/>
  <c r="D58" i="1" s="1"/>
  <c r="H49" i="1"/>
  <c r="H48" i="1"/>
  <c r="D45" i="1"/>
  <c r="I44" i="1"/>
  <c r="B15" i="6" s="1"/>
  <c r="I42" i="1"/>
  <c r="C94" i="1" s="1"/>
  <c r="D94" i="1" s="1"/>
  <c r="E42" i="1"/>
  <c r="D42" i="1"/>
  <c r="C42" i="1"/>
  <c r="B42" i="1"/>
  <c r="E41" i="1"/>
  <c r="C41" i="1"/>
  <c r="D40" i="1"/>
  <c r="I32" i="1"/>
  <c r="J32" i="1" s="1"/>
  <c r="I31" i="1"/>
  <c r="I30" i="1"/>
  <c r="J30" i="1" s="1"/>
  <c r="I29" i="1"/>
  <c r="J29" i="1" s="1"/>
  <c r="I28" i="1"/>
  <c r="J28" i="1" s="1"/>
  <c r="B28" i="1"/>
  <c r="L37" i="1" s="1"/>
  <c r="I27" i="1"/>
  <c r="E72" i="1" s="1"/>
  <c r="B24" i="1"/>
  <c r="B21" i="1"/>
  <c r="A3" i="5" s="1"/>
  <c r="B20" i="1"/>
  <c r="A2" i="5" s="1"/>
  <c r="B18" i="1"/>
  <c r="B17" i="1"/>
  <c r="B15" i="1"/>
  <c r="B14" i="1"/>
  <c r="A73" i="5" s="1"/>
  <c r="M11" i="5" s="1"/>
  <c r="B13" i="1"/>
  <c r="R9" i="1"/>
  <c r="E8" i="1"/>
  <c r="R6" i="1"/>
  <c r="R7" i="1" s="1"/>
  <c r="B28" i="4" s="1"/>
  <c r="F6" i="1"/>
  <c r="E6" i="1"/>
  <c r="D6" i="1"/>
  <c r="C6" i="1"/>
  <c r="F5" i="1"/>
  <c r="F9" i="1" s="1"/>
  <c r="E5" i="1"/>
  <c r="D5" i="1"/>
  <c r="D41" i="1" s="1"/>
  <c r="C5" i="1"/>
  <c r="B5" i="1"/>
  <c r="F4" i="1"/>
  <c r="F7" i="1" s="1"/>
  <c r="E4" i="1"/>
  <c r="E7" i="1" s="1"/>
  <c r="D4" i="1"/>
  <c r="D7" i="1" s="1"/>
  <c r="C4" i="1"/>
  <c r="C7" i="1" s="1"/>
  <c r="B4" i="1"/>
  <c r="B7" i="1" s="1"/>
  <c r="F3" i="1"/>
  <c r="F10" i="1" s="1"/>
  <c r="E3" i="1"/>
  <c r="D3" i="1"/>
  <c r="C51" i="1" s="1"/>
  <c r="D51" i="1" s="1"/>
  <c r="C3" i="1"/>
  <c r="B3" i="1"/>
  <c r="B9" i="1" s="1"/>
  <c r="F2" i="1"/>
  <c r="P2" i="1" s="1"/>
  <c r="E2" i="1"/>
  <c r="O2" i="1" s="1"/>
  <c r="D2" i="1"/>
  <c r="D28" i="1" s="1"/>
  <c r="C2" i="1"/>
  <c r="C121" i="1" s="1"/>
  <c r="B121" i="1" s="1"/>
  <c r="B2" i="1"/>
  <c r="L2" i="1" s="1"/>
  <c r="B20" i="8"/>
  <c r="E19" i="8"/>
  <c r="D19" i="8"/>
  <c r="D18" i="8"/>
  <c r="E18" i="8" s="1"/>
  <c r="D17" i="8"/>
  <c r="E17" i="8" s="1"/>
  <c r="D16" i="8"/>
  <c r="E16" i="8" s="1"/>
  <c r="C11" i="8"/>
  <c r="C10" i="8"/>
  <c r="C9" i="8"/>
  <c r="C7" i="8"/>
  <c r="C6" i="8" s="1"/>
  <c r="C8" i="8" s="1"/>
  <c r="F5" i="8"/>
  <c r="E17" i="16"/>
  <c r="E18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 s="1"/>
  <c r="B1" i="7"/>
  <c r="F3" i="15"/>
  <c r="C3" i="15"/>
  <c r="B18" i="4" s="1"/>
  <c r="A3" i="15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 s="1"/>
  <c r="E15" i="3"/>
  <c r="D15" i="3" s="1"/>
  <c r="E14" i="3"/>
  <c r="D14" i="3"/>
  <c r="E13" i="3"/>
  <c r="D13" i="3"/>
  <c r="E12" i="3"/>
  <c r="D12" i="3" s="1"/>
  <c r="E11" i="3"/>
  <c r="D11" i="3"/>
  <c r="E10" i="3"/>
  <c r="D10" i="3" s="1"/>
  <c r="E8" i="3"/>
  <c r="D8" i="3"/>
  <c r="E7" i="3"/>
  <c r="D7" i="3" s="1"/>
  <c r="E6" i="3"/>
  <c r="D6" i="3"/>
  <c r="E5" i="3"/>
  <c r="D5" i="3"/>
  <c r="E4" i="3"/>
  <c r="D4" i="3"/>
  <c r="E3" i="3"/>
  <c r="D3" i="3" s="1"/>
  <c r="E2" i="3"/>
  <c r="D2" i="3" s="1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A105" i="5"/>
  <c r="A104" i="5"/>
  <c r="A103" i="5"/>
  <c r="A102" i="5"/>
  <c r="A101" i="5"/>
  <c r="A100" i="5"/>
  <c r="A99" i="5"/>
  <c r="A98" i="5"/>
  <c r="C92" i="5"/>
  <c r="A92" i="5"/>
  <c r="A90" i="5"/>
  <c r="D89" i="5"/>
  <c r="D84" i="5"/>
  <c r="B81" i="5"/>
  <c r="B79" i="5"/>
  <c r="B77" i="5"/>
  <c r="O15" i="5" s="1"/>
  <c r="D76" i="5"/>
  <c r="D71" i="5"/>
  <c r="A71" i="5"/>
  <c r="D45" i="5"/>
  <c r="D37" i="5"/>
  <c r="D29" i="5"/>
  <c r="O26" i="5"/>
  <c r="D21" i="5"/>
  <c r="D13" i="5"/>
  <c r="D10" i="5"/>
  <c r="M9" i="5"/>
  <c r="M8" i="5"/>
  <c r="A8" i="5"/>
  <c r="N5" i="5"/>
  <c r="M5" i="5"/>
  <c r="P4" i="5"/>
  <c r="N4" i="5"/>
  <c r="M4" i="5"/>
  <c r="P3" i="5"/>
  <c r="N3" i="5"/>
  <c r="M3" i="5"/>
  <c r="P2" i="5"/>
  <c r="N2" i="5"/>
  <c r="M2" i="5"/>
  <c r="G2" i="5"/>
  <c r="C2" i="5"/>
  <c r="F31" i="4"/>
  <c r="P5" i="5" s="1"/>
  <c r="B31" i="4"/>
  <c r="B25" i="1" s="1"/>
  <c r="A5" i="5" s="1"/>
  <c r="C30" i="4"/>
  <c r="I29" i="4"/>
  <c r="B39" i="6" s="1"/>
  <c r="B29" i="4"/>
  <c r="A75" i="5" s="1"/>
  <c r="M13" i="5" s="1"/>
  <c r="B27" i="4"/>
  <c r="E26" i="1" s="1"/>
  <c r="E87" i="1" s="1"/>
  <c r="C26" i="4"/>
  <c r="F23" i="4"/>
  <c r="D23" i="4"/>
  <c r="D22" i="4"/>
  <c r="B22" i="4"/>
  <c r="B19" i="1" s="1"/>
  <c r="D79" i="5" s="1"/>
  <c r="D83" i="5" s="1"/>
  <c r="D21" i="4"/>
  <c r="B21" i="4"/>
  <c r="B41" i="6" s="1"/>
  <c r="B29" i="6"/>
  <c r="F14" i="4"/>
  <c r="F12" i="4"/>
  <c r="E12" i="4"/>
  <c r="D12" i="4"/>
  <c r="C12" i="4"/>
  <c r="I4" i="4"/>
  <c r="A1" i="4"/>
  <c r="M29" i="5" l="1"/>
  <c r="B23" i="1"/>
  <c r="A4" i="5" s="1"/>
  <c r="B16" i="1"/>
  <c r="C90" i="5"/>
  <c r="O27" i="5"/>
  <c r="B88" i="5"/>
  <c r="O25" i="5" s="1"/>
  <c r="G11" i="5"/>
  <c r="B6" i="7"/>
  <c r="A6" i="7" s="1"/>
  <c r="C123" i="1"/>
  <c r="B123" i="1" s="1"/>
  <c r="F11" i="1"/>
  <c r="I18" i="5"/>
  <c r="E20" i="8"/>
  <c r="C28" i="8" s="1"/>
  <c r="F6" i="8"/>
  <c r="I12" i="5"/>
  <c r="I14" i="5"/>
  <c r="I16" i="5"/>
  <c r="I43" i="1"/>
  <c r="C122" i="1"/>
  <c r="B122" i="1" s="1"/>
  <c r="I17" i="14"/>
  <c r="C52" i="1"/>
  <c r="D52" i="1" s="1"/>
  <c r="C56" i="1"/>
  <c r="D56" i="1" s="1"/>
  <c r="H9" i="1"/>
  <c r="E3" i="4" s="1"/>
  <c r="H10" i="1"/>
  <c r="B51" i="5" s="1"/>
  <c r="H7" i="1"/>
  <c r="B85" i="5" s="1"/>
  <c r="O22" i="5" s="1"/>
  <c r="H14" i="1"/>
  <c r="C119" i="1"/>
  <c r="H13" i="1"/>
  <c r="B54" i="5" s="1"/>
  <c r="R2" i="5"/>
  <c r="H12" i="1"/>
  <c r="B53" i="5" s="1"/>
  <c r="H11" i="1"/>
  <c r="B52" i="5" s="1"/>
  <c r="H8" i="1"/>
  <c r="B86" i="5" s="1"/>
  <c r="O23" i="5" s="1"/>
  <c r="A50" i="5"/>
  <c r="F42" i="1"/>
  <c r="B87" i="5"/>
  <c r="O24" i="5" s="1"/>
  <c r="B8" i="1"/>
  <c r="B11" i="1"/>
  <c r="E94" i="1"/>
  <c r="C49" i="1"/>
  <c r="D49" i="1" s="1"/>
  <c r="C50" i="1"/>
  <c r="D50" i="1" s="1"/>
  <c r="C8" i="1"/>
  <c r="C11" i="1"/>
  <c r="C9" i="1"/>
  <c r="C96" i="1"/>
  <c r="D96" i="1" s="1"/>
  <c r="H9" i="4"/>
  <c r="I6" i="4"/>
  <c r="C124" i="1"/>
  <c r="B124" i="1" s="1"/>
  <c r="H10" i="4"/>
  <c r="C95" i="1"/>
  <c r="D95" i="1" s="1"/>
  <c r="C79" i="1"/>
  <c r="D79" i="1" s="1"/>
  <c r="H8" i="4"/>
  <c r="H7" i="4"/>
  <c r="C72" i="1"/>
  <c r="D72" i="1" s="1"/>
  <c r="H6" i="4"/>
  <c r="C71" i="1"/>
  <c r="D71" i="1" s="1"/>
  <c r="C97" i="1"/>
  <c r="D97" i="1" s="1"/>
  <c r="D76" i="1"/>
  <c r="D11" i="1"/>
  <c r="D9" i="1"/>
  <c r="B13" i="6"/>
  <c r="B12" i="6"/>
  <c r="E9" i="1"/>
  <c r="E40" i="1"/>
  <c r="G12" i="5" s="1"/>
  <c r="D26" i="5"/>
  <c r="D33" i="1"/>
  <c r="O32" i="5"/>
  <c r="N37" i="1"/>
  <c r="A24" i="5"/>
  <c r="D37" i="1"/>
  <c r="D8" i="1"/>
  <c r="C40" i="1"/>
  <c r="G10" i="5" s="1"/>
  <c r="B22" i="1"/>
  <c r="F8" i="1"/>
  <c r="C22" i="4"/>
  <c r="J31" i="1"/>
  <c r="I26" i="1" s="1"/>
  <c r="B11" i="6"/>
  <c r="C26" i="8"/>
  <c r="C5" i="5"/>
  <c r="O17" i="5"/>
  <c r="B80" i="5"/>
  <c r="E11" i="1"/>
  <c r="B14" i="6"/>
  <c r="G14" i="14"/>
  <c r="B37" i="1"/>
  <c r="D81" i="5" s="1"/>
  <c r="D82" i="5" s="1"/>
  <c r="F40" i="1"/>
  <c r="G3" i="5"/>
  <c r="I10" i="5"/>
  <c r="M32" i="5"/>
  <c r="B2" i="7"/>
  <c r="C28" i="1"/>
  <c r="C120" i="1"/>
  <c r="C53" i="1"/>
  <c r="D53" i="1" s="1"/>
  <c r="C18" i="4"/>
  <c r="C54" i="1"/>
  <c r="D54" i="1" s="1"/>
  <c r="E28" i="1"/>
  <c r="B33" i="1"/>
  <c r="D72" i="5"/>
  <c r="M2" i="1"/>
  <c r="F28" i="1"/>
  <c r="N2" i="1"/>
  <c r="C25" i="8" l="1"/>
  <c r="C27" i="8"/>
  <c r="C125" i="1"/>
  <c r="B125" i="1" s="1"/>
  <c r="H11" i="4"/>
  <c r="I5" i="4"/>
  <c r="G13" i="5"/>
  <c r="B12" i="1"/>
  <c r="I67" i="1" s="1"/>
  <c r="B12" i="4"/>
  <c r="C66" i="1"/>
  <c r="D66" i="1" s="1"/>
  <c r="B16" i="6"/>
  <c r="B17" i="6" s="1"/>
  <c r="B11" i="4"/>
  <c r="E66" i="1"/>
  <c r="C55" i="1"/>
  <c r="D55" i="1" s="1"/>
  <c r="A33" i="4"/>
  <c r="C48" i="1"/>
  <c r="D48" i="1" s="1"/>
  <c r="C84" i="1"/>
  <c r="D84" i="1" s="1"/>
  <c r="B61" i="1"/>
  <c r="C47" i="1" s="1"/>
  <c r="D47" i="1" s="1"/>
  <c r="C83" i="1"/>
  <c r="D83" i="1" s="1"/>
  <c r="C82" i="1"/>
  <c r="D82" i="1" s="1"/>
  <c r="C81" i="1"/>
  <c r="D81" i="1" s="1"/>
  <c r="C80" i="1"/>
  <c r="D80" i="1" s="1"/>
  <c r="B120" i="1"/>
  <c r="Q3" i="5" s="1"/>
  <c r="R3" i="5"/>
  <c r="D18" i="5"/>
  <c r="C33" i="1"/>
  <c r="M37" i="1"/>
  <c r="N32" i="5"/>
  <c r="A16" i="5"/>
  <c r="C37" i="1"/>
  <c r="I39" i="1"/>
  <c r="G6" i="4"/>
  <c r="B4" i="4"/>
  <c r="B6" i="6"/>
  <c r="D11" i="5"/>
  <c r="D12" i="5" s="1"/>
  <c r="E33" i="1"/>
  <c r="P32" i="5"/>
  <c r="E37" i="1"/>
  <c r="O37" i="1"/>
  <c r="A32" i="5"/>
  <c r="D34" i="5"/>
  <c r="D30" i="1"/>
  <c r="B27" i="5" s="1"/>
  <c r="D32" i="1"/>
  <c r="B29" i="5" s="1"/>
  <c r="D29" i="1"/>
  <c r="B26" i="5" s="1"/>
  <c r="D86" i="5"/>
  <c r="D87" i="5" s="1"/>
  <c r="I40" i="1"/>
  <c r="B8" i="6"/>
  <c r="D27" i="5"/>
  <c r="D28" i="5" s="1"/>
  <c r="D4" i="4"/>
  <c r="D3" i="4"/>
  <c r="D85" i="5"/>
  <c r="C3" i="5"/>
  <c r="B78" i="5"/>
  <c r="O16" i="5" s="1"/>
  <c r="P37" i="1"/>
  <c r="D42" i="5"/>
  <c r="Q32" i="5"/>
  <c r="F37" i="1"/>
  <c r="A40" i="5"/>
  <c r="G33" i="1"/>
  <c r="F33" i="1"/>
  <c r="C3" i="4"/>
  <c r="C4" i="4"/>
  <c r="C31" i="1"/>
  <c r="B20" i="5" s="1"/>
  <c r="B110" i="1"/>
  <c r="B31" i="1"/>
  <c r="B12" i="5" s="1"/>
  <c r="B109" i="1"/>
  <c r="B30" i="1"/>
  <c r="B32" i="1"/>
  <c r="B13" i="5" s="1"/>
  <c r="B28" i="6"/>
  <c r="B27" i="6"/>
  <c r="E31" i="1"/>
  <c r="B36" i="5" s="1"/>
  <c r="D31" i="1"/>
  <c r="B28" i="5" s="1"/>
  <c r="B38" i="1"/>
  <c r="B29" i="1"/>
  <c r="B10" i="5" s="1"/>
  <c r="E4" i="4"/>
  <c r="B34" i="1" l="1"/>
  <c r="D34" i="1" s="1"/>
  <c r="O20" i="5"/>
  <c r="I8" i="5"/>
  <c r="I4" i="5"/>
  <c r="Q2" i="5"/>
  <c r="G8" i="5"/>
  <c r="B119" i="1"/>
  <c r="B35" i="1"/>
  <c r="F13" i="4" s="1"/>
  <c r="B19" i="6"/>
  <c r="B20" i="6" s="1"/>
  <c r="B84" i="5"/>
  <c r="O21" i="5" s="1"/>
  <c r="B40" i="1"/>
  <c r="B41" i="1"/>
  <c r="B11" i="5"/>
  <c r="B3" i="4"/>
  <c r="H54" i="1"/>
  <c r="H60" i="1" s="1"/>
  <c r="I60" i="1" s="1"/>
  <c r="J60" i="1" s="1"/>
  <c r="B2" i="6"/>
  <c r="B42" i="6" s="1"/>
  <c r="H52" i="1"/>
  <c r="H58" i="1" s="1"/>
  <c r="I58" i="1" s="1"/>
  <c r="J58" i="1" s="1"/>
  <c r="B36" i="1"/>
  <c r="B1" i="6" s="1"/>
  <c r="A12" i="4"/>
  <c r="G12" i="4"/>
  <c r="I3" i="5"/>
  <c r="E2" i="5" s="1"/>
  <c r="B83" i="5"/>
  <c r="O19" i="5" s="1"/>
  <c r="G9" i="14"/>
  <c r="D43" i="5"/>
  <c r="D44" i="5" s="1"/>
  <c r="B10" i="6"/>
  <c r="E32" i="1"/>
  <c r="B37" i="5" s="1"/>
  <c r="E30" i="1"/>
  <c r="B35" i="5" s="1"/>
  <c r="E29" i="1"/>
  <c r="B34" i="5" s="1"/>
  <c r="C30" i="1"/>
  <c r="B19" i="5" s="1"/>
  <c r="C32" i="1"/>
  <c r="B21" i="5" s="1"/>
  <c r="C29" i="1"/>
  <c r="B18" i="5" s="1"/>
  <c r="C63" i="1"/>
  <c r="H50" i="1"/>
  <c r="H53" i="1" s="1"/>
  <c r="H59" i="1" s="1"/>
  <c r="I59" i="1" s="1"/>
  <c r="J59" i="1" s="1"/>
  <c r="B9" i="6"/>
  <c r="D35" i="5"/>
  <c r="D36" i="5" s="1"/>
  <c r="D88" i="5"/>
  <c r="B7" i="6"/>
  <c r="D19" i="5"/>
  <c r="D20" i="5" s="1"/>
  <c r="E92" i="1"/>
  <c r="E91" i="1"/>
  <c r="I69" i="1"/>
  <c r="I70" i="1" s="1"/>
  <c r="I71" i="1" s="1"/>
  <c r="E88" i="1" s="1"/>
  <c r="E90" i="1"/>
  <c r="F30" i="1"/>
  <c r="B43" i="5" s="1"/>
  <c r="F32" i="1"/>
  <c r="B45" i="5" s="1"/>
  <c r="F31" i="1"/>
  <c r="B44" i="5" s="1"/>
  <c r="F29" i="1"/>
  <c r="B42" i="5" s="1"/>
  <c r="L3" i="1"/>
  <c r="B112" i="1"/>
  <c r="B113" i="1" s="1"/>
  <c r="B23" i="6"/>
  <c r="B24" i="6" s="1"/>
  <c r="B25" i="6" s="1"/>
  <c r="B26" i="6" s="1"/>
  <c r="R4" i="5"/>
  <c r="Q4" i="5" s="1"/>
  <c r="R5" i="5" s="1"/>
  <c r="Q5" i="5" s="1"/>
  <c r="B5" i="7"/>
  <c r="B8" i="7"/>
  <c r="A8" i="7" s="1"/>
  <c r="B6" i="1"/>
  <c r="G9" i="5" l="1"/>
  <c r="D80" i="5"/>
  <c r="E25" i="1"/>
  <c r="B4" i="6"/>
  <c r="B40" i="6" s="1"/>
  <c r="B18" i="6"/>
  <c r="B21" i="6" s="1"/>
  <c r="B22" i="6" s="1"/>
  <c r="B5" i="6"/>
  <c r="C86" i="1"/>
  <c r="D86" i="1" s="1"/>
  <c r="I9" i="14"/>
  <c r="I15" i="14"/>
  <c r="I13" i="14"/>
  <c r="I10" i="14"/>
  <c r="I14" i="14"/>
  <c r="J62" i="1"/>
  <c r="H63" i="1" s="1"/>
  <c r="H51" i="1" s="1"/>
  <c r="C46" i="1" s="1"/>
  <c r="D46" i="1" s="1"/>
  <c r="R6" i="5"/>
  <c r="Q6" i="5" s="1"/>
  <c r="B114" i="1"/>
  <c r="D113" i="1"/>
  <c r="C113" i="1"/>
  <c r="B115" i="1" s="1"/>
  <c r="B116" i="1" s="1"/>
  <c r="C89" i="1" l="1"/>
  <c r="D89" i="1" s="1"/>
  <c r="C57" i="1"/>
  <c r="D57" i="1" s="1"/>
  <c r="C74" i="1"/>
  <c r="D74" i="1" s="1"/>
  <c r="B22" i="7" s="1"/>
  <c r="A22" i="7" s="1"/>
  <c r="B33" i="7"/>
  <c r="B21" i="7"/>
  <c r="H21" i="7" s="1"/>
  <c r="B36" i="7"/>
  <c r="A36" i="7" s="1"/>
  <c r="B37" i="7"/>
  <c r="H37" i="7" s="1"/>
  <c r="D42" i="7"/>
  <c r="B29" i="7"/>
  <c r="H29" i="7" s="1"/>
  <c r="B23" i="7"/>
  <c r="H23" i="7" s="1"/>
  <c r="D29" i="7"/>
  <c r="D24" i="7"/>
  <c r="D16" i="7"/>
  <c r="B28" i="7"/>
  <c r="F28" i="7" s="1"/>
  <c r="B42" i="7"/>
  <c r="H42" i="7" s="1"/>
  <c r="B25" i="7"/>
  <c r="H25" i="7" s="1"/>
  <c r="B41" i="7"/>
  <c r="A41" i="7" s="1"/>
  <c r="D19" i="7"/>
  <c r="B34" i="7"/>
  <c r="A34" i="7" s="1"/>
  <c r="D41" i="7"/>
  <c r="D43" i="7"/>
  <c r="B16" i="7"/>
  <c r="A16" i="7" s="1"/>
  <c r="B35" i="7"/>
  <c r="H35" i="7" s="1"/>
  <c r="D30" i="7"/>
  <c r="D27" i="7"/>
  <c r="D34" i="7"/>
  <c r="D20" i="7"/>
  <c r="B15" i="7"/>
  <c r="H15" i="7" s="1"/>
  <c r="D21" i="7"/>
  <c r="D28" i="7"/>
  <c r="B27" i="7"/>
  <c r="F27" i="7" s="1"/>
  <c r="B43" i="7"/>
  <c r="F43" i="7" s="1"/>
  <c r="D37" i="7"/>
  <c r="B32" i="7"/>
  <c r="H32" i="7" s="1"/>
  <c r="B18" i="7"/>
  <c r="F18" i="7" s="1"/>
  <c r="B30" i="7"/>
  <c r="F30" i="7" s="1"/>
  <c r="D39" i="7"/>
  <c r="B20" i="7"/>
  <c r="H20" i="7" s="1"/>
  <c r="D32" i="7"/>
  <c r="D33" i="7"/>
  <c r="B38" i="7"/>
  <c r="A38" i="7" s="1"/>
  <c r="D38" i="7"/>
  <c r="D36" i="7"/>
  <c r="D18" i="7"/>
  <c r="D44" i="7"/>
  <c r="D26" i="7"/>
  <c r="B44" i="7"/>
  <c r="F44" i="7" s="1"/>
  <c r="B24" i="7"/>
  <c r="A24" i="7" s="1"/>
  <c r="B39" i="7"/>
  <c r="F39" i="7" s="1"/>
  <c r="D17" i="7"/>
  <c r="B40" i="7"/>
  <c r="H40" i="7" s="1"/>
  <c r="H33" i="7"/>
  <c r="F33" i="7"/>
  <c r="A33" i="7"/>
  <c r="D22" i="7"/>
  <c r="D35" i="7"/>
  <c r="D40" i="7"/>
  <c r="B26" i="7"/>
  <c r="D23" i="7"/>
  <c r="D4" i="14"/>
  <c r="A30" i="7"/>
  <c r="D62" i="5"/>
  <c r="C62" i="5" s="1"/>
  <c r="B65" i="5"/>
  <c r="B63" i="5"/>
  <c r="B60" i="5"/>
  <c r="B62" i="5"/>
  <c r="D61" i="5"/>
  <c r="C61" i="5" s="1"/>
  <c r="D65" i="5"/>
  <c r="C65" i="5" s="1"/>
  <c r="D64" i="5"/>
  <c r="C64" i="5" s="1"/>
  <c r="D60" i="5"/>
  <c r="B61" i="5"/>
  <c r="D63" i="5"/>
  <c r="C63" i="5" s="1"/>
  <c r="B64" i="5"/>
  <c r="H36" i="7"/>
  <c r="F36" i="7"/>
  <c r="H30" i="7" l="1"/>
  <c r="A37" i="7"/>
  <c r="F37" i="7"/>
  <c r="D31" i="7"/>
  <c r="B31" i="7"/>
  <c r="F41" i="7"/>
  <c r="H41" i="7"/>
  <c r="B17" i="7"/>
  <c r="D15" i="7"/>
  <c r="D25" i="7"/>
  <c r="B19" i="7"/>
  <c r="A19" i="7" s="1"/>
  <c r="F40" i="7"/>
  <c r="A35" i="7"/>
  <c r="F16" i="7"/>
  <c r="H16" i="7"/>
  <c r="F38" i="7"/>
  <c r="H38" i="7"/>
  <c r="A29" i="7"/>
  <c r="F29" i="7"/>
  <c r="A15" i="7"/>
  <c r="F15" i="7"/>
  <c r="F23" i="7"/>
  <c r="H28" i="7"/>
  <c r="A28" i="7"/>
  <c r="A21" i="7"/>
  <c r="A18" i="7"/>
  <c r="H18" i="7"/>
  <c r="H43" i="7"/>
  <c r="F21" i="7"/>
  <c r="F22" i="7"/>
  <c r="A27" i="7"/>
  <c r="A40" i="7"/>
  <c r="H27" i="7"/>
  <c r="H39" i="7"/>
  <c r="F20" i="7"/>
  <c r="A23" i="7"/>
  <c r="F24" i="7"/>
  <c r="F42" i="7"/>
  <c r="A42" i="7"/>
  <c r="A32" i="7"/>
  <c r="F34" i="7"/>
  <c r="H24" i="7"/>
  <c r="H44" i="7"/>
  <c r="F25" i="7"/>
  <c r="A44" i="7"/>
  <c r="A25" i="7"/>
  <c r="F32" i="7"/>
  <c r="H34" i="7"/>
  <c r="F35" i="7"/>
  <c r="A39" i="7"/>
  <c r="H22" i="7"/>
  <c r="A43" i="7"/>
  <c r="A20" i="7"/>
  <c r="G63" i="5"/>
  <c r="F63" i="5" s="1"/>
  <c r="A63" i="5"/>
  <c r="G62" i="5"/>
  <c r="F62" i="5" s="1"/>
  <c r="A62" i="5"/>
  <c r="G66" i="5"/>
  <c r="F66" i="5" s="1"/>
  <c r="C60" i="5"/>
  <c r="B4" i="7"/>
  <c r="I4" i="14"/>
  <c r="H4" i="7" s="1"/>
  <c r="I6" i="14"/>
  <c r="D4" i="7" s="1"/>
  <c r="I5" i="14"/>
  <c r="F4" i="7" s="1"/>
  <c r="G60" i="5"/>
  <c r="F60" i="5" s="1"/>
  <c r="A60" i="5"/>
  <c r="H26" i="7"/>
  <c r="F26" i="7"/>
  <c r="A26" i="7"/>
  <c r="A64" i="5"/>
  <c r="G64" i="5"/>
  <c r="F64" i="5" s="1"/>
  <c r="G65" i="5"/>
  <c r="F65" i="5" s="1"/>
  <c r="A65" i="5"/>
  <c r="A61" i="5"/>
  <c r="G61" i="5"/>
  <c r="F61" i="5" s="1"/>
  <c r="A17" i="7" l="1"/>
  <c r="H17" i="7"/>
  <c r="F17" i="7"/>
  <c r="A31" i="7"/>
  <c r="H31" i="7"/>
  <c r="F31" i="7"/>
  <c r="H19" i="7"/>
  <c r="F19" i="7"/>
</calcChain>
</file>

<file path=xl/sharedStrings.xml><?xml version="1.0" encoding="utf-8"?>
<sst xmlns="http://schemas.openxmlformats.org/spreadsheetml/2006/main" count="919" uniqueCount="478">
  <si>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</si>
  <si>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</si>
  <si>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</si>
  <si>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</si>
  <si>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</si>
  <si>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</si>
  <si>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</si>
  <si>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</si>
  <si>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</si>
  <si>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</si>
  <si>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</si>
  <si>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</si>
  <si>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</si>
  <si>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</si>
  <si>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</si>
  <si>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</si>
  <si>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</si>
  <si>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</si>
  <si>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</si>
  <si>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</si>
  <si>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</si>
  <si>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</si>
  <si>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</si>
  <si>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</si>
  <si>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</si>
  <si>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</si>
  <si>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</si>
  <si>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</si>
  <si>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</si>
  <si>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</si>
  <si>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</si>
  <si>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</si>
  <si>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</si>
  <si>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</si>
  <si>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</si>
  <si>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</si>
  <si>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</si>
  <si>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</si>
  <si>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</si>
  <si>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</si>
  <si>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</si>
  <si>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</si>
  <si>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</si>
  <si>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</si>
  <si>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</si>
  <si>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</si>
  <si>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</si>
  <si>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</si>
  <si>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</si>
  <si>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</si>
  <si>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</si>
  <si>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</si>
  <si>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</si>
  <si>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</si>
  <si>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</si>
  <si>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</si>
  <si>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</si>
  <si>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</si>
  <si>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</si>
  <si>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</si>
  <si>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</si>
  <si>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</si>
  <si>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</si>
  <si>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</si>
  <si>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</si>
  <si>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</si>
  <si>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</si>
  <si>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</si>
  <si>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</si>
  <si>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</si>
  <si>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</si>
  <si>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</si>
  <si>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</si>
  <si>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</si>
  <si>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</si>
  <si>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</si>
  <si>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</si>
  <si>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</si>
  <si>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</si>
  <si>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</si>
  <si>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</si>
  <si>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</si>
  <si>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</si>
  <si>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</si>
  <si>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</si>
  <si>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</si>
  <si>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</si>
  <si>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</si>
  <si>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</si>
  <si>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</si>
  <si>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</si>
  <si>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</si>
  <si>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</si>
  <si>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</si>
  <si>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</si>
  <si>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</si>
  <si>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</si>
  <si>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</si>
  <si>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</si>
  <si>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</si>
  <si>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</si>
  <si>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</si>
  <si>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</si>
  <si>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</si>
  <si>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</si>
  <si>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</si>
  <si>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</si>
  <si>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</si>
  <si>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</si>
  <si>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</si>
  <si>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</si>
  <si>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</si>
  <si>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</si>
  <si>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</si>
  <si>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</si>
  <si>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</si>
  <si>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</si>
  <si>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</si>
  <si>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</si>
  <si>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</si>
  <si>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</si>
  <si>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</si>
  <si>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</si>
  <si>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</si>
  <si>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</si>
  <si>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</si>
  <si>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</si>
  <si>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</si>
  <si>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</si>
  <si>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</si>
  <si>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</si>
  <si>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</si>
  <si>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</si>
  <si>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</si>
  <si>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</si>
  <si>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</si>
  <si>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</si>
  <si>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</si>
  <si>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</si>
  <si>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</si>
  <si>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</si>
  <si>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</si>
  <si>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</si>
  <si>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</si>
  <si>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</si>
  <si>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</si>
  <si>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</si>
  <si>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</si>
  <si>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</si>
  <si>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</si>
  <si>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</si>
  <si>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</si>
  <si>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</si>
  <si>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</si>
  <si>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</si>
  <si>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</si>
  <si>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</si>
  <si>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</si>
  <si>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</si>
  <si>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</si>
  <si>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</si>
  <si>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</si>
  <si>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</si>
  <si>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</si>
  <si>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</si>
  <si>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</si>
  <si>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</si>
  <si>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</si>
  <si>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</si>
  <si>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</si>
  <si>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</si>
  <si>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</si>
  <si>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</si>
  <si>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</si>
  <si>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</si>
  <si>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</si>
  <si>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</si>
  <si>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</si>
  <si>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</si>
  <si>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</si>
  <si>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</si>
  <si>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</si>
  <si>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</si>
  <si>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</si>
  <si>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</si>
  <si>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</si>
  <si>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</si>
  <si>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</si>
  <si>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</si>
  <si>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</si>
  <si>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</si>
  <si>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</si>
  <si>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</si>
  <si>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</si>
  <si>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</si>
  <si>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</si>
  <si>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</si>
  <si>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</si>
  <si>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</si>
  <si>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</si>
  <si>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</si>
  <si>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</si>
  <si>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</si>
  <si>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</si>
  <si>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</si>
  <si>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</si>
  <si>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</si>
  <si>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</si>
  <si>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</si>
  <si>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</si>
  <si>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</si>
  <si>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</si>
  <si>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</si>
  <si>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</si>
  <si>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</si>
  <si>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</si>
  <si>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</si>
  <si>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</si>
  <si>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</si>
  <si>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</si>
  <si>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</si>
  <si>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</si>
  <si>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</si>
  <si>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</si>
  <si>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</si>
  <si>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</si>
  <si>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</si>
  <si>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</si>
  <si>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</si>
  <si>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</si>
  <si>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</si>
  <si>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</si>
  <si>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</si>
  <si>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</si>
  <si>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</si>
  <si>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</si>
  <si>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</si>
  <si>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</si>
  <si>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</si>
  <si>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</si>
  <si>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</si>
  <si>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</si>
  <si>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</si>
  <si>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</si>
  <si>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</si>
  <si>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</si>
  <si>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</si>
  <si>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</si>
  <si>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</si>
  <si>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</si>
  <si>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</si>
  <si>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</si>
  <si>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</si>
  <si>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</si>
  <si>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</si>
  <si>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</si>
  <si>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</si>
  <si>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</si>
  <si>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</si>
  <si>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</si>
  <si>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</si>
  <si>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</si>
  <si>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</si>
  <si>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</si>
  <si>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</si>
  <si>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</si>
  <si>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</si>
  <si>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</si>
  <si>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</si>
  <si>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</si>
  <si>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</si>
  <si>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</si>
  <si>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</si>
  <si>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</si>
  <si>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</si>
  <si>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</si>
  <si>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</si>
  <si>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</si>
  <si>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</si>
  <si>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</si>
  <si>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</si>
  <si>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</si>
  <si>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</si>
  <si>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</si>
  <si>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</si>
  <si>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</si>
  <si>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</si>
  <si>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</si>
  <si>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</si>
  <si>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</si>
  <si>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</si>
  <si>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</si>
  <si>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</si>
  <si>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</si>
  <si>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</si>
  <si>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</si>
  <si>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</si>
  <si>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</si>
  <si>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</si>
  <si>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</si>
  <si>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</si>
  <si>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</si>
  <si>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</si>
  <si>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</si>
  <si>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</si>
  <si>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</si>
  <si>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</si>
  <si>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</si>
  <si>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</si>
  <si>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</si>
  <si>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</si>
  <si>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</si>
  <si>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</si>
  <si>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</si>
  <si>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</si>
  <si>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</si>
  <si>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</si>
  <si>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</si>
  <si>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</si>
  <si>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</si>
  <si>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</si>
  <si>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</si>
  <si>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</si>
  <si>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</si>
  <si>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</si>
  <si>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</si>
  <si>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</si>
  <si>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</si>
  <si>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</si>
  <si>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</si>
  <si>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</si>
  <si>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</si>
  <si>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</si>
  <si>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</si>
  <si>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</si>
  <si>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</si>
  <si>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</si>
  <si>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</si>
  <si>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</si>
  <si>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</si>
  <si>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</si>
  <si>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</si>
  <si>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</si>
  <si>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</si>
  <si>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</si>
  <si>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</si>
  <si>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</si>
  <si>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</si>
  <si>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</si>
  <si>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</si>
  <si>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</si>
  <si>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</si>
  <si>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</si>
  <si>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</si>
  <si>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</si>
  <si>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</si>
  <si>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</si>
  <si>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</si>
  <si>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Ryan, Michael-</t>
  </si>
  <si>
    <t>CONGA CODES</t>
  </si>
  <si>
    <t>Roof 9</t>
  </si>
  <si>
    <t>Sunnova</t>
  </si>
  <si>
    <t>2019-04-338601</t>
  </si>
  <si>
    <t>100016263160</t>
  </si>
  <si>
    <t>W59132308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</si>
  <si>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</si>
  <si>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</si>
  <si>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</si>
  <si>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</si>
  <si>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</si>
  <si>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</si>
  <si>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</si>
  <si>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</si>
  <si>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</si>
  <si>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</si>
  <si>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</si>
  <si>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</si>
  <si>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</si>
  <si>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</si>
  <si>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</si>
  <si>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</si>
  <si>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</si>
  <si>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</si>
  <si>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</si>
  <si>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</si>
  <si>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</si>
  <si>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</si>
  <si>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</si>
  <si>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</si>
  <si>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</si>
  <si>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</si>
  <si>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</si>
  <si>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</si>
  <si>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</si>
  <si>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Roof 10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</si>
  <si>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</si>
  <si>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</si>
  <si>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</si>
  <si>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</si>
  <si>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</si>
  <si>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</si>
  <si>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</si>
  <si>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</si>
  <si>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</si>
  <si>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</si>
  <si>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</si>
  <si>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</si>
  <si>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</si>
  <si>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</si>
  <si>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</si>
  <si>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</si>
  <si>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</si>
  <si>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</si>
  <si>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</si>
  <si>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</si>
  <si>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</si>
  <si>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</si>
  <si>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</si>
  <si>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</si>
  <si>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</si>
  <si>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</si>
  <si>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</si>
  <si>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href="/0013200001C1E2JAAV" target="_blank"&gt;Bradley Beach Borough&lt;/a&gt;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</si>
  <si>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</si>
  <si>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</si>
  <si>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</si>
  <si>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</si>
  <si>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</si>
  <si>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</si>
  <si>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</si>
  <si>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</si>
  <si>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</si>
  <si>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</si>
  <si>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</si>
  <si>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</si>
  <si>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</si>
  <si>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</si>
  <si>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</si>
  <si>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</si>
  <si>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</si>
  <si>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</si>
  <si>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</si>
  <si>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</si>
  <si>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</si>
  <si>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</si>
  <si>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</si>
  <si>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</si>
  <si>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</si>
  <si>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</si>
  <si>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</si>
  <si>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</si>
  <si>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</si>
  <si>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307 Lareine Ave</t>
  </si>
  <si>
    <t>Bradley Beach, NJ 07702</t>
  </si>
  <si>
    <t>40.202864,-74.011474</t>
  </si>
  <si>
    <t>Roof 8</t>
  </si>
  <si>
    <t>Roof 7</t>
  </si>
  <si>
    <t>MAIN BREAKER AMPERAGE:</t>
  </si>
  <si>
    <t>MAIN BUSBAR AMPERAGE:</t>
  </si>
  <si>
    <t>NEC705.12</t>
  </si>
  <si>
    <t>IQ7 MICROINVERTERS</t>
  </si>
  <si>
    <t>IQ7PLUS MICROINVERTERS</t>
  </si>
  <si>
    <t>Roof 11</t>
  </si>
  <si>
    <t>Roof 12</t>
  </si>
  <si>
    <t>Roof 13</t>
  </si>
  <si>
    <t>Roof 14</t>
  </si>
  <si>
    <t>KTD</t>
  </si>
  <si>
    <t>LINE TAPS</t>
  </si>
  <si>
    <t>IN BASEMENT</t>
  </si>
  <si>
    <t>UNIRAC SMF (RAILLESS)</t>
  </si>
  <si>
    <t>SOLAR EDGE (HD WAVE)</t>
  </si>
  <si>
    <t>Service Disconnect</t>
  </si>
  <si>
    <t>Fused</t>
  </si>
  <si>
    <t>No P Meter</t>
  </si>
  <si>
    <t>IF NEEDED</t>
  </si>
  <si>
    <t>KB</t>
  </si>
  <si>
    <t>AS BUILT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</si>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</sst>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0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0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0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0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0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45" xfId="0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 wrapText="1"/>
      <protection hidden="1"/>
    </xf>
    <xf numFmtId="0" fontId="0" fillId="0" borderId="4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4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4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7" borderId="47" xfId="0" applyFont="1" applyFill="1" applyBorder="1" applyAlignment="1" applyProtection="1">
      <alignment horizontal="center"/>
      <protection hidden="1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tabSelected="1" zoomScale="110" zoomScaleNormal="110" workbookViewId="0">
      <selection activeCell="E19" sqref="E19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2" s="26" customFormat="1" ht="26.25" customHeight="1" x14ac:dyDescent="0.25">
      <c r="A1" s="242" t="str">
        <f>""</f>
        <v/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2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2" s="194" customFormat="1" ht="15.75" x14ac:dyDescent="0.25">
      <c r="A3" s="9" t="s">
        <v>384</v>
      </c>
      <c r="B3" s="5">
        <f>IF((CALCULATIONS!L2*1.35)/CALCULATIONS!$H$9=0,"",ROUNDDOWN(((CALCULATIONS!B30*15)/CALCULATIONS!$H$9),0))</f>
        <v>19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2" ht="15.75" x14ac:dyDescent="0.25">
      <c r="A4" s="9" t="s">
        <v>385</v>
      </c>
      <c r="B4" s="5">
        <f>IF((CALCULATIONS!L2*1.35)/CALCULATIONS!$H$9=0,"",ROUNDDOWN(((CALCULATIONS!L2*1.35)/CALCULATIONS!$H$9),0))</f>
        <v>42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2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2" ht="15.75" x14ac:dyDescent="0.25">
      <c r="A6" s="6" t="s">
        <v>14</v>
      </c>
      <c r="B6" s="18" t="s">
        <v>420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2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2" ht="16.5" customHeight="1" x14ac:dyDescent="0.25">
      <c r="A8" s="11" t="s">
        <v>388</v>
      </c>
      <c r="B8" s="196">
        <v>18</v>
      </c>
      <c r="C8" s="196"/>
      <c r="D8" s="196"/>
      <c r="E8" s="196"/>
      <c r="F8" s="196"/>
      <c r="H8" s="3" t="str">
        <f>IF(CALCULATIONS!I43="YES","CIRCUIT 2:","")</f>
        <v/>
      </c>
      <c r="I8" s="22"/>
      <c r="L8">
        <v>10</v>
      </c>
    </row>
    <row r="9" spans="1:12" ht="17.25" customHeight="1" x14ac:dyDescent="0.25">
      <c r="A9" s="11" t="s">
        <v>387</v>
      </c>
      <c r="B9" s="196">
        <v>17</v>
      </c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2" s="188" customFormat="1" ht="15.75" customHeight="1" x14ac:dyDescent="0.25">
      <c r="A10" s="11" t="s">
        <v>382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2" ht="15.75" x14ac:dyDescent="0.25">
      <c r="A11" s="9" t="s">
        <v>124</v>
      </c>
      <c r="B11" s="53">
        <f>CALCULATIONS!B12</f>
        <v>35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2" ht="21" x14ac:dyDescent="0.25">
      <c r="A12" s="237" t="str">
        <f>IF(A33="","","↓ CHECK ALERT WINDOW! ↓")</f>
        <v/>
      </c>
      <c r="B12" s="67" t="str">
        <f>IF(B6="","",ROUNDUP(((SUM(CALCULATIONS!B7:B11)*CALCULATIONS!H9)*100)/CALCULATIONS!L2,0)&amp;"%")</f>
        <v>111%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3" t="str">
        <f>IF(A33="","","↓ CHECK ALERT WINDOW! ↓")</f>
        <v/>
      </c>
      <c r="H12" s="243"/>
      <c r="I12" s="243"/>
    </row>
    <row r="13" spans="1:12" ht="15.75" x14ac:dyDescent="0.25">
      <c r="A13" s="6" t="s">
        <v>20</v>
      </c>
      <c r="B13" s="22" t="s">
        <v>358</v>
      </c>
      <c r="C13" s="4"/>
      <c r="D13" s="8" t="s">
        <v>84</v>
      </c>
      <c r="E13" s="115" t="s">
        <v>467</v>
      </c>
      <c r="F13" s="55" t="str">
        <f>IF(B20="","",IF((B21*1.2-B20)&gt;=CALCULATIONS!B35,"USE BREAKER *IF THERE'S SPACE*","USE LINE TAPS"))</f>
        <v>USE LINE TAPS</v>
      </c>
    </row>
    <row r="14" spans="1:12" ht="15.75" x14ac:dyDescent="0.25">
      <c r="A14" s="6" t="s">
        <v>379</v>
      </c>
      <c r="B14" s="226" t="s">
        <v>452</v>
      </c>
      <c r="C14" s="179"/>
      <c r="D14" s="8" t="s">
        <v>227</v>
      </c>
      <c r="E14" s="178" t="s">
        <v>366</v>
      </c>
      <c r="F14" s="55" t="str">
        <f>IF(E14="NY"," IF LI, 1” CONDUITS!",IF(E14="CT","   1” CONDUIT!",""))</f>
        <v/>
      </c>
      <c r="I14" s="180"/>
    </row>
    <row r="15" spans="1:12" s="175" customFormat="1" ht="15.75" customHeight="1" x14ac:dyDescent="0.25">
      <c r="A15" s="6" t="s">
        <v>380</v>
      </c>
      <c r="B15" s="226" t="s">
        <v>453</v>
      </c>
      <c r="C15" s="179"/>
      <c r="D15" s="8"/>
      <c r="E15" s="178"/>
      <c r="F15" s="55"/>
      <c r="I15" s="180"/>
    </row>
    <row r="16" spans="1:12" s="175" customFormat="1" ht="16.5" customHeight="1" x14ac:dyDescent="0.25">
      <c r="A16" s="181" t="s">
        <v>381</v>
      </c>
      <c r="B16" s="226" t="s">
        <v>454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43586</v>
      </c>
      <c r="C17" s="4"/>
      <c r="D17" s="8" t="s">
        <v>108</v>
      </c>
      <c r="E17" s="115" t="s">
        <v>268</v>
      </c>
      <c r="F17" s="4"/>
      <c r="H17" s="74"/>
      <c r="I17" s="180" t="s">
        <v>423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6">
        <v>12</v>
      </c>
      <c r="F18" s="4"/>
      <c r="H18" s="74" t="s">
        <v>156</v>
      </c>
      <c r="I18" s="75">
        <v>35</v>
      </c>
      <c r="J18" s="71" t="s">
        <v>157</v>
      </c>
    </row>
    <row r="19" spans="1:10" ht="15.75" x14ac:dyDescent="0.25">
      <c r="A19" s="6" t="s">
        <v>22</v>
      </c>
      <c r="B19" s="22" t="s">
        <v>362</v>
      </c>
      <c r="C19" s="4"/>
      <c r="D19" s="47" t="s">
        <v>176</v>
      </c>
      <c r="E19" s="21" t="s">
        <v>329</v>
      </c>
      <c r="F19" s="4"/>
      <c r="H19" s="74"/>
      <c r="I19" s="75"/>
      <c r="J19" s="72" t="s">
        <v>158</v>
      </c>
    </row>
    <row r="20" spans="1:10" ht="15.75" x14ac:dyDescent="0.25">
      <c r="A20" s="6" t="s">
        <v>457</v>
      </c>
      <c r="B20" s="23">
        <v>150</v>
      </c>
      <c r="C20" s="4"/>
      <c r="D20" s="47" t="s">
        <v>184</v>
      </c>
      <c r="E20" s="89" t="s">
        <v>194</v>
      </c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458</v>
      </c>
      <c r="B21" s="23">
        <f>B20</f>
        <v>150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JCP&amp;L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363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364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442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">
        <v>466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5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421</v>
      </c>
      <c r="B28" s="226" t="str">
        <f>CALCULATIONS!R7</f>
        <v>Bradley Beach Borough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223" t="s">
        <v>141</v>
      </c>
      <c r="D29" s="21"/>
      <c r="E29" s="88"/>
      <c r="F29" s="65"/>
      <c r="H29" s="74" t="s">
        <v>171</v>
      </c>
      <c r="I29" s="54" t="str">
        <f>RIGHT(B14,LEN(B14)-FIND("|",SUBSTITUTE(B14," ","|",1)))</f>
        <v>Lareine Ave</v>
      </c>
    </row>
    <row r="30" spans="1:10" ht="15.75" x14ac:dyDescent="0.25">
      <c r="A30" s="7" t="s">
        <v>31</v>
      </c>
      <c r="B30" s="22" t="s">
        <v>475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I AM THE HYPE!</v>
      </c>
      <c r="D30" s="115" t="s">
        <v>408</v>
      </c>
      <c r="E30" s="88" t="s">
        <v>476</v>
      </c>
      <c r="F30" s="65">
        <v>43663</v>
      </c>
      <c r="H30" s="74" t="s">
        <v>172</v>
      </c>
      <c r="I30" s="54" t="s">
        <v>468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43663</v>
      </c>
      <c r="C31" s="54"/>
      <c r="D31" s="42" t="s">
        <v>141</v>
      </c>
      <c r="E31" s="42" t="s">
        <v>142</v>
      </c>
      <c r="F31" s="57">
        <f>IF(B17="","",B17)</f>
        <v>43586</v>
      </c>
      <c r="H31" s="227" t="s">
        <v>424</v>
      </c>
      <c r="I31" s="54" t="s">
        <v>425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0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1"/>
      <c r="E38" s="241"/>
    </row>
  </sheetData>
  <sheetProtection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3" workbookViewId="0">
      <selection activeCell="B44" sqref="B44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60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150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60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(IF(B16=3,6,IF(AND(B19&gt;=10,CALCULATIONS!B37="YES"),8,10)))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42</v>
      </c>
    </row>
    <row r="24" spans="1:2" x14ac:dyDescent="0.25">
      <c r="A24" s="28" t="s">
        <v>133</v>
      </c>
      <c r="B24" s="83">
        <f>(B23*1.25)</f>
        <v>52.5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6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75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35</v>
      </c>
    </row>
    <row r="30" spans="1:2" x14ac:dyDescent="0.25">
      <c r="A30" s="28" t="s">
        <v>166</v>
      </c>
      <c r="B30" s="27">
        <f>(FORM!I19)</f>
        <v>0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LAREINE AVE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438</v>
      </c>
      <c r="B41" s="27">
        <f>FORM!B21</f>
        <v>150</v>
      </c>
    </row>
    <row r="42" spans="1:2" x14ac:dyDescent="0.25">
      <c r="A42" s="46" t="s">
        <v>439</v>
      </c>
      <c r="B42" s="27" t="str">
        <f>IF(B2&lt;=60,"D222N",IF(B2&lt;=100,"D323N",IF(B2=200,"D224N","")))</f>
        <v>D222N</v>
      </c>
    </row>
    <row r="43" spans="1:2" x14ac:dyDescent="0.25">
      <c r="A43" s="46" t="s">
        <v>459</v>
      </c>
      <c r="B43" s="27" t="str">
        <f>IF(OR(FORM!E14="CT",FORM!E14="MA"),"B","D")</f>
        <v>D</v>
      </c>
    </row>
  </sheetData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4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64.842499999999987</v>
      </c>
      <c r="E4" s="298" t="s">
        <v>228</v>
      </c>
      <c r="F4" s="298"/>
      <c r="G4" s="299"/>
      <c r="H4" s="4"/>
      <c r="I4" s="125">
        <f>ROUND((D4/48),2)</f>
        <v>1.35</v>
      </c>
      <c r="J4" s="298" t="s">
        <v>229</v>
      </c>
      <c r="K4" s="298"/>
      <c r="L4" s="298"/>
      <c r="M4" s="299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2.0299999999999998</v>
      </c>
      <c r="J5" s="298" t="s">
        <v>230</v>
      </c>
      <c r="K5" s="298"/>
      <c r="L5" s="298"/>
      <c r="M5" s="299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2.7</v>
      </c>
      <c r="J6" s="298" t="s">
        <v>231</v>
      </c>
      <c r="K6" s="298"/>
      <c r="L6" s="298"/>
      <c r="M6" s="299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294" t="s">
        <v>232</v>
      </c>
      <c r="E9" s="295"/>
      <c r="F9" s="129"/>
      <c r="G9" s="130">
        <f>CALCULATIONS!D34</f>
        <v>11.025</v>
      </c>
      <c r="H9" s="131"/>
      <c r="I9" s="132">
        <f>(G9*1000)/M28+2</f>
        <v>54.919999999999995</v>
      </c>
      <c r="J9" s="296" t="s">
        <v>233</v>
      </c>
      <c r="K9" s="296"/>
      <c r="L9" s="29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294" t="s">
        <v>234</v>
      </c>
      <c r="E10" s="295"/>
      <c r="F10" s="129"/>
      <c r="G10" s="130">
        <f>IF(FORM!I18&gt;19,2,1)</f>
        <v>2</v>
      </c>
      <c r="H10" s="131"/>
      <c r="I10" s="132">
        <f>IF(G10&gt;1,G9*M29,0)</f>
        <v>2.2050000000000001</v>
      </c>
      <c r="J10" s="296" t="s">
        <v>235</v>
      </c>
      <c r="K10" s="296"/>
      <c r="L10" s="29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294" t="s">
        <v>236</v>
      </c>
      <c r="E11" s="295"/>
      <c r="F11" s="129"/>
      <c r="G11" s="130">
        <f>LARGE(R9:R12,1)</f>
        <v>0</v>
      </c>
      <c r="H11" s="131"/>
      <c r="I11" s="132">
        <f>IF(G11&gt;35,(M30*G9),0)</f>
        <v>0</v>
      </c>
      <c r="J11" s="296" t="s">
        <v>235</v>
      </c>
      <c r="K11" s="296"/>
      <c r="L11" s="29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294" t="s">
        <v>237</v>
      </c>
      <c r="E12" s="295"/>
      <c r="F12" s="129"/>
      <c r="G12" s="130"/>
      <c r="H12" s="131"/>
      <c r="I12" s="132">
        <f>IF(FORM!E17="YES",0,M31*G9)</f>
        <v>0</v>
      </c>
      <c r="J12" s="296" t="s">
        <v>235</v>
      </c>
      <c r="K12" s="296"/>
      <c r="L12" s="29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294" t="s">
        <v>238</v>
      </c>
      <c r="E13" s="295"/>
      <c r="F13" s="129"/>
      <c r="G13" s="130" t="s">
        <v>239</v>
      </c>
      <c r="H13" s="131"/>
      <c r="I13" s="132">
        <f>IF(G13="attic",M32*G9,0)</f>
        <v>2.2050000000000001</v>
      </c>
      <c r="J13" s="296" t="s">
        <v>235</v>
      </c>
      <c r="K13" s="296"/>
      <c r="L13" s="29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294" t="s">
        <v>240</v>
      </c>
      <c r="E14" s="295"/>
      <c r="F14" s="129"/>
      <c r="G14" s="130">
        <f>FORM!B27</f>
        <v>5</v>
      </c>
      <c r="H14" s="131"/>
      <c r="I14" s="132">
        <f>IF(G14&gt;1,(G14*(M33*G9)),0)</f>
        <v>5.5125000000000002</v>
      </c>
      <c r="J14" s="296" t="s">
        <v>235</v>
      </c>
      <c r="K14" s="296"/>
      <c r="L14" s="29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294" t="s">
        <v>241</v>
      </c>
      <c r="E15" s="295"/>
      <c r="F15" s="129"/>
      <c r="G15" s="130">
        <v>0</v>
      </c>
      <c r="H15" s="131"/>
      <c r="I15" s="132">
        <f>G15*(M34*G9)</f>
        <v>0</v>
      </c>
      <c r="J15" s="296" t="s">
        <v>235</v>
      </c>
      <c r="K15" s="296"/>
      <c r="L15" s="29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294" t="s">
        <v>242</v>
      </c>
      <c r="E16" s="295"/>
      <c r="F16" s="129"/>
      <c r="G16" s="130"/>
      <c r="H16" s="131"/>
      <c r="I16" s="132">
        <f>IF(FORM!E26="NO",M35*G9,0)</f>
        <v>0</v>
      </c>
      <c r="J16" s="296" t="s">
        <v>235</v>
      </c>
      <c r="K16" s="296"/>
      <c r="L16" s="29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294" t="s">
        <v>243</v>
      </c>
      <c r="E17" s="295"/>
      <c r="F17" s="133"/>
      <c r="G17" s="130">
        <f>FORM!E21</f>
        <v>0</v>
      </c>
      <c r="H17" s="4"/>
      <c r="I17" s="134">
        <f>M36*G17</f>
        <v>0</v>
      </c>
      <c r="J17" s="296" t="s">
        <v>235</v>
      </c>
      <c r="K17" s="296"/>
      <c r="L17" s="29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J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3" t="s">
        <v>141</v>
      </c>
      <c r="B1" s="303"/>
      <c r="C1" s="303"/>
      <c r="D1" s="303"/>
      <c r="E1" s="303" t="s">
        <v>399</v>
      </c>
      <c r="F1" s="303"/>
      <c r="G1" s="303"/>
      <c r="H1" s="303"/>
      <c r="I1" s="303" t="s">
        <v>400</v>
      </c>
      <c r="J1" s="303"/>
      <c r="K1" s="303"/>
      <c r="L1" s="303"/>
      <c r="M1" s="303" t="s">
        <v>401</v>
      </c>
      <c r="N1" s="303"/>
      <c r="O1" s="303"/>
      <c r="P1" s="303"/>
      <c r="Q1" s="304" t="s">
        <v>402</v>
      </c>
      <c r="R1" s="305"/>
      <c r="S1" s="305"/>
      <c r="T1" s="306"/>
      <c r="U1" s="303" t="s">
        <v>403</v>
      </c>
      <c r="V1" s="303"/>
      <c r="W1" s="303"/>
      <c r="X1" s="303"/>
      <c r="Y1" s="303" t="s">
        <v>404</v>
      </c>
      <c r="Z1" s="303"/>
      <c r="AA1" s="303"/>
      <c r="AB1" s="303"/>
      <c r="AC1" s="303" t="s">
        <v>405</v>
      </c>
      <c r="AD1" s="303"/>
      <c r="AE1" s="303"/>
      <c r="AF1" s="303"/>
      <c r="AG1" s="304" t="s">
        <v>406</v>
      </c>
      <c r="AH1" s="305"/>
      <c r="AI1" s="305"/>
      <c r="AJ1" s="306"/>
      <c r="AK1" s="304" t="s">
        <v>407</v>
      </c>
      <c r="AL1" s="305"/>
      <c r="AM1" s="305"/>
      <c r="AN1" s="306"/>
      <c r="AO1" s="303" t="s">
        <v>408</v>
      </c>
      <c r="AP1" s="303"/>
      <c r="AQ1" s="303"/>
      <c r="AR1" s="303"/>
      <c r="AS1" s="303" t="s">
        <v>409</v>
      </c>
      <c r="AT1" s="303"/>
      <c r="AU1" s="303"/>
      <c r="AV1" s="303"/>
      <c r="AW1" s="303" t="s">
        <v>410</v>
      </c>
      <c r="AX1" s="303"/>
      <c r="AY1" s="303"/>
      <c r="AZ1" s="303"/>
      <c r="BA1" s="303" t="s">
        <v>411</v>
      </c>
      <c r="BB1" s="303"/>
      <c r="BC1" s="303"/>
      <c r="BD1" s="303"/>
      <c r="BE1" s="303" t="s">
        <v>412</v>
      </c>
      <c r="BF1" s="303"/>
      <c r="BG1" s="303"/>
      <c r="BH1" s="303"/>
    </row>
    <row r="2" spans="1:60" ht="16.5" thickTop="1" thickBot="1" x14ac:dyDescent="0.3">
      <c r="A2" s="212" t="s">
        <v>413</v>
      </c>
      <c r="B2" s="213" t="s">
        <v>414</v>
      </c>
      <c r="C2" s="213" t="s">
        <v>415</v>
      </c>
      <c r="D2" s="214" t="s">
        <v>416</v>
      </c>
      <c r="E2" s="215" t="s">
        <v>413</v>
      </c>
      <c r="F2" s="213" t="s">
        <v>414</v>
      </c>
      <c r="G2" s="213" t="s">
        <v>415</v>
      </c>
      <c r="H2" s="214" t="s">
        <v>416</v>
      </c>
      <c r="I2" s="212" t="s">
        <v>413</v>
      </c>
      <c r="J2" s="213" t="s">
        <v>414</v>
      </c>
      <c r="K2" s="213" t="s">
        <v>415</v>
      </c>
      <c r="L2" s="214" t="s">
        <v>416</v>
      </c>
      <c r="M2" s="212" t="s">
        <v>413</v>
      </c>
      <c r="N2" s="213" t="s">
        <v>414</v>
      </c>
      <c r="O2" s="213" t="s">
        <v>415</v>
      </c>
      <c r="P2" s="214" t="s">
        <v>416</v>
      </c>
      <c r="Q2" s="212" t="s">
        <v>413</v>
      </c>
      <c r="R2" s="213" t="s">
        <v>414</v>
      </c>
      <c r="S2" s="213" t="s">
        <v>415</v>
      </c>
      <c r="T2" s="214" t="s">
        <v>416</v>
      </c>
      <c r="U2" s="212" t="s">
        <v>413</v>
      </c>
      <c r="V2" s="213" t="s">
        <v>414</v>
      </c>
      <c r="W2" s="213" t="s">
        <v>415</v>
      </c>
      <c r="X2" s="214" t="s">
        <v>416</v>
      </c>
      <c r="Y2" s="215" t="s">
        <v>413</v>
      </c>
      <c r="Z2" s="213" t="s">
        <v>414</v>
      </c>
      <c r="AA2" s="213" t="s">
        <v>415</v>
      </c>
      <c r="AB2" s="214" t="s">
        <v>416</v>
      </c>
      <c r="AC2" s="212" t="s">
        <v>413</v>
      </c>
      <c r="AD2" s="213" t="s">
        <v>414</v>
      </c>
      <c r="AE2" s="213" t="s">
        <v>415</v>
      </c>
      <c r="AF2" s="214" t="s">
        <v>416</v>
      </c>
      <c r="AG2" s="212" t="s">
        <v>413</v>
      </c>
      <c r="AH2" s="213" t="s">
        <v>414</v>
      </c>
      <c r="AI2" s="213" t="s">
        <v>415</v>
      </c>
      <c r="AJ2" s="214" t="s">
        <v>416</v>
      </c>
      <c r="AK2" s="212" t="s">
        <v>413</v>
      </c>
      <c r="AL2" s="213" t="s">
        <v>414</v>
      </c>
      <c r="AM2" s="213" t="s">
        <v>415</v>
      </c>
      <c r="AN2" s="214" t="s">
        <v>416</v>
      </c>
      <c r="AO2" s="212" t="s">
        <v>413</v>
      </c>
      <c r="AP2" s="213" t="s">
        <v>414</v>
      </c>
      <c r="AQ2" s="213" t="s">
        <v>415</v>
      </c>
      <c r="AR2" s="214" t="s">
        <v>416</v>
      </c>
      <c r="AS2" s="212" t="s">
        <v>413</v>
      </c>
      <c r="AT2" s="213" t="s">
        <v>414</v>
      </c>
      <c r="AU2" s="213" t="s">
        <v>415</v>
      </c>
      <c r="AV2" s="214" t="s">
        <v>416</v>
      </c>
      <c r="AW2" s="212" t="s">
        <v>413</v>
      </c>
      <c r="AX2" s="213" t="s">
        <v>414</v>
      </c>
      <c r="AY2" s="213" t="s">
        <v>415</v>
      </c>
      <c r="AZ2" s="214" t="s">
        <v>416</v>
      </c>
      <c r="BA2" s="212" t="s">
        <v>413</v>
      </c>
      <c r="BB2" s="213" t="s">
        <v>414</v>
      </c>
      <c r="BC2" s="213" t="s">
        <v>415</v>
      </c>
      <c r="BD2" s="214" t="s">
        <v>416</v>
      </c>
      <c r="BE2" s="212" t="s">
        <v>413</v>
      </c>
      <c r="BF2" s="213" t="s">
        <v>414</v>
      </c>
      <c r="BG2" s="213" t="s">
        <v>415</v>
      </c>
      <c r="BH2" s="214" t="s">
        <v>416</v>
      </c>
    </row>
    <row r="3" spans="1:60" ht="15.75" thickTop="1" x14ac:dyDescent="0.25">
      <c r="A3" s="216" t="s">
        <v>398</v>
      </c>
      <c r="B3" s="217">
        <v>12</v>
      </c>
      <c r="C3" s="217">
        <v>32</v>
      </c>
      <c r="D3" s="218">
        <v>192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398</v>
      </c>
      <c r="AP3" s="217">
        <v>12</v>
      </c>
      <c r="AQ3" s="217">
        <v>32</v>
      </c>
      <c r="AR3" s="220">
        <v>192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375</v>
      </c>
      <c r="B4" s="221">
        <v>8</v>
      </c>
      <c r="C4" s="221">
        <v>32</v>
      </c>
      <c r="D4" s="222">
        <v>12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375</v>
      </c>
      <c r="AP4" s="221">
        <v>8</v>
      </c>
      <c r="AQ4" s="221">
        <v>33</v>
      </c>
      <c r="AR4" s="222">
        <v>12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376</v>
      </c>
      <c r="B5" s="221">
        <v>0</v>
      </c>
      <c r="C5" s="221">
        <v>27</v>
      </c>
      <c r="D5" s="222">
        <v>192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376</v>
      </c>
      <c r="AP5" s="221">
        <v>0</v>
      </c>
      <c r="AQ5" s="221">
        <v>27</v>
      </c>
      <c r="AR5" s="222">
        <v>192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396</v>
      </c>
      <c r="B6" s="221">
        <v>0</v>
      </c>
      <c r="C6" s="221">
        <v>18</v>
      </c>
      <c r="D6" s="222">
        <v>12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396</v>
      </c>
      <c r="AP6" s="221">
        <v>0</v>
      </c>
      <c r="AQ6" s="221">
        <v>18</v>
      </c>
      <c r="AR6" s="222">
        <v>12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417</v>
      </c>
      <c r="B7" s="221">
        <v>0</v>
      </c>
      <c r="C7" s="221">
        <v>9</v>
      </c>
      <c r="D7" s="222">
        <v>12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417</v>
      </c>
      <c r="AP7" s="221">
        <v>0</v>
      </c>
      <c r="AQ7" s="221">
        <v>9</v>
      </c>
      <c r="AR7" s="222">
        <v>12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374</v>
      </c>
      <c r="B8" s="221">
        <v>0</v>
      </c>
      <c r="C8" s="221">
        <v>27</v>
      </c>
      <c r="D8" s="222">
        <v>12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374</v>
      </c>
      <c r="AP8" s="221">
        <v>0</v>
      </c>
      <c r="AQ8" s="221">
        <v>27</v>
      </c>
      <c r="AR8" s="222">
        <v>12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456</v>
      </c>
      <c r="B9" s="221">
        <v>5</v>
      </c>
      <c r="C9" s="221">
        <v>37</v>
      </c>
      <c r="D9" s="222">
        <v>102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456</v>
      </c>
      <c r="AP9" s="221">
        <v>5</v>
      </c>
      <c r="AQ9" s="221">
        <v>39</v>
      </c>
      <c r="AR9" s="222">
        <v>102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455</v>
      </c>
      <c r="B10" s="221">
        <v>5</v>
      </c>
      <c r="C10" s="221">
        <v>37</v>
      </c>
      <c r="D10" s="222">
        <v>282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455</v>
      </c>
      <c r="AP10" s="221">
        <v>5</v>
      </c>
      <c r="AQ10" s="221">
        <v>37</v>
      </c>
      <c r="AR10" s="222">
        <v>282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360</v>
      </c>
      <c r="B11" s="221">
        <v>5</v>
      </c>
      <c r="C11" s="221">
        <v>37</v>
      </c>
      <c r="D11" s="222">
        <v>282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 t="s">
        <v>360</v>
      </c>
      <c r="AP11" s="221">
        <v>5</v>
      </c>
      <c r="AQ11" s="221">
        <v>39</v>
      </c>
      <c r="AR11" s="222">
        <v>282</v>
      </c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 t="s">
        <v>394</v>
      </c>
      <c r="B12" s="221">
        <v>0</v>
      </c>
      <c r="C12" s="221">
        <v>37</v>
      </c>
      <c r="D12" s="222">
        <v>102</v>
      </c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 t="s">
        <v>394</v>
      </c>
      <c r="AP12" s="221">
        <v>0</v>
      </c>
      <c r="AQ12" s="221">
        <v>37</v>
      </c>
      <c r="AR12" s="222">
        <v>102</v>
      </c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 t="s">
        <v>462</v>
      </c>
      <c r="B13" s="221">
        <v>0</v>
      </c>
      <c r="C13" s="221">
        <v>18</v>
      </c>
      <c r="D13" s="222">
        <v>102</v>
      </c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 t="s">
        <v>462</v>
      </c>
      <c r="AP13" s="221">
        <v>0</v>
      </c>
      <c r="AQ13" s="221">
        <v>18</v>
      </c>
      <c r="AR13" s="222">
        <v>102</v>
      </c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 t="s">
        <v>463</v>
      </c>
      <c r="B14" s="221">
        <v>0</v>
      </c>
      <c r="C14" s="221">
        <v>27</v>
      </c>
      <c r="D14" s="222">
        <v>102</v>
      </c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 t="s">
        <v>463</v>
      </c>
      <c r="AP14" s="221">
        <v>0</v>
      </c>
      <c r="AQ14" s="221">
        <v>27</v>
      </c>
      <c r="AR14" s="222">
        <v>102</v>
      </c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 t="s">
        <v>464</v>
      </c>
      <c r="B15" s="221">
        <v>0</v>
      </c>
      <c r="C15" s="221">
        <v>27</v>
      </c>
      <c r="D15" s="222">
        <v>282</v>
      </c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 t="s">
        <v>464</v>
      </c>
      <c r="AP15" s="221">
        <v>0</v>
      </c>
      <c r="AQ15" s="221">
        <v>27</v>
      </c>
      <c r="AR15" s="222">
        <v>282</v>
      </c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 t="s">
        <v>465</v>
      </c>
      <c r="B16" s="221">
        <v>0</v>
      </c>
      <c r="C16" s="221">
        <v>9</v>
      </c>
      <c r="D16" s="222">
        <v>282</v>
      </c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 t="s">
        <v>465</v>
      </c>
      <c r="AP16" s="221">
        <v>0</v>
      </c>
      <c r="AQ16" s="221">
        <v>9</v>
      </c>
      <c r="AR16" s="222">
        <v>282</v>
      </c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8"/>
      <c r="B43" s="229"/>
      <c r="C43" s="229"/>
      <c r="D43" s="230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300" t="s">
        <v>437</v>
      </c>
      <c r="B44" s="301"/>
      <c r="C44" s="301"/>
      <c r="D44" s="302"/>
      <c r="E44" s="300" t="s">
        <v>437</v>
      </c>
      <c r="F44" s="301"/>
      <c r="G44" s="301"/>
      <c r="H44" s="302"/>
      <c r="I44" s="300" t="s">
        <v>437</v>
      </c>
      <c r="J44" s="301"/>
      <c r="K44" s="301"/>
      <c r="L44" s="302"/>
      <c r="M44" s="300" t="s">
        <v>437</v>
      </c>
      <c r="N44" s="301"/>
      <c r="O44" s="301"/>
      <c r="P44" s="302"/>
      <c r="Q44" s="300" t="s">
        <v>437</v>
      </c>
      <c r="R44" s="301"/>
      <c r="S44" s="301"/>
      <c r="T44" s="302"/>
      <c r="U44" s="300" t="s">
        <v>437</v>
      </c>
      <c r="V44" s="301"/>
      <c r="W44" s="301"/>
      <c r="X44" s="302"/>
      <c r="Y44" s="300" t="s">
        <v>437</v>
      </c>
      <c r="Z44" s="301"/>
      <c r="AA44" s="301"/>
      <c r="AB44" s="302"/>
      <c r="AC44" s="300" t="s">
        <v>437</v>
      </c>
      <c r="AD44" s="301"/>
      <c r="AE44" s="301"/>
      <c r="AF44" s="302"/>
      <c r="AG44" s="300" t="s">
        <v>437</v>
      </c>
      <c r="AH44" s="301"/>
      <c r="AI44" s="301"/>
      <c r="AJ44" s="302"/>
      <c r="AK44" s="300" t="s">
        <v>437</v>
      </c>
      <c r="AL44" s="301"/>
      <c r="AM44" s="301"/>
      <c r="AN44" s="302"/>
      <c r="AO44" s="300" t="s">
        <v>437</v>
      </c>
      <c r="AP44" s="301"/>
      <c r="AQ44" s="301"/>
      <c r="AR44" s="302"/>
      <c r="AS44" s="300" t="s">
        <v>437</v>
      </c>
      <c r="AT44" s="301"/>
      <c r="AU44" s="301"/>
      <c r="AV44" s="302"/>
      <c r="AW44" s="300" t="s">
        <v>437</v>
      </c>
      <c r="AX44" s="301"/>
      <c r="AY44" s="301"/>
      <c r="AZ44" s="302"/>
      <c r="BA44" s="300" t="s">
        <v>437</v>
      </c>
      <c r="BB44" s="301"/>
      <c r="BC44" s="301"/>
      <c r="BD44" s="302"/>
      <c r="BE44" s="300" t="s">
        <v>437</v>
      </c>
      <c r="BF44" s="301"/>
      <c r="BG44" s="301"/>
      <c r="BH44" s="302"/>
    </row>
    <row r="45" spans="1:60" x14ac:dyDescent="0.25">
      <c r="A45" s="216"/>
      <c r="B45" s="216"/>
      <c r="C45" s="216"/>
      <c r="D45" s="235"/>
      <c r="E45" s="219"/>
      <c r="F45" s="216"/>
      <c r="G45" s="216"/>
      <c r="H45" s="235"/>
      <c r="I45" s="219"/>
      <c r="J45" s="216"/>
      <c r="K45" s="216"/>
      <c r="L45" s="235"/>
      <c r="M45" s="219"/>
      <c r="N45" s="216"/>
      <c r="O45" s="216"/>
      <c r="P45" s="235"/>
      <c r="Q45" s="219"/>
      <c r="R45" s="216"/>
      <c r="S45" s="216"/>
      <c r="T45" s="235"/>
      <c r="U45" s="219"/>
      <c r="V45" s="216"/>
      <c r="W45" s="216"/>
      <c r="X45" s="235"/>
      <c r="Y45" s="219"/>
      <c r="Z45" s="216"/>
      <c r="AA45" s="216"/>
      <c r="AB45" s="235"/>
      <c r="AC45" s="219"/>
      <c r="AD45" s="216"/>
      <c r="AE45" s="216"/>
      <c r="AF45" s="235"/>
      <c r="AG45" s="219"/>
      <c r="AH45" s="216"/>
      <c r="AI45" s="216"/>
      <c r="AJ45" s="235"/>
      <c r="AK45" s="219"/>
      <c r="AL45" s="216"/>
      <c r="AM45" s="216"/>
      <c r="AN45" s="235"/>
      <c r="AO45" s="219"/>
      <c r="AP45" s="216"/>
      <c r="AQ45" s="216"/>
      <c r="AR45" s="235"/>
      <c r="AS45" s="219"/>
      <c r="AT45" s="216"/>
      <c r="AU45" s="216"/>
      <c r="AV45" s="235"/>
      <c r="AW45" s="219"/>
      <c r="AX45" s="216"/>
      <c r="AY45" s="216"/>
      <c r="AZ45" s="235"/>
      <c r="BA45" s="219"/>
      <c r="BB45" s="216"/>
      <c r="BC45" s="216"/>
      <c r="BD45" s="235"/>
      <c r="BE45" s="219"/>
      <c r="BF45" s="216"/>
      <c r="BG45" s="216"/>
      <c r="BH45" s="235"/>
    </row>
    <row r="46" spans="1:60" x14ac:dyDescent="0.25">
      <c r="A46" s="231" t="s">
        <v>426</v>
      </c>
      <c r="B46" s="231" t="s">
        <v>469</v>
      </c>
      <c r="C46" s="231"/>
      <c r="D46" s="177"/>
      <c r="E46" s="233" t="s">
        <v>426</v>
      </c>
      <c r="F46" s="231"/>
      <c r="G46" s="231"/>
      <c r="H46" s="177"/>
      <c r="I46" s="233" t="s">
        <v>426</v>
      </c>
      <c r="J46" s="231"/>
      <c r="K46" s="231"/>
      <c r="L46" s="177"/>
      <c r="M46" s="233" t="s">
        <v>426</v>
      </c>
      <c r="N46" s="231"/>
      <c r="O46" s="231"/>
      <c r="P46" s="177"/>
      <c r="Q46" s="233" t="s">
        <v>426</v>
      </c>
      <c r="R46" s="231"/>
      <c r="S46" s="231"/>
      <c r="T46" s="177"/>
      <c r="U46" s="233" t="s">
        <v>426</v>
      </c>
      <c r="V46" s="231"/>
      <c r="W46" s="231"/>
      <c r="X46" s="177"/>
      <c r="Y46" s="233" t="s">
        <v>426</v>
      </c>
      <c r="Z46" s="231"/>
      <c r="AA46" s="231"/>
      <c r="AB46" s="177"/>
      <c r="AC46" s="233" t="s">
        <v>426</v>
      </c>
      <c r="AD46" s="231"/>
      <c r="AE46" s="231"/>
      <c r="AF46" s="177"/>
      <c r="AG46" s="233" t="s">
        <v>426</v>
      </c>
      <c r="AH46" s="231"/>
      <c r="AI46" s="231"/>
      <c r="AJ46" s="177"/>
      <c r="AK46" s="233" t="s">
        <v>426</v>
      </c>
      <c r="AL46" s="231"/>
      <c r="AM46" s="231"/>
      <c r="AN46" s="177"/>
      <c r="AO46" s="233" t="s">
        <v>426</v>
      </c>
      <c r="AP46" s="231" t="s">
        <v>469</v>
      </c>
      <c r="AQ46" s="231"/>
      <c r="AR46" s="177"/>
      <c r="AS46" s="233" t="s">
        <v>426</v>
      </c>
      <c r="AT46" s="231"/>
      <c r="AU46" s="231"/>
      <c r="AV46" s="177"/>
      <c r="AW46" s="233" t="s">
        <v>426</v>
      </c>
      <c r="AX46" s="231"/>
      <c r="AY46" s="231"/>
      <c r="AZ46" s="177"/>
      <c r="BA46" s="233" t="s">
        <v>426</v>
      </c>
      <c r="BB46" s="231"/>
      <c r="BC46" s="231"/>
      <c r="BD46" s="177"/>
      <c r="BE46" s="233" t="s">
        <v>426</v>
      </c>
      <c r="BF46" s="231"/>
      <c r="BG46" s="231"/>
      <c r="BH46" s="177"/>
    </row>
    <row r="47" spans="1:60" x14ac:dyDescent="0.25">
      <c r="A47" s="232" t="s">
        <v>427</v>
      </c>
      <c r="B47" s="231" t="s">
        <v>440</v>
      </c>
      <c r="C47" s="231"/>
      <c r="D47" s="177"/>
      <c r="E47" s="234" t="s">
        <v>427</v>
      </c>
      <c r="F47" s="231"/>
      <c r="G47" s="231"/>
      <c r="H47" s="177"/>
      <c r="I47" s="234" t="s">
        <v>427</v>
      </c>
      <c r="J47" s="231"/>
      <c r="K47" s="231"/>
      <c r="L47" s="177"/>
      <c r="M47" s="234" t="s">
        <v>427</v>
      </c>
      <c r="N47" s="231"/>
      <c r="O47" s="231"/>
      <c r="P47" s="177"/>
      <c r="Q47" s="234" t="s">
        <v>427</v>
      </c>
      <c r="R47" s="231"/>
      <c r="S47" s="231"/>
      <c r="T47" s="177"/>
      <c r="U47" s="234" t="s">
        <v>427</v>
      </c>
      <c r="V47" s="231"/>
      <c r="W47" s="231"/>
      <c r="X47" s="177"/>
      <c r="Y47" s="234" t="s">
        <v>427</v>
      </c>
      <c r="Z47" s="231"/>
      <c r="AA47" s="231"/>
      <c r="AB47" s="177"/>
      <c r="AC47" s="234" t="s">
        <v>427</v>
      </c>
      <c r="AD47" s="231"/>
      <c r="AE47" s="231"/>
      <c r="AF47" s="177"/>
      <c r="AG47" s="234" t="s">
        <v>427</v>
      </c>
      <c r="AH47" s="231"/>
      <c r="AI47" s="231"/>
      <c r="AJ47" s="177"/>
      <c r="AK47" s="234" t="s">
        <v>427</v>
      </c>
      <c r="AL47" s="231"/>
      <c r="AM47" s="231"/>
      <c r="AN47" s="177"/>
      <c r="AO47" s="234" t="s">
        <v>427</v>
      </c>
      <c r="AP47" s="231" t="s">
        <v>440</v>
      </c>
      <c r="AQ47" s="231"/>
      <c r="AR47" s="177"/>
      <c r="AS47" s="234" t="s">
        <v>427</v>
      </c>
      <c r="AT47" s="231"/>
      <c r="AU47" s="231"/>
      <c r="AV47" s="177"/>
      <c r="AW47" s="234" t="s">
        <v>427</v>
      </c>
      <c r="AX47" s="231"/>
      <c r="AY47" s="231"/>
      <c r="AZ47" s="177"/>
      <c r="BA47" s="234" t="s">
        <v>427</v>
      </c>
      <c r="BB47" s="231"/>
      <c r="BC47" s="231"/>
      <c r="BD47" s="177"/>
      <c r="BE47" s="234" t="s">
        <v>427</v>
      </c>
      <c r="BF47" s="231"/>
      <c r="BG47" s="231"/>
      <c r="BH47" s="177"/>
    </row>
    <row r="48" spans="1:60" x14ac:dyDescent="0.25">
      <c r="A48" s="232" t="s">
        <v>428</v>
      </c>
      <c r="B48" s="231" t="s">
        <v>470</v>
      </c>
      <c r="C48" s="231"/>
      <c r="D48" s="177"/>
      <c r="E48" s="234" t="s">
        <v>428</v>
      </c>
      <c r="F48" s="231"/>
      <c r="G48" s="231"/>
      <c r="H48" s="177"/>
      <c r="I48" s="234" t="s">
        <v>428</v>
      </c>
      <c r="J48" s="231"/>
      <c r="K48" s="231"/>
      <c r="L48" s="177"/>
      <c r="M48" s="234" t="s">
        <v>428</v>
      </c>
      <c r="N48" s="231"/>
      <c r="O48" s="231"/>
      <c r="P48" s="177"/>
      <c r="Q48" s="234" t="s">
        <v>428</v>
      </c>
      <c r="R48" s="231"/>
      <c r="S48" s="231"/>
      <c r="T48" s="177"/>
      <c r="U48" s="234" t="s">
        <v>428</v>
      </c>
      <c r="V48" s="231"/>
      <c r="W48" s="231"/>
      <c r="X48" s="177"/>
      <c r="Y48" s="234" t="s">
        <v>428</v>
      </c>
      <c r="Z48" s="231"/>
      <c r="AA48" s="231"/>
      <c r="AB48" s="177"/>
      <c r="AC48" s="234" t="s">
        <v>428</v>
      </c>
      <c r="AD48" s="231"/>
      <c r="AE48" s="231"/>
      <c r="AF48" s="177"/>
      <c r="AG48" s="234" t="s">
        <v>428</v>
      </c>
      <c r="AH48" s="231"/>
      <c r="AI48" s="231"/>
      <c r="AJ48" s="177"/>
      <c r="AK48" s="234" t="s">
        <v>428</v>
      </c>
      <c r="AL48" s="231"/>
      <c r="AM48" s="231"/>
      <c r="AN48" s="177"/>
      <c r="AO48" s="234" t="s">
        <v>428</v>
      </c>
      <c r="AP48" s="231" t="s">
        <v>470</v>
      </c>
      <c r="AQ48" s="231"/>
      <c r="AR48" s="177"/>
      <c r="AS48" s="234" t="s">
        <v>428</v>
      </c>
      <c r="AT48" s="231"/>
      <c r="AU48" s="231"/>
      <c r="AV48" s="177"/>
      <c r="AW48" s="234" t="s">
        <v>428</v>
      </c>
      <c r="AX48" s="231"/>
      <c r="AY48" s="231"/>
      <c r="AZ48" s="177"/>
      <c r="BA48" s="234" t="s">
        <v>428</v>
      </c>
      <c r="BB48" s="231"/>
      <c r="BC48" s="231"/>
      <c r="BD48" s="177"/>
      <c r="BE48" s="234" t="s">
        <v>428</v>
      </c>
      <c r="BF48" s="231"/>
      <c r="BG48" s="231"/>
      <c r="BH48" s="177"/>
    </row>
    <row r="49" spans="1:60" x14ac:dyDescent="0.25">
      <c r="A49" s="231" t="s">
        <v>429</v>
      </c>
      <c r="B49" s="231" t="s">
        <v>471</v>
      </c>
      <c r="C49" s="231"/>
      <c r="D49" s="177"/>
      <c r="E49" s="233" t="s">
        <v>429</v>
      </c>
      <c r="F49" s="231"/>
      <c r="G49" s="231"/>
      <c r="H49" s="177"/>
      <c r="I49" s="233" t="s">
        <v>429</v>
      </c>
      <c r="J49" s="231"/>
      <c r="K49" s="231"/>
      <c r="L49" s="177"/>
      <c r="M49" s="233" t="s">
        <v>429</v>
      </c>
      <c r="N49" s="231"/>
      <c r="O49" s="231"/>
      <c r="P49" s="177"/>
      <c r="Q49" s="233" t="s">
        <v>429</v>
      </c>
      <c r="R49" s="231"/>
      <c r="S49" s="231"/>
      <c r="T49" s="177"/>
      <c r="U49" s="233" t="s">
        <v>429</v>
      </c>
      <c r="V49" s="231"/>
      <c r="W49" s="231"/>
      <c r="X49" s="177"/>
      <c r="Y49" s="233" t="s">
        <v>429</v>
      </c>
      <c r="Z49" s="231"/>
      <c r="AA49" s="231"/>
      <c r="AB49" s="177"/>
      <c r="AC49" s="233" t="s">
        <v>429</v>
      </c>
      <c r="AD49" s="231"/>
      <c r="AE49" s="231"/>
      <c r="AF49" s="177"/>
      <c r="AG49" s="233" t="s">
        <v>429</v>
      </c>
      <c r="AH49" s="231"/>
      <c r="AI49" s="231"/>
      <c r="AJ49" s="177"/>
      <c r="AK49" s="233" t="s">
        <v>429</v>
      </c>
      <c r="AL49" s="231"/>
      <c r="AM49" s="231"/>
      <c r="AN49" s="177"/>
      <c r="AO49" s="233" t="s">
        <v>429</v>
      </c>
      <c r="AP49" s="231" t="s">
        <v>471</v>
      </c>
      <c r="AQ49" s="231"/>
      <c r="AR49" s="177"/>
      <c r="AS49" s="233" t="s">
        <v>429</v>
      </c>
      <c r="AT49" s="231"/>
      <c r="AU49" s="231"/>
      <c r="AV49" s="177"/>
      <c r="AW49" s="233" t="s">
        <v>429</v>
      </c>
      <c r="AX49" s="231"/>
      <c r="AY49" s="231"/>
      <c r="AZ49" s="177"/>
      <c r="BA49" s="233" t="s">
        <v>429</v>
      </c>
      <c r="BB49" s="231"/>
      <c r="BC49" s="231"/>
      <c r="BD49" s="177"/>
      <c r="BE49" s="233" t="s">
        <v>429</v>
      </c>
      <c r="BF49" s="231"/>
      <c r="BG49" s="231"/>
      <c r="BH49" s="177"/>
    </row>
    <row r="50" spans="1:60" x14ac:dyDescent="0.25">
      <c r="A50" s="231" t="s">
        <v>430</v>
      </c>
      <c r="B50" s="231" t="s">
        <v>472</v>
      </c>
      <c r="C50" s="231"/>
      <c r="D50" s="177"/>
      <c r="E50" s="233" t="s">
        <v>430</v>
      </c>
      <c r="F50" s="231"/>
      <c r="G50" s="231"/>
      <c r="H50" s="177"/>
      <c r="I50" s="233" t="s">
        <v>430</v>
      </c>
      <c r="J50" s="231"/>
      <c r="K50" s="231"/>
      <c r="L50" s="177"/>
      <c r="M50" s="233" t="s">
        <v>430</v>
      </c>
      <c r="N50" s="231"/>
      <c r="O50" s="231"/>
      <c r="P50" s="177"/>
      <c r="Q50" s="233" t="s">
        <v>430</v>
      </c>
      <c r="R50" s="231"/>
      <c r="S50" s="231"/>
      <c r="T50" s="177"/>
      <c r="U50" s="233" t="s">
        <v>430</v>
      </c>
      <c r="V50" s="231"/>
      <c r="W50" s="231"/>
      <c r="X50" s="177"/>
      <c r="Y50" s="233" t="s">
        <v>430</v>
      </c>
      <c r="Z50" s="231"/>
      <c r="AA50" s="231"/>
      <c r="AB50" s="177"/>
      <c r="AC50" s="233" t="s">
        <v>430</v>
      </c>
      <c r="AD50" s="231"/>
      <c r="AE50" s="231"/>
      <c r="AF50" s="177"/>
      <c r="AG50" s="233" t="s">
        <v>430</v>
      </c>
      <c r="AH50" s="231"/>
      <c r="AI50" s="231"/>
      <c r="AJ50" s="177"/>
      <c r="AK50" s="233" t="s">
        <v>430</v>
      </c>
      <c r="AL50" s="231"/>
      <c r="AM50" s="231"/>
      <c r="AN50" s="177"/>
      <c r="AO50" s="233" t="s">
        <v>430</v>
      </c>
      <c r="AP50" s="231" t="s">
        <v>472</v>
      </c>
      <c r="AQ50" s="231"/>
      <c r="AR50" s="177"/>
      <c r="AS50" s="233" t="s">
        <v>430</v>
      </c>
      <c r="AT50" s="231"/>
      <c r="AU50" s="231"/>
      <c r="AV50" s="177"/>
      <c r="AW50" s="233" t="s">
        <v>430</v>
      </c>
      <c r="AX50" s="231"/>
      <c r="AY50" s="231"/>
      <c r="AZ50" s="177"/>
      <c r="BA50" s="233" t="s">
        <v>430</v>
      </c>
      <c r="BB50" s="231"/>
      <c r="BC50" s="231"/>
      <c r="BD50" s="177"/>
      <c r="BE50" s="233" t="s">
        <v>430</v>
      </c>
      <c r="BF50" s="231"/>
      <c r="BG50" s="231"/>
      <c r="BH50" s="177"/>
    </row>
    <row r="51" spans="1:60" ht="30" x14ac:dyDescent="0.25">
      <c r="A51" s="232" t="s">
        <v>431</v>
      </c>
      <c r="B51" s="231" t="s">
        <v>473</v>
      </c>
      <c r="C51" s="231"/>
      <c r="D51" s="177"/>
      <c r="E51" s="234" t="s">
        <v>431</v>
      </c>
      <c r="F51" s="231"/>
      <c r="G51" s="231"/>
      <c r="H51" s="177"/>
      <c r="I51" s="234" t="s">
        <v>431</v>
      </c>
      <c r="J51" s="231"/>
      <c r="K51" s="231"/>
      <c r="L51" s="177"/>
      <c r="M51" s="234" t="s">
        <v>431</v>
      </c>
      <c r="N51" s="231"/>
      <c r="O51" s="231"/>
      <c r="P51" s="177"/>
      <c r="Q51" s="234" t="s">
        <v>431</v>
      </c>
      <c r="R51" s="231"/>
      <c r="S51" s="231"/>
      <c r="T51" s="177"/>
      <c r="U51" s="234" t="s">
        <v>431</v>
      </c>
      <c r="V51" s="231"/>
      <c r="W51" s="231"/>
      <c r="X51" s="177"/>
      <c r="Y51" s="234" t="s">
        <v>431</v>
      </c>
      <c r="Z51" s="231"/>
      <c r="AA51" s="231"/>
      <c r="AB51" s="177"/>
      <c r="AC51" s="234" t="s">
        <v>431</v>
      </c>
      <c r="AD51" s="231"/>
      <c r="AE51" s="231"/>
      <c r="AF51" s="177"/>
      <c r="AG51" s="234" t="s">
        <v>431</v>
      </c>
      <c r="AH51" s="231"/>
      <c r="AI51" s="231"/>
      <c r="AJ51" s="177"/>
      <c r="AK51" s="234" t="s">
        <v>431</v>
      </c>
      <c r="AL51" s="231"/>
      <c r="AM51" s="231"/>
      <c r="AN51" s="177"/>
      <c r="AO51" s="234" t="s">
        <v>431</v>
      </c>
      <c r="AP51" s="231" t="s">
        <v>473</v>
      </c>
      <c r="AQ51" s="231"/>
      <c r="AR51" s="177"/>
      <c r="AS51" s="234" t="s">
        <v>431</v>
      </c>
      <c r="AT51" s="231"/>
      <c r="AU51" s="231"/>
      <c r="AV51" s="177"/>
      <c r="AW51" s="234" t="s">
        <v>431</v>
      </c>
      <c r="AX51" s="231"/>
      <c r="AY51" s="231"/>
      <c r="AZ51" s="177"/>
      <c r="BA51" s="234" t="s">
        <v>431</v>
      </c>
      <c r="BB51" s="231"/>
      <c r="BC51" s="231"/>
      <c r="BD51" s="177"/>
      <c r="BE51" s="234" t="s">
        <v>431</v>
      </c>
      <c r="BF51" s="231"/>
      <c r="BG51" s="231"/>
      <c r="BH51" s="177"/>
    </row>
    <row r="52" spans="1:60" x14ac:dyDescent="0.25">
      <c r="A52" s="231" t="s">
        <v>432</v>
      </c>
      <c r="B52" s="231" t="s">
        <v>474</v>
      </c>
      <c r="C52" s="231"/>
      <c r="D52" s="177"/>
      <c r="E52" s="233" t="s">
        <v>432</v>
      </c>
      <c r="F52" s="231"/>
      <c r="G52" s="231"/>
      <c r="H52" s="177"/>
      <c r="I52" s="233" t="s">
        <v>432</v>
      </c>
      <c r="J52" s="231"/>
      <c r="K52" s="231"/>
      <c r="L52" s="177"/>
      <c r="M52" s="233" t="s">
        <v>432</v>
      </c>
      <c r="N52" s="231"/>
      <c r="O52" s="231"/>
      <c r="P52" s="177"/>
      <c r="Q52" s="233" t="s">
        <v>432</v>
      </c>
      <c r="R52" s="231"/>
      <c r="S52" s="231"/>
      <c r="T52" s="177"/>
      <c r="U52" s="233" t="s">
        <v>432</v>
      </c>
      <c r="V52" s="231"/>
      <c r="W52" s="231"/>
      <c r="X52" s="177"/>
      <c r="Y52" s="233" t="s">
        <v>432</v>
      </c>
      <c r="Z52" s="231"/>
      <c r="AA52" s="231"/>
      <c r="AB52" s="177"/>
      <c r="AC52" s="233" t="s">
        <v>432</v>
      </c>
      <c r="AD52" s="231"/>
      <c r="AE52" s="231"/>
      <c r="AF52" s="177"/>
      <c r="AG52" s="233" t="s">
        <v>432</v>
      </c>
      <c r="AH52" s="231"/>
      <c r="AI52" s="231"/>
      <c r="AJ52" s="177"/>
      <c r="AK52" s="233" t="s">
        <v>432</v>
      </c>
      <c r="AL52" s="231"/>
      <c r="AM52" s="231"/>
      <c r="AN52" s="177"/>
      <c r="AO52" s="233" t="s">
        <v>432</v>
      </c>
      <c r="AP52" s="231" t="s">
        <v>477</v>
      </c>
      <c r="AQ52" s="231"/>
      <c r="AR52" s="177"/>
      <c r="AS52" s="233" t="s">
        <v>432</v>
      </c>
      <c r="AT52" s="231"/>
      <c r="AU52" s="231"/>
      <c r="AV52" s="177"/>
      <c r="AW52" s="233" t="s">
        <v>432</v>
      </c>
      <c r="AX52" s="231"/>
      <c r="AY52" s="231"/>
      <c r="AZ52" s="177"/>
      <c r="BA52" s="233" t="s">
        <v>432</v>
      </c>
      <c r="BB52" s="231"/>
      <c r="BC52" s="231"/>
      <c r="BD52" s="177"/>
      <c r="BE52" s="233" t="s">
        <v>432</v>
      </c>
      <c r="BF52" s="231"/>
      <c r="BG52" s="231"/>
      <c r="BH52" s="177"/>
    </row>
    <row r="53" spans="1:60" x14ac:dyDescent="0.25">
      <c r="A53" s="231" t="s">
        <v>433</v>
      </c>
      <c r="B53" s="231">
        <v>60</v>
      </c>
      <c r="C53" s="231"/>
      <c r="D53" s="177"/>
      <c r="E53" s="233" t="s">
        <v>433</v>
      </c>
      <c r="F53" s="231"/>
      <c r="G53" s="231"/>
      <c r="H53" s="177"/>
      <c r="I53" s="233" t="s">
        <v>433</v>
      </c>
      <c r="J53" s="231"/>
      <c r="K53" s="231"/>
      <c r="L53" s="177"/>
      <c r="M53" s="233" t="s">
        <v>433</v>
      </c>
      <c r="N53" s="231"/>
      <c r="O53" s="231"/>
      <c r="P53" s="177"/>
      <c r="Q53" s="233" t="s">
        <v>433</v>
      </c>
      <c r="R53" s="231"/>
      <c r="S53" s="231"/>
      <c r="T53" s="177"/>
      <c r="U53" s="233" t="s">
        <v>433</v>
      </c>
      <c r="V53" s="231"/>
      <c r="W53" s="231"/>
      <c r="X53" s="177"/>
      <c r="Y53" s="233" t="s">
        <v>433</v>
      </c>
      <c r="Z53" s="231"/>
      <c r="AA53" s="231"/>
      <c r="AB53" s="177"/>
      <c r="AC53" s="233" t="s">
        <v>433</v>
      </c>
      <c r="AD53" s="231"/>
      <c r="AE53" s="231"/>
      <c r="AF53" s="177"/>
      <c r="AG53" s="233" t="s">
        <v>433</v>
      </c>
      <c r="AH53" s="231"/>
      <c r="AI53" s="231"/>
      <c r="AJ53" s="177"/>
      <c r="AK53" s="233" t="s">
        <v>433</v>
      </c>
      <c r="AL53" s="231"/>
      <c r="AM53" s="231"/>
      <c r="AN53" s="177"/>
      <c r="AO53" s="233" t="s">
        <v>433</v>
      </c>
      <c r="AP53" s="231">
        <v>60</v>
      </c>
      <c r="AQ53" s="231"/>
      <c r="AR53" s="177"/>
      <c r="AS53" s="233" t="s">
        <v>433</v>
      </c>
      <c r="AT53" s="231"/>
      <c r="AU53" s="231"/>
      <c r="AV53" s="177"/>
      <c r="AW53" s="233" t="s">
        <v>433</v>
      </c>
      <c r="AX53" s="231"/>
      <c r="AY53" s="231"/>
      <c r="AZ53" s="177"/>
      <c r="BA53" s="233" t="s">
        <v>433</v>
      </c>
      <c r="BB53" s="231"/>
      <c r="BC53" s="231"/>
      <c r="BD53" s="177"/>
      <c r="BE53" s="233" t="s">
        <v>433</v>
      </c>
      <c r="BF53" s="231"/>
      <c r="BG53" s="231"/>
      <c r="BH53" s="177"/>
    </row>
    <row r="54" spans="1:60" x14ac:dyDescent="0.25">
      <c r="A54" s="231" t="s">
        <v>434</v>
      </c>
      <c r="B54" s="231">
        <v>11025</v>
      </c>
      <c r="C54" s="231"/>
      <c r="D54" s="177"/>
      <c r="E54" s="233" t="s">
        <v>434</v>
      </c>
      <c r="F54" s="231"/>
      <c r="G54" s="231"/>
      <c r="H54" s="177"/>
      <c r="I54" s="233" t="s">
        <v>434</v>
      </c>
      <c r="J54" s="231"/>
      <c r="K54" s="231"/>
      <c r="L54" s="177"/>
      <c r="M54" s="233" t="s">
        <v>434</v>
      </c>
      <c r="N54" s="231"/>
      <c r="O54" s="231"/>
      <c r="P54" s="177"/>
      <c r="Q54" s="233" t="s">
        <v>434</v>
      </c>
      <c r="R54" s="231"/>
      <c r="S54" s="231"/>
      <c r="T54" s="177"/>
      <c r="U54" s="233" t="s">
        <v>434</v>
      </c>
      <c r="V54" s="231"/>
      <c r="W54" s="231"/>
      <c r="X54" s="177"/>
      <c r="Y54" s="233" t="s">
        <v>434</v>
      </c>
      <c r="Z54" s="231"/>
      <c r="AA54" s="231"/>
      <c r="AB54" s="177"/>
      <c r="AC54" s="233" t="s">
        <v>434</v>
      </c>
      <c r="AD54" s="231"/>
      <c r="AE54" s="231"/>
      <c r="AF54" s="177"/>
      <c r="AG54" s="233" t="s">
        <v>434</v>
      </c>
      <c r="AH54" s="231"/>
      <c r="AI54" s="231"/>
      <c r="AJ54" s="177"/>
      <c r="AK54" s="233" t="s">
        <v>434</v>
      </c>
      <c r="AL54" s="231"/>
      <c r="AM54" s="231"/>
      <c r="AN54" s="177"/>
      <c r="AO54" s="233" t="s">
        <v>434</v>
      </c>
      <c r="AP54" s="231">
        <v>11025</v>
      </c>
      <c r="AQ54" s="231"/>
      <c r="AR54" s="177"/>
      <c r="AS54" s="233" t="s">
        <v>434</v>
      </c>
      <c r="AT54" s="231"/>
      <c r="AU54" s="231"/>
      <c r="AV54" s="177"/>
      <c r="AW54" s="233" t="s">
        <v>434</v>
      </c>
      <c r="AX54" s="231"/>
      <c r="AY54" s="231"/>
      <c r="AZ54" s="177"/>
      <c r="BA54" s="233" t="s">
        <v>434</v>
      </c>
      <c r="BB54" s="231"/>
      <c r="BC54" s="231"/>
      <c r="BD54" s="177"/>
      <c r="BE54" s="233" t="s">
        <v>434</v>
      </c>
      <c r="BF54" s="231"/>
      <c r="BG54" s="231"/>
      <c r="BH54" s="177"/>
    </row>
    <row r="55" spans="1:60" x14ac:dyDescent="0.25">
      <c r="A55" s="231" t="s">
        <v>435</v>
      </c>
      <c r="B55" s="231">
        <v>10000</v>
      </c>
      <c r="C55" s="231"/>
      <c r="D55" s="177"/>
      <c r="E55" s="233" t="s">
        <v>435</v>
      </c>
      <c r="F55" s="231"/>
      <c r="G55" s="231"/>
      <c r="H55" s="177"/>
      <c r="I55" s="233" t="s">
        <v>435</v>
      </c>
      <c r="J55" s="231"/>
      <c r="K55" s="231"/>
      <c r="L55" s="177"/>
      <c r="M55" s="233" t="s">
        <v>435</v>
      </c>
      <c r="N55" s="231"/>
      <c r="O55" s="231"/>
      <c r="P55" s="177"/>
      <c r="Q55" s="233" t="s">
        <v>435</v>
      </c>
      <c r="R55" s="231"/>
      <c r="S55" s="231"/>
      <c r="T55" s="177"/>
      <c r="U55" s="233" t="s">
        <v>435</v>
      </c>
      <c r="V55" s="231"/>
      <c r="W55" s="231"/>
      <c r="X55" s="177"/>
      <c r="Y55" s="233" t="s">
        <v>435</v>
      </c>
      <c r="Z55" s="231"/>
      <c r="AA55" s="231"/>
      <c r="AB55" s="177"/>
      <c r="AC55" s="233" t="s">
        <v>435</v>
      </c>
      <c r="AD55" s="231"/>
      <c r="AE55" s="231"/>
      <c r="AF55" s="177"/>
      <c r="AG55" s="233" t="s">
        <v>435</v>
      </c>
      <c r="AH55" s="231"/>
      <c r="AI55" s="231"/>
      <c r="AJ55" s="177"/>
      <c r="AK55" s="233" t="s">
        <v>435</v>
      </c>
      <c r="AL55" s="231"/>
      <c r="AM55" s="231"/>
      <c r="AN55" s="177"/>
      <c r="AO55" s="233" t="s">
        <v>435</v>
      </c>
      <c r="AP55" s="231">
        <v>10000</v>
      </c>
      <c r="AQ55" s="231"/>
      <c r="AR55" s="177"/>
      <c r="AS55" s="233" t="s">
        <v>435</v>
      </c>
      <c r="AT55" s="231"/>
      <c r="AU55" s="231"/>
      <c r="AV55" s="177"/>
      <c r="AW55" s="233" t="s">
        <v>435</v>
      </c>
      <c r="AX55" s="231"/>
      <c r="AY55" s="231"/>
      <c r="AZ55" s="177"/>
      <c r="BA55" s="233" t="s">
        <v>435</v>
      </c>
      <c r="BB55" s="231"/>
      <c r="BC55" s="231"/>
      <c r="BD55" s="177"/>
      <c r="BE55" s="233" t="s">
        <v>435</v>
      </c>
      <c r="BF55" s="231"/>
      <c r="BG55" s="231"/>
      <c r="BH55" s="177"/>
    </row>
    <row r="56" spans="1:60" x14ac:dyDescent="0.25">
      <c r="A56" s="231" t="s">
        <v>436</v>
      </c>
      <c r="B56" s="231">
        <v>35</v>
      </c>
      <c r="C56" s="231"/>
      <c r="D56" s="177"/>
      <c r="E56" s="233" t="s">
        <v>436</v>
      </c>
      <c r="F56" s="231"/>
      <c r="G56" s="231"/>
      <c r="H56" s="177"/>
      <c r="I56" s="233" t="s">
        <v>436</v>
      </c>
      <c r="J56" s="231"/>
      <c r="K56" s="231"/>
      <c r="L56" s="177"/>
      <c r="M56" s="233" t="s">
        <v>436</v>
      </c>
      <c r="N56" s="231"/>
      <c r="O56" s="231"/>
      <c r="P56" s="177"/>
      <c r="Q56" s="233" t="s">
        <v>436</v>
      </c>
      <c r="R56" s="231"/>
      <c r="S56" s="231"/>
      <c r="T56" s="177"/>
      <c r="U56" s="233" t="s">
        <v>436</v>
      </c>
      <c r="V56" s="231"/>
      <c r="W56" s="231"/>
      <c r="X56" s="177"/>
      <c r="Y56" s="233" t="s">
        <v>436</v>
      </c>
      <c r="Z56" s="231"/>
      <c r="AA56" s="231"/>
      <c r="AB56" s="177"/>
      <c r="AC56" s="233" t="s">
        <v>436</v>
      </c>
      <c r="AD56" s="231"/>
      <c r="AE56" s="231"/>
      <c r="AF56" s="177"/>
      <c r="AG56" s="233" t="s">
        <v>436</v>
      </c>
      <c r="AH56" s="231"/>
      <c r="AI56" s="231"/>
      <c r="AJ56" s="177"/>
      <c r="AK56" s="233" t="s">
        <v>436</v>
      </c>
      <c r="AL56" s="231"/>
      <c r="AM56" s="231"/>
      <c r="AN56" s="177"/>
      <c r="AO56" s="233" t="s">
        <v>436</v>
      </c>
      <c r="AP56" s="231">
        <v>35</v>
      </c>
      <c r="AQ56" s="231"/>
      <c r="AR56" s="177"/>
      <c r="AS56" s="233" t="s">
        <v>436</v>
      </c>
      <c r="AT56" s="231"/>
      <c r="AU56" s="231"/>
      <c r="AV56" s="177"/>
      <c r="AW56" s="233" t="s">
        <v>436</v>
      </c>
      <c r="AX56" s="231"/>
      <c r="AY56" s="231"/>
      <c r="AZ56" s="177"/>
      <c r="BA56" s="233" t="s">
        <v>436</v>
      </c>
      <c r="BB56" s="231"/>
      <c r="BC56" s="231"/>
      <c r="BD56" s="177"/>
      <c r="BE56" s="233" t="s">
        <v>436</v>
      </c>
      <c r="BF56" s="231"/>
      <c r="BG56" s="231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opLeftCell="A73" zoomScale="85" zoomScaleNormal="85" workbookViewId="0">
      <selection activeCell="D79" sqref="D79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44" t="s">
        <v>46</v>
      </c>
      <c r="B1" s="244"/>
      <c r="C1" s="244"/>
      <c r="D1" s="30"/>
      <c r="E1" s="244" t="s">
        <v>47</v>
      </c>
      <c r="F1" s="244"/>
      <c r="G1" s="244"/>
      <c r="H1" s="26"/>
      <c r="I1" s="26"/>
      <c r="M1" s="253" t="s">
        <v>143</v>
      </c>
      <c r="N1" s="253"/>
      <c r="O1" s="253"/>
      <c r="P1" s="253"/>
      <c r="Q1" s="244" t="s">
        <v>150</v>
      </c>
      <c r="R1" s="244"/>
    </row>
    <row r="2" spans="1:18" ht="15.75" thickTop="1" x14ac:dyDescent="0.25">
      <c r="A2" s="31" t="str">
        <f>IF(CALCULATIONS!B20=0,"",CALCULATIONS!B20)</f>
        <v>100016263160</v>
      </c>
      <c r="B2" s="26"/>
      <c r="C2" s="32">
        <f>CALCULATIONS!B15</f>
        <v>43586</v>
      </c>
      <c r="D2" s="26"/>
      <c r="E2" s="254" t="str">
        <f ca="1">I2&amp;CHAR(10)&amp;I3&amp;CHAR(10)&amp;I4</f>
        <v>ELECTRICAL 3 LINE DIAGRAM
11.025kW PV SYSTEM (SUNNOVA)
35 - HANWHA 315 (Q.PEAK DUO BLK-G5 315)</v>
      </c>
      <c r="F2" s="257"/>
      <c r="G2" s="26" t="str">
        <f>CALCULATIONS!B13</f>
        <v>RYAN, MICHAEL-</v>
      </c>
      <c r="H2" s="26"/>
      <c r="I2" s="26" t="s">
        <v>151</v>
      </c>
      <c r="M2" s="59" t="str">
        <f>IF(FORM!D28="","",FORM!D28)</f>
        <v/>
      </c>
      <c r="N2" s="269" t="str">
        <f>IF(FORM!E28="","",UPPER(FORM!E28))</f>
        <v/>
      </c>
      <c r="O2" s="269"/>
      <c r="P2" s="64" t="str">
        <f>IF(FORM!F28="","",FORM!F28)</f>
        <v/>
      </c>
      <c r="Q2" s="61">
        <f>(CALCULATIONS!B12)</f>
        <v>35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W59132308</v>
      </c>
      <c r="B3" s="26"/>
      <c r="C3" s="26" t="str">
        <f>CALCULATIONS!B22</f>
        <v>KTD</v>
      </c>
      <c r="D3" s="26"/>
      <c r="E3" s="255"/>
      <c r="F3" s="242"/>
      <c r="G3" s="256" t="str">
        <f ca="1">IF(AND(CALCULATIONS!A1&lt;TODAY(),OR(CALCULATIONS!B15="NODATE",CALCULATIONS!A1&lt;CALCULATIONS!B15)),"",CALCULATIONS!B14&amp;CHAR(10)&amp;"TRINITY ACCOUNT #: "&amp;CALCULATIONS!B18)</f>
        <v>307 Lareine Ave
Bradley Beach, NJ 07702
40.202864,-74.011474
TRINITY ACCOUNT #: 2019-04-338601</v>
      </c>
      <c r="H3" s="26"/>
      <c r="I3" s="26" t="str">
        <f ca="1">IF(AND(CALCULATIONS!A1&lt;TODAY(),OR(CALCULATIONS!B15="NODATE",CALCULATIONS!A1&lt;CALCULATIONS!B15)),"",CALCULATIONS!D34&amp;"kW PV SYSTEM "&amp;CALCULATIONS!B16)</f>
        <v>11.025kW PV SYSTEM (SUNNOVA)</v>
      </c>
      <c r="M3" s="59" t="str">
        <f>IF(FORM!D29="","",FORM!D29)</f>
        <v/>
      </c>
      <c r="N3" s="269" t="str">
        <f>IF(FORM!E29="","",UPPER(FORM!E29))</f>
        <v/>
      </c>
      <c r="O3" s="26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SE10000H-US000NNC2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55"/>
      <c r="F4" s="242"/>
      <c r="G4" s="256"/>
      <c r="H4" s="26"/>
      <c r="I4" s="26" t="str">
        <f ca="1">IF(AND(CALCULATIONS!A1&lt;TODAY(),OR(CALCULATIONS!B15="NODATE",CALCULATIONS!A1&lt;CALCULATIONS!B15)),"",CALCULATIONS!B12&amp;" - "&amp;CALCULATIONS!C12)</f>
        <v>35 - HANWHA 315 (Q.PEAK DUO BLK-G5 315)</v>
      </c>
      <c r="M4" s="59" t="str">
        <f>IF(FORM!D30="","",FORM!D30)</f>
        <v>A1</v>
      </c>
      <c r="N4" s="269" t="str">
        <f>IF(FORM!E30="","",UPPER(FORM!E30))</f>
        <v>AS BUILT</v>
      </c>
      <c r="O4" s="269"/>
      <c r="P4" s="64">
        <f>IF(FORM!F30="","",FORM!F30)</f>
        <v>43663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43663</v>
      </c>
      <c r="B5" s="26"/>
      <c r="C5" s="26" t="str">
        <f>IF(CALCULATIONS!B24=0,"",CALCULATIONS!B24)</f>
        <v>KB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69" t="str">
        <f>IF(FORM!E31="","",FORM!E31)</f>
        <v>ISSUED TO TOWNSHIP FOR PERMIT</v>
      </c>
      <c r="O5" s="269"/>
      <c r="P5" s="64">
        <f>IF(FORM!F31="","",FORM!F31)</f>
        <v>43586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66" t="s">
        <v>138</v>
      </c>
      <c r="O6" s="26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44" t="s">
        <v>63</v>
      </c>
      <c r="B7" s="244"/>
      <c r="C7" s="244"/>
      <c r="D7" s="244"/>
      <c r="E7" s="26"/>
      <c r="F7" s="26"/>
      <c r="G7" s="35" t="s">
        <v>75</v>
      </c>
      <c r="H7" s="26"/>
      <c r="I7" s="36" t="s">
        <v>79</v>
      </c>
      <c r="M7" s="268"/>
      <c r="N7" s="268"/>
      <c r="O7" s="268"/>
      <c r="P7" s="268"/>
      <c r="Q7" s="63"/>
      <c r="R7" s="63"/>
    </row>
    <row r="8" spans="1:18" ht="60.75" thickTop="1" x14ac:dyDescent="0.25">
      <c r="A8" s="257" t="str">
        <f>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</f>
        <v>INVERTER #1 - SE10000H-US000NNC2</v>
      </c>
      <c r="B8" s="257"/>
      <c r="C8" s="257"/>
      <c r="D8" s="25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5 ARRAYS
35 - 315W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5 ARRAYS
35 - 315W MODULES
0 - ENPHASE 0
FALSE</v>
      </c>
      <c r="M8" s="261" t="str">
        <f>(UPPER(A71))</f>
        <v>RYAN, MICHAEL-</v>
      </c>
      <c r="N8" s="262"/>
      <c r="O8" s="262"/>
      <c r="P8" s="263"/>
    </row>
    <row r="9" spans="1:18" ht="73.5" customHeight="1" x14ac:dyDescent="0.25">
      <c r="A9" s="242" t="s">
        <v>64</v>
      </c>
      <c r="B9" s="242"/>
      <c r="C9" s="242" t="s">
        <v>65</v>
      </c>
      <c r="D9" s="242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18 MODULES IN SERIES - 400 Vmax
1 STRING OF 17 MODULES IN SERIES - 400 Vmax
*2 STRINGS TO BE TERMINATED IN PARALLEL INSIDE INVERTER 1</v>
      </c>
      <c r="H9" s="37"/>
      <c r="I9" s="38"/>
      <c r="J9" s="37"/>
      <c r="K9" s="37"/>
      <c r="M9" s="258" t="str">
        <f>("TRINITY ACCT #: "&amp;CALCULATIONS!B18)</f>
        <v>TRINITY ACCT #: 2019-04-338601</v>
      </c>
      <c r="N9" s="259"/>
      <c r="O9" s="259"/>
      <c r="P9" s="26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27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10000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46"/>
      <c r="N10" s="281"/>
      <c r="O10" s="281"/>
      <c r="P10" s="247"/>
    </row>
    <row r="11" spans="1:18" ht="70.5" customHeight="1" x14ac:dyDescent="0.25">
      <c r="A11" s="27" t="s">
        <v>4</v>
      </c>
      <c r="B11" s="27">
        <f>(CALCULATIONS!B30)</f>
        <v>400</v>
      </c>
      <c r="C11" s="27" t="s">
        <v>68</v>
      </c>
      <c r="D11" s="27">
        <f>(CALCULATIONS!B33)</f>
        <v>42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61" t="str">
        <f>(UPPER(A73))</f>
        <v>307 LAREINE AVE
BRADLEY BEACH, NJ 07702
40.202864,-74.011474</v>
      </c>
      <c r="N11" s="262"/>
      <c r="O11" s="262"/>
      <c r="P11" s="26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52.5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58"/>
      <c r="N12" s="259"/>
      <c r="O12" s="259"/>
      <c r="P12" s="26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61" t="str">
        <f ca="1">(A75)</f>
        <v>AS BUILT PV SOLAR SYSTEM</v>
      </c>
      <c r="N13" s="262"/>
      <c r="O13" s="262"/>
      <c r="P13" s="26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58"/>
      <c r="N14" s="259"/>
      <c r="O14" s="259"/>
      <c r="P14" s="260"/>
    </row>
    <row r="15" spans="1:18" ht="18" thickBot="1" x14ac:dyDescent="0.35">
      <c r="A15" s="244" t="s">
        <v>69</v>
      </c>
      <c r="B15" s="244"/>
      <c r="C15" s="244"/>
      <c r="D15" s="244"/>
      <c r="I15" s="41"/>
      <c r="M15" s="264" t="s">
        <v>144</v>
      </c>
      <c r="N15" s="265"/>
      <c r="O15" s="277">
        <f>(B77)</f>
        <v>43586</v>
      </c>
      <c r="P15" s="278"/>
    </row>
    <row r="16" spans="1:18" ht="15.75" thickTop="1" x14ac:dyDescent="0.25">
      <c r="A16" s="257" t="str">
        <f>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</f>
        <v>INVERTER #2 - 0</v>
      </c>
      <c r="B16" s="257"/>
      <c r="C16" s="257"/>
      <c r="D16" s="257"/>
      <c r="I16" s="41" t="str">
        <f>(CALCULATIONS!I31&amp;" MODULES ON "&amp;CALCULATIONS!I31&amp;" ENPHASE "&amp;CALCULATIONS!F2)</f>
        <v>0 MODULES ON 0 ENPHASE 0</v>
      </c>
      <c r="M16" s="264" t="s">
        <v>145</v>
      </c>
      <c r="N16" s="265"/>
      <c r="O16" s="246" t="str">
        <f>(UPPER(B78))</f>
        <v>KTD</v>
      </c>
      <c r="P16" s="247"/>
    </row>
    <row r="17" spans="1:17" x14ac:dyDescent="0.25">
      <c r="A17" s="242" t="s">
        <v>64</v>
      </c>
      <c r="B17" s="242"/>
      <c r="C17" s="242" t="s">
        <v>65</v>
      </c>
      <c r="D17" s="242"/>
      <c r="I17" s="41"/>
      <c r="M17" s="264" t="s">
        <v>146</v>
      </c>
      <c r="N17" s="265"/>
      <c r="O17" s="246" t="str">
        <f>(UPPER(IF(CALCULATIONS!B24=0,"",CALCULATIONS!B24)))</f>
        <v>KB</v>
      </c>
      <c r="P17" s="24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46"/>
      <c r="N18" s="281"/>
      <c r="O18" s="281"/>
      <c r="P18" s="24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64" t="s">
        <v>311</v>
      </c>
      <c r="N19" s="265"/>
      <c r="O19" s="246" t="str">
        <f>(B83)</f>
        <v>11.025kW</v>
      </c>
      <c r="P19" s="24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64" t="s">
        <v>312</v>
      </c>
      <c r="N20" s="265"/>
      <c r="O20" s="246" t="str">
        <f>(SUM(M32:Q32)/1000)&amp;"kW"</f>
        <v>10kW</v>
      </c>
      <c r="P20" s="24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64" t="s">
        <v>147</v>
      </c>
      <c r="N21" s="265"/>
      <c r="O21" s="246">
        <f>(B84)</f>
        <v>35</v>
      </c>
      <c r="P21" s="247"/>
    </row>
    <row r="22" spans="1:17" x14ac:dyDescent="0.25">
      <c r="M22" s="264" t="s">
        <v>148</v>
      </c>
      <c r="N22" s="265"/>
      <c r="O22" s="246" t="str">
        <f>(B85)</f>
        <v>HANWHA 315</v>
      </c>
      <c r="P22" s="247"/>
    </row>
    <row r="23" spans="1:17" ht="18" thickBot="1" x14ac:dyDescent="0.35">
      <c r="A23" s="244" t="s">
        <v>70</v>
      </c>
      <c r="B23" s="244"/>
      <c r="C23" s="244"/>
      <c r="D23" s="244"/>
      <c r="M23" s="275" t="s">
        <v>149</v>
      </c>
      <c r="N23" s="276"/>
      <c r="O23" s="246" t="str">
        <f>(B86)</f>
        <v>Q.PEAK DUO BLK-G5 315</v>
      </c>
      <c r="P23" s="247"/>
    </row>
    <row r="24" spans="1:17" ht="15.75" thickTop="1" x14ac:dyDescent="0.25">
      <c r="A24" s="257" t="str">
        <f>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</f>
        <v>INVERTER #3 - 0</v>
      </c>
      <c r="B24" s="257"/>
      <c r="C24" s="257"/>
      <c r="D24" s="257"/>
      <c r="M24" s="275" t="s">
        <v>23</v>
      </c>
      <c r="N24" s="276"/>
      <c r="O24" s="279" t="str">
        <f>(B87)</f>
        <v>JCP&amp;L</v>
      </c>
      <c r="P24" s="280"/>
    </row>
    <row r="25" spans="1:17" x14ac:dyDescent="0.25">
      <c r="A25" s="242" t="s">
        <v>64</v>
      </c>
      <c r="B25" s="242"/>
      <c r="C25" s="242" t="s">
        <v>65</v>
      </c>
      <c r="D25" s="242"/>
      <c r="M25" s="275" t="s">
        <v>153</v>
      </c>
      <c r="N25" s="276"/>
      <c r="O25" s="246" t="str">
        <f>(UPPER(B88))</f>
        <v>100016263160</v>
      </c>
      <c r="P25" s="24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5" t="s">
        <v>25</v>
      </c>
      <c r="N26" s="276"/>
      <c r="O26" s="258" t="str">
        <f>(UPPER(IF(CALCULATIONS!B21=0,"",CALCULATIONS!B21)))</f>
        <v>W59132308</v>
      </c>
      <c r="P26" s="26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73" t="s">
        <v>155</v>
      </c>
      <c r="N27" s="274"/>
      <c r="O27" s="258" t="str">
        <f>(IF(FORM!B18="","",FORM!B18))</f>
        <v>SUNNOVA</v>
      </c>
      <c r="P27" s="26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70"/>
      <c r="N28" s="271"/>
      <c r="O28" s="271"/>
      <c r="P28" s="27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48" t="str">
        <f ca="1">IF(AND(CALCULATIONS!A1&lt;TODAY(),OR(CALCULATIONS!B15="NODATE",CALCULATIONS!A1&lt;CALCULATIONS!B15)),"",IF(FORM!B29="","P1",FORM!B29))</f>
        <v>A1</v>
      </c>
      <c r="N29" s="249"/>
      <c r="O29" s="246"/>
      <c r="P29" s="247"/>
    </row>
    <row r="31" spans="1:17" ht="18" thickBot="1" x14ac:dyDescent="0.35">
      <c r="A31" s="244" t="s">
        <v>71</v>
      </c>
      <c r="B31" s="244"/>
      <c r="C31" s="244"/>
      <c r="D31" s="24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57" t="str">
        <f>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</f>
        <v>INVERTER #4 - 0</v>
      </c>
      <c r="B32" s="257"/>
      <c r="C32" s="257"/>
      <c r="D32" s="25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10000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2" t="s">
        <v>64</v>
      </c>
      <c r="B33" s="242"/>
      <c r="C33" s="242" t="s">
        <v>65</v>
      </c>
      <c r="D33" s="242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44" t="s">
        <v>72</v>
      </c>
      <c r="B39" s="244"/>
      <c r="C39" s="244"/>
      <c r="D39" s="244"/>
    </row>
    <row r="40" spans="1:4" ht="15.75" thickTop="1" x14ac:dyDescent="0.25">
      <c r="A40" s="257" t="str">
        <f ca="1">IF(AND(CALCULATIONS!A1&lt;TODAY(),OR(CALCULATIONS!B15="NODATE",CALCULATIONS!A1&lt;CALCULATIONS!B15)),"","INVERTER #5 - "&amp;CALCULATIONS!F28)</f>
        <v>INVERTER #5 - 0</v>
      </c>
      <c r="B40" s="257"/>
      <c r="C40" s="257"/>
      <c r="D40" s="257"/>
    </row>
    <row r="41" spans="1:4" x14ac:dyDescent="0.25">
      <c r="A41" s="242" t="s">
        <v>64</v>
      </c>
      <c r="B41" s="242"/>
      <c r="C41" s="242" t="s">
        <v>65</v>
      </c>
      <c r="D41" s="242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44" t="s">
        <v>76</v>
      </c>
      <c r="B48" s="244"/>
    </row>
    <row r="49" spans="1:7" ht="15.75" thickTop="1" x14ac:dyDescent="0.25">
      <c r="A49" s="245" t="s">
        <v>77</v>
      </c>
      <c r="B49" s="245"/>
    </row>
    <row r="50" spans="1:7" x14ac:dyDescent="0.25">
      <c r="A50" s="245" t="str">
        <f>(CALCULATIONS!C12)</f>
        <v>HANWHA 315 (Q.PEAK DUO BLK-G5 315)</v>
      </c>
      <c r="B50" s="24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53" t="s">
        <v>80</v>
      </c>
      <c r="B59" s="253"/>
      <c r="C59" s="253"/>
      <c r="D59" s="25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2-#6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2-#6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2-#6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2-#6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44" t="s">
        <v>104</v>
      </c>
      <c r="B70" s="244"/>
      <c r="D70" s="69" t="s">
        <v>154</v>
      </c>
    </row>
    <row r="71" spans="1:7" ht="30.75" thickTop="1" x14ac:dyDescent="0.25">
      <c r="A71" s="250" t="str">
        <f>CALCULATIONS!B13</f>
        <v>RYAN, MICHAEL-</v>
      </c>
      <c r="B71" s="25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307 LAREINE AVE
BRADLEY BEACH, NJ 07702
40.202864,-74.011474</v>
      </c>
    </row>
    <row r="73" spans="1:7" ht="15.75" customHeight="1" x14ac:dyDescent="0.25">
      <c r="A73" s="251" t="str">
        <f>CALCULATIONS!B14</f>
        <v>307 Lareine Ave
Bradley Beach, NJ 07702
40.202864,-74.011474</v>
      </c>
      <c r="B73" s="251"/>
    </row>
    <row r="75" spans="1:7" ht="18" thickBot="1" x14ac:dyDescent="0.35">
      <c r="A75" s="25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5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43586</v>
      </c>
    </row>
    <row r="78" spans="1:7" ht="18" thickBot="1" x14ac:dyDescent="0.35">
      <c r="B78" s="44" t="str">
        <f>CALCULATIONS!B22</f>
        <v>KTD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KB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11.025kW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35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JCP&amp;L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100016263160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44" t="s">
        <v>173</v>
      </c>
      <c r="B89" s="244"/>
      <c r="C89" s="24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 BASEMENT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 BASEMENT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A29" sqref="A29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356</v>
      </c>
      <c r="C3" s="202" t="s">
        <v>357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337</v>
      </c>
      <c r="C4" s="25" t="s">
        <v>338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339</v>
      </c>
      <c r="C7" s="25" t="s">
        <v>340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341</v>
      </c>
      <c r="C8" s="25" t="s">
        <v>342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418</v>
      </c>
      <c r="C9" s="25" t="s">
        <v>419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343</v>
      </c>
      <c r="C10" s="25" t="s">
        <v>344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345</v>
      </c>
      <c r="C11" s="25" t="s">
        <v>346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347</v>
      </c>
      <c r="C12" s="25" t="s">
        <v>348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349</v>
      </c>
      <c r="C13" s="25" t="s">
        <v>350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440</v>
      </c>
      <c r="C14" s="25" t="s">
        <v>441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443</v>
      </c>
      <c r="C15" s="25" t="s">
        <v>444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351</v>
      </c>
      <c r="C23" s="174" t="s">
        <v>352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333</v>
      </c>
      <c r="C24" s="25" t="s">
        <v>334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335</v>
      </c>
      <c r="C25" s="25" t="s">
        <v>336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353</v>
      </c>
      <c r="C26" s="25" t="s">
        <v>354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355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389</v>
      </c>
    </row>
    <row r="29" spans="1:9" ht="15.75" thickTop="1" x14ac:dyDescent="0.25">
      <c r="A29" s="205" t="s">
        <v>451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5" customFormat="1" x14ac:dyDescent="0.25">
      <c r="A7" s="49" t="s">
        <v>420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9" customFormat="1" x14ac:dyDescent="0.25">
      <c r="A8" s="49" t="s">
        <v>450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331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332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460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461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365</v>
      </c>
    </row>
    <row r="2" spans="1:6" ht="15.75" thickTop="1" x14ac:dyDescent="0.25">
      <c r="A2" s="205" t="s">
        <v>285</v>
      </c>
      <c r="B2" s="27"/>
      <c r="C2" s="168" t="s">
        <v>361</v>
      </c>
      <c r="F2" s="25" t="s">
        <v>366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JCP&amp;L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366</v>
      </c>
    </row>
    <row r="5" spans="1:6" x14ac:dyDescent="0.25">
      <c r="A5" s="25" t="s">
        <v>285</v>
      </c>
      <c r="C5" s="25" t="s">
        <v>274</v>
      </c>
      <c r="F5" s="25" t="s">
        <v>367</v>
      </c>
    </row>
    <row r="6" spans="1:6" x14ac:dyDescent="0.25">
      <c r="A6" s="25" t="s">
        <v>286</v>
      </c>
      <c r="C6" s="25" t="s">
        <v>275</v>
      </c>
      <c r="F6" s="25" t="s">
        <v>369</v>
      </c>
    </row>
    <row r="7" spans="1:6" x14ac:dyDescent="0.25">
      <c r="A7" s="25" t="s">
        <v>287</v>
      </c>
      <c r="C7" s="25" t="s">
        <v>276</v>
      </c>
      <c r="F7" s="25" t="s">
        <v>368</v>
      </c>
    </row>
    <row r="8" spans="1:6" x14ac:dyDescent="0.25">
      <c r="A8" s="25" t="s">
        <v>288</v>
      </c>
      <c r="C8" s="25" t="s">
        <v>277</v>
      </c>
      <c r="F8" s="25" t="s">
        <v>370</v>
      </c>
    </row>
    <row r="9" spans="1:6" x14ac:dyDescent="0.25">
      <c r="A9" s="25" t="s">
        <v>289</v>
      </c>
      <c r="C9" s="25" t="s">
        <v>278</v>
      </c>
      <c r="F9" s="25" t="s">
        <v>371</v>
      </c>
    </row>
    <row r="10" spans="1:6" x14ac:dyDescent="0.25">
      <c r="A10" s="25" t="s">
        <v>290</v>
      </c>
      <c r="C10" s="25" t="s">
        <v>279</v>
      </c>
      <c r="F10" s="25" t="s">
        <v>372</v>
      </c>
    </row>
    <row r="11" spans="1:6" x14ac:dyDescent="0.25">
      <c r="A11" s="25" t="s">
        <v>291</v>
      </c>
      <c r="C11" s="25" t="s">
        <v>280</v>
      </c>
      <c r="F11" s="25" t="s">
        <v>373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392</v>
      </c>
      <c r="C23" s="25"/>
    </row>
    <row r="24" spans="1:6" x14ac:dyDescent="0.25">
      <c r="A24" s="25" t="s">
        <v>393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RYAN, MICHAEL-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307 Lareine Ave
Bradley Beach, NJ 07702
40.202864,-74.011474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64.8425 ESTIMATED MAN HOURS</v>
      </c>
      <c r="C4" s="27"/>
      <c r="D4" s="27" t="str">
        <f>Sheet1!I6&amp;" DAYS (3 MEN)"</f>
        <v>2.7 DAYS (3 MEN)</v>
      </c>
      <c r="E4" s="27"/>
      <c r="F4" s="27" t="str">
        <f>Sheet1!I5&amp;" DAYS (4 MEN)"</f>
        <v>2.03 DAYS (4 MEN)</v>
      </c>
      <c r="G4" s="27"/>
      <c r="H4" s="27" t="str">
        <f>Sheet1!I4&amp;" DAYS (6 MEN)"</f>
        <v>1.35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35 HANWHA 315's (11.025KW)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5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35'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23 PORTRAIT &amp; 12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35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SE10000H-US000NNC2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60A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5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23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70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100'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5"/>
  <sheetViews>
    <sheetView workbookViewId="0">
      <selection activeCell="K3" sqref="K3:N43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2" t="s">
        <v>359</v>
      </c>
      <c r="B1" s="282"/>
      <c r="C1" s="282"/>
      <c r="D1" s="283"/>
    </row>
    <row r="2" spans="1:17" ht="31.5" thickTop="1" thickBot="1" x14ac:dyDescent="0.3">
      <c r="A2" s="184" t="s">
        <v>377</v>
      </c>
      <c r="B2" s="186"/>
      <c r="C2" s="185" t="s">
        <v>378</v>
      </c>
      <c r="D2" s="186"/>
      <c r="E2" s="186" t="s">
        <v>390</v>
      </c>
      <c r="G2" s="205" t="s">
        <v>391</v>
      </c>
      <c r="L2" s="206" t="s">
        <v>395</v>
      </c>
      <c r="M2" t="s">
        <v>378</v>
      </c>
      <c r="N2" t="s">
        <v>377</v>
      </c>
      <c r="P2" s="224">
        <v>34</v>
      </c>
      <c r="Q2" s="224">
        <v>8</v>
      </c>
    </row>
    <row r="3" spans="1:17" ht="15.75" thickBot="1" x14ac:dyDescent="0.3">
      <c r="A3" s="176">
        <v>1</v>
      </c>
      <c r="B3" s="187">
        <v>192</v>
      </c>
      <c r="C3" s="176">
        <v>1</v>
      </c>
      <c r="D3" s="187">
        <v>32</v>
      </c>
      <c r="E3" s="205">
        <v>34</v>
      </c>
      <c r="K3" s="205" t="s">
        <v>398</v>
      </c>
      <c r="L3" s="207">
        <v>12</v>
      </c>
      <c r="M3" s="205">
        <v>32</v>
      </c>
      <c r="N3" s="205">
        <v>192</v>
      </c>
    </row>
    <row r="4" spans="1:17" ht="15.75" thickBot="1" x14ac:dyDescent="0.3">
      <c r="A4" s="176"/>
      <c r="B4" s="187">
        <v>12</v>
      </c>
      <c r="C4" s="176"/>
      <c r="D4" s="187">
        <v>32</v>
      </c>
      <c r="E4" s="205"/>
      <c r="K4" s="205" t="s">
        <v>375</v>
      </c>
      <c r="L4" s="207">
        <v>8</v>
      </c>
      <c r="M4" s="205">
        <v>33</v>
      </c>
      <c r="N4" s="205">
        <v>12</v>
      </c>
    </row>
    <row r="5" spans="1:17" ht="15.75" thickBot="1" x14ac:dyDescent="0.3">
      <c r="A5" s="176"/>
      <c r="B5" s="187">
        <v>192</v>
      </c>
      <c r="C5" s="176"/>
      <c r="D5" s="187">
        <v>27</v>
      </c>
      <c r="E5" s="205"/>
      <c r="K5" s="205" t="s">
        <v>376</v>
      </c>
      <c r="L5" s="207">
        <v>0</v>
      </c>
      <c r="M5" s="205">
        <v>27</v>
      </c>
      <c r="N5" s="205">
        <v>192</v>
      </c>
    </row>
    <row r="6" spans="1:17" ht="15.75" thickBot="1" x14ac:dyDescent="0.3">
      <c r="A6" s="176"/>
      <c r="B6" s="187">
        <v>12</v>
      </c>
      <c r="C6" s="176"/>
      <c r="D6" s="187">
        <v>18</v>
      </c>
      <c r="E6" s="205"/>
      <c r="K6" s="205" t="s">
        <v>396</v>
      </c>
      <c r="L6" s="207">
        <v>0</v>
      </c>
      <c r="M6" s="205">
        <v>18</v>
      </c>
      <c r="N6" s="205">
        <v>12</v>
      </c>
    </row>
    <row r="7" spans="1:17" ht="15.75" thickBot="1" x14ac:dyDescent="0.3">
      <c r="A7" s="176"/>
      <c r="B7" s="187">
        <v>12</v>
      </c>
      <c r="C7" s="176"/>
      <c r="D7" s="187">
        <v>9</v>
      </c>
      <c r="E7" s="205"/>
      <c r="K7" s="205" t="s">
        <v>417</v>
      </c>
      <c r="L7" s="207">
        <v>0</v>
      </c>
      <c r="M7" s="205">
        <v>9</v>
      </c>
      <c r="N7" s="205">
        <v>12</v>
      </c>
    </row>
    <row r="8" spans="1:17" ht="15.75" thickBot="1" x14ac:dyDescent="0.3">
      <c r="A8" s="176"/>
      <c r="B8" s="187">
        <v>12</v>
      </c>
      <c r="C8" s="176"/>
      <c r="D8" s="187">
        <v>27</v>
      </c>
      <c r="E8" s="205"/>
      <c r="K8" s="205" t="s">
        <v>374</v>
      </c>
      <c r="L8" s="207">
        <v>0</v>
      </c>
      <c r="M8" s="205">
        <v>27</v>
      </c>
      <c r="N8" s="205">
        <v>12</v>
      </c>
    </row>
    <row r="9" spans="1:17" ht="15.75" thickBot="1" x14ac:dyDescent="0.3">
      <c r="A9" s="176"/>
      <c r="B9" s="187">
        <v>102</v>
      </c>
      <c r="C9" s="176"/>
      <c r="D9" s="187">
        <v>37</v>
      </c>
      <c r="E9" s="205"/>
      <c r="K9" s="205" t="s">
        <v>456</v>
      </c>
      <c r="L9" s="207">
        <v>5</v>
      </c>
      <c r="M9" s="205">
        <v>39</v>
      </c>
      <c r="N9" s="205">
        <v>102</v>
      </c>
    </row>
    <row r="10" spans="1:17" ht="15.75" thickBot="1" x14ac:dyDescent="0.3">
      <c r="A10" s="176"/>
      <c r="B10" s="187">
        <v>282</v>
      </c>
      <c r="C10" s="176"/>
      <c r="D10" s="187">
        <v>37</v>
      </c>
      <c r="E10" s="205"/>
      <c r="K10" s="205" t="s">
        <v>455</v>
      </c>
      <c r="L10" s="207">
        <v>5</v>
      </c>
      <c r="M10" s="205">
        <v>37</v>
      </c>
      <c r="N10" s="205">
        <v>282</v>
      </c>
    </row>
    <row r="11" spans="1:17" ht="15.75" thickBot="1" x14ac:dyDescent="0.3">
      <c r="A11" s="176"/>
      <c r="B11" s="187">
        <v>282</v>
      </c>
      <c r="C11" s="176"/>
      <c r="D11" s="187">
        <v>37</v>
      </c>
      <c r="E11" s="205"/>
      <c r="K11" s="205" t="s">
        <v>360</v>
      </c>
      <c r="L11" s="207">
        <v>5</v>
      </c>
      <c r="M11" s="205">
        <v>39</v>
      </c>
      <c r="N11" s="205">
        <v>282</v>
      </c>
    </row>
    <row r="12" spans="1:17" ht="15.75" thickBot="1" x14ac:dyDescent="0.3">
      <c r="A12" s="176"/>
      <c r="B12" s="187">
        <v>102</v>
      </c>
      <c r="C12" s="176"/>
      <c r="D12" s="187">
        <v>37</v>
      </c>
      <c r="E12" s="205"/>
      <c r="K12" s="205" t="s">
        <v>394</v>
      </c>
      <c r="L12" s="207">
        <v>0</v>
      </c>
      <c r="M12" s="205">
        <v>37</v>
      </c>
      <c r="N12" s="205">
        <v>102</v>
      </c>
    </row>
    <row r="13" spans="1:17" ht="15.75" thickBot="1" x14ac:dyDescent="0.3">
      <c r="A13" s="176"/>
      <c r="B13" s="187">
        <v>102</v>
      </c>
      <c r="C13" s="176"/>
      <c r="D13" s="187">
        <v>18</v>
      </c>
      <c r="E13" s="205"/>
      <c r="K13" s="205" t="s">
        <v>462</v>
      </c>
      <c r="L13" s="207">
        <v>0</v>
      </c>
      <c r="M13" s="205">
        <v>18</v>
      </c>
      <c r="N13" s="205">
        <v>102</v>
      </c>
    </row>
    <row r="14" spans="1:17" ht="15.75" thickBot="1" x14ac:dyDescent="0.3">
      <c r="A14" s="176"/>
      <c r="B14" s="187">
        <v>102</v>
      </c>
      <c r="C14" s="176"/>
      <c r="D14" s="187">
        <v>27</v>
      </c>
      <c r="E14" s="205"/>
      <c r="K14" s="205" t="s">
        <v>463</v>
      </c>
      <c r="L14" s="207">
        <v>0</v>
      </c>
      <c r="M14" s="205">
        <v>27</v>
      </c>
      <c r="N14" s="205">
        <v>102</v>
      </c>
    </row>
    <row r="15" spans="1:17" ht="15.75" thickBot="1" x14ac:dyDescent="0.3">
      <c r="A15" s="176"/>
      <c r="B15" s="187">
        <v>282</v>
      </c>
      <c r="C15" s="176"/>
      <c r="D15" s="187">
        <v>27</v>
      </c>
      <c r="E15" s="205"/>
      <c r="K15" s="205" t="s">
        <v>464</v>
      </c>
      <c r="L15" s="207">
        <v>0</v>
      </c>
      <c r="M15" s="205">
        <v>27</v>
      </c>
      <c r="N15" s="205">
        <v>282</v>
      </c>
    </row>
    <row r="16" spans="1:17" ht="15.75" thickBot="1" x14ac:dyDescent="0.3">
      <c r="A16" s="176"/>
      <c r="B16" s="187">
        <v>282</v>
      </c>
      <c r="C16" s="176"/>
      <c r="D16" s="187">
        <v>9</v>
      </c>
      <c r="E16" s="205"/>
      <c r="K16" s="205" t="s">
        <v>465</v>
      </c>
      <c r="L16" s="207">
        <v>0</v>
      </c>
      <c r="M16" s="205">
        <v>9</v>
      </c>
      <c r="N16" s="205">
        <v>282</v>
      </c>
    </row>
    <row r="17" spans="1:5" ht="15.75" thickBot="1" x14ac:dyDescent="0.3">
      <c r="A17" s="176">
        <v>2</v>
      </c>
      <c r="B17" s="187"/>
      <c r="C17" s="176">
        <v>2</v>
      </c>
      <c r="D17" s="187"/>
      <c r="E17" s="186" t="str">
        <f>IF(ISNUMBER(E3:E16),ROUNDDOWN(E3:E16,0),"")</f>
        <v/>
      </c>
    </row>
    <row r="18" spans="1:5" ht="15.75" thickBot="1" x14ac:dyDescent="0.3">
      <c r="A18" s="176">
        <v>3</v>
      </c>
      <c r="B18" s="187"/>
      <c r="C18" s="176">
        <v>3</v>
      </c>
      <c r="D18" s="187"/>
      <c r="E18" s="186" t="str">
        <f>IF(E17&lt;&gt;"",12*(E3:E16-E17),"")</f>
        <v/>
      </c>
    </row>
    <row r="19" spans="1:5" ht="15.75" thickBot="1" x14ac:dyDescent="0.3">
      <c r="A19" s="176">
        <v>4</v>
      </c>
      <c r="B19" s="187"/>
      <c r="C19" s="176">
        <v>4</v>
      </c>
      <c r="D19" s="187"/>
      <c r="E19" s="186"/>
    </row>
    <row r="20" spans="1:5" ht="15.75" thickBot="1" x14ac:dyDescent="0.3">
      <c r="A20" s="176">
        <v>5</v>
      </c>
      <c r="B20" s="187"/>
      <c r="C20" s="176">
        <v>5</v>
      </c>
      <c r="D20" s="187"/>
      <c r="E20" s="186"/>
    </row>
    <row r="21" spans="1:5" ht="15.75" thickBot="1" x14ac:dyDescent="0.3">
      <c r="A21" s="177">
        <v>6</v>
      </c>
      <c r="B21" s="187"/>
      <c r="C21" s="176">
        <v>6</v>
      </c>
      <c r="D21" s="187"/>
      <c r="E21" s="186"/>
    </row>
    <row r="22" spans="1:5" ht="15.75" thickBot="1" x14ac:dyDescent="0.3">
      <c r="A22" s="177">
        <v>7</v>
      </c>
      <c r="B22" s="187"/>
      <c r="C22" s="176">
        <v>7</v>
      </c>
      <c r="D22" s="187"/>
      <c r="E22" s="186"/>
    </row>
    <row r="23" spans="1:5" ht="15.75" thickBot="1" x14ac:dyDescent="0.3">
      <c r="A23" s="177">
        <v>8</v>
      </c>
      <c r="B23" s="187"/>
      <c r="C23" s="176">
        <v>8</v>
      </c>
      <c r="D23" s="187"/>
      <c r="E23" s="186"/>
    </row>
    <row r="24" spans="1:5" x14ac:dyDescent="0.25">
      <c r="A24" s="177"/>
      <c r="B24" s="54"/>
      <c r="D24" s="54"/>
    </row>
    <row r="25" spans="1:5" x14ac:dyDescent="0.25">
      <c r="A25" s="177"/>
      <c r="B25" s="54"/>
      <c r="D25" s="54"/>
    </row>
    <row r="26" spans="1:5" x14ac:dyDescent="0.25">
      <c r="A26" s="177"/>
      <c r="B26" s="54"/>
      <c r="D26" s="54"/>
    </row>
    <row r="27" spans="1:5" x14ac:dyDescent="0.25">
      <c r="A27" s="177"/>
      <c r="B27" s="54"/>
      <c r="D27" s="54"/>
    </row>
    <row r="28" spans="1:5" x14ac:dyDescent="0.25">
      <c r="A28" s="177"/>
      <c r="B28" s="54"/>
      <c r="D28" s="54"/>
    </row>
    <row r="29" spans="1:5" x14ac:dyDescent="0.25">
      <c r="A29" s="177"/>
      <c r="B29" s="54"/>
      <c r="D29" s="54"/>
    </row>
    <row r="30" spans="1:5" x14ac:dyDescent="0.25">
      <c r="A30" s="177"/>
      <c r="B30" s="54"/>
      <c r="D30" s="54"/>
    </row>
    <row r="31" spans="1:5" x14ac:dyDescent="0.25">
      <c r="A31" s="177"/>
      <c r="B31" s="54"/>
      <c r="D31" s="54"/>
    </row>
    <row r="32" spans="1:5" x14ac:dyDescent="0.25">
      <c r="A32" s="177"/>
      <c r="B32" s="54"/>
      <c r="D32" s="54"/>
    </row>
    <row r="33" spans="1:11" x14ac:dyDescent="0.25">
      <c r="A33" s="177"/>
      <c r="B33" s="54"/>
      <c r="D33" s="54"/>
    </row>
    <row r="34" spans="1:11" x14ac:dyDescent="0.25">
      <c r="A34" s="177"/>
      <c r="B34" s="54"/>
      <c r="D34" s="54"/>
      <c r="K34" s="4"/>
    </row>
    <row r="35" spans="1:11" x14ac:dyDescent="0.25">
      <c r="A35" s="177"/>
      <c r="B35" s="54"/>
      <c r="D35" s="54"/>
      <c r="K35" s="4"/>
    </row>
    <row r="36" spans="1:11" x14ac:dyDescent="0.25">
      <c r="A36" s="177"/>
      <c r="B36" s="54"/>
      <c r="D36" s="54"/>
      <c r="K36" s="4"/>
    </row>
    <row r="37" spans="1:11" x14ac:dyDescent="0.25">
      <c r="A37" s="177"/>
      <c r="B37" s="54"/>
      <c r="D37" s="54"/>
    </row>
    <row r="38" spans="1:11" x14ac:dyDescent="0.25">
      <c r="A38" s="177"/>
      <c r="B38" s="54"/>
      <c r="D38" s="54"/>
    </row>
    <row r="39" spans="1:11" x14ac:dyDescent="0.25">
      <c r="A39" s="177"/>
      <c r="B39" s="54"/>
      <c r="C39" s="4"/>
      <c r="D39" s="54"/>
    </row>
    <row r="40" spans="1:11" x14ac:dyDescent="0.25">
      <c r="A40" s="177"/>
      <c r="B40" s="54"/>
      <c r="C40" s="4"/>
      <c r="D40" s="54"/>
    </row>
    <row r="41" spans="1:11" x14ac:dyDescent="0.25">
      <c r="A41" s="177"/>
      <c r="B41" s="54"/>
      <c r="C41" s="4"/>
      <c r="D41" s="54"/>
    </row>
    <row r="42" spans="1:11" x14ac:dyDescent="0.25">
      <c r="A42" s="182"/>
      <c r="C42" s="190"/>
      <c r="D42" s="183"/>
    </row>
    <row r="43" spans="1:11" x14ac:dyDescent="0.25">
      <c r="C43" s="191"/>
    </row>
    <row r="44" spans="1:11" x14ac:dyDescent="0.25">
      <c r="C44" s="191"/>
    </row>
    <row r="45" spans="1:11" x14ac:dyDescent="0.25">
      <c r="C45" s="191"/>
    </row>
  </sheetData>
  <sheetProtection selectLockedCells="1"/>
  <mergeCells count="1">
    <mergeCell ref="A1:D1"/>
  </mergeCells>
  <conditionalFormatting sqref="L3:L56">
    <cfRule type="cellIs" dxfId="3" priority="11" operator="greaterThan">
      <formula>0</formula>
    </cfRule>
  </conditionalFormatting>
  <conditionalFormatting sqref="M3:M16">
    <cfRule type="expression" dxfId="2" priority="10">
      <formula>$L$3&gt;0</formula>
    </cfRule>
  </conditionalFormatting>
  <conditionalFormatting sqref="K3:K16">
    <cfRule type="expression" dxfId="1" priority="8">
      <formula>$L$3&gt;0</formula>
    </cfRule>
  </conditionalFormatting>
  <conditionalFormatting sqref="N3:N16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6" sqref="C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4" t="s">
        <v>197</v>
      </c>
      <c r="C2" s="285"/>
      <c r="E2" s="284" t="s">
        <v>200</v>
      </c>
      <c r="F2" s="28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6" t="s">
        <v>212</v>
      </c>
      <c r="C14" s="287"/>
      <c r="D14" s="287"/>
      <c r="E14" s="28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>
        <v>8</v>
      </c>
      <c r="D16" s="113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>3.6600000000000001E-2</v>
      </c>
      <c r="E16" s="100">
        <f>IF(D16="","",(B16*D16))</f>
        <v>7.3200000000000001E-2</v>
      </c>
    </row>
    <row r="17" spans="2:6" x14ac:dyDescent="0.25">
      <c r="B17" s="98">
        <v>1</v>
      </c>
      <c r="C17" s="99">
        <v>8</v>
      </c>
      <c r="D17" s="113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>3.6600000000000001E-2</v>
      </c>
      <c r="E17" s="100">
        <f>IF(D17="","",(B17*D17))</f>
        <v>3.6600000000000001E-2</v>
      </c>
      <c r="F17" s="96"/>
    </row>
    <row r="18" spans="2:6" x14ac:dyDescent="0.25">
      <c r="B18" s="98">
        <v>1</v>
      </c>
      <c r="C18" s="99">
        <v>8</v>
      </c>
      <c r="D18" s="113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>3.6600000000000001E-2</v>
      </c>
      <c r="E18" s="100">
        <f>IF(D18="","",(B18*D18))</f>
        <v>3.6600000000000001E-2</v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0.1464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>0.75</v>
      </c>
      <c r="D25" s="4"/>
      <c r="E25" s="4"/>
      <c r="F25" s="96"/>
    </row>
    <row r="26" spans="2:6" x14ac:dyDescent="0.25">
      <c r="B26" s="101" t="s">
        <v>209</v>
      </c>
      <c r="C26" s="97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>0.75</v>
      </c>
      <c r="D26" s="4"/>
      <c r="E26" s="4"/>
    </row>
    <row r="27" spans="2:6" x14ac:dyDescent="0.25">
      <c r="B27" s="101" t="s">
        <v>210</v>
      </c>
      <c r="C27" s="97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>0.75</v>
      </c>
      <c r="D27" s="4"/>
      <c r="E27" s="4"/>
    </row>
    <row r="28" spans="2:6" x14ac:dyDescent="0.25">
      <c r="B28" s="101" t="s">
        <v>211</v>
      </c>
      <c r="C28" s="97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>0.75</v>
      </c>
      <c r="D28" s="4"/>
      <c r="E28" s="4"/>
    </row>
  </sheetData>
  <sheetProtection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91" zoomScale="85" zoomScaleNormal="85" workbookViewId="0">
      <selection activeCell="C92" sqref="C92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SE10000H-US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10000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10000</v>
      </c>
      <c r="R3" s="143" t="s">
        <v>309</v>
      </c>
    </row>
    <row r="4" spans="1:18" x14ac:dyDescent="0.25">
      <c r="A4" s="144" t="s">
        <v>16</v>
      </c>
      <c r="B4" s="145">
        <f>FORM!B8</f>
        <v>18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17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422</v>
      </c>
    </row>
    <row r="6" spans="1:18" x14ac:dyDescent="0.25">
      <c r="A6" s="147" t="s">
        <v>28</v>
      </c>
      <c r="B6" s="145">
        <f>FORM!B11</f>
        <v>35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89" t="s">
        <v>125</v>
      </c>
      <c r="L6" s="290"/>
      <c r="M6" s="290"/>
      <c r="N6" s="290"/>
      <c r="O6" s="290"/>
      <c r="P6" s="291"/>
      <c r="R6" s="143" t="str">
        <f>RIGHT(R5,LEN(R5)-FIND("&gt;",R5))</f>
        <v>Bradley Beach Borough&lt;/a&gt;</v>
      </c>
    </row>
    <row r="7" spans="1:18" x14ac:dyDescent="0.25">
      <c r="B7" s="148">
        <f>IF(B4&gt;0,B4,"")</f>
        <v>18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Bradley Beach Borough</v>
      </c>
    </row>
    <row r="8" spans="1:18" x14ac:dyDescent="0.25">
      <c r="B8" s="148">
        <f>IF(AND(OR(B3=2,B3=3),B5=0),B4,IF(AND(OR(B3=2,B3=3),B5&lt;&gt;0),B5,""))</f>
        <v>17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</row>
    <row r="12" spans="1:18" x14ac:dyDescent="0.25">
      <c r="A12" s="146" t="s">
        <v>32</v>
      </c>
      <c r="B12" s="143">
        <f>SUM(B7:F11)+I27</f>
        <v>35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</row>
    <row r="13" spans="1:18" ht="15.75" x14ac:dyDescent="0.25">
      <c r="A13" s="154" t="s">
        <v>20</v>
      </c>
      <c r="B13" s="143" t="str">
        <f>UPPER(FORM!B13)</f>
        <v>RYAN, MICHAEL-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307 Lareine Ave
Bradley Beach, NJ 07702
40.202864,-74.011474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43586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150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2019-04-338601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JCP&amp;L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100016263160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W59132308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KTD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KB</v>
      </c>
    </row>
    <row r="25" spans="1:16" ht="15.75" x14ac:dyDescent="0.25">
      <c r="A25" s="160" t="s">
        <v>34</v>
      </c>
      <c r="B25" s="155">
        <f>IF(FORM!B31="","",FORM!B31)</f>
        <v>43663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5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SE10000H-US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27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42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11025</v>
      </c>
      <c r="C34" s="143" t="s">
        <v>48</v>
      </c>
      <c r="D34" s="143">
        <f>B34/1000</f>
        <v>11.025</v>
      </c>
      <c r="E34" s="143" t="s">
        <v>49</v>
      </c>
    </row>
    <row r="35" spans="1:16" x14ac:dyDescent="0.25">
      <c r="A35" s="153" t="s">
        <v>52</v>
      </c>
      <c r="B35" s="143">
        <f>SUM(B33:F33)*1.25</f>
        <v>52.5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60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27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16.2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18 MODULES IN SERIES - 400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>1 STRING OF 17 MODULES IN SERIES - 400 Vmax</v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383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2-#6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92" t="s">
        <v>449</v>
      </c>
      <c r="H47" s="29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1" t="s">
        <v>365</v>
      </c>
      <c r="H49" s="231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1" t="s">
        <v>0</v>
      </c>
      <c r="H50" s="231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1" t="s">
        <v>448</v>
      </c>
      <c r="H51" s="231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2-#6 THWN-2, 1-#10 THWN-2, 1-#10 THWN-2 GROUND</v>
      </c>
      <c r="D52" s="143">
        <f>IF(C52="","",8)</f>
        <v>8</v>
      </c>
      <c r="G52" s="231" t="s">
        <v>445</v>
      </c>
      <c r="H52" s="238">
        <f>IF(CALCULATIONS!B35&gt;100,"SIZE ACCORDINGLY",IF(CALCULATIONS!B35&gt;85,3,IF(CALCULATIONS!B35&gt;65,4,IF(AND(CALCULATIONS!B35&gt;50,CALCULATIONS!B35&lt;=60),6,IF(CALCULATIONS!B35&gt;50,6,IF(CALCULATIONS!B35&gt;30,8,10))))))</f>
        <v>6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1" t="s">
        <v>446</v>
      </c>
      <c r="H53" s="238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1" t="s">
        <v>447</v>
      </c>
      <c r="H54" s="238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86" t="s">
        <v>212</v>
      </c>
      <c r="H56" s="287"/>
      <c r="I56" s="287"/>
      <c r="J56" s="28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1-#8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6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5.0700000000000002E-2</v>
      </c>
      <c r="J58" s="100">
        <f>IF(I58="","",(G58*I58))</f>
        <v>0.1014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0.14360000000000001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2-#6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0.75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35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)</f>
        <v>SE10000H-US000NNC2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23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12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310.5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320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23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60A FUSES</v>
      </c>
      <c r="D74" s="143">
        <f>IF(C74="","",9)</f>
        <v>9</v>
      </c>
      <c r="E74" s="143">
        <v>1</v>
      </c>
    </row>
    <row r="75" spans="1:9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</row>
    <row r="76" spans="1:9" x14ac:dyDescent="0.25"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5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23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70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386</v>
      </c>
      <c r="C118" s="195"/>
    </row>
    <row r="119" spans="1:7" ht="15.75" thickTop="1" x14ac:dyDescent="0.25">
      <c r="B119" s="143">
        <f>(CALCULATIONS!B12)</f>
        <v>35</v>
      </c>
      <c r="C119" s="143" t="str">
        <f>(CALCULATIONS!C12)</f>
        <v>HANWHA 315 (Q.PEAK DUO BLK-G5 315)</v>
      </c>
      <c r="E119" s="208" t="s">
        <v>397</v>
      </c>
      <c r="F119" s="143" t="s">
        <v>378</v>
      </c>
      <c r="G119" s="143" t="s">
        <v>377</v>
      </c>
    </row>
    <row r="120" spans="1:7" x14ac:dyDescent="0.25">
      <c r="B120" s="143">
        <f>(IF(C120="","",1))</f>
        <v>1</v>
      </c>
      <c r="C120" s="143" t="str">
        <f>(IF(CALCULATIONS!B2=0,"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)</f>
        <v>SE10000H-US000NNC2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(IF(CALCULATIONS!C2=0,"",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))))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(IF(CALCULATIONS!D2=0,"",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))))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(IF(CALCULATIONS!E2=0,"",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))))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>Roof10S</v>
      </c>
      <c r="F129" s="211" t="str">
        <f>IF('CURRENT EXCEL ROOFS'!K12&lt;&gt;"",CONCATENATE(SUBSTITUTE('CURRENT EXCEL ROOFS'!K12," ",""),"PS"),IF('CURRENT EXCEL ROOFS'!K12="","",""))</f>
        <v>Roof10PS</v>
      </c>
      <c r="G129" s="211" t="str">
        <f>IF('CURRENT EXCEL ROOFS'!K12&lt;&gt;"",CONCATENATE(SUBSTITUTE('CURRENT EXCEL ROOFS'!K12," ",""),"OS"),IF('CURRENT EXCEL ROOFS'!K12="","",""))</f>
        <v>Roof10OS</v>
      </c>
    </row>
    <row r="130" spans="5:7" x14ac:dyDescent="0.25">
      <c r="E130" s="209" t="str">
        <f>IF('CURRENT EXCEL ROOFS'!K13&lt;&gt;"",CONCATENATE(SUBSTITUTE('CURRENT EXCEL ROOFS'!K13," ",""),"S"),IF('CURRENT EXCEL ROOFS'!K13="","",""))</f>
        <v>Roof11S</v>
      </c>
      <c r="F130" s="211" t="str">
        <f>IF('CURRENT EXCEL ROOFS'!K13&lt;&gt;"",CONCATENATE(SUBSTITUTE('CURRENT EXCEL ROOFS'!K13," ",""),"PS"),IF('CURRENT EXCEL ROOFS'!K13="","",""))</f>
        <v>Roof11PS</v>
      </c>
      <c r="G130" s="211" t="str">
        <f>IF('CURRENT EXCEL ROOFS'!K13&lt;&gt;"",CONCATENATE(SUBSTITUTE('CURRENT EXCEL ROOFS'!K13," ",""),"OS"),IF('CURRENT EXCEL ROOFS'!K13="","",""))</f>
        <v>Roof11OS</v>
      </c>
    </row>
    <row r="131" spans="5:7" x14ac:dyDescent="0.25">
      <c r="E131" s="209" t="str">
        <f>IF('CURRENT EXCEL ROOFS'!K14&lt;&gt;"",CONCATENATE(SUBSTITUTE('CURRENT EXCEL ROOFS'!K14," ",""),"S"),IF('CURRENT EXCEL ROOFS'!K14="","",""))</f>
        <v>Roof12S</v>
      </c>
      <c r="F131" s="211" t="str">
        <f>IF('CURRENT EXCEL ROOFS'!K14&lt;&gt;"",CONCATENATE(SUBSTITUTE('CURRENT EXCEL ROOFS'!K14," ",""),"PS"),IF('CURRENT EXCEL ROOFS'!K14="","",""))</f>
        <v>Roof12PS</v>
      </c>
      <c r="G131" s="211" t="str">
        <f>IF('CURRENT EXCEL ROOFS'!K14&lt;&gt;"",CONCATENATE(SUBSTITUTE('CURRENT EXCEL ROOFS'!K14," ",""),"OS"),IF('CURRENT EXCEL ROOFS'!K14="","",""))</f>
        <v>Roof12OS</v>
      </c>
    </row>
    <row r="132" spans="5:7" x14ac:dyDescent="0.25">
      <c r="E132" s="209" t="str">
        <f>IF('CURRENT EXCEL ROOFS'!K15&lt;&gt;"",CONCATENATE(SUBSTITUTE('CURRENT EXCEL ROOFS'!K15," ",""),"S"),IF('CURRENT EXCEL ROOFS'!K15="","",""))</f>
        <v>Roof13S</v>
      </c>
      <c r="F132" s="211" t="str">
        <f>IF('CURRENT EXCEL ROOFS'!K15&lt;&gt;"",CONCATENATE(SUBSTITUTE('CURRENT EXCEL ROOFS'!K15," ",""),"PS"),IF('CURRENT EXCEL ROOFS'!K15="","",""))</f>
        <v>Roof13PS</v>
      </c>
      <c r="G132" s="211" t="str">
        <f>IF('CURRENT EXCEL ROOFS'!K15&lt;&gt;"",CONCATENATE(SUBSTITUTE('CURRENT EXCEL ROOFS'!K15," ",""),"OS"),IF('CURRENT EXCEL ROOFS'!K15="","",""))</f>
        <v>Roof13OS</v>
      </c>
    </row>
    <row r="133" spans="5:7" x14ac:dyDescent="0.25">
      <c r="E133" s="209" t="str">
        <f>IF('CURRENT EXCEL ROOFS'!K16&lt;&gt;"",CONCATENATE(SUBSTITUTE('CURRENT EXCEL ROOFS'!K16," ",""),"S"),IF('CURRENT EXCEL ROOFS'!K16="","",""))</f>
        <v>Roof14S</v>
      </c>
      <c r="F133" s="211" t="str">
        <f>IF('CURRENT EXCEL ROOFS'!K16&lt;&gt;"",CONCATENATE(SUBSTITUTE('CURRENT EXCEL ROOFS'!K16," ",""),"PS"),IF('CURRENT EXCEL ROOFS'!K16="","",""))</f>
        <v>Roof14PS</v>
      </c>
      <c r="G133" s="211" t="str">
        <f>IF('CURRENT EXCEL ROOFS'!K16&lt;&gt;"",CONCATENATE(SUBSTITUTE('CURRENT EXCEL ROOFS'!K16," ",""),"OS"),IF('CURRENT EXCEL ROOFS'!K16="","",""))</f>
        <v>Roof14OS</v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6" t="str">
        <f>IF('CURRENT EXCEL ROOFS'!K24&lt;&gt;"",CONCATENATE(SUBSTITUTE('CURRENT EXCEL ROOFS'!K24," ",""),"S"),IF('CURRENT EXCEL ROOFS'!K24="","",""))</f>
        <v/>
      </c>
      <c r="F141" s="236" t="str">
        <f>IF('CURRENT EXCEL ROOFS'!K24&lt;&gt;"",CONCATENATE(SUBSTITUTE('CURRENT EXCEL ROOFS'!K24," ",""),"PS"),IF('CURRENT EXCEL ROOFS'!K24="","",""))</f>
        <v/>
      </c>
      <c r="G141" s="236" t="str">
        <f>IF('CURRENT EXCEL ROOFS'!K24&lt;&gt;"",CONCATENATE(SUBSTITUTE('CURRENT EXCEL ROOFS'!K24," ",""),"OS"),IF('CURRENT EXCEL ROOFS'!K24="","",""))</f>
        <v/>
      </c>
    </row>
    <row r="142" spans="5:7" x14ac:dyDescent="0.25">
      <c r="E142" s="236" t="str">
        <f>IF('CURRENT EXCEL ROOFS'!K25&lt;&gt;"",CONCATENATE(SUBSTITUTE('CURRENT EXCEL ROOFS'!K25," ",""),"S"),IF('CURRENT EXCEL ROOFS'!K25="","",""))</f>
        <v/>
      </c>
      <c r="F142" s="236" t="str">
        <f>IF('CURRENT EXCEL ROOFS'!K25&lt;&gt;"",CONCATENATE(SUBSTITUTE('CURRENT EXCEL ROOFS'!K25," ",""),"PS"),IF('CURRENT EXCEL ROOFS'!K25="","",""))</f>
        <v/>
      </c>
      <c r="G142" s="236" t="str">
        <f>IF('CURRENT EXCEL ROOFS'!K25&lt;&gt;"",CONCATENATE(SUBSTITUTE('CURRENT EXCEL ROOFS'!K25," ",""),"OS"),IF('CURRENT EXCEL ROOFS'!K25="","",""))</f>
        <v/>
      </c>
    </row>
    <row r="143" spans="5:7" x14ac:dyDescent="0.25">
      <c r="E143" s="236" t="str">
        <f>IF('CURRENT EXCEL ROOFS'!K26&lt;&gt;"",CONCATENATE(SUBSTITUTE('CURRENT EXCEL ROOFS'!K26," ",""),"S"),IF('CURRENT EXCEL ROOFS'!K26="","",""))</f>
        <v/>
      </c>
      <c r="F143" s="236" t="str">
        <f>IF('CURRENT EXCEL ROOFS'!K26&lt;&gt;"",CONCATENATE(SUBSTITUTE('CURRENT EXCEL ROOFS'!K26," ",""),"PS"),IF('CURRENT EXCEL ROOFS'!K26="","",""))</f>
        <v/>
      </c>
      <c r="G143" s="236" t="str">
        <f>IF('CURRENT EXCEL ROOFS'!K26&lt;&gt;"",CONCATENATE(SUBSTITUTE('CURRENT EXCEL ROOFS'!K26," ",""),"OS"),IF('CURRENT EXCEL ROOFS'!K26="","",""))</f>
        <v/>
      </c>
    </row>
    <row r="144" spans="5:7" x14ac:dyDescent="0.25">
      <c r="E144" s="236" t="str">
        <f>IF('CURRENT EXCEL ROOFS'!K27&lt;&gt;"",CONCATENATE(SUBSTITUTE('CURRENT EXCEL ROOFS'!K27," ",""),"S"),IF('CURRENT EXCEL ROOFS'!K27="","",""))</f>
        <v/>
      </c>
      <c r="F144" s="236" t="str">
        <f>IF('CURRENT EXCEL ROOFS'!K27&lt;&gt;"",CONCATENATE(SUBSTITUTE('CURRENT EXCEL ROOFS'!K27," ",""),"PS"),IF('CURRENT EXCEL ROOFS'!K27="","",""))</f>
        <v/>
      </c>
      <c r="G144" s="236" t="str">
        <f>IF('CURRENT EXCEL ROOFS'!K27&lt;&gt;"",CONCATENATE(SUBSTITUTE('CURRENT EXCEL ROOFS'!K27," ",""),"OS"),IF('CURRENT EXCEL ROOFS'!K27="","",""))</f>
        <v/>
      </c>
    </row>
    <row r="145" spans="5:7" x14ac:dyDescent="0.25">
      <c r="E145" s="236" t="str">
        <f>IF('CURRENT EXCEL ROOFS'!K28&lt;&gt;"",CONCATENATE(SUBSTITUTE('CURRENT EXCEL ROOFS'!K28," ",""),"S"),IF('CURRENT EXCEL ROOFS'!K28="","",""))</f>
        <v/>
      </c>
      <c r="F145" s="236" t="str">
        <f>IF('CURRENT EXCEL ROOFS'!K28&lt;&gt;"",CONCATENATE(SUBSTITUTE('CURRENT EXCEL ROOFS'!K28," ",""),"PS"),IF('CURRENT EXCEL ROOFS'!K28="","",""))</f>
        <v/>
      </c>
      <c r="G145" s="236" t="str">
        <f>IF('CURRENT EXCEL ROOFS'!K28&lt;&gt;"",CONCATENATE(SUBSTITUTE('CURRENT EXCEL ROOFS'!K28," ",""),"OS"),IF('CURRENT EXCEL ROOFS'!K28="","",""))</f>
        <v/>
      </c>
    </row>
    <row r="146" spans="5:7" x14ac:dyDescent="0.25">
      <c r="E146" s="236" t="str">
        <f>IF('CURRENT EXCEL ROOFS'!K29&lt;&gt;"",CONCATENATE(SUBSTITUTE('CURRENT EXCEL ROOFS'!K29," ",""),"S"),IF('CURRENT EXCEL ROOFS'!K29="","",""))</f>
        <v/>
      </c>
      <c r="F146" s="236" t="str">
        <f>IF('CURRENT EXCEL ROOFS'!K29&lt;&gt;"",CONCATENATE(SUBSTITUTE('CURRENT EXCEL ROOFS'!K29," ",""),"PS"),IF('CURRENT EXCEL ROOFS'!K29="","",""))</f>
        <v/>
      </c>
      <c r="G146" s="236" t="str">
        <f>IF('CURRENT EXCEL ROOFS'!K29&lt;&gt;"",CONCATENATE(SUBSTITUTE('CURRENT EXCEL ROOFS'!K29," ",""),"OS"),IF('CURRENT EXCEL ROOFS'!K29="","",""))</f>
        <v/>
      </c>
    </row>
    <row r="147" spans="5:7" x14ac:dyDescent="0.25">
      <c r="E147" s="236" t="str">
        <f>IF('CURRENT EXCEL ROOFS'!K30&lt;&gt;"",CONCATENATE(SUBSTITUTE('CURRENT EXCEL ROOFS'!K30," ",""),"S"),IF('CURRENT EXCEL ROOFS'!K30="","",""))</f>
        <v/>
      </c>
      <c r="F147" s="236" t="str">
        <f>IF('CURRENT EXCEL ROOFS'!K30&lt;&gt;"",CONCATENATE(SUBSTITUTE('CURRENT EXCEL ROOFS'!K30," ",""),"PS"),IF('CURRENT EXCEL ROOFS'!K30="","",""))</f>
        <v/>
      </c>
      <c r="G147" s="236" t="str">
        <f>IF('CURRENT EXCEL ROOFS'!K30&lt;&gt;"",CONCATENATE(SUBSTITUTE('CURRENT EXCEL ROOFS'!K30," ",""),"OS"),IF('CURRENT EXCEL ROOFS'!K30="","",""))</f>
        <v/>
      </c>
    </row>
    <row r="148" spans="5:7" x14ac:dyDescent="0.25">
      <c r="E148" s="236" t="str">
        <f>IF('CURRENT EXCEL ROOFS'!K31&lt;&gt;"",CONCATENATE(SUBSTITUTE('CURRENT EXCEL ROOFS'!K31," ",""),"S"),IF('CURRENT EXCEL ROOFS'!K31="","",""))</f>
        <v/>
      </c>
      <c r="F148" s="236" t="str">
        <f>IF('CURRENT EXCEL ROOFS'!K31&lt;&gt;"",CONCATENATE(SUBSTITUTE('CURRENT EXCEL ROOFS'!K31," ",""),"PS"),IF('CURRENT EXCEL ROOFS'!K31="","",""))</f>
        <v/>
      </c>
      <c r="G148" s="236" t="str">
        <f>IF('CURRENT EXCEL ROOFS'!K31&lt;&gt;"",CONCATENATE(SUBSTITUTE('CURRENT EXCEL ROOFS'!K31," ",""),"OS"),IF('CURRENT EXCEL ROOFS'!K31="","",""))</f>
        <v/>
      </c>
    </row>
    <row r="149" spans="5:7" x14ac:dyDescent="0.25">
      <c r="E149" s="236" t="str">
        <f>IF('CURRENT EXCEL ROOFS'!K32&lt;&gt;"",CONCATENATE(SUBSTITUTE('CURRENT EXCEL ROOFS'!K32," ",""),"S"),IF('CURRENT EXCEL ROOFS'!K32="","",""))</f>
        <v/>
      </c>
      <c r="F149" s="236" t="str">
        <f>IF('CURRENT EXCEL ROOFS'!K32&lt;&gt;"",CONCATENATE(SUBSTITUTE('CURRENT EXCEL ROOFS'!K32," ",""),"PS"),IF('CURRENT EXCEL ROOFS'!K32="","",""))</f>
        <v/>
      </c>
      <c r="G149" s="236" t="str">
        <f>IF('CURRENT EXCEL ROOFS'!K32&lt;&gt;"",CONCATENATE(SUBSTITUTE('CURRENT EXCEL ROOFS'!K32," ",""),"OS"),IF('CURRENT EXCEL ROOFS'!K32="","",""))</f>
        <v/>
      </c>
    </row>
    <row r="150" spans="5:7" x14ac:dyDescent="0.25">
      <c r="E150" s="236" t="str">
        <f>IF('CURRENT EXCEL ROOFS'!K33&lt;&gt;"",CONCATENATE(SUBSTITUTE('CURRENT EXCEL ROOFS'!K33," ",""),"S"),IF('CURRENT EXCEL ROOFS'!K33="","",""))</f>
        <v/>
      </c>
      <c r="F150" s="236" t="str">
        <f>IF('CURRENT EXCEL ROOFS'!K33&lt;&gt;"",CONCATENATE(SUBSTITUTE('CURRENT EXCEL ROOFS'!K33," ",""),"PS"),IF('CURRENT EXCEL ROOFS'!K33="","",""))</f>
        <v/>
      </c>
      <c r="G150" s="236" t="str">
        <f>IF('CURRENT EXCEL ROOFS'!K33&lt;&gt;"",CONCATENATE(SUBSTITUTE('CURRENT EXCEL ROOFS'!K33," ",""),"OS"),IF('CURRENT EXCEL ROOFS'!K33="","",""))</f>
        <v/>
      </c>
    </row>
    <row r="151" spans="5:7" x14ac:dyDescent="0.25">
      <c r="E151" s="236" t="str">
        <f>IF('CURRENT EXCEL ROOFS'!K34&lt;&gt;"",CONCATENATE(SUBSTITUTE('CURRENT EXCEL ROOFS'!K34," ",""),"S"),IF('CURRENT EXCEL ROOFS'!K34="","",""))</f>
        <v/>
      </c>
      <c r="F151" s="236" t="str">
        <f>IF('CURRENT EXCEL ROOFS'!K34&lt;&gt;"",CONCATENATE(SUBSTITUTE('CURRENT EXCEL ROOFS'!K34," ",""),"PS"),IF('CURRENT EXCEL ROOFS'!K34="","",""))</f>
        <v/>
      </c>
      <c r="G151" s="236" t="str">
        <f>IF('CURRENT EXCEL ROOFS'!K34&lt;&gt;"",CONCATENATE(SUBSTITUTE('CURRENT EXCEL ROOFS'!K34," ",""),"OS"),IF('CURRENT EXCEL ROOFS'!K34="","",""))</f>
        <v/>
      </c>
    </row>
    <row r="152" spans="5:7" x14ac:dyDescent="0.25">
      <c r="E152" s="236" t="str">
        <f>IF('CURRENT EXCEL ROOFS'!K35&lt;&gt;"",CONCATENATE(SUBSTITUTE('CURRENT EXCEL ROOFS'!K35," ",""),"S"),IF('CURRENT EXCEL ROOFS'!K35="","",""))</f>
        <v/>
      </c>
      <c r="F152" s="236" t="str">
        <f>IF('CURRENT EXCEL ROOFS'!K35&lt;&gt;"",CONCATENATE(SUBSTITUTE('CURRENT EXCEL ROOFS'!K35," ",""),"PS"),IF('CURRENT EXCEL ROOFS'!K35="","",""))</f>
        <v/>
      </c>
      <c r="G152" s="236" t="str">
        <f>IF('CURRENT EXCEL ROOFS'!K35&lt;&gt;"",CONCATENATE(SUBSTITUTE('CURRENT EXCEL ROOFS'!K35," ",""),"OS"),IF('CURRENT EXCEL ROOFS'!K35="","",""))</f>
        <v/>
      </c>
    </row>
    <row r="153" spans="5:7" x14ac:dyDescent="0.25">
      <c r="E153" s="236" t="str">
        <f>IF('CURRENT EXCEL ROOFS'!K36&lt;&gt;"",CONCATENATE(SUBSTITUTE('CURRENT EXCEL ROOFS'!K36," ",""),"S"),IF('CURRENT EXCEL ROOFS'!K36="","",""))</f>
        <v/>
      </c>
      <c r="F153" s="236" t="str">
        <f>IF('CURRENT EXCEL ROOFS'!K36&lt;&gt;"",CONCATENATE(SUBSTITUTE('CURRENT EXCEL ROOFS'!K36," ",""),"PS"),IF('CURRENT EXCEL ROOFS'!K36="","",""))</f>
        <v/>
      </c>
      <c r="G153" s="236" t="str">
        <f>IF('CURRENT EXCEL ROOFS'!K36&lt;&gt;"",CONCATENATE(SUBSTITUTE('CURRENT EXCEL ROOFS'!K36," ",""),"OS"),IF('CURRENT EXCEL ROOFS'!K36="","",""))</f>
        <v/>
      </c>
    </row>
    <row r="154" spans="5:7" x14ac:dyDescent="0.25">
      <c r="E154" s="236" t="str">
        <f>IF('CURRENT EXCEL ROOFS'!K37&lt;&gt;"",CONCATENATE(SUBSTITUTE('CURRENT EXCEL ROOFS'!K37," ",""),"S"),IF('CURRENT EXCEL ROOFS'!K37="","",""))</f>
        <v/>
      </c>
      <c r="F154" s="236" t="str">
        <f>IF('CURRENT EXCEL ROOFS'!K37&lt;&gt;"",CONCATENATE(SUBSTITUTE('CURRENT EXCEL ROOFS'!K37," ",""),"PS"),IF('CURRENT EXCEL ROOFS'!K37="","",""))</f>
        <v/>
      </c>
      <c r="G154" s="236" t="str">
        <f>IF('CURRENT EXCEL ROOFS'!K37&lt;&gt;"",CONCATENATE(SUBSTITUTE('CURRENT EXCEL ROOFS'!K37," ",""),"OS"),IF('CURRENT EXCEL ROOFS'!K37="","",""))</f>
        <v/>
      </c>
    </row>
    <row r="155" spans="5:7" x14ac:dyDescent="0.25">
      <c r="E155" s="236" t="str">
        <f>IF('CURRENT EXCEL ROOFS'!K38&lt;&gt;"",CONCATENATE(SUBSTITUTE('CURRENT EXCEL ROOFS'!K38," ",""),"S"),IF('CURRENT EXCEL ROOFS'!K38="","",""))</f>
        <v/>
      </c>
      <c r="F155" s="236" t="str">
        <f>IF('CURRENT EXCEL ROOFS'!K38&lt;&gt;"",CONCATENATE(SUBSTITUTE('CURRENT EXCEL ROOFS'!K38," ",""),"PS"),IF('CURRENT EXCEL ROOFS'!K38="","",""))</f>
        <v/>
      </c>
      <c r="G155" s="236" t="str">
        <f>IF('CURRENT EXCEL ROOFS'!K38&lt;&gt;"",CONCATENATE(SUBSTITUTE('CURRENT EXCEL ROOFS'!K38," ",""),"OS"),IF('CURRENT EXCEL ROOFS'!K38="","",""))</f>
        <v/>
      </c>
    </row>
    <row r="156" spans="5:7" x14ac:dyDescent="0.25">
      <c r="E156" s="236" t="str">
        <f>IF('CURRENT EXCEL ROOFS'!K39&lt;&gt;"",CONCATENATE(SUBSTITUTE('CURRENT EXCEL ROOFS'!K39," ",""),"S"),IF('CURRENT EXCEL ROOFS'!K39="","",""))</f>
        <v/>
      </c>
      <c r="F156" s="236" t="str">
        <f>IF('CURRENT EXCEL ROOFS'!K39&lt;&gt;"",CONCATENATE(SUBSTITUTE('CURRENT EXCEL ROOFS'!K39," ",""),"PS"),IF('CURRENT EXCEL ROOFS'!K39="","",""))</f>
        <v/>
      </c>
      <c r="G156" s="236" t="str">
        <f>IF('CURRENT EXCEL ROOFS'!K39&lt;&gt;"",CONCATENATE(SUBSTITUTE('CURRENT EXCEL ROOFS'!K39," ",""),"OS"),IF('CURRENT EXCEL ROOFS'!K39="","",""))</f>
        <v/>
      </c>
    </row>
    <row r="157" spans="5:7" x14ac:dyDescent="0.25">
      <c r="E157" s="236" t="str">
        <f>IF('CURRENT EXCEL ROOFS'!K40&lt;&gt;"",CONCATENATE(SUBSTITUTE('CURRENT EXCEL ROOFS'!K40," ",""),"S"),IF('CURRENT EXCEL ROOFS'!K40="","",""))</f>
        <v/>
      </c>
      <c r="F157" s="236" t="str">
        <f>IF('CURRENT EXCEL ROOFS'!K40&lt;&gt;"",CONCATENATE(SUBSTITUTE('CURRENT EXCEL ROOFS'!K40," ",""),"PS"),IF('CURRENT EXCEL ROOFS'!K40="","",""))</f>
        <v/>
      </c>
      <c r="G157" s="236" t="str">
        <f>IF('CURRENT EXCEL ROOFS'!K40&lt;&gt;"",CONCATENATE(SUBSTITUTE('CURRENT EXCEL ROOFS'!K40," ",""),"OS"),IF('CURRENT EXCEL ROOFS'!K40="","",""))</f>
        <v/>
      </c>
    </row>
    <row r="158" spans="5:7" x14ac:dyDescent="0.25">
      <c r="E158" s="236" t="str">
        <f>IF('CURRENT EXCEL ROOFS'!K41&lt;&gt;"",CONCATENATE(SUBSTITUTE('CURRENT EXCEL ROOFS'!K41," ",""),"S"),IF('CURRENT EXCEL ROOFS'!K41="","",""))</f>
        <v/>
      </c>
      <c r="F158" s="236" t="str">
        <f>IF('CURRENT EXCEL ROOFS'!K41&lt;&gt;"",CONCATENATE(SUBSTITUTE('CURRENT EXCEL ROOFS'!K41," ",""),"PS"),IF('CURRENT EXCEL ROOFS'!K41="","",""))</f>
        <v/>
      </c>
      <c r="G158" s="236" t="str">
        <f>IF('CURRENT EXCEL ROOFS'!K41&lt;&gt;"",CONCATENATE(SUBSTITUTE('CURRENT EXCEL ROOFS'!K41," ",""),"OS"),IF('CURRENT EXCEL ROOFS'!K41="","",""))</f>
        <v/>
      </c>
    </row>
    <row r="159" spans="5:7" x14ac:dyDescent="0.25">
      <c r="E159" s="236" t="str">
        <f>IF('CURRENT EXCEL ROOFS'!K42&lt;&gt;"",CONCATENATE(SUBSTITUTE('CURRENT EXCEL ROOFS'!K42," ",""),"S"),IF('CURRENT EXCEL ROOFS'!K42="","",""))</f>
        <v/>
      </c>
      <c r="F159" s="236" t="str">
        <f>IF('CURRENT EXCEL ROOFS'!K42&lt;&gt;"",CONCATENATE(SUBSTITUTE('CURRENT EXCEL ROOFS'!K42," ",""),"PS"),IF('CURRENT EXCEL ROOFS'!K42="","",""))</f>
        <v/>
      </c>
      <c r="G159" s="236" t="str">
        <f>IF('CURRENT EXCEL ROOFS'!K42&lt;&gt;"",CONCATENATE(SUBSTITUTE('CURRENT EXCEL ROOFS'!K42," ",""),"OS"),IF('CURRENT EXCEL ROOFS'!K42="","",""))</f>
        <v/>
      </c>
    </row>
    <row r="160" spans="5:7" x14ac:dyDescent="0.25">
      <c r="E160" s="236" t="str">
        <f>IF('CURRENT EXCEL ROOFS'!K43&lt;&gt;"",CONCATENATE(SUBSTITUTE('CURRENT EXCEL ROOFS'!K43," ",""),"S"),IF('CURRENT EXCEL ROOFS'!K43="","",""))</f>
        <v/>
      </c>
      <c r="F160" s="236" t="str">
        <f>IF('CURRENT EXCEL ROOFS'!K43&lt;&gt;"",CONCATENATE(SUBSTITUTE('CURRENT EXCEL ROOFS'!K43," ",""),"PS"),IF('CURRENT EXCEL ROOFS'!K43="","",""))</f>
        <v/>
      </c>
      <c r="G160" s="236" t="str">
        <f>IF('CURRENT EXCEL ROOFS'!K43&lt;&gt;"",CONCATENATE(SUBSTITUTE('CURRENT EXCEL ROOFS'!K43," ",""),"OS"),IF('CURRENT EXCEL ROOFS'!K43="","",""))</f>
        <v/>
      </c>
    </row>
    <row r="161" spans="5:7" x14ac:dyDescent="0.25">
      <c r="E161" s="236" t="str">
        <f>IF('CURRENT EXCEL ROOFS'!K44&lt;&gt;"",CONCATENATE(SUBSTITUTE('CURRENT EXCEL ROOFS'!K44," ",""),"S"),IF('CURRENT EXCEL ROOFS'!K44="","",""))</f>
        <v/>
      </c>
      <c r="F161" s="236" t="str">
        <f>IF('CURRENT EXCEL ROOFS'!K44&lt;&gt;"",CONCATENATE(SUBSTITUTE('CURRENT EXCEL ROOFS'!K44," ",""),"PS"),IF('CURRENT EXCEL ROOFS'!K44="","",""))</f>
        <v/>
      </c>
      <c r="G161" s="236" t="str">
        <f>IF('CURRENT EXCEL ROOFS'!K44&lt;&gt;"",CONCATENATE(SUBSTITUTE('CURRENT EXCEL ROOFS'!K44," ",""),"OS"),IF('CURRENT EXCEL ROOFS'!K44="","",""))</f>
        <v/>
      </c>
    </row>
    <row r="162" spans="5:7" x14ac:dyDescent="0.25">
      <c r="F162" s="236" t="str">
        <f>IF('CURRENT EXCEL ROOFS'!K45&lt;&gt;"",CONCATENATE(SUBSTITUTE('CURRENT EXCEL ROOFS'!K45," ",""),"PS"),IF('CURRENT EXCEL ROOFS'!K45="","",""))</f>
        <v/>
      </c>
      <c r="G162" s="236" t="str">
        <f>IF('CURRENT EXCEL ROOFS'!K45&lt;&gt;"",CONCATENATE(SUBSTITUTE('CURRENT EXCEL ROOFS'!K45," ",""),"OS"),IF('CURRENT EXCEL ROOFS'!K45="","",""))</f>
        <v/>
      </c>
    </row>
    <row r="163" spans="5:7" x14ac:dyDescent="0.25">
      <c r="G163" s="236" t="str">
        <f>IF('CURRENT EXCEL ROOFS'!K46&lt;&gt;"",CONCATENATE(SUBSTITUTE('CURRENT EXCEL ROOFS'!K46," ",""),"OS"),IF('CURRENT EXCEL ROOFS'!K46="","",""))</f>
        <v/>
      </c>
    </row>
  </sheetData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2019-10-24T18:46:07Z</dcterms:modified>
  <cp:category/>
  <cp:contentStatus/>
</cp:coreProperties>
</file>