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1. RESIDENTIAL JOBS\001 Residential Jobs\KOMNINAKIS, JAMES\01 CAD Drawings\"/>
    </mc:Choice>
  </mc:AlternateContent>
  <bookViews>
    <workbookView xWindow="4290" yWindow="0" windowWidth="21600" windowHeight="11385" tabRatio="637"/>
  </bookViews>
  <sheets>
    <sheet name="FORM" sheetId="4" r:id="rId1"/>
    <sheet name="SMALL TABLES" sheetId="5" state="hidden" r:id="rId2"/>
    <sheet name="MODULES" sheetId="2" r:id="rId3"/>
    <sheet name="INVERTERS" sheetId="3" r:id="rId4"/>
    <sheet name="UTILITY, DEALS &amp; STATE" sheetId="15" r:id="rId5"/>
    <sheet name="MATERIAL LIST" sheetId="7" state="hidden" r:id="rId6"/>
    <sheet name="CURRENT EXCEL ROOFS" sheetId="16" r:id="rId7"/>
    <sheet name="CALCULATORS" sheetId="8" r:id="rId8"/>
    <sheet name="CALCULATIONS" sheetId="1" state="hidden" r:id="rId9"/>
    <sheet name="LARGE TABLE" sheetId="6" state="hidden" r:id="rId10"/>
    <sheet name="Sheet1" sheetId="14" state="hidden" r:id="rId11"/>
    <sheet name="REVISION LIST" sheetId="18" r:id="rId12"/>
  </sheets>
  <definedNames>
    <definedName name="COVERTITLE">'SMALL TABLES'!$D$71:$D$72</definedName>
    <definedName name="DELETE">'SMALL TABLES'!$D$76</definedName>
    <definedName name="EQUIPMENTLOCATION">'SMALL TABLES'!$A$90:$C$92</definedName>
    <definedName name="EQUIPMENTSCHEDULE">'SMALL TABLES'!$Q$2:$R$7</definedName>
    <definedName name="FIVEMICROINVERTERS">'SMALL TABLES'!$I$8:$I$18</definedName>
    <definedName name="FOURMICROINVERTERS">'SMALL TABLES'!$I$8:$I$16</definedName>
    <definedName name="INVERTER1">'SMALL TABLES'!$A$8:$D$13</definedName>
    <definedName name="INVERTER2">'SMALL TABLES'!$A$16:$D$21</definedName>
    <definedName name="INVERTER3">'SMALL TABLES'!$A$24:$D$29</definedName>
    <definedName name="INVERTER4">'SMALL TABLES'!$A$32:$D$37</definedName>
    <definedName name="INVERTER5">'SMALL TABLES'!$A$40:$D$45</definedName>
    <definedName name="KEYTABLEHALF">'SMALL TABLES'!$A$60:$B$65</definedName>
    <definedName name="KEYTABLEWHOLE">'SMALL TABLES'!$A$60:$D$65</definedName>
    <definedName name="LARGETABLE">'LARGE TABLE'!$A$1:$B$50</definedName>
    <definedName name="MATERIAL">'MATERIAL LIST'!$A$1:$H$44</definedName>
    <definedName name="MODULESPEC">'SMALL TABLES'!$A$49:$B$54</definedName>
    <definedName name="NEWROOFLAYOUTTITLEBLOCK">'SMALL TABLES'!$M$2:$P$29</definedName>
    <definedName name="ONELINETITLEBLOCK1">'SMALL TABLES'!$A$2:$C$5</definedName>
    <definedName name="ONELINETITLEBLOCK2">'SMALL TABLES'!$E$2:$G$4</definedName>
    <definedName name="ONEMICROINVERTER">'SMALL TABLES'!$I$8:$I$10</definedName>
    <definedName name="ROOFLAYOUTTITLEBLOCK">'SMALL TABLES'!$A$71:$B$88</definedName>
    <definedName name="ROOFSCHEDULE">'SMALL TABLES'!$A$98:$A$105</definedName>
    <definedName name="SMALLKEYTABLE">'SMALL TABLES'!$F$60:$G$66</definedName>
    <definedName name="STRINGING1INVERTER">'SMALL TABLES'!$G$8:$G$9</definedName>
    <definedName name="STRINGING2INVERTERS">'SMALL TABLES'!$G$8:$G$10</definedName>
    <definedName name="STRINGING3INVERTERS">'SMALL TABLES'!$G$8:$G$11</definedName>
    <definedName name="STRINGING4INVERTERS">'SMALL TABLES'!$G$8:$G$12</definedName>
    <definedName name="STRINGING5INVERTERS">'SMALL TABLES'!$G$8:$G$13</definedName>
    <definedName name="THREEMICROINVERTERS">'SMALL TABLES'!$I$8:$I$14</definedName>
    <definedName name="TWOMICROINVERTERS">'SMALL TABLES'!$I$8:$I$12</definedName>
    <definedName name="WHICHDRAWING">'SMALL TABLES'!$D$79:$D$82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36" i="14" l="1"/>
  <c r="M35" i="14"/>
  <c r="M34" i="14"/>
  <c r="M33" i="14"/>
  <c r="M32" i="14"/>
  <c r="M31" i="14"/>
  <c r="M30" i="14"/>
  <c r="M29" i="14"/>
  <c r="M28" i="14"/>
  <c r="G17" i="14"/>
  <c r="I16" i="14"/>
  <c r="R12" i="14"/>
  <c r="I12" i="14"/>
  <c r="R11" i="14"/>
  <c r="R10" i="14"/>
  <c r="R9" i="14"/>
  <c r="B43" i="6"/>
  <c r="B38" i="6"/>
  <c r="B37" i="6"/>
  <c r="B36" i="6"/>
  <c r="B35" i="6"/>
  <c r="B34" i="6"/>
  <c r="B33" i="6"/>
  <c r="B32" i="6"/>
  <c r="B31" i="6"/>
  <c r="B3" i="6"/>
  <c r="G163" i="1"/>
  <c r="G162" i="1"/>
  <c r="F162" i="1"/>
  <c r="G161" i="1"/>
  <c r="F161" i="1"/>
  <c r="E161" i="1"/>
  <c r="G160" i="1"/>
  <c r="F160" i="1"/>
  <c r="E160" i="1"/>
  <c r="G159" i="1"/>
  <c r="F159" i="1"/>
  <c r="E159" i="1"/>
  <c r="G158" i="1"/>
  <c r="F158" i="1"/>
  <c r="E158" i="1"/>
  <c r="G157" i="1"/>
  <c r="F157" i="1"/>
  <c r="E157" i="1"/>
  <c r="G156" i="1"/>
  <c r="F156" i="1"/>
  <c r="E156" i="1"/>
  <c r="G155" i="1"/>
  <c r="F155" i="1"/>
  <c r="E155" i="1"/>
  <c r="G154" i="1"/>
  <c r="F154" i="1"/>
  <c r="E154" i="1"/>
  <c r="G153" i="1"/>
  <c r="F153" i="1"/>
  <c r="E153" i="1"/>
  <c r="G152" i="1"/>
  <c r="F152" i="1"/>
  <c r="E152" i="1"/>
  <c r="G151" i="1"/>
  <c r="F151" i="1"/>
  <c r="E151" i="1"/>
  <c r="G150" i="1"/>
  <c r="F150" i="1"/>
  <c r="E150" i="1"/>
  <c r="G149" i="1"/>
  <c r="F149" i="1"/>
  <c r="E149" i="1"/>
  <c r="G148" i="1"/>
  <c r="F148" i="1"/>
  <c r="E148" i="1"/>
  <c r="G147" i="1"/>
  <c r="F147" i="1"/>
  <c r="E147" i="1"/>
  <c r="G146" i="1"/>
  <c r="F146" i="1"/>
  <c r="E146" i="1"/>
  <c r="G145" i="1"/>
  <c r="F145" i="1"/>
  <c r="E145" i="1"/>
  <c r="G144" i="1"/>
  <c r="F144" i="1"/>
  <c r="E144" i="1"/>
  <c r="G143" i="1"/>
  <c r="F143" i="1"/>
  <c r="E143" i="1"/>
  <c r="G142" i="1"/>
  <c r="F142" i="1"/>
  <c r="E142" i="1"/>
  <c r="G141" i="1"/>
  <c r="F141" i="1"/>
  <c r="E141" i="1"/>
  <c r="G140" i="1"/>
  <c r="F140" i="1"/>
  <c r="E140" i="1"/>
  <c r="G139" i="1"/>
  <c r="F139" i="1"/>
  <c r="E139" i="1"/>
  <c r="G138" i="1"/>
  <c r="F138" i="1"/>
  <c r="E138" i="1"/>
  <c r="G137" i="1"/>
  <c r="F137" i="1"/>
  <c r="E137" i="1"/>
  <c r="G136" i="1"/>
  <c r="F136" i="1"/>
  <c r="E136" i="1"/>
  <c r="G135" i="1"/>
  <c r="F135" i="1"/>
  <c r="E135" i="1"/>
  <c r="G134" i="1"/>
  <c r="F134" i="1"/>
  <c r="E134" i="1"/>
  <c r="G133" i="1"/>
  <c r="F133" i="1"/>
  <c r="E133" i="1"/>
  <c r="G132" i="1"/>
  <c r="F132" i="1"/>
  <c r="E132" i="1"/>
  <c r="G131" i="1"/>
  <c r="F131" i="1"/>
  <c r="E131" i="1"/>
  <c r="G130" i="1"/>
  <c r="F130" i="1"/>
  <c r="E130" i="1"/>
  <c r="G129" i="1"/>
  <c r="F129" i="1"/>
  <c r="E129" i="1"/>
  <c r="G128" i="1"/>
  <c r="F128" i="1"/>
  <c r="E128" i="1"/>
  <c r="G127" i="1"/>
  <c r="F127" i="1"/>
  <c r="E127" i="1"/>
  <c r="G126" i="1"/>
  <c r="F126" i="1"/>
  <c r="E126" i="1"/>
  <c r="G125" i="1"/>
  <c r="F125" i="1"/>
  <c r="E125" i="1"/>
  <c r="G124" i="1"/>
  <c r="F124" i="1"/>
  <c r="E124" i="1"/>
  <c r="G123" i="1"/>
  <c r="F123" i="1"/>
  <c r="E123" i="1"/>
  <c r="G122" i="1"/>
  <c r="F122" i="1"/>
  <c r="E122" i="1"/>
  <c r="G121" i="1"/>
  <c r="F121" i="1"/>
  <c r="E121" i="1"/>
  <c r="G120" i="1"/>
  <c r="F120" i="1"/>
  <c r="E120" i="1"/>
  <c r="B111" i="1"/>
  <c r="D107" i="1"/>
  <c r="D106" i="1"/>
  <c r="D105" i="1"/>
  <c r="D104" i="1"/>
  <c r="D103" i="1"/>
  <c r="D102" i="1"/>
  <c r="D101" i="1"/>
  <c r="D100" i="1"/>
  <c r="D99" i="1"/>
  <c r="D98" i="1"/>
  <c r="D93" i="1"/>
  <c r="C92" i="1"/>
  <c r="D92" i="1" s="1"/>
  <c r="C91" i="1"/>
  <c r="D91" i="1" s="1"/>
  <c r="C90" i="1"/>
  <c r="D90" i="1" s="1"/>
  <c r="C88" i="1"/>
  <c r="D88" i="1" s="1"/>
  <c r="C87" i="1"/>
  <c r="D87" i="1" s="1"/>
  <c r="D85" i="1"/>
  <c r="C78" i="1"/>
  <c r="D78" i="1" s="1"/>
  <c r="C77" i="1"/>
  <c r="D77" i="1" s="1"/>
  <c r="C76" i="1"/>
  <c r="D76" i="1" s="1"/>
  <c r="C73" i="1"/>
  <c r="D73" i="1" s="1"/>
  <c r="D70" i="1"/>
  <c r="C70" i="1"/>
  <c r="C69" i="1"/>
  <c r="D69" i="1" s="1"/>
  <c r="I68" i="1"/>
  <c r="C68" i="1"/>
  <c r="D68" i="1" s="1"/>
  <c r="C67" i="1"/>
  <c r="D67" i="1" s="1"/>
  <c r="I66" i="1"/>
  <c r="G62" i="1"/>
  <c r="I61" i="1"/>
  <c r="J61" i="1" s="1"/>
  <c r="D59" i="1"/>
  <c r="C58" i="1"/>
  <c r="D58" i="1" s="1"/>
  <c r="H49" i="1"/>
  <c r="H48" i="1"/>
  <c r="D45" i="1"/>
  <c r="I42" i="1"/>
  <c r="C94" i="1" s="1"/>
  <c r="D94" i="1" s="1"/>
  <c r="E42" i="1"/>
  <c r="D42" i="1"/>
  <c r="C42" i="1"/>
  <c r="B42" i="1"/>
  <c r="I32" i="1"/>
  <c r="J32" i="1" s="1"/>
  <c r="I31" i="1"/>
  <c r="J31" i="1" s="1"/>
  <c r="I30" i="1"/>
  <c r="J30" i="1" s="1"/>
  <c r="J29" i="1"/>
  <c r="I29" i="1"/>
  <c r="I12" i="5" s="1"/>
  <c r="I28" i="1"/>
  <c r="J28" i="1" s="1"/>
  <c r="B28" i="1"/>
  <c r="A8" i="5" s="1"/>
  <c r="I27" i="1"/>
  <c r="E72" i="1" s="1"/>
  <c r="B24" i="1"/>
  <c r="B80" i="5" s="1"/>
  <c r="B21" i="1"/>
  <c r="A3" i="5" s="1"/>
  <c r="B20" i="1"/>
  <c r="B88" i="5" s="1"/>
  <c r="O25" i="5" s="1"/>
  <c r="B18" i="1"/>
  <c r="M9" i="5" s="1"/>
  <c r="B17" i="1"/>
  <c r="B15" i="1"/>
  <c r="D89" i="5" s="1"/>
  <c r="B14" i="1"/>
  <c r="D72" i="5" s="1"/>
  <c r="B13" i="1"/>
  <c r="B1" i="7" s="1"/>
  <c r="F11" i="1"/>
  <c r="D11" i="1"/>
  <c r="R9" i="1"/>
  <c r="R6" i="1"/>
  <c r="R7" i="1" s="1"/>
  <c r="B28" i="4" s="1"/>
  <c r="F6" i="1"/>
  <c r="E6" i="1"/>
  <c r="D6" i="1"/>
  <c r="C6" i="1"/>
  <c r="F5" i="1"/>
  <c r="F8" i="1" s="1"/>
  <c r="E5" i="1"/>
  <c r="E41" i="1" s="1"/>
  <c r="D5" i="1"/>
  <c r="D41" i="1" s="1"/>
  <c r="C5" i="1"/>
  <c r="C41" i="1" s="1"/>
  <c r="B5" i="1"/>
  <c r="B41" i="1" s="1"/>
  <c r="F4" i="1"/>
  <c r="F7" i="1" s="1"/>
  <c r="E4" i="1"/>
  <c r="E7" i="1" s="1"/>
  <c r="D4" i="1"/>
  <c r="D7" i="1" s="1"/>
  <c r="C4" i="1"/>
  <c r="C7" i="1" s="1"/>
  <c r="B4" i="1"/>
  <c r="F3" i="1"/>
  <c r="F10" i="1" s="1"/>
  <c r="E3" i="1"/>
  <c r="E40" i="1" s="1"/>
  <c r="D3" i="1"/>
  <c r="D9" i="1" s="1"/>
  <c r="C3" i="1"/>
  <c r="C9" i="1" s="1"/>
  <c r="B3" i="1"/>
  <c r="E94" i="1" s="1"/>
  <c r="N2" i="1"/>
  <c r="F2" i="1"/>
  <c r="F28" i="1" s="1"/>
  <c r="E2" i="1"/>
  <c r="E28" i="1" s="1"/>
  <c r="D2" i="1"/>
  <c r="C122" i="1" s="1"/>
  <c r="B122" i="1" s="1"/>
  <c r="C2" i="1"/>
  <c r="C121" i="1" s="1"/>
  <c r="B121" i="1" s="1"/>
  <c r="B2" i="1"/>
  <c r="B20" i="8"/>
  <c r="D19" i="8"/>
  <c r="E19" i="8" s="1"/>
  <c r="D18" i="8"/>
  <c r="E18" i="8" s="1"/>
  <c r="D17" i="8"/>
  <c r="E17" i="8" s="1"/>
  <c r="D16" i="8"/>
  <c r="E16" i="8" s="1"/>
  <c r="C11" i="8"/>
  <c r="C10" i="8"/>
  <c r="C9" i="8"/>
  <c r="C7" i="8"/>
  <c r="C6" i="8" s="1"/>
  <c r="C8" i="8" s="1"/>
  <c r="F5" i="8"/>
  <c r="E11" i="16"/>
  <c r="E12" i="16" s="1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B12" i="7"/>
  <c r="A12" i="7" s="1"/>
  <c r="B11" i="7"/>
  <c r="B10" i="7"/>
  <c r="B9" i="7"/>
  <c r="F3" i="15"/>
  <c r="C3" i="15"/>
  <c r="B18" i="4" s="1"/>
  <c r="A3" i="15"/>
  <c r="B22" i="4" s="1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E16" i="3"/>
  <c r="D16" i="3"/>
  <c r="E15" i="3"/>
  <c r="D15" i="3" s="1"/>
  <c r="E14" i="3"/>
  <c r="D14" i="3"/>
  <c r="E13" i="3"/>
  <c r="D13" i="3" s="1"/>
  <c r="E12" i="3"/>
  <c r="D12" i="3" s="1"/>
  <c r="E11" i="3"/>
  <c r="D11" i="3" s="1"/>
  <c r="E10" i="3"/>
  <c r="D10" i="3"/>
  <c r="E8" i="3"/>
  <c r="D8" i="3" s="1"/>
  <c r="E7" i="3"/>
  <c r="D7" i="3" s="1"/>
  <c r="E6" i="3"/>
  <c r="D6" i="3" s="1"/>
  <c r="E5" i="3"/>
  <c r="D5" i="3" s="1"/>
  <c r="E4" i="3"/>
  <c r="D4" i="3" s="1"/>
  <c r="E3" i="3"/>
  <c r="D3" i="3" s="1"/>
  <c r="E2" i="3"/>
  <c r="D2" i="3" s="1"/>
  <c r="I30" i="2"/>
  <c r="H30" i="2"/>
  <c r="G30" i="2"/>
  <c r="F30" i="2"/>
  <c r="E30" i="2"/>
  <c r="D30" i="2"/>
  <c r="C30" i="2"/>
  <c r="B30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I2" i="2"/>
  <c r="H2" i="2"/>
  <c r="G2" i="2"/>
  <c r="F2" i="2"/>
  <c r="E2" i="2"/>
  <c r="D2" i="2"/>
  <c r="C2" i="2"/>
  <c r="B2" i="2"/>
  <c r="A2" i="2" s="1"/>
  <c r="B2" i="4" s="1"/>
  <c r="C12" i="1" s="1"/>
  <c r="C92" i="5"/>
  <c r="A92" i="5"/>
  <c r="A90" i="5"/>
  <c r="B81" i="5"/>
  <c r="B79" i="5"/>
  <c r="D76" i="5"/>
  <c r="O26" i="5"/>
  <c r="I14" i="5"/>
  <c r="D13" i="5"/>
  <c r="N5" i="5"/>
  <c r="M5" i="5"/>
  <c r="P4" i="5"/>
  <c r="N4" i="5"/>
  <c r="M4" i="5"/>
  <c r="P3" i="5"/>
  <c r="N3" i="5"/>
  <c r="M3" i="5"/>
  <c r="P2" i="5"/>
  <c r="N2" i="5"/>
  <c r="M2" i="5"/>
  <c r="F31" i="4"/>
  <c r="P5" i="5" s="1"/>
  <c r="B31" i="4"/>
  <c r="B25" i="1" s="1"/>
  <c r="A5" i="5" s="1"/>
  <c r="C30" i="4"/>
  <c r="I29" i="4"/>
  <c r="B39" i="6" s="1"/>
  <c r="B29" i="4"/>
  <c r="B23" i="1" s="1"/>
  <c r="A4" i="5" s="1"/>
  <c r="B27" i="4"/>
  <c r="G14" i="14" s="1"/>
  <c r="I14" i="14" s="1"/>
  <c r="B26" i="4"/>
  <c r="B22" i="1" s="1"/>
  <c r="F23" i="4"/>
  <c r="D23" i="4"/>
  <c r="D22" i="4"/>
  <c r="D21" i="4"/>
  <c r="B21" i="4"/>
  <c r="B41" i="6" s="1"/>
  <c r="I19" i="4"/>
  <c r="B30" i="6" s="1"/>
  <c r="I18" i="4"/>
  <c r="B29" i="6" s="1"/>
  <c r="F14" i="4"/>
  <c r="F12" i="4"/>
  <c r="E12" i="4"/>
  <c r="D12" i="4"/>
  <c r="C12" i="4"/>
  <c r="I4" i="4"/>
  <c r="A1" i="4"/>
  <c r="C26" i="4" l="1"/>
  <c r="A73" i="5"/>
  <c r="M11" i="5" s="1"/>
  <c r="B8" i="1"/>
  <c r="G11" i="14"/>
  <c r="I11" i="14" s="1"/>
  <c r="B2" i="7"/>
  <c r="G2" i="5"/>
  <c r="O2" i="1"/>
  <c r="F9" i="1"/>
  <c r="E26" i="1"/>
  <c r="E87" i="1" s="1"/>
  <c r="C51" i="1"/>
  <c r="D51" i="1" s="1"/>
  <c r="C5" i="5"/>
  <c r="I16" i="5"/>
  <c r="O17" i="5"/>
  <c r="B7" i="7"/>
  <c r="A7" i="7" s="1"/>
  <c r="C52" i="1"/>
  <c r="D52" i="1" s="1"/>
  <c r="P2" i="1"/>
  <c r="C54" i="1"/>
  <c r="D54" i="1" s="1"/>
  <c r="E20" i="8"/>
  <c r="C25" i="8" s="1"/>
  <c r="C8" i="1"/>
  <c r="E9" i="1"/>
  <c r="D28" i="1"/>
  <c r="D33" i="1" s="1"/>
  <c r="B8" i="6" s="1"/>
  <c r="C40" i="1"/>
  <c r="G10" i="5" s="1"/>
  <c r="I43" i="1"/>
  <c r="C82" i="1" s="1"/>
  <c r="D82" i="1" s="1"/>
  <c r="A2" i="5"/>
  <c r="I26" i="1"/>
  <c r="F40" i="1"/>
  <c r="I44" i="1"/>
  <c r="F6" i="8"/>
  <c r="G12" i="5"/>
  <c r="C11" i="1"/>
  <c r="M2" i="1"/>
  <c r="B7" i="1"/>
  <c r="I17" i="14"/>
  <c r="D10" i="5"/>
  <c r="B37" i="1"/>
  <c r="B110" i="1" s="1"/>
  <c r="C120" i="1"/>
  <c r="B120" i="1" s="1"/>
  <c r="M32" i="5"/>
  <c r="C55" i="1"/>
  <c r="D55" i="1" s="1"/>
  <c r="B61" i="1"/>
  <c r="C47" i="1" s="1"/>
  <c r="D47" i="1" s="1"/>
  <c r="C48" i="1"/>
  <c r="D48" i="1" s="1"/>
  <c r="C22" i="4"/>
  <c r="B19" i="1"/>
  <c r="C28" i="8"/>
  <c r="P37" i="1"/>
  <c r="G33" i="1"/>
  <c r="F37" i="1"/>
  <c r="Q32" i="5"/>
  <c r="C3" i="5"/>
  <c r="B78" i="5"/>
  <c r="O16" i="5" s="1"/>
  <c r="A101" i="5"/>
  <c r="D45" i="5"/>
  <c r="D29" i="5"/>
  <c r="A100" i="5"/>
  <c r="D42" i="5"/>
  <c r="A40" i="5"/>
  <c r="A99" i="5"/>
  <c r="A98" i="5"/>
  <c r="D37" i="5"/>
  <c r="A75" i="5"/>
  <c r="M13" i="5" s="1"/>
  <c r="D84" i="5"/>
  <c r="B77" i="5"/>
  <c r="O15" i="5" s="1"/>
  <c r="M29" i="5"/>
  <c r="A104" i="5"/>
  <c r="G3" i="5"/>
  <c r="A103" i="5"/>
  <c r="D71" i="5"/>
  <c r="D34" i="5"/>
  <c r="C2" i="5"/>
  <c r="A102" i="5"/>
  <c r="D21" i="5"/>
  <c r="B16" i="1"/>
  <c r="C90" i="5"/>
  <c r="C18" i="4"/>
  <c r="O27" i="5"/>
  <c r="A105" i="5"/>
  <c r="H13" i="1"/>
  <c r="B54" i="5" s="1"/>
  <c r="H12" i="1"/>
  <c r="B53" i="5" s="1"/>
  <c r="H9" i="1"/>
  <c r="D4" i="4" s="1"/>
  <c r="R2" i="5"/>
  <c r="H7" i="1"/>
  <c r="B85" i="5" s="1"/>
  <c r="O22" i="5" s="1"/>
  <c r="H11" i="1"/>
  <c r="B52" i="5" s="1"/>
  <c r="A50" i="5"/>
  <c r="H8" i="1"/>
  <c r="B86" i="5" s="1"/>
  <c r="O23" i="5" s="1"/>
  <c r="H14" i="1"/>
  <c r="C119" i="1"/>
  <c r="H10" i="1"/>
  <c r="B51" i="5" s="1"/>
  <c r="O37" i="1"/>
  <c r="P32" i="5"/>
  <c r="E33" i="1"/>
  <c r="B9" i="6" s="1"/>
  <c r="E37" i="1"/>
  <c r="A32" i="5"/>
  <c r="A71" i="5"/>
  <c r="M8" i="5" s="1"/>
  <c r="L2" i="1"/>
  <c r="D8" i="1"/>
  <c r="C56" i="1"/>
  <c r="D56" i="1" s="1"/>
  <c r="B15" i="6"/>
  <c r="G10" i="14"/>
  <c r="B6" i="7"/>
  <c r="A6" i="7" s="1"/>
  <c r="E8" i="1"/>
  <c r="B11" i="1"/>
  <c r="C75" i="1"/>
  <c r="D75" i="1" s="1"/>
  <c r="B9" i="1"/>
  <c r="E11" i="1"/>
  <c r="B33" i="1"/>
  <c r="D40" i="1"/>
  <c r="G11" i="5" s="1"/>
  <c r="F42" i="1"/>
  <c r="G13" i="5" s="1"/>
  <c r="C49" i="1"/>
  <c r="D49" i="1" s="1"/>
  <c r="C53" i="1"/>
  <c r="D53" i="1" s="1"/>
  <c r="C123" i="1"/>
  <c r="B123" i="1" s="1"/>
  <c r="C28" i="1"/>
  <c r="I18" i="5"/>
  <c r="L37" i="1"/>
  <c r="C50" i="1"/>
  <c r="D50" i="1" s="1"/>
  <c r="I10" i="5"/>
  <c r="B12" i="6"/>
  <c r="D37" i="1" l="1"/>
  <c r="C26" i="8"/>
  <c r="C27" i="8"/>
  <c r="C83" i="1"/>
  <c r="D83" i="1" s="1"/>
  <c r="D26" i="5"/>
  <c r="C81" i="1"/>
  <c r="D81" i="1" s="1"/>
  <c r="C80" i="1"/>
  <c r="D80" i="1" s="1"/>
  <c r="B16" i="6"/>
  <c r="C84" i="1"/>
  <c r="D84" i="1" s="1"/>
  <c r="C95" i="1"/>
  <c r="D95" i="1" s="1"/>
  <c r="C97" i="1"/>
  <c r="D97" i="1" s="1"/>
  <c r="C79" i="1"/>
  <c r="D79" i="1" s="1"/>
  <c r="F33" i="1"/>
  <c r="D43" i="5" s="1"/>
  <c r="D44" i="5" s="1"/>
  <c r="B28" i="6"/>
  <c r="C72" i="1"/>
  <c r="D72" i="1" s="1"/>
  <c r="I40" i="1"/>
  <c r="C66" i="1"/>
  <c r="D66" i="1" s="1"/>
  <c r="B38" i="1"/>
  <c r="B12" i="4"/>
  <c r="B109" i="1"/>
  <c r="B112" i="1" s="1"/>
  <c r="B113" i="1" s="1"/>
  <c r="N37" i="1"/>
  <c r="A24" i="5"/>
  <c r="O32" i="5"/>
  <c r="B14" i="6"/>
  <c r="B13" i="6"/>
  <c r="C31" i="1"/>
  <c r="B20" i="5" s="1"/>
  <c r="D81" i="5"/>
  <c r="D82" i="5" s="1"/>
  <c r="D31" i="1"/>
  <c r="B28" i="5" s="1"/>
  <c r="B11" i="6"/>
  <c r="B31" i="1"/>
  <c r="B12" i="5" s="1"/>
  <c r="C96" i="1"/>
  <c r="D96" i="1" s="1"/>
  <c r="C71" i="1"/>
  <c r="D71" i="1" s="1"/>
  <c r="H11" i="4"/>
  <c r="H8" i="4"/>
  <c r="I6" i="4"/>
  <c r="C124" i="1"/>
  <c r="B124" i="1" s="1"/>
  <c r="H10" i="4"/>
  <c r="H9" i="4"/>
  <c r="H6" i="4"/>
  <c r="I5" i="4"/>
  <c r="H7" i="4"/>
  <c r="C125" i="1"/>
  <c r="B125" i="1" s="1"/>
  <c r="Q3" i="5" s="1"/>
  <c r="B12" i="1"/>
  <c r="B34" i="1" s="1"/>
  <c r="D34" i="1" s="1"/>
  <c r="A33" i="4"/>
  <c r="A12" i="4" s="1"/>
  <c r="E31" i="1"/>
  <c r="B36" i="5" s="1"/>
  <c r="D3" i="4"/>
  <c r="E3" i="4"/>
  <c r="B30" i="1"/>
  <c r="B3" i="4" s="1"/>
  <c r="F30" i="1"/>
  <c r="B43" i="5" s="1"/>
  <c r="F31" i="1"/>
  <c r="B44" i="5" s="1"/>
  <c r="F29" i="1"/>
  <c r="B42" i="5" s="1"/>
  <c r="F32" i="1"/>
  <c r="B45" i="5" s="1"/>
  <c r="D11" i="5"/>
  <c r="D12" i="5" s="1"/>
  <c r="B6" i="6"/>
  <c r="A16" i="5"/>
  <c r="M37" i="1"/>
  <c r="N32" i="5"/>
  <c r="C37" i="1"/>
  <c r="C33" i="1"/>
  <c r="B23" i="6" s="1"/>
  <c r="B24" i="6" s="1"/>
  <c r="B25" i="6" s="1"/>
  <c r="B26" i="6" s="1"/>
  <c r="B17" i="6"/>
  <c r="D18" i="5"/>
  <c r="B32" i="1"/>
  <c r="B13" i="5" s="1"/>
  <c r="B27" i="6"/>
  <c r="B19" i="6"/>
  <c r="B20" i="6" s="1"/>
  <c r="C3" i="4"/>
  <c r="C4" i="4"/>
  <c r="G6" i="4"/>
  <c r="D27" i="5"/>
  <c r="D28" i="5" s="1"/>
  <c r="D35" i="5"/>
  <c r="D36" i="5" s="1"/>
  <c r="E30" i="1"/>
  <c r="B35" i="5" s="1"/>
  <c r="E29" i="1"/>
  <c r="B34" i="5" s="1"/>
  <c r="E32" i="1"/>
  <c r="B37" i="5" s="1"/>
  <c r="B29" i="1"/>
  <c r="B10" i="5" s="1"/>
  <c r="B4" i="4"/>
  <c r="R3" i="5"/>
  <c r="B87" i="5"/>
  <c r="O24" i="5" s="1"/>
  <c r="D79" i="5"/>
  <c r="D83" i="5" s="1"/>
  <c r="D32" i="1"/>
  <c r="B29" i="5" s="1"/>
  <c r="D30" i="1"/>
  <c r="B27" i="5" s="1"/>
  <c r="D29" i="1"/>
  <c r="B26" i="5" s="1"/>
  <c r="I39" i="1"/>
  <c r="E4" i="4"/>
  <c r="B10" i="6" l="1"/>
  <c r="B35" i="1"/>
  <c r="F13" i="4" s="1"/>
  <c r="I4" i="5"/>
  <c r="I8" i="5"/>
  <c r="E66" i="1"/>
  <c r="B84" i="5"/>
  <c r="O21" i="5" s="1"/>
  <c r="I67" i="1"/>
  <c r="E92" i="1" s="1"/>
  <c r="Q2" i="5"/>
  <c r="B119" i="1"/>
  <c r="B11" i="4"/>
  <c r="B5" i="7" s="1"/>
  <c r="E25" i="1"/>
  <c r="D80" i="5"/>
  <c r="G8" i="5"/>
  <c r="B11" i="5"/>
  <c r="B40" i="1"/>
  <c r="G9" i="5" s="1"/>
  <c r="G12" i="4"/>
  <c r="B2" i="6"/>
  <c r="B42" i="6" s="1"/>
  <c r="H52" i="1"/>
  <c r="H58" i="1" s="1"/>
  <c r="I58" i="1" s="1"/>
  <c r="J58" i="1" s="1"/>
  <c r="B5" i="6"/>
  <c r="B4" i="6"/>
  <c r="B40" i="6" s="1"/>
  <c r="B36" i="1"/>
  <c r="B1" i="6" s="1"/>
  <c r="H54" i="1"/>
  <c r="H60" i="1" s="1"/>
  <c r="I60" i="1" s="1"/>
  <c r="J60" i="1" s="1"/>
  <c r="I69" i="1"/>
  <c r="I70" i="1" s="1"/>
  <c r="I71" i="1" s="1"/>
  <c r="E88" i="1" s="1"/>
  <c r="E90" i="1"/>
  <c r="C63" i="1"/>
  <c r="H50" i="1"/>
  <c r="H53" i="1" s="1"/>
  <c r="H59" i="1" s="1"/>
  <c r="I59" i="1" s="1"/>
  <c r="J59" i="1" s="1"/>
  <c r="B7" i="6"/>
  <c r="D19" i="5"/>
  <c r="D20" i="5" s="1"/>
  <c r="C32" i="1"/>
  <c r="B21" i="5" s="1"/>
  <c r="C30" i="1"/>
  <c r="B19" i="5" s="1"/>
  <c r="C29" i="1"/>
  <c r="B18" i="5" s="1"/>
  <c r="G9" i="14"/>
  <c r="B83" i="5"/>
  <c r="O19" i="5" s="1"/>
  <c r="I3" i="5"/>
  <c r="R4" i="5"/>
  <c r="Q4" i="5" s="1"/>
  <c r="R5" i="5" s="1"/>
  <c r="Q5" i="5" s="1"/>
  <c r="B18" i="6"/>
  <c r="B21" i="6" s="1"/>
  <c r="B22" i="6" s="1"/>
  <c r="L3" i="1"/>
  <c r="O20" i="5"/>
  <c r="D86" i="5"/>
  <c r="D87" i="5" s="1"/>
  <c r="D85" i="5"/>
  <c r="B114" i="1"/>
  <c r="D113" i="1"/>
  <c r="C113" i="1"/>
  <c r="B115" i="1" s="1"/>
  <c r="B116" i="1" s="1"/>
  <c r="E2" i="5" l="1"/>
  <c r="B8" i="7"/>
  <c r="A8" i="7" s="1"/>
  <c r="B6" i="1"/>
  <c r="E91" i="1"/>
  <c r="C74" i="1"/>
  <c r="D74" i="1" s="1"/>
  <c r="C57" i="1"/>
  <c r="D57" i="1" s="1"/>
  <c r="C89" i="1"/>
  <c r="D89" i="1" s="1"/>
  <c r="R6" i="5"/>
  <c r="Q6" i="5" s="1"/>
  <c r="D88" i="5"/>
  <c r="C86" i="1"/>
  <c r="D86" i="1" s="1"/>
  <c r="I9" i="14"/>
  <c r="I13" i="14"/>
  <c r="I15" i="14"/>
  <c r="I10" i="14"/>
  <c r="J62" i="1"/>
  <c r="H63" i="1" s="1"/>
  <c r="H51" i="1" s="1"/>
  <c r="C46" i="1" s="1"/>
  <c r="D46" i="1" s="1"/>
  <c r="B17" i="7" l="1"/>
  <c r="H17" i="7" s="1"/>
  <c r="D32" i="7"/>
  <c r="B26" i="7"/>
  <c r="A26" i="7" s="1"/>
  <c r="D18" i="7"/>
  <c r="D26" i="7"/>
  <c r="D29" i="7"/>
  <c r="D28" i="7"/>
  <c r="B22" i="7"/>
  <c r="H22" i="7" s="1"/>
  <c r="D19" i="7"/>
  <c r="D20" i="7"/>
  <c r="B36" i="7"/>
  <c r="F36" i="7" s="1"/>
  <c r="B31" i="7"/>
  <c r="H31" i="7" s="1"/>
  <c r="B42" i="7"/>
  <c r="H42" i="7" s="1"/>
  <c r="B37" i="7"/>
  <c r="H37" i="7" s="1"/>
  <c r="B23" i="7"/>
  <c r="F23" i="7" s="1"/>
  <c r="B35" i="7"/>
  <c r="H35" i="7" s="1"/>
  <c r="B43" i="7"/>
  <c r="F43" i="7" s="1"/>
  <c r="B32" i="7"/>
  <c r="H32" i="7" s="1"/>
  <c r="B29" i="7"/>
  <c r="A29" i="7" s="1"/>
  <c r="D33" i="7"/>
  <c r="B27" i="7"/>
  <c r="H27" i="7" s="1"/>
  <c r="D17" i="7"/>
  <c r="D24" i="7"/>
  <c r="D42" i="7"/>
  <c r="B40" i="7"/>
  <c r="H40" i="7" s="1"/>
  <c r="B24" i="7"/>
  <c r="H24" i="7" s="1"/>
  <c r="D25" i="7"/>
  <c r="B34" i="7"/>
  <c r="D43" i="7"/>
  <c r="B19" i="7"/>
  <c r="H19" i="7" s="1"/>
  <c r="D22" i="7"/>
  <c r="D30" i="7"/>
  <c r="B15" i="7"/>
  <c r="H15" i="7" s="1"/>
  <c r="B28" i="7"/>
  <c r="A28" i="7" s="1"/>
  <c r="D44" i="7"/>
  <c r="B20" i="7"/>
  <c r="A20" i="7" s="1"/>
  <c r="D38" i="7"/>
  <c r="D36" i="7"/>
  <c r="B38" i="7"/>
  <c r="H38" i="7" s="1"/>
  <c r="D39" i="7"/>
  <c r="D34" i="7"/>
  <c r="B44" i="7"/>
  <c r="F44" i="7" s="1"/>
  <c r="B41" i="7"/>
  <c r="A41" i="7" s="1"/>
  <c r="B39" i="7"/>
  <c r="A39" i="7" s="1"/>
  <c r="D31" i="7"/>
  <c r="B21" i="7"/>
  <c r="H21" i="7" s="1"/>
  <c r="B25" i="7"/>
  <c r="H25" i="7" s="1"/>
  <c r="B16" i="7"/>
  <c r="A16" i="7" s="1"/>
  <c r="D41" i="7"/>
  <c r="A17" i="7"/>
  <c r="A34" i="7"/>
  <c r="F34" i="7"/>
  <c r="H34" i="7"/>
  <c r="F26" i="7"/>
  <c r="F37" i="7"/>
  <c r="B64" i="5"/>
  <c r="B60" i="5"/>
  <c r="D65" i="5"/>
  <c r="C65" i="5" s="1"/>
  <c r="D63" i="5"/>
  <c r="C63" i="5" s="1"/>
  <c r="D61" i="5"/>
  <c r="C61" i="5" s="1"/>
  <c r="B65" i="5"/>
  <c r="B63" i="5"/>
  <c r="B61" i="5"/>
  <c r="B62" i="5"/>
  <c r="D64" i="5"/>
  <c r="C64" i="5" s="1"/>
  <c r="D62" i="5"/>
  <c r="C62" i="5" s="1"/>
  <c r="D60" i="5"/>
  <c r="B33" i="7"/>
  <c r="D27" i="7"/>
  <c r="D16" i="7"/>
  <c r="D21" i="7"/>
  <c r="D15" i="7"/>
  <c r="D35" i="7"/>
  <c r="D37" i="7"/>
  <c r="D4" i="14"/>
  <c r="D40" i="7"/>
  <c r="B30" i="7"/>
  <c r="D23" i="7"/>
  <c r="B18" i="7"/>
  <c r="H26" i="7" l="1"/>
  <c r="F22" i="7"/>
  <c r="F32" i="7"/>
  <c r="A37" i="7"/>
  <c r="F35" i="7"/>
  <c r="F17" i="7"/>
  <c r="A32" i="7"/>
  <c r="H44" i="7"/>
  <c r="A31" i="7"/>
  <c r="F31" i="7"/>
  <c r="H43" i="7"/>
  <c r="A35" i="7"/>
  <c r="A42" i="7"/>
  <c r="A40" i="7"/>
  <c r="H36" i="7"/>
  <c r="F40" i="7"/>
  <c r="A36" i="7"/>
  <c r="H39" i="7"/>
  <c r="A22" i="7"/>
  <c r="A15" i="7"/>
  <c r="F39" i="7"/>
  <c r="F15" i="7"/>
  <c r="F29" i="7"/>
  <c r="F42" i="7"/>
  <c r="H29" i="7"/>
  <c r="A43" i="7"/>
  <c r="H23" i="7"/>
  <c r="F28" i="7"/>
  <c r="A27" i="7"/>
  <c r="H28" i="7"/>
  <c r="F27" i="7"/>
  <c r="A23" i="7"/>
  <c r="A38" i="7"/>
  <c r="F38" i="7"/>
  <c r="H20" i="7"/>
  <c r="H16" i="7"/>
  <c r="A25" i="7"/>
  <c r="A24" i="7"/>
  <c r="F25" i="7"/>
  <c r="F24" i="7"/>
  <c r="F20" i="7"/>
  <c r="F16" i="7"/>
  <c r="A44" i="7"/>
  <c r="F41" i="7"/>
  <c r="A19" i="7"/>
  <c r="A21" i="7"/>
  <c r="H41" i="7"/>
  <c r="F19" i="7"/>
  <c r="F21" i="7"/>
  <c r="A60" i="5"/>
  <c r="G60" i="5"/>
  <c r="F60" i="5" s="1"/>
  <c r="H18" i="7"/>
  <c r="F18" i="7"/>
  <c r="A18" i="7"/>
  <c r="G66" i="5"/>
  <c r="F66" i="5" s="1"/>
  <c r="C60" i="5"/>
  <c r="A62" i="5"/>
  <c r="G62" i="5"/>
  <c r="F62" i="5" s="1"/>
  <c r="A61" i="5"/>
  <c r="G61" i="5"/>
  <c r="F61" i="5" s="1"/>
  <c r="H30" i="7"/>
  <c r="F30" i="7"/>
  <c r="A30" i="7"/>
  <c r="H33" i="7"/>
  <c r="F33" i="7"/>
  <c r="A33" i="7"/>
  <c r="G63" i="5"/>
  <c r="F63" i="5" s="1"/>
  <c r="A63" i="5"/>
  <c r="G65" i="5"/>
  <c r="F65" i="5" s="1"/>
  <c r="A65" i="5"/>
  <c r="I6" i="14"/>
  <c r="D4" i="7" s="1"/>
  <c r="I5" i="14"/>
  <c r="F4" i="7" s="1"/>
  <c r="B4" i="7"/>
  <c r="I4" i="14"/>
  <c r="H4" i="7" s="1"/>
  <c r="A64" i="5"/>
  <c r="G64" i="5"/>
  <c r="F64" i="5" s="1"/>
</calcChain>
</file>

<file path=xl/sharedStrings.xml><?xml version="1.0" encoding="utf-8"?>
<sst xmlns="http://schemas.openxmlformats.org/spreadsheetml/2006/main" count="917" uniqueCount="473">
  <si>
    <t>INVERTER</t>
  </si>
  <si>
    <t>WATTAGE</t>
  </si>
  <si>
    <t>MODULE</t>
  </si>
  <si>
    <t>Imp</t>
  </si>
  <si>
    <t>Vmp</t>
  </si>
  <si>
    <t>Voc</t>
  </si>
  <si>
    <t>Isc</t>
  </si>
  <si>
    <t>MODEL NUMBER</t>
  </si>
  <si>
    <t>LIST</t>
  </si>
  <si>
    <t>INVERTER 1</t>
  </si>
  <si>
    <t>INVERTER 2</t>
  </si>
  <si>
    <t>INVERTER 3</t>
  </si>
  <si>
    <t>INVERTER 4</t>
  </si>
  <si>
    <t>INVERTER 5</t>
  </si>
  <si>
    <t>INVERTER MODEL:</t>
  </si>
  <si>
    <t># OF STRINGS:</t>
  </si>
  <si>
    <t># OF MODULES ON LARGEST STRING:</t>
  </si>
  <si>
    <t>MODULE TYPE:</t>
  </si>
  <si>
    <t>DEAL:</t>
  </si>
  <si>
    <t>SERVICE AMPERAGE:</t>
  </si>
  <si>
    <t>JOB NAME:</t>
  </si>
  <si>
    <t>ADDRESS:</t>
  </si>
  <si>
    <t>TRINITY ACCOUNT #:</t>
  </si>
  <si>
    <t>UTILITY COMPANY:</t>
  </si>
  <si>
    <t>UTILITY ACCOUNT #:</t>
  </si>
  <si>
    <t>UTILITY METER #:</t>
  </si>
  <si>
    <t>DRAWER'S INITIALS:</t>
  </si>
  <si>
    <t>DATE:</t>
  </si>
  <si>
    <t># OF MICROINVERTERS:</t>
  </si>
  <si>
    <t># OF MODULES ON ADDITIONAL STRING
(ONLY IF DIFFERENT THAN LARGEST STRING):</t>
  </si>
  <si>
    <t>REVISION #:</t>
  </si>
  <si>
    <t>REVISION DRAWER'S INITIALS:</t>
  </si>
  <si>
    <t>MODULES:</t>
  </si>
  <si>
    <t>N/A</t>
  </si>
  <si>
    <t>REVISION DATE:</t>
  </si>
  <si>
    <t>SYSTEM SIZE:</t>
  </si>
  <si>
    <t>MODULE WATTAGE:</t>
  </si>
  <si>
    <t>MODULE :</t>
  </si>
  <si>
    <t>MODEL #:</t>
  </si>
  <si>
    <t>Imp:</t>
  </si>
  <si>
    <t>Vmp:</t>
  </si>
  <si>
    <t>Voc:</t>
  </si>
  <si>
    <t>Isc:</t>
  </si>
  <si>
    <t>CALCULATED Voc:</t>
  </si>
  <si>
    <t>CALCULATED Voc</t>
  </si>
  <si>
    <t>M215 MICROINVERTERS</t>
  </si>
  <si>
    <t>ONELINE TITLE BLOCK 1</t>
  </si>
  <si>
    <t>ONELINE TITLE BLOCK 2</t>
  </si>
  <si>
    <t>W</t>
  </si>
  <si>
    <t>kW</t>
  </si>
  <si>
    <t>(USE 5 FOR MICROS)</t>
  </si>
  <si>
    <t>Iout</t>
  </si>
  <si>
    <t>TOTAL AMPERAGE:</t>
  </si>
  <si>
    <t>Iout:</t>
  </si>
  <si>
    <t># OF ARRAYS:</t>
  </si>
  <si>
    <t>TOTAL MICROINVERTERS:</t>
  </si>
  <si>
    <t>CIRCUIT 1:</t>
  </si>
  <si>
    <t>CIRCUIT 2:</t>
  </si>
  <si>
    <t>CIRCUIT 3:</t>
  </si>
  <si>
    <t>CIRCUIT 4:</t>
  </si>
  <si>
    <t>CIRCUIT 5:</t>
  </si>
  <si>
    <t>MAIN BREAKER/FUSE:</t>
  </si>
  <si>
    <t>MAIN BREAKER/FUSE SIZE:</t>
  </si>
  <si>
    <t>INVERTER 1 SPEC</t>
  </si>
  <si>
    <t>DC</t>
  </si>
  <si>
    <t>AC</t>
  </si>
  <si>
    <t>Pout</t>
  </si>
  <si>
    <t>Vnom</t>
  </si>
  <si>
    <t>Imax</t>
  </si>
  <si>
    <t>INVERTER 2 SPEC</t>
  </si>
  <si>
    <t>INVERTER 3 SPEC</t>
  </si>
  <si>
    <t>INVERTER 4 SPEC</t>
  </si>
  <si>
    <t>INVERTER 5 SPEC</t>
  </si>
  <si>
    <t>STRING 1:</t>
  </si>
  <si>
    <t>STRING 2:</t>
  </si>
  <si>
    <t>MODULE STRINGING SPEC</t>
  </si>
  <si>
    <t>MODULE SPEC</t>
  </si>
  <si>
    <t>PV MODULE SPECIFICATIONS</t>
  </si>
  <si>
    <t>MAIN DISCONNECT:</t>
  </si>
  <si>
    <t>MICROINVERTER TOP LEFT TITLE BLOCK</t>
  </si>
  <si>
    <t>KEY TABLE</t>
  </si>
  <si>
    <t>#6 THWN-2 GEC TO EXISTING GROUND ROD</t>
  </si>
  <si>
    <t>KEY TABLE:</t>
  </si>
  <si>
    <t>NEW SMA's?</t>
  </si>
  <si>
    <t>LINE TAPS OR BREAKER:</t>
  </si>
  <si>
    <t>TAPS OR BREAKER:</t>
  </si>
  <si>
    <t>ONLY PVP's?</t>
  </si>
  <si>
    <t>TOTAL MICRO STRINGS:</t>
  </si>
  <si>
    <t>#10</t>
  </si>
  <si>
    <t>DC WIRE:</t>
  </si>
  <si>
    <t>ONLY MICRO's?</t>
  </si>
  <si>
    <t>UTILITY DISCO AMPERAGE:</t>
  </si>
  <si>
    <t>SUBPANEL AMPERAGE:</t>
  </si>
  <si>
    <t>INV 1 BREAKER:</t>
  </si>
  <si>
    <t>INV 2 BREAKER:</t>
  </si>
  <si>
    <t>INV 3 BREAKER:</t>
  </si>
  <si>
    <t>INV 4 BREAKER:</t>
  </si>
  <si>
    <t>INV 5 BREAKER:</t>
  </si>
  <si>
    <t>MICRO 1 BREAKER:</t>
  </si>
  <si>
    <t>MICRO 2 BREAKER:</t>
  </si>
  <si>
    <t>MICRO 3 BREAKER:</t>
  </si>
  <si>
    <t>MICRO 4 BREAKER:</t>
  </si>
  <si>
    <t>MICRO 5 BREAKER:</t>
  </si>
  <si>
    <t>MATERIAL LIST:</t>
  </si>
  <si>
    <t>LAYOUT TITLE BLOCK</t>
  </si>
  <si>
    <t>SUBPANEL OUTSIDE?:</t>
  </si>
  <si>
    <t>WATTAGE:</t>
  </si>
  <si>
    <t>HOW MANY MODULES ARE LANDSCAPED?:</t>
  </si>
  <si>
    <t>INVERTER/SUBPANEL OUTSIDE?:</t>
  </si>
  <si>
    <t>MODULES PORTRAIT:</t>
  </si>
  <si>
    <t>MODULES LANDSCAPE:</t>
  </si>
  <si>
    <t>RAIL LENGTH:</t>
  </si>
  <si>
    <t>FULL RAILS:</t>
  </si>
  <si>
    <t>ROUNDED UP:</t>
  </si>
  <si>
    <t>SMALL KEY TABLE</t>
  </si>
  <si>
    <t>SE3800A-US</t>
  </si>
  <si>
    <t>SE5000A-US</t>
  </si>
  <si>
    <t>SE6000A-US</t>
  </si>
  <si>
    <t>SE7600A-US</t>
  </si>
  <si>
    <t>SE10000A-US</t>
  </si>
  <si>
    <t>SE11400A-US</t>
  </si>
  <si>
    <t>SE?:</t>
  </si>
  <si>
    <t>SE ADC MAX:</t>
  </si>
  <si>
    <t>SE MAX IMP:</t>
  </si>
  <si>
    <t>MODULE COUNT:</t>
  </si>
  <si>
    <t>SOLAR EDGE</t>
  </si>
  <si>
    <t>DC REQUIRED CONDUCTOR AMP:</t>
  </si>
  <si>
    <t>DC WIRE SIZE:</t>
  </si>
  <si>
    <t># OF CCC:</t>
  </si>
  <si>
    <t>DERATE %:</t>
  </si>
  <si>
    <t>DC CONDUCTOR AMP:</t>
  </si>
  <si>
    <t>DERATED CONDUCTOR AMP:</t>
  </si>
  <si>
    <t>TOTAL INVERTER AMP:</t>
  </si>
  <si>
    <t>^ * 1.25:</t>
  </si>
  <si>
    <t>AC WIRE SIZE:</t>
  </si>
  <si>
    <t>AC CONDUCTOR AMP:</t>
  </si>
  <si>
    <t>MULTIPLY ^ BY:</t>
  </si>
  <si>
    <t>NO.</t>
  </si>
  <si>
    <t>DESCRIPTION</t>
  </si>
  <si>
    <t>DATE</t>
  </si>
  <si>
    <t>ISSUED/REVISIONS</t>
  </si>
  <si>
    <t>P1</t>
  </si>
  <si>
    <t>ISSUED TO TOWNSHIP FOR PERMIT</t>
  </si>
  <si>
    <t>NEW LAYOUT TITLE BLOCK</t>
  </si>
  <si>
    <t>DRAWING DATE:</t>
  </si>
  <si>
    <t>DRAWN BY:</t>
  </si>
  <si>
    <t>REVISED BY:</t>
  </si>
  <si>
    <t>TOTAL MODULE COUNT:</t>
  </si>
  <si>
    <t>MODULES USED:</t>
  </si>
  <si>
    <t>MODULE SPEC #:</t>
  </si>
  <si>
    <t>EQUIPMENT SCHEDULE</t>
  </si>
  <si>
    <t>ELECTRICAL 3 LINE DIAGRAM</t>
  </si>
  <si>
    <t>SE3000A-US</t>
  </si>
  <si>
    <t>UTILITY ACCT #:</t>
  </si>
  <si>
    <t>COVER TITLE</t>
  </si>
  <si>
    <t>DEAL TYPE:</t>
  </si>
  <si>
    <t>PEAK TO GROUND:</t>
  </si>
  <si>
    <t>FEET</t>
  </si>
  <si>
    <t>INCHES</t>
  </si>
  <si>
    <t>R1 ORIENTATION:</t>
  </si>
  <si>
    <t>R2 ORIENTATION:</t>
  </si>
  <si>
    <t>PITCH:</t>
  </si>
  <si>
    <t>R3 ORIENTATION:</t>
  </si>
  <si>
    <t>R4 ORIENTATION:</t>
  </si>
  <si>
    <t>°</t>
  </si>
  <si>
    <t>PEAK TO GROUND(FT):</t>
  </si>
  <si>
    <t>PEAK TO GROUND(IN):</t>
  </si>
  <si>
    <t>R1 ORIENT:</t>
  </si>
  <si>
    <t>R2 ORIENT:</t>
  </si>
  <si>
    <t>R3 ORIENT:</t>
  </si>
  <si>
    <t>R4 ORIENT:</t>
  </si>
  <si>
    <t>STREET:</t>
  </si>
  <si>
    <t>MAIN BREAKER LOCATION:</t>
  </si>
  <si>
    <t>EQUIPMENT LOCATION</t>
  </si>
  <si>
    <t>INVERTER LOCATION:</t>
  </si>
  <si>
    <t>ROOF SCHEDULE</t>
  </si>
  <si>
    <t>ROOF MOUNT OR GROUND MOUNT?:</t>
  </si>
  <si>
    <t>GOOD/DELETE</t>
  </si>
  <si>
    <t>WHICH DRAWING?</t>
  </si>
  <si>
    <t>M250 MICROINVERTERS</t>
  </si>
  <si>
    <t>MICROS?</t>
  </si>
  <si>
    <t>MODEL?</t>
  </si>
  <si>
    <t># OF STRINGS COMBINED:</t>
  </si>
  <si>
    <t>MODULE ISC OR SE 15A:</t>
  </si>
  <si>
    <t>TRENCH?:</t>
  </si>
  <si>
    <t>VOLTAGE DROP</t>
  </si>
  <si>
    <t>VOLTAGE:</t>
  </si>
  <si>
    <t>AMPERAGE:</t>
  </si>
  <si>
    <t>DISTANCE:</t>
  </si>
  <si>
    <t>CMILS:</t>
  </si>
  <si>
    <t>CONDUCTOR SIZE:</t>
  </si>
  <si>
    <t>EGC/NEUTRAL SIZE:</t>
  </si>
  <si>
    <t>VD%:</t>
  </si>
  <si>
    <t>VOLTS DROPPED:</t>
  </si>
  <si>
    <t>NO</t>
  </si>
  <si>
    <t>AMPERAGE AT END OF RUN:</t>
  </si>
  <si>
    <t>DISTANCE OF TRENCH IN FEET:</t>
  </si>
  <si>
    <t>SINGLE PHASE VOLTAGE DROP CALCULATOR</t>
  </si>
  <si>
    <t>ACTUAL CMILS:</t>
  </si>
  <si>
    <t>REQUIRED MINIMUM CMILS:</t>
  </si>
  <si>
    <t>DC STRING VOLTS/AMPS CALCULATOR</t>
  </si>
  <si>
    <t>MODULE:</t>
  </si>
  <si>
    <t># OF MODULES IN STRING:</t>
  </si>
  <si>
    <t># OF WIRES</t>
  </si>
  <si>
    <t>WIRE SIZE</t>
  </si>
  <si>
    <t>DIAMETER</t>
  </si>
  <si>
    <t>*(# OF WIRES)</t>
  </si>
  <si>
    <t>NIPPLE? (12" OR LESS)</t>
  </si>
  <si>
    <t>EMT=</t>
  </si>
  <si>
    <t>FMC=</t>
  </si>
  <si>
    <t>PVC (SCHED 40)=</t>
  </si>
  <si>
    <t>PVC (SCHED 80)=</t>
  </si>
  <si>
    <t>MINIMUM CONDUIT SIZE CALCULATOR</t>
  </si>
  <si>
    <t>IS JOB CLOSE TO SALT WATER?:</t>
  </si>
  <si>
    <t>BACKFEED BREAKER TYPE:</t>
  </si>
  <si>
    <t>^^^</t>
  </si>
  <si>
    <t>•</t>
  </si>
  <si>
    <t>T-BOLTS</t>
  </si>
  <si>
    <t>MID CLIPS</t>
  </si>
  <si>
    <t>END CLIPS</t>
  </si>
  <si>
    <t>SPLICE KITS</t>
  </si>
  <si>
    <t>GROUND LUGS</t>
  </si>
  <si>
    <t>___</t>
  </si>
  <si>
    <t>ESTIMATED</t>
  </si>
  <si>
    <t>SENT TO JOB</t>
  </si>
  <si>
    <t>USED</t>
  </si>
  <si>
    <t>"-TEMPLATE CODE"</t>
  </si>
  <si>
    <t>STATE?:</t>
  </si>
  <si>
    <t>Man hours</t>
  </si>
  <si>
    <t>Days with 6 men</t>
  </si>
  <si>
    <t>Days with 4 men</t>
  </si>
  <si>
    <t>Days with 3 men</t>
  </si>
  <si>
    <t>Install Size (kw)</t>
  </si>
  <si>
    <t>man hours</t>
  </si>
  <si>
    <t>Stories</t>
  </si>
  <si>
    <t>man hours added</t>
  </si>
  <si>
    <t>Roof Pitch</t>
  </si>
  <si>
    <t>Inverter location</t>
  </si>
  <si>
    <t>Conduit location</t>
  </si>
  <si>
    <t>attic</t>
  </si>
  <si>
    <t># of Arrays</t>
  </si>
  <si>
    <t># of Vent pipes</t>
  </si>
  <si>
    <t xml:space="preserve">Standard Sheathing </t>
  </si>
  <si>
    <t>Trenching ft</t>
  </si>
  <si>
    <t>Assumptions</t>
  </si>
  <si>
    <t>10kw or less, ranch, less than 35 degree pitch, inverter outside, conduit outside, 1 array, no existing vents to move, Standard sheathing</t>
  </si>
  <si>
    <t>Standard install</t>
  </si>
  <si>
    <t>man hours per 10kw standard install</t>
  </si>
  <si>
    <t>Watts per man hour</t>
  </si>
  <si>
    <t>2 story house</t>
  </si>
  <si>
    <t>man hours per 10kw install per story adder</t>
  </si>
  <si>
    <t>man hours per kilowatt, per story</t>
  </si>
  <si>
    <t>&gt;35 degree pitch</t>
  </si>
  <si>
    <t>man hours per 10kw install over 35 degrees adder</t>
  </si>
  <si>
    <t>man hours per kilowatt, per degree</t>
  </si>
  <si>
    <t>inverter inside</t>
  </si>
  <si>
    <t>man hours per 10kw install adder</t>
  </si>
  <si>
    <t>man hours per kilowatt</t>
  </si>
  <si>
    <t>Conduit though attic</t>
  </si>
  <si>
    <t>multiple arrays</t>
  </si>
  <si>
    <t>man hours per 10kw install per array adder</t>
  </si>
  <si>
    <t>man hours per kilowatt, per array</t>
  </si>
  <si>
    <t>Vent pipes</t>
  </si>
  <si>
    <t>man hours per 10kw install per vent pipe adder</t>
  </si>
  <si>
    <t>man hours per kilowatt, per vent pipe</t>
  </si>
  <si>
    <t>Non-standard Sheathing</t>
  </si>
  <si>
    <t>man hours per ft</t>
  </si>
  <si>
    <t>STANDARD SHEATHING?:</t>
  </si>
  <si>
    <t>YES</t>
  </si>
  <si>
    <t>"-delete 2nd string?"</t>
  </si>
  <si>
    <t>unfusedDiscoPartNum</t>
  </si>
  <si>
    <t>SILFAB SOLAR</t>
  </si>
  <si>
    <t>UTILITY COMPANY</t>
  </si>
  <si>
    <t>DEAL TYPE</t>
  </si>
  <si>
    <t>SUNRUN</t>
  </si>
  <si>
    <t>SUNNOVA</t>
  </si>
  <si>
    <t>CT LEASE</t>
  </si>
  <si>
    <t>SUNEDISON</t>
  </si>
  <si>
    <t>MOSAIC</t>
  </si>
  <si>
    <t>DIVIDEND</t>
  </si>
  <si>
    <t>CASH</t>
  </si>
  <si>
    <t>SUNLIGHT</t>
  </si>
  <si>
    <t>EFS</t>
  </si>
  <si>
    <t>FINANCE</t>
  </si>
  <si>
    <t>MASS SOLAR LOAN</t>
  </si>
  <si>
    <t>JCP&amp;L</t>
  </si>
  <si>
    <t>PSE&amp;G</t>
  </si>
  <si>
    <t>ACE</t>
  </si>
  <si>
    <t>LIPA</t>
  </si>
  <si>
    <t>CON EDISON</t>
  </si>
  <si>
    <t>UI</t>
  </si>
  <si>
    <t>PSEG-LI</t>
  </si>
  <si>
    <t>ROCKLAND ELECTRIC CO.</t>
  </si>
  <si>
    <t>NAT'L GRID</t>
  </si>
  <si>
    <t>UNITIL</t>
  </si>
  <si>
    <t>EVERSOURCE</t>
  </si>
  <si>
    <t>CENTRAL HUDSON G&amp;E</t>
  </si>
  <si>
    <t>BGE</t>
  </si>
  <si>
    <t>SMECO</t>
  </si>
  <si>
    <t>PEPCO</t>
  </si>
  <si>
    <t>DELMARVA</t>
  </si>
  <si>
    <t>NYSEG</t>
  </si>
  <si>
    <t>MILLTOWN ELECTRIC</t>
  </si>
  <si>
    <t>AC WIRES (NOT MICROS) INPUTS HERE!</t>
  </si>
  <si>
    <t xml:space="preserve"> NO TOUCHY!!!!!!</t>
  </si>
  <si>
    <t>IGS</t>
  </si>
  <si>
    <t>CONDUIT PICK LIST!!</t>
  </si>
  <si>
    <t>STANDARD SIZING</t>
  </si>
  <si>
    <t>CONDUIT SIZING:</t>
  </si>
  <si>
    <t>1 INCH</t>
  </si>
  <si>
    <t>OCPDmin</t>
  </si>
  <si>
    <t>DC SYSTEM SIZE:</t>
  </si>
  <si>
    <t>AC SYSTEM SIZE:</t>
  </si>
  <si>
    <t>IN1</t>
  </si>
  <si>
    <t>IN2</t>
  </si>
  <si>
    <t>IN3</t>
  </si>
  <si>
    <t>IN4</t>
  </si>
  <si>
    <t>IN5</t>
  </si>
  <si>
    <t>RACKING:</t>
  </si>
  <si>
    <t>Q.PEAK-BLK G4.1 285</t>
  </si>
  <si>
    <t>SE3000H-US</t>
  </si>
  <si>
    <t>SE3800H-US</t>
  </si>
  <si>
    <t>VINELAND ELECTRIC</t>
  </si>
  <si>
    <t>HANWHA 290</t>
  </si>
  <si>
    <t>Q.PEAK-BLK G4.1 290</t>
  </si>
  <si>
    <t>HANWHA 285</t>
  </si>
  <si>
    <t>SE5000H-US</t>
  </si>
  <si>
    <t>SE7600H-US</t>
  </si>
  <si>
    <t>SE6000H-US</t>
  </si>
  <si>
    <t>ROOF MOUNT</t>
  </si>
  <si>
    <t>OUTSIDE</t>
  </si>
  <si>
    <t>INSIDE</t>
  </si>
  <si>
    <t>IQ6 MICROINVERTERS</t>
  </si>
  <si>
    <t>IQ6PLUS MICROINVERTERS</t>
  </si>
  <si>
    <t>JINKO 280</t>
  </si>
  <si>
    <t>JKM280M-60B</t>
  </si>
  <si>
    <t>JINKO 285</t>
  </si>
  <si>
    <t>JKM285M-60B</t>
  </si>
  <si>
    <t>HANWHA 295</t>
  </si>
  <si>
    <t>Q.PEAK-BLK G4.1 295</t>
  </si>
  <si>
    <t>TRINA 290</t>
  </si>
  <si>
    <t>TSM-290 DD05A.05</t>
  </si>
  <si>
    <t>TRINA 295</t>
  </si>
  <si>
    <t>TSM-295 DD05A.05</t>
  </si>
  <si>
    <t>LG 310</t>
  </si>
  <si>
    <t>LG310N1C-G4</t>
  </si>
  <si>
    <t>LG 325</t>
  </si>
  <si>
    <t>LG325N1C-A5</t>
  </si>
  <si>
    <t>LG 330</t>
  </si>
  <si>
    <t>LG330N1C-A5</t>
  </si>
  <si>
    <t>LG 335</t>
  </si>
  <si>
    <t>LG335N1C-A5</t>
  </si>
  <si>
    <t>RECOM 290</t>
  </si>
  <si>
    <t>RCM-290-6MB</t>
  </si>
  <si>
    <t>JINKO 290</t>
  </si>
  <si>
    <t>JKM290M-60B</t>
  </si>
  <si>
    <t>SLA285M</t>
  </si>
  <si>
    <t>HANWHA 300</t>
  </si>
  <si>
    <t>HLS72P6-PB-1-300</t>
  </si>
  <si>
    <t>CONGA CODES</t>
  </si>
  <si>
    <t>Dividend Solar</t>
  </si>
  <si>
    <t>2018-12-309067</t>
  </si>
  <si>
    <t>100124808161</t>
  </si>
  <si>
    <t>G83410081</t>
  </si>
  <si>
    <t>STATE</t>
  </si>
  <si>
    <t>NJ</t>
  </si>
  <si>
    <t>NY</t>
  </si>
  <si>
    <t>MA</t>
  </si>
  <si>
    <t>CT</t>
  </si>
  <si>
    <t>MD</t>
  </si>
  <si>
    <t>RI</t>
  </si>
  <si>
    <t>PA</t>
  </si>
  <si>
    <t>DE</t>
  </si>
  <si>
    <t>Roof 6</t>
  </si>
  <si>
    <t>Roof 2</t>
  </si>
  <si>
    <t>Roof 3</t>
  </si>
  <si>
    <t>ROOF ORIENTATION</t>
  </si>
  <si>
    <t>ROOF PITCH</t>
  </si>
  <si>
    <t>ADDRESS 1:</t>
  </si>
  <si>
    <t>ADDRESS 2:</t>
  </si>
  <si>
    <t>LAT AND LONG:</t>
  </si>
  <si>
    <t>STRING #3:</t>
  </si>
  <si>
    <t>STRING 3:</t>
  </si>
  <si>
    <t>MAX MODULES PER STRING:</t>
  </si>
  <si>
    <t>MAX MODULES:</t>
  </si>
  <si>
    <t>EQUIPMENT LIST</t>
  </si>
  <si>
    <t>STRING #2:</t>
  </si>
  <si>
    <t>STRING #1:</t>
  </si>
  <si>
    <t>CONGA CODE</t>
  </si>
  <si>
    <t>ROOF HEIGHT</t>
  </si>
  <si>
    <t>Randy Faiges</t>
  </si>
  <si>
    <t>PPL</t>
  </si>
  <si>
    <t>MET ED</t>
  </si>
  <si>
    <t>NUMBER OF MODULES PER ROOF</t>
  </si>
  <si>
    <t>Roof 4</t>
  </si>
  <si>
    <t>ROOF NUMBER</t>
  </si>
  <si>
    <t>Roof 1</t>
  </si>
  <si>
    <t>P2</t>
  </si>
  <si>
    <t>P3</t>
  </si>
  <si>
    <t>P4</t>
  </si>
  <si>
    <t>P5</t>
  </si>
  <si>
    <t>R1</t>
  </si>
  <si>
    <t>R2</t>
  </si>
  <si>
    <t>R3</t>
  </si>
  <si>
    <t>R4</t>
  </si>
  <si>
    <t>R5</t>
  </si>
  <si>
    <t>A1</t>
  </si>
  <si>
    <t>A2</t>
  </si>
  <si>
    <t>A3</t>
  </si>
  <si>
    <t>A4</t>
  </si>
  <si>
    <t>A5</t>
  </si>
  <si>
    <t>ROOF</t>
  </si>
  <si>
    <t>MODULES</t>
  </si>
  <si>
    <t xml:space="preserve">PITCH </t>
  </si>
  <si>
    <t>ORIENTATION</t>
  </si>
  <si>
    <t>Roof 5</t>
  </si>
  <si>
    <t>TRINA 300</t>
  </si>
  <si>
    <t>TSM-300 DD05A.05</t>
  </si>
  <si>
    <t>SE10000H-US</t>
  </si>
  <si>
    <t>AHJ:</t>
  </si>
  <si>
    <t>&lt;a href="/0013200001C1E17AAF" target="_blank"&gt;Brick Township&lt;/a&gt;</t>
  </si>
  <si>
    <t>PLEASE CHECK ROOFS PAGE!!</t>
  </si>
  <si>
    <t>DISCONNECT LOCATION:</t>
  </si>
  <si>
    <t>SAME AS ABOVE</t>
  </si>
  <si>
    <t>RACKING</t>
  </si>
  <si>
    <t>MODULE TYPE</t>
  </si>
  <si>
    <t>INVERTER TYPE</t>
  </si>
  <si>
    <t>INTERCONNECTION</t>
  </si>
  <si>
    <t>DISCONNECT</t>
  </si>
  <si>
    <t>PRODUCTION METER</t>
  </si>
  <si>
    <t>UNFUSED</t>
  </si>
  <si>
    <t>OCPD AMPERAGE</t>
  </si>
  <si>
    <t>DC SYSTEM SIZE</t>
  </si>
  <si>
    <t>AC SYSTEM SIZE</t>
  </si>
  <si>
    <t>TOTAL PANELS</t>
  </si>
  <si>
    <t>ELECTRICAL</t>
  </si>
  <si>
    <t>Busbar Amperage</t>
  </si>
  <si>
    <t>fusedDiscoPartNum</t>
  </si>
  <si>
    <t>HANWHA 315</t>
  </si>
  <si>
    <t>Q.PEAK DUO BLK-G5 315</t>
  </si>
  <si>
    <t>OTHER</t>
  </si>
  <si>
    <t>HANWHA 310</t>
  </si>
  <si>
    <t>Q.PEAK DUO BLK-G5 310</t>
  </si>
  <si>
    <t>HOT WIRES</t>
  </si>
  <si>
    <t>NEUTRAL</t>
  </si>
  <si>
    <t>GROUND</t>
  </si>
  <si>
    <t>CONDUIT SIZE</t>
  </si>
  <si>
    <t>CONDUIT DESCRIBER B</t>
  </si>
  <si>
    <t>SE11400H-US</t>
  </si>
  <si>
    <t>Hanwha - Q.PEAK DUO BLK-G5 315</t>
  </si>
  <si>
    <t>763 Tall Oaks Drive</t>
  </si>
  <si>
    <t>Brick, NJ 08724</t>
  </si>
  <si>
    <t>40.116594,-74.105553</t>
  </si>
  <si>
    <t>Roof 8</t>
  </si>
  <si>
    <t>Roof 7</t>
  </si>
  <si>
    <t>MAIN BREAKER AMPERAGE:</t>
  </si>
  <si>
    <t>MAIN BUSBAR AMPERAGE:</t>
  </si>
  <si>
    <t>NEC705.12</t>
  </si>
  <si>
    <t>IQ7 MICROINVERTERS</t>
  </si>
  <si>
    <t>IQ7PLUS MICROINVERTERS</t>
  </si>
  <si>
    <t>LINE TAPS</t>
  </si>
  <si>
    <t>UNKOWN BRAND</t>
  </si>
  <si>
    <t>UNIRAC SMF (RAILLESS)</t>
  </si>
  <si>
    <t>SOLAR EDGE (HD WAVE)</t>
  </si>
  <si>
    <t>Line Tap</t>
  </si>
  <si>
    <t>Fused</t>
  </si>
  <si>
    <t>No P Meter</t>
  </si>
  <si>
    <t>IF NEEDED</t>
  </si>
  <si>
    <t>SYSTEM SIZE DECREASE</t>
  </si>
  <si>
    <t>Komninakis, James</t>
  </si>
  <si>
    <t>JMS</t>
  </si>
  <si>
    <t>AS BUILT</t>
  </si>
  <si>
    <t>NOT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</si>
</sst>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rgb="FF000000"/>
      <name val="Arial"/>
      <family val="2"/>
    </font>
    <font>
      <i/>
      <sz val="11"/>
      <color rgb="FF7F7F7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72"/>
      <color rgb="FF92D050"/>
      <name val="Calibri"/>
      <family val="2"/>
      <scheme val="minor"/>
    </font>
    <font>
      <sz val="9"/>
      <color rgb="FF000000"/>
      <name val="Arial"/>
      <family val="2"/>
    </font>
    <font>
      <b/>
      <sz val="16"/>
      <color rgb="FF65DA4A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rgb="FF7F7F7F"/>
      </top>
      <bottom style="double">
        <color auto="1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theme="0" tint="-0.34995574816125979"/>
      </right>
      <top/>
      <bottom style="thin">
        <color rgb="FFB2B2B2"/>
      </bottom>
      <diagonal/>
    </border>
    <border>
      <left style="thin">
        <color theme="0" tint="-0.34995574816125979"/>
      </left>
      <right style="thin">
        <color theme="0" tint="-0.34995574816125979"/>
      </right>
      <top/>
      <bottom style="thin">
        <color rgb="FFB2B2B2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theme="4" tint="0.49995422223578601"/>
      </top>
      <bottom/>
      <diagonal/>
    </border>
    <border>
      <left/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</borders>
  <cellStyleXfs count="1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30" fillId="2" borderId="3" applyNumberFormat="0" applyFont="0" applyAlignment="0" applyProtection="0"/>
    <xf numFmtId="0" fontId="5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3" borderId="4" applyNumberFormat="0" applyAlignment="0" applyProtection="0"/>
    <xf numFmtId="0" fontId="30" fillId="4" borderId="0" applyNumberFormat="0" applyBorder="0" applyAlignment="0" applyProtection="0"/>
    <xf numFmtId="0" fontId="4" fillId="5" borderId="4" applyNumberFormat="0" applyAlignment="0" applyProtection="0"/>
    <xf numFmtId="0" fontId="16" fillId="3" borderId="5" applyNumberFormat="0" applyAlignment="0" applyProtection="0"/>
    <xf numFmtId="0" fontId="17" fillId="6" borderId="0" applyNumberFormat="0" applyBorder="0" applyAlignment="0" applyProtection="0"/>
  </cellStyleXfs>
  <cellXfs count="307">
    <xf numFmtId="0" fontId="0" fillId="0" borderId="0" xfId="0"/>
    <xf numFmtId="0" fontId="2" fillId="0" borderId="1" xfId="6" applyAlignment="1">
      <alignment horizontal="center"/>
    </xf>
    <xf numFmtId="0" fontId="3" fillId="0" borderId="2" xfId="7" applyAlignment="1">
      <alignment horizontal="center"/>
    </xf>
    <xf numFmtId="0" fontId="6" fillId="0" borderId="0" xfId="1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0" xfId="10" applyFont="1" applyBorder="1" applyAlignment="1">
      <alignment horizontal="right"/>
    </xf>
    <xf numFmtId="0" fontId="10" fillId="0" borderId="0" xfId="11" applyFont="1" applyBorder="1" applyAlignment="1">
      <alignment horizontal="right"/>
    </xf>
    <xf numFmtId="0" fontId="6" fillId="0" borderId="0" xfId="10" applyBorder="1" applyAlignment="1">
      <alignment horizontal="right"/>
    </xf>
    <xf numFmtId="0" fontId="9" fillId="0" borderId="0" xfId="10" applyFont="1" applyFill="1" applyBorder="1" applyAlignment="1">
      <alignment horizontal="right"/>
    </xf>
    <xf numFmtId="0" fontId="2" fillId="0" borderId="0" xfId="6" applyBorder="1" applyAlignment="1">
      <alignment horizontal="center"/>
    </xf>
    <xf numFmtId="0" fontId="9" fillId="0" borderId="0" xfId="10" applyFont="1" applyBorder="1" applyAlignment="1">
      <alignment horizontal="right" wrapText="1"/>
    </xf>
    <xf numFmtId="0" fontId="3" fillId="0" borderId="2" xfId="7" applyFill="1" applyAlignment="1">
      <alignment horizontal="center"/>
    </xf>
    <xf numFmtId="0" fontId="10" fillId="0" borderId="0" xfId="11" applyFont="1" applyBorder="1" applyAlignment="1">
      <alignment horizontal="center"/>
    </xf>
    <xf numFmtId="0" fontId="3" fillId="0" borderId="2" xfId="7"/>
    <xf numFmtId="0" fontId="3" fillId="0" borderId="2" xfId="7" applyAlignment="1">
      <alignment horizontal="center"/>
    </xf>
    <xf numFmtId="0" fontId="2" fillId="0" borderId="0" xfId="6" applyFill="1" applyBorder="1" applyAlignment="1" applyProtection="1">
      <alignment horizontal="center"/>
      <protection hidden="1"/>
    </xf>
    <xf numFmtId="0" fontId="7" fillId="0" borderId="0" xfId="11" applyBorder="1" applyAlignment="1" applyProtection="1">
      <alignment horizontal="left"/>
      <protection hidden="1"/>
    </xf>
    <xf numFmtId="0" fontId="30" fillId="4" borderId="6" xfId="13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30" fillId="4" borderId="6" xfId="13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30" fillId="4" borderId="6" xfId="13" applyBorder="1" applyAlignment="1" applyProtection="1">
      <alignment horizontal="left"/>
      <protection locked="0"/>
    </xf>
    <xf numFmtId="0" fontId="0" fillId="4" borderId="6" xfId="13" applyFont="1" applyBorder="1" applyAlignment="1" applyProtection="1">
      <alignment horizontal="center"/>
      <protection locked="0"/>
    </xf>
    <xf numFmtId="0" fontId="0" fillId="2" borderId="3" xfId="8" applyFont="1" applyProtection="1">
      <protection locked="0"/>
    </xf>
    <xf numFmtId="0" fontId="0" fillId="0" borderId="0" xfId="0" applyBorder="1" applyProtection="1">
      <protection hidden="1"/>
    </xf>
    <xf numFmtId="0" fontId="0" fillId="0" borderId="0" xfId="0" applyProtection="1">
      <protection hidden="1"/>
    </xf>
    <xf numFmtId="0" fontId="6" fillId="0" borderId="0" xfId="10" applyAlignment="1" applyProtection="1">
      <alignment horizontal="right"/>
      <protection hidden="1"/>
    </xf>
    <xf numFmtId="0" fontId="8" fillId="3" borderId="4" xfId="12" applyProtection="1">
      <protection hidden="1"/>
    </xf>
    <xf numFmtId="0" fontId="3" fillId="0" borderId="0" xfId="7" applyBorder="1" applyAlignment="1" applyProtection="1">
      <protection hidden="1"/>
    </xf>
    <xf numFmtId="1" fontId="0" fillId="0" borderId="0" xfId="0" applyNumberFormat="1" applyBorder="1" applyProtection="1">
      <protection hidden="1"/>
    </xf>
    <xf numFmtId="14" fontId="0" fillId="0" borderId="0" xfId="0" applyNumberFormat="1" applyBorder="1" applyProtection="1"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 applyProtection="1">
      <protection hidden="1"/>
    </xf>
    <xf numFmtId="0" fontId="3" fillId="0" borderId="2" xfId="7" applyAlignment="1" applyProtection="1">
      <alignment horizontal="center"/>
      <protection hidden="1"/>
    </xf>
    <xf numFmtId="0" fontId="3" fillId="0" borderId="2" xfId="7" applyProtection="1"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0" fillId="0" borderId="6" xfId="0" applyBorder="1" applyProtection="1">
      <protection hidden="1"/>
    </xf>
    <xf numFmtId="14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1" fontId="0" fillId="0" borderId="0" xfId="0" applyNumberFormat="1" applyAlignment="1" applyProtection="1">
      <alignment horizontal="left" vertical="center"/>
      <protection hidden="1"/>
    </xf>
    <xf numFmtId="0" fontId="0" fillId="0" borderId="0" xfId="0" applyAlignment="1" applyProtection="1">
      <alignment horizontal="right"/>
      <protection hidden="1"/>
    </xf>
    <xf numFmtId="0" fontId="6" fillId="0" borderId="0" xfId="10" applyFill="1" applyBorder="1" applyAlignment="1">
      <alignment horizontal="right"/>
    </xf>
    <xf numFmtId="0" fontId="0" fillId="0" borderId="0" xfId="0" applyBorder="1" applyProtection="1">
      <protection locked="0"/>
    </xf>
    <xf numFmtId="0" fontId="4" fillId="2" borderId="3" xfId="8" applyFont="1" applyProtection="1">
      <protection locked="0"/>
    </xf>
    <xf numFmtId="0" fontId="4" fillId="2" borderId="3" xfId="8" applyFont="1" applyAlignment="1" applyProtection="1">
      <alignment horizontal="center"/>
      <protection locked="0"/>
    </xf>
    <xf numFmtId="0" fontId="0" fillId="2" borderId="3" xfId="8" applyFont="1" applyAlignment="1" applyProtection="1">
      <alignment horizontal="center"/>
      <protection locked="0"/>
    </xf>
    <xf numFmtId="2" fontId="0" fillId="0" borderId="0" xfId="0" applyNumberFormat="1" applyBorder="1" applyAlignment="1" applyProtection="1">
      <alignment horizontal="center" wrapText="1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7" fillId="0" borderId="0" xfId="0" applyFont="1" applyBorder="1" applyProtection="1">
      <protection hidden="1"/>
    </xf>
    <xf numFmtId="0" fontId="12" fillId="0" borderId="0" xfId="0" applyFon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6" xfId="0" applyFont="1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14" fontId="0" fillId="0" borderId="6" xfId="0" applyNumberFormat="1" applyBorder="1" applyAlignment="1" applyProtection="1">
      <alignment horizontal="center"/>
      <protection hidden="1"/>
    </xf>
    <xf numFmtId="14" fontId="0" fillId="0" borderId="6" xfId="0" applyNumberFormat="1" applyBorder="1" applyProtection="1">
      <protection locked="0"/>
    </xf>
    <xf numFmtId="0" fontId="0" fillId="4" borderId="6" xfId="13" applyFont="1" applyBorder="1" applyAlignment="1" applyProtection="1">
      <alignment horizontal="left"/>
      <protection locked="0"/>
    </xf>
    <xf numFmtId="0" fontId="12" fillId="0" borderId="0" xfId="0" applyFont="1" applyBorder="1" applyAlignment="1" applyProtection="1">
      <alignment horizontal="center" vertical="center"/>
      <protection hidden="1"/>
    </xf>
    <xf numFmtId="0" fontId="13" fillId="0" borderId="0" xfId="0" applyFont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13" fillId="0" borderId="0" xfId="0" applyFont="1"/>
    <xf numFmtId="0" fontId="6" fillId="0" borderId="0" xfId="10" applyAlignment="1" applyProtection="1">
      <alignment horizontal="right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horizontal="center" vertical="center" wrapText="1"/>
      <protection hidden="1"/>
    </xf>
    <xf numFmtId="0" fontId="13" fillId="0" borderId="0" xfId="0" applyFont="1" applyProtection="1">
      <protection hidden="1"/>
    </xf>
    <xf numFmtId="0" fontId="14" fillId="0" borderId="0" xfId="0" applyFont="1" applyAlignment="1" applyProtection="1">
      <alignment wrapText="1"/>
      <protection hidden="1"/>
    </xf>
    <xf numFmtId="0" fontId="14" fillId="0" borderId="0" xfId="0" applyFont="1" applyBorder="1" applyAlignment="1" applyProtection="1">
      <alignment wrapText="1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164" fontId="0" fillId="2" borderId="3" xfId="8" applyNumberFormat="1" applyFont="1" applyAlignment="1" applyProtection="1">
      <alignment horizontal="center"/>
      <protection locked="0"/>
    </xf>
    <xf numFmtId="2" fontId="0" fillId="0" borderId="0" xfId="0" applyNumberFormat="1" applyProtection="1">
      <protection hidden="1"/>
    </xf>
    <xf numFmtId="0" fontId="7" fillId="0" borderId="0" xfId="0" applyNumberFormat="1" applyFont="1" applyAlignment="1" applyProtection="1">
      <alignment horizontal="center" vertical="center"/>
      <protection hidden="1"/>
    </xf>
    <xf numFmtId="0" fontId="7" fillId="0" borderId="0" xfId="0" applyFont="1" applyProtection="1">
      <protection hidden="1"/>
    </xf>
    <xf numFmtId="14" fontId="6" fillId="0" borderId="0" xfId="10" applyNumberFormat="1" applyAlignment="1" applyProtection="1">
      <alignment horizontal="left"/>
      <protection hidden="1"/>
    </xf>
    <xf numFmtId="0" fontId="6" fillId="0" borderId="0" xfId="10" applyBorder="1" applyProtection="1">
      <protection hidden="1"/>
    </xf>
    <xf numFmtId="0" fontId="0" fillId="0" borderId="6" xfId="0" applyBorder="1" applyProtection="1">
      <protection locked="0"/>
    </xf>
    <xf numFmtId="0" fontId="0" fillId="4" borderId="6" xfId="13" applyFont="1" applyBorder="1" applyProtection="1">
      <protection locked="0" hidden="1"/>
    </xf>
    <xf numFmtId="0" fontId="15" fillId="0" borderId="0" xfId="10" applyFont="1" applyBorder="1" applyAlignment="1" applyProtection="1">
      <alignment horizontal="right"/>
      <protection hidden="1"/>
    </xf>
    <xf numFmtId="0" fontId="0" fillId="0" borderId="0" xfId="0" applyBorder="1" applyAlignment="1" applyProtection="1">
      <alignment horizontal="left"/>
      <protection locked="0" hidden="1"/>
    </xf>
    <xf numFmtId="0" fontId="0" fillId="7" borderId="6" xfId="0" applyFill="1" applyBorder="1" applyAlignment="1">
      <alignment horizontal="right"/>
    </xf>
    <xf numFmtId="0" fontId="6" fillId="7" borderId="6" xfId="10" applyFill="1" applyBorder="1" applyAlignment="1">
      <alignment horizontal="right"/>
    </xf>
    <xf numFmtId="0" fontId="0" fillId="0" borderId="0" xfId="0" applyAlignment="1"/>
    <xf numFmtId="0" fontId="0" fillId="0" borderId="0" xfId="0"/>
    <xf numFmtId="0" fontId="0" fillId="0" borderId="0" xfId="0"/>
    <xf numFmtId="12" fontId="16" fillId="3" borderId="6" xfId="15" applyNumberFormat="1" applyBorder="1" applyAlignment="1" applyProtection="1">
      <alignment horizontal="center" vertical="center"/>
      <protection hidden="1"/>
    </xf>
    <xf numFmtId="0" fontId="4" fillId="5" borderId="6" xfId="14" applyBorder="1" applyAlignment="1" applyProtection="1">
      <alignment horizontal="center" vertical="center"/>
      <protection locked="0"/>
    </xf>
    <xf numFmtId="0" fontId="4" fillId="5" borderId="6" xfId="14" quotePrefix="1" applyNumberFormat="1" applyBorder="1" applyAlignment="1" applyProtection="1">
      <alignment horizontal="center" vertical="center"/>
      <protection locked="0"/>
    </xf>
    <xf numFmtId="0" fontId="16" fillId="3" borderId="6" xfId="15" applyBorder="1" applyAlignment="1" applyProtection="1">
      <alignment horizontal="center" vertical="center"/>
      <protection hidden="1"/>
    </xf>
    <xf numFmtId="0" fontId="0" fillId="7" borderId="6" xfId="16" applyFont="1" applyFill="1" applyBorder="1" applyAlignment="1">
      <alignment horizontal="center" vertical="center"/>
    </xf>
    <xf numFmtId="0" fontId="0" fillId="7" borderId="9" xfId="16" applyFont="1" applyFill="1" applyBorder="1" applyAlignment="1">
      <alignment horizontal="center" vertical="center"/>
    </xf>
    <xf numFmtId="0" fontId="0" fillId="7" borderId="6" xfId="0" applyFill="1" applyBorder="1" applyAlignment="1" applyProtection="1">
      <alignment horizontal="right"/>
      <protection hidden="1"/>
    </xf>
    <xf numFmtId="0" fontId="6" fillId="7" borderId="6" xfId="10" applyFill="1" applyBorder="1" applyAlignment="1" applyProtection="1">
      <alignment horizontal="right"/>
      <protection hidden="1"/>
    </xf>
    <xf numFmtId="0" fontId="16" fillId="8" borderId="6" xfId="15" applyFill="1" applyBorder="1" applyAlignment="1" applyProtection="1">
      <alignment horizontal="center" vertical="center"/>
      <protection hidden="1"/>
    </xf>
    <xf numFmtId="2" fontId="16" fillId="3" borderId="6" xfId="15" applyNumberFormat="1" applyBorder="1" applyAlignment="1" applyProtection="1">
      <alignment horizontal="center" vertical="center"/>
      <protection hidden="1"/>
    </xf>
    <xf numFmtId="0" fontId="0" fillId="7" borderId="9" xfId="0" applyFill="1" applyBorder="1" applyAlignment="1" applyProtection="1">
      <alignment horizontal="right"/>
      <protection hidden="1"/>
    </xf>
    <xf numFmtId="0" fontId="4" fillId="5" borderId="9" xfId="14" applyBorder="1" applyAlignment="1" applyProtection="1">
      <alignment horizontal="center" vertical="center"/>
      <protection locked="0"/>
    </xf>
    <xf numFmtId="0" fontId="4" fillId="5" borderId="6" xfId="14" applyBorder="1" applyProtection="1">
      <protection locked="0"/>
    </xf>
    <xf numFmtId="0" fontId="16" fillId="3" borderId="6" xfId="15" applyBorder="1" applyProtection="1">
      <protection hidden="1"/>
    </xf>
    <xf numFmtId="0" fontId="0" fillId="7" borderId="9" xfId="0" applyFill="1" applyBorder="1" applyAlignment="1">
      <alignment horizontal="right"/>
    </xf>
    <xf numFmtId="0" fontId="4" fillId="5" borderId="9" xfId="14" applyBorder="1" applyProtection="1">
      <protection locked="0"/>
    </xf>
    <xf numFmtId="49" fontId="16" fillId="3" borderId="6" xfId="15" applyNumberFormat="1" applyBorder="1" applyAlignment="1" applyProtection="1">
      <alignment horizontal="center" vertical="center"/>
      <protection hidden="1"/>
    </xf>
    <xf numFmtId="0" fontId="13" fillId="0" borderId="0" xfId="0" applyFont="1" applyAlignment="1">
      <alignment horizontal="right"/>
    </xf>
    <xf numFmtId="0" fontId="0" fillId="4" borderId="6" xfId="13" applyFont="1" applyBorder="1" applyProtection="1">
      <protection locked="0"/>
    </xf>
    <xf numFmtId="0" fontId="19" fillId="0" borderId="0" xfId="0" applyFont="1" applyProtection="1">
      <protection hidden="1"/>
    </xf>
    <xf numFmtId="0" fontId="0" fillId="0" borderId="0" xfId="0" applyProtection="1">
      <protection locked="0" hidden="1"/>
    </xf>
    <xf numFmtId="0" fontId="20" fillId="0" borderId="0" xfId="0" applyFont="1" applyBorder="1" applyProtection="1">
      <protection hidden="1"/>
    </xf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2" fontId="21" fillId="0" borderId="15" xfId="0" applyNumberFormat="1" applyFont="1" applyBorder="1"/>
    <xf numFmtId="0" fontId="21" fillId="0" borderId="0" xfId="0" applyFont="1" applyBorder="1"/>
    <xf numFmtId="0" fontId="21" fillId="0" borderId="0" xfId="0" applyFont="1" applyBorder="1" applyAlignment="1"/>
    <xf numFmtId="0" fontId="21" fillId="0" borderId="15" xfId="0" applyFont="1" applyBorder="1"/>
    <xf numFmtId="0" fontId="22" fillId="0" borderId="16" xfId="0" applyFont="1" applyBorder="1"/>
    <xf numFmtId="0" fontId="22" fillId="0" borderId="17" xfId="0" applyFont="1" applyBorder="1" applyAlignment="1">
      <alignment horizontal="center"/>
    </xf>
    <xf numFmtId="0" fontId="22" fillId="0" borderId="0" xfId="0" applyFont="1" applyBorder="1"/>
    <xf numFmtId="2" fontId="22" fillId="0" borderId="15" xfId="0" applyNumberFormat="1" applyFont="1" applyBorder="1"/>
    <xf numFmtId="0" fontId="0" fillId="0" borderId="16" xfId="0" applyBorder="1"/>
    <xf numFmtId="0" fontId="22" fillId="0" borderId="15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2" fontId="0" fillId="0" borderId="0" xfId="0" applyNumberFormat="1"/>
    <xf numFmtId="0" fontId="0" fillId="0" borderId="0" xfId="0" applyNumberFormat="1"/>
    <xf numFmtId="0" fontId="23" fillId="0" borderId="0" xfId="0" applyFont="1" applyBorder="1" applyProtection="1">
      <protection hidden="1"/>
    </xf>
    <xf numFmtId="14" fontId="17" fillId="0" borderId="0" xfId="0" applyNumberFormat="1" applyFont="1" applyBorder="1" applyProtection="1">
      <protection hidden="1"/>
    </xf>
    <xf numFmtId="0" fontId="25" fillId="0" borderId="0" xfId="10" applyFon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25" fillId="0" borderId="0" xfId="10" applyFont="1" applyBorder="1" applyAlignment="1" applyProtection="1">
      <alignment horizontal="right"/>
      <protection hidden="1"/>
    </xf>
    <xf numFmtId="0" fontId="0" fillId="0" borderId="0" xfId="0" applyFont="1" applyBorder="1" applyAlignment="1" applyProtection="1">
      <alignment horizontal="center"/>
      <protection hidden="1"/>
    </xf>
    <xf numFmtId="0" fontId="25" fillId="0" borderId="0" xfId="10" applyFont="1" applyAlignment="1" applyProtection="1">
      <alignment horizontal="right"/>
      <protection hidden="1"/>
    </xf>
    <xf numFmtId="0" fontId="25" fillId="0" borderId="0" xfId="10" applyFont="1" applyBorder="1" applyAlignment="1" applyProtection="1">
      <alignment horizontal="right" wrapText="1"/>
      <protection hidden="1"/>
    </xf>
    <xf numFmtId="0" fontId="24" fillId="9" borderId="4" xfId="12" applyFont="1" applyFill="1" applyProtection="1">
      <protection hidden="1"/>
    </xf>
    <xf numFmtId="0" fontId="0" fillId="0" borderId="21" xfId="0" applyFont="1" applyBorder="1" applyProtection="1">
      <protection hidden="1"/>
    </xf>
    <xf numFmtId="0" fontId="0" fillId="0" borderId="0" xfId="0" applyFont="1" applyBorder="1" applyProtection="1">
      <protection hidden="1"/>
    </xf>
    <xf numFmtId="0" fontId="0" fillId="0" borderId="22" xfId="0" applyFont="1" applyBorder="1" applyProtection="1">
      <protection hidden="1"/>
    </xf>
    <xf numFmtId="0" fontId="0" fillId="0" borderId="0" xfId="0" applyFont="1" applyAlignment="1" applyProtection="1">
      <alignment horizontal="left"/>
      <protection hidden="1"/>
    </xf>
    <xf numFmtId="0" fontId="25" fillId="0" borderId="0" xfId="10" applyFont="1" applyFill="1" applyBorder="1" applyAlignment="1" applyProtection="1">
      <alignment horizontal="right"/>
      <protection hidden="1"/>
    </xf>
    <xf numFmtId="0" fontId="26" fillId="0" borderId="0" xfId="10" applyFont="1" applyBorder="1" applyAlignment="1" applyProtection="1">
      <alignment horizontal="right"/>
      <protection hidden="1"/>
    </xf>
    <xf numFmtId="14" fontId="0" fillId="0" borderId="0" xfId="0" applyNumberFormat="1" applyFont="1" applyProtection="1">
      <protection hidden="1"/>
    </xf>
    <xf numFmtId="1" fontId="0" fillId="0" borderId="0" xfId="0" applyNumberFormat="1" applyFont="1" applyProtection="1">
      <protection hidden="1"/>
    </xf>
    <xf numFmtId="0" fontId="0" fillId="0" borderId="23" xfId="0" applyFont="1" applyBorder="1" applyProtection="1">
      <protection hidden="1"/>
    </xf>
    <xf numFmtId="0" fontId="0" fillId="0" borderId="24" xfId="0" applyFont="1" applyBorder="1" applyProtection="1">
      <protection hidden="1"/>
    </xf>
    <xf numFmtId="0" fontId="0" fillId="0" borderId="25" xfId="0" applyFont="1" applyBorder="1" applyProtection="1">
      <protection hidden="1"/>
    </xf>
    <xf numFmtId="0" fontId="26" fillId="0" borderId="0" xfId="10" applyFont="1" applyFill="1" applyBorder="1" applyAlignment="1" applyProtection="1">
      <alignment horizontal="right"/>
      <protection hidden="1"/>
    </xf>
    <xf numFmtId="0" fontId="0" fillId="0" borderId="0" xfId="11" applyFont="1" applyProtection="1">
      <protection hidden="1"/>
    </xf>
    <xf numFmtId="0" fontId="0" fillId="0" borderId="0" xfId="0" applyNumberFormat="1" applyFont="1" applyProtection="1">
      <protection hidden="1"/>
    </xf>
    <xf numFmtId="0" fontId="14" fillId="0" borderId="0" xfId="0" applyFont="1" applyProtection="1">
      <protection hidden="1"/>
    </xf>
    <xf numFmtId="0" fontId="0" fillId="0" borderId="0" xfId="0" applyFont="1" applyAlignment="1" applyProtection="1">
      <alignment horizontal="right"/>
      <protection hidden="1"/>
    </xf>
    <xf numFmtId="0" fontId="0" fillId="0" borderId="0" xfId="0" applyFont="1" applyAlignment="1" applyProtection="1">
      <alignment horizontal="center"/>
      <protection hidden="1"/>
    </xf>
    <xf numFmtId="2" fontId="0" fillId="0" borderId="0" xfId="0" applyNumberFormat="1" applyFont="1" applyProtection="1">
      <protection hidden="1"/>
    </xf>
    <xf numFmtId="0" fontId="0" fillId="0" borderId="0" xfId="0"/>
    <xf numFmtId="0" fontId="0" fillId="2" borderId="3" xfId="8" applyFont="1" applyProtection="1">
      <protection hidden="1"/>
    </xf>
    <xf numFmtId="0" fontId="0" fillId="2" borderId="3" xfId="8" applyFont="1" applyProtection="1"/>
    <xf numFmtId="14" fontId="0" fillId="0" borderId="0" xfId="0" applyNumberFormat="1"/>
    <xf numFmtId="0" fontId="0" fillId="0" borderId="0" xfId="0"/>
    <xf numFmtId="0" fontId="7" fillId="0" borderId="0" xfId="0" applyFont="1" applyBorder="1"/>
    <xf numFmtId="0" fontId="0" fillId="4" borderId="4" xfId="13" applyFont="1" applyBorder="1" applyProtection="1">
      <protection locked="0"/>
    </xf>
    <xf numFmtId="0" fontId="0" fillId="2" borderId="3" xfId="8" applyFont="1" applyBorder="1" applyProtection="1">
      <protection locked="0"/>
    </xf>
    <xf numFmtId="0" fontId="0" fillId="0" borderId="0" xfId="0"/>
    <xf numFmtId="0" fontId="0" fillId="0" borderId="26" xfId="0" applyBorder="1"/>
    <xf numFmtId="0" fontId="0" fillId="0" borderId="27" xfId="0" applyBorder="1"/>
    <xf numFmtId="0" fontId="0" fillId="4" borderId="6" xfId="13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Alignment="1">
      <alignment wrapText="1"/>
    </xf>
    <xf numFmtId="0" fontId="9" fillId="0" borderId="0" xfId="10" applyFont="1" applyBorder="1" applyAlignment="1">
      <alignment horizontal="right" vertical="top"/>
    </xf>
    <xf numFmtId="0" fontId="0" fillId="0" borderId="21" xfId="0" applyBorder="1" applyAlignment="1"/>
    <xf numFmtId="0" fontId="0" fillId="0" borderId="0" xfId="0" applyBorder="1" applyAlignment="1"/>
    <xf numFmtId="0" fontId="0" fillId="0" borderId="28" xfId="0" applyBorder="1" applyAlignment="1">
      <alignment vertical="top" wrapText="1"/>
    </xf>
    <xf numFmtId="0" fontId="0" fillId="0" borderId="28" xfId="0" applyBorder="1" applyAlignment="1">
      <alignment vertical="top"/>
    </xf>
    <xf numFmtId="0" fontId="0" fillId="0" borderId="28" xfId="0" applyBorder="1" applyAlignment="1" applyProtection="1">
      <alignment vertical="top"/>
      <protection locked="0"/>
    </xf>
    <xf numFmtId="0" fontId="0" fillId="0" borderId="26" xfId="0" applyBorder="1" applyProtection="1">
      <protection locked="0"/>
    </xf>
    <xf numFmtId="0" fontId="0" fillId="0" borderId="0" xfId="0"/>
    <xf numFmtId="0" fontId="0" fillId="0" borderId="0" xfId="0" applyFont="1" applyAlignment="1" applyProtection="1">
      <alignment wrapText="1"/>
      <protection hidden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top" wrapText="1"/>
    </xf>
    <xf numFmtId="0" fontId="0" fillId="0" borderId="9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 wrapText="1"/>
      <protection hidden="1"/>
    </xf>
    <xf numFmtId="0" fontId="0" fillId="0" borderId="0" xfId="0"/>
    <xf numFmtId="0" fontId="0" fillId="0" borderId="29" xfId="0" applyFont="1" applyBorder="1" applyProtection="1">
      <protection hidden="1"/>
    </xf>
    <xf numFmtId="0" fontId="0" fillId="0" borderId="6" xfId="0" applyBorder="1" applyAlignment="1" applyProtection="1">
      <alignment horizontal="center" vertical="center"/>
      <protection locked="0"/>
    </xf>
    <xf numFmtId="14" fontId="0" fillId="0" borderId="0" xfId="0" applyNumberFormat="1" applyBorder="1" applyAlignment="1" applyProtection="1">
      <alignment horizontal="left" vertical="top" wrapText="1"/>
      <protection locked="0"/>
    </xf>
    <xf numFmtId="0" fontId="0" fillId="0" borderId="0" xfId="0"/>
    <xf numFmtId="0" fontId="0" fillId="0" borderId="30" xfId="0" applyBorder="1" applyAlignment="1">
      <alignment horizontal="center" vertical="center"/>
    </xf>
    <xf numFmtId="0" fontId="8" fillId="3" borderId="31" xfId="12" applyBorder="1" applyProtection="1">
      <protection hidden="1"/>
    </xf>
    <xf numFmtId="0" fontId="0" fillId="2" borderId="32" xfId="8" applyFont="1" applyBorder="1" applyProtection="1">
      <protection locked="0"/>
    </xf>
    <xf numFmtId="0" fontId="0" fillId="2" borderId="33" xfId="8" applyFont="1" applyBorder="1" applyProtection="1">
      <protection locked="0"/>
    </xf>
    <xf numFmtId="0" fontId="3" fillId="0" borderId="1" xfId="7" applyBorder="1" applyAlignment="1">
      <alignment horizontal="center"/>
    </xf>
    <xf numFmtId="0" fontId="3" fillId="0" borderId="1" xfId="7" applyFill="1" applyBorder="1" applyAlignment="1">
      <alignment horizontal="center"/>
    </xf>
    <xf numFmtId="0" fontId="28" fillId="0" borderId="0" xfId="0" applyFont="1"/>
    <xf numFmtId="0" fontId="0" fillId="0" borderId="0" xfId="0" applyAlignment="1">
      <alignment horizontal="left" vertical="top" wrapText="1"/>
    </xf>
    <xf numFmtId="0" fontId="28" fillId="0" borderId="0" xfId="0" applyFont="1" applyAlignment="1"/>
    <xf numFmtId="0" fontId="0" fillId="0" borderId="0" xfId="0" applyAlignment="1">
      <alignment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25" xfId="0" applyBorder="1"/>
    <xf numFmtId="0" fontId="0" fillId="0" borderId="3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7" xfId="0" applyBorder="1" applyAlignment="1">
      <alignment horizontal="center"/>
    </xf>
    <xf numFmtId="0" fontId="7" fillId="0" borderId="0" xfId="0" applyFont="1" applyBorder="1" applyProtection="1">
      <protection locked="0"/>
    </xf>
    <xf numFmtId="0" fontId="0" fillId="0" borderId="0" xfId="0"/>
    <xf numFmtId="0" fontId="0" fillId="0" borderId="0" xfId="0"/>
    <xf numFmtId="0" fontId="28" fillId="0" borderId="0" xfId="0" applyFont="1" applyProtection="1">
      <protection locked="0"/>
    </xf>
    <xf numFmtId="0" fontId="6" fillId="0" borderId="0" xfId="10" applyFill="1" applyBorder="1" applyAlignment="1" applyProtection="1">
      <alignment horizontal="right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41" xfId="0" applyBorder="1"/>
    <xf numFmtId="0" fontId="0" fillId="0" borderId="41" xfId="0" applyBorder="1" applyAlignment="1">
      <alignment wrapText="1"/>
    </xf>
    <xf numFmtId="0" fontId="0" fillId="0" borderId="42" xfId="0" applyBorder="1"/>
    <xf numFmtId="0" fontId="0" fillId="0" borderId="0" xfId="0"/>
    <xf numFmtId="0" fontId="29" fillId="0" borderId="0" xfId="0" applyFont="1" applyBorder="1" applyAlignment="1" applyProtection="1">
      <alignment horizontal="right" vertical="center"/>
      <protection hidden="1"/>
    </xf>
    <xf numFmtId="0" fontId="0" fillId="0" borderId="6" xfId="0" applyBorder="1" applyAlignment="1">
      <alignment horizontal="left"/>
    </xf>
    <xf numFmtId="0" fontId="0" fillId="0" borderId="0" xfId="0"/>
    <xf numFmtId="0" fontId="27" fillId="0" borderId="0" xfId="10" applyFont="1" applyAlignment="1" applyProtection="1">
      <alignment horizontal="center"/>
      <protection hidden="1"/>
    </xf>
    <xf numFmtId="0" fontId="0" fillId="0" borderId="0" xfId="0"/>
    <xf numFmtId="0" fontId="0" fillId="0" borderId="0" xfId="0" applyBorder="1" applyAlignment="1" applyProtection="1">
      <alignment horizontal="center"/>
      <protection hidden="1"/>
    </xf>
    <xf numFmtId="0" fontId="29" fillId="0" borderId="0" xfId="0" applyFont="1" applyBorder="1" applyAlignment="1" applyProtection="1">
      <alignment horizontal="center" vertical="center"/>
      <protection hidden="1"/>
    </xf>
    <xf numFmtId="0" fontId="3" fillId="0" borderId="2" xfId="7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/>
      <protection hidden="1"/>
    </xf>
    <xf numFmtId="0" fontId="0" fillId="0" borderId="41" xfId="0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/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45" xfId="0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/>
      <protection hidden="1"/>
    </xf>
    <xf numFmtId="0" fontId="3" fillId="0" borderId="0" xfId="7" applyBorder="1" applyAlignment="1" applyProtection="1">
      <alignment horizontal="center"/>
      <protection hidden="1"/>
    </xf>
    <xf numFmtId="0" fontId="0" fillId="0" borderId="45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vertical="center" wrapText="1"/>
      <protection hidden="1"/>
    </xf>
    <xf numFmtId="0" fontId="0" fillId="0" borderId="0" xfId="0" applyBorder="1" applyAlignment="1" applyProtection="1">
      <alignment horizontal="center" wrapText="1"/>
      <protection hidden="1"/>
    </xf>
    <xf numFmtId="0" fontId="0" fillId="0" borderId="45" xfId="0" applyBorder="1" applyAlignment="1" applyProtection="1">
      <alignment horizontal="center"/>
      <protection hidden="1"/>
    </xf>
    <xf numFmtId="0" fontId="0" fillId="0" borderId="43" xfId="0" applyFill="1" applyBorder="1" applyAlignment="1" applyProtection="1">
      <alignment horizontal="center"/>
      <protection hidden="1"/>
    </xf>
    <xf numFmtId="0" fontId="0" fillId="0" borderId="44" xfId="0" applyFill="1" applyBorder="1" applyAlignment="1" applyProtection="1">
      <alignment horizontal="center"/>
      <protection hidden="1"/>
    </xf>
    <xf numFmtId="0" fontId="0" fillId="0" borderId="41" xfId="0" applyFill="1" applyBorder="1" applyAlignment="1" applyProtection="1">
      <alignment horizontal="center"/>
      <protection hidden="1"/>
    </xf>
    <xf numFmtId="0" fontId="0" fillId="0" borderId="43" xfId="0" applyBorder="1" applyAlignment="1" applyProtection="1">
      <alignment horizontal="center" vertical="center" wrapText="1"/>
      <protection hidden="1"/>
    </xf>
    <xf numFmtId="0" fontId="0" fillId="0" borderId="44" xfId="0" applyBorder="1" applyAlignment="1" applyProtection="1">
      <alignment horizontal="center" vertical="center" wrapText="1"/>
      <protection hidden="1"/>
    </xf>
    <xf numFmtId="0" fontId="0" fillId="0" borderId="41" xfId="0" applyBorder="1" applyAlignment="1" applyProtection="1">
      <alignment horizontal="center" vertical="center" wrapText="1"/>
      <protection hidden="1"/>
    </xf>
    <xf numFmtId="0" fontId="0" fillId="0" borderId="43" xfId="0" applyBorder="1" applyAlignment="1" applyProtection="1">
      <alignment horizontal="left"/>
      <protection hidden="1"/>
    </xf>
    <xf numFmtId="0" fontId="0" fillId="0" borderId="41" xfId="0" applyBorder="1" applyAlignment="1" applyProtection="1">
      <alignment horizontal="left"/>
      <protection hidden="1"/>
    </xf>
    <xf numFmtId="0" fontId="0" fillId="0" borderId="43" xfId="0" applyFont="1" applyBorder="1" applyAlignment="1" applyProtection="1">
      <alignment horizontal="center"/>
      <protection hidden="1"/>
    </xf>
    <xf numFmtId="0" fontId="0" fillId="0" borderId="41" xfId="0" applyFont="1" applyBorder="1" applyAlignment="1" applyProtection="1">
      <alignment horizontal="center"/>
      <protection hidden="1"/>
    </xf>
    <xf numFmtId="0" fontId="0" fillId="0" borderId="6" xfId="0" applyFill="1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left"/>
      <protection hidden="1"/>
    </xf>
    <xf numFmtId="0" fontId="0" fillId="0" borderId="43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0" borderId="41" xfId="0" applyFill="1" applyBorder="1" applyAlignment="1" applyProtection="1">
      <alignment horizontal="center" vertical="center"/>
      <protection hidden="1"/>
    </xf>
    <xf numFmtId="0" fontId="0" fillId="0" borderId="43" xfId="0" applyFill="1" applyBorder="1" applyAlignment="1" applyProtection="1">
      <alignment horizontal="left" vertical="center"/>
      <protection hidden="1"/>
    </xf>
    <xf numFmtId="0" fontId="0" fillId="0" borderId="41" xfId="0" applyFill="1" applyBorder="1" applyAlignment="1" applyProtection="1">
      <alignment horizontal="left" vertical="center"/>
      <protection hidden="1"/>
    </xf>
    <xf numFmtId="0" fontId="0" fillId="0" borderId="43" xfId="0" applyBorder="1" applyAlignment="1" applyProtection="1">
      <alignment horizontal="left" vertical="center"/>
      <protection hidden="1"/>
    </xf>
    <xf numFmtId="0" fontId="0" fillId="0" borderId="41" xfId="0" applyBorder="1" applyAlignment="1" applyProtection="1">
      <alignment horizontal="left" vertical="center"/>
      <protection hidden="1"/>
    </xf>
    <xf numFmtId="14" fontId="0" fillId="0" borderId="43" xfId="0" applyNumberFormat="1" applyBorder="1" applyAlignment="1" applyProtection="1">
      <alignment horizontal="center"/>
      <protection hidden="1"/>
    </xf>
    <xf numFmtId="14" fontId="0" fillId="0" borderId="41" xfId="0" applyNumberFormat="1" applyBorder="1" applyAlignment="1" applyProtection="1">
      <alignment horizontal="center"/>
      <protection hidden="1"/>
    </xf>
    <xf numFmtId="1" fontId="0" fillId="0" borderId="43" xfId="0" applyNumberFormat="1" applyBorder="1" applyAlignment="1" applyProtection="1">
      <alignment horizontal="center"/>
      <protection hidden="1"/>
    </xf>
    <xf numFmtId="1" fontId="0" fillId="0" borderId="41" xfId="0" applyNumberFormat="1" applyBorder="1" applyAlignment="1" applyProtection="1">
      <alignment horizontal="center"/>
      <protection hidden="1"/>
    </xf>
    <xf numFmtId="0" fontId="0" fillId="0" borderId="44" xfId="0" applyBorder="1" applyAlignment="1" applyProtection="1">
      <alignment horizontal="center"/>
      <protection hidden="1"/>
    </xf>
    <xf numFmtId="0" fontId="0" fillId="0" borderId="29" xfId="0" applyBorder="1" applyAlignment="1">
      <alignment horizontal="center"/>
    </xf>
    <xf numFmtId="0" fontId="0" fillId="0" borderId="46" xfId="0" applyBorder="1" applyAlignment="1">
      <alignment horizontal="center"/>
    </xf>
    <xf numFmtId="0" fontId="18" fillId="7" borderId="47" xfId="0" applyFont="1" applyFill="1" applyBorder="1" applyAlignment="1" applyProtection="1">
      <alignment horizontal="center"/>
      <protection hidden="1"/>
    </xf>
    <xf numFmtId="0" fontId="18" fillId="7" borderId="48" xfId="0" applyFont="1" applyFill="1" applyBorder="1" applyAlignment="1" applyProtection="1">
      <alignment horizontal="center"/>
      <protection hidden="1"/>
    </xf>
    <xf numFmtId="0" fontId="18" fillId="7" borderId="15" xfId="0" applyFont="1" applyFill="1" applyBorder="1" applyAlignment="1" applyProtection="1">
      <alignment horizontal="center"/>
      <protection hidden="1"/>
    </xf>
    <xf numFmtId="0" fontId="18" fillId="7" borderId="16" xfId="0" applyFont="1" applyFill="1" applyBorder="1" applyAlignment="1" applyProtection="1">
      <alignment horizontal="center"/>
      <protection hidden="1"/>
    </xf>
    <xf numFmtId="0" fontId="18" fillId="7" borderId="17" xfId="0" applyFont="1" applyFill="1" applyBorder="1" applyAlignment="1" applyProtection="1">
      <alignment horizontal="center"/>
      <protection hidden="1"/>
    </xf>
    <xf numFmtId="0" fontId="0" fillId="0" borderId="49" xfId="0" applyFont="1" applyBorder="1" applyAlignment="1" applyProtection="1">
      <alignment horizontal="center"/>
      <protection hidden="1"/>
    </xf>
    <xf numFmtId="0" fontId="0" fillId="0" borderId="50" xfId="0" applyFont="1" applyBorder="1" applyAlignment="1" applyProtection="1">
      <alignment horizontal="center"/>
      <protection hidden="1"/>
    </xf>
    <xf numFmtId="0" fontId="0" fillId="0" borderId="51" xfId="0" applyFont="1" applyBorder="1" applyAlignment="1" applyProtection="1">
      <alignment horizontal="center"/>
      <protection hidden="1"/>
    </xf>
    <xf numFmtId="0" fontId="0" fillId="0" borderId="15" xfId="0" applyFont="1" applyBorder="1" applyAlignment="1" applyProtection="1">
      <alignment horizontal="center"/>
      <protection hidden="1"/>
    </xf>
    <xf numFmtId="0" fontId="0" fillId="0" borderId="17" xfId="0" applyFont="1" applyBorder="1" applyAlignment="1" applyProtection="1">
      <alignment horizontal="center"/>
      <protection hidden="1"/>
    </xf>
    <xf numFmtId="0" fontId="22" fillId="0" borderId="15" xfId="0" applyFont="1" applyBorder="1" applyAlignment="1">
      <alignment horizontal="center"/>
    </xf>
    <xf numFmtId="0" fontId="22" fillId="0" borderId="16" xfId="0" applyFont="1" applyBorder="1" applyAlignment="1">
      <alignment horizontal="center"/>
    </xf>
    <xf numFmtId="0" fontId="22" fillId="0" borderId="16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1" fillId="0" borderId="16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center"/>
    </xf>
  </cellXfs>
  <cellStyles count="17">
    <cellStyle name="20% - Accent1" xfId="13"/>
    <cellStyle name="Accent2" xfId="16"/>
    <cellStyle name="Calculation" xfId="12"/>
    <cellStyle name="Comma" xfId="4"/>
    <cellStyle name="Comma [0]" xfId="5"/>
    <cellStyle name="Currency" xfId="2"/>
    <cellStyle name="Currency [0]" xfId="3"/>
    <cellStyle name="Explanatory Text" xfId="10"/>
    <cellStyle name="Heading 1" xfId="6"/>
    <cellStyle name="Heading 2" xfId="7"/>
    <cellStyle name="Input" xfId="14"/>
    <cellStyle name="Normal" xfId="0" builtinId="0"/>
    <cellStyle name="Normal 2" xfId="9"/>
    <cellStyle name="Note" xfId="8"/>
    <cellStyle name="Output" xfId="15"/>
    <cellStyle name="Percent" xfId="1"/>
    <cellStyle name="Warning Text" xfId="11"/>
  </cellStyles>
  <dxfs count="7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gradientFill type="path" left="0.5" right="0.5" top="0.5" bottom="0.5">
          <stop position="0">
            <color theme="2" tint="-0.8980071413312174"/>
          </stop>
          <stop position="1">
            <color rgb="FFFF0000"/>
          </stop>
        </gradientFill>
      </fill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gradientFill type="path" left="0.5" right="0.5" top="0.5" bottom="0.5">
          <stop position="0">
            <color rgb="FFFF0000"/>
          </stop>
          <stop position="1">
            <color theme="5" tint="-0.49800103762932219"/>
          </stop>
        </gradient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15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15</xdr:row>
          <xdr:rowOff>0</xdr:rowOff>
        </xdr:from>
        <xdr:to>
          <xdr:col>3</xdr:col>
          <xdr:colOff>161925</xdr:colOff>
          <xdr:row>16</xdr:row>
          <xdr:rowOff>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8"/>
  <sheetViews>
    <sheetView tabSelected="1" zoomScale="110" zoomScaleNormal="110" workbookViewId="0">
      <selection activeCell="F29" sqref="F29"/>
    </sheetView>
  </sheetViews>
  <sheetFormatPr defaultRowHeight="15" x14ac:dyDescent="0.25"/>
  <cols>
    <col min="1" max="1" width="44.140625" customWidth="1"/>
    <col min="2" max="2" width="33.5703125" bestFit="1" customWidth="1"/>
    <col min="3" max="6" width="23.7109375" customWidth="1"/>
    <col min="7" max="7" width="13.42578125" customWidth="1"/>
    <col min="8" max="8" width="12.42578125" customWidth="1"/>
    <col min="9" max="9" width="27.5703125" customWidth="1"/>
    <col min="10" max="10" width="7.7109375" customWidth="1"/>
  </cols>
  <sheetData>
    <row r="1" spans="1:12" s="26" customFormat="1" ht="26.25" customHeight="1" x14ac:dyDescent="0.25">
      <c r="A1" s="242" t="str">
        <f>""</f>
        <v/>
      </c>
      <c r="B1" s="242"/>
      <c r="C1" s="242"/>
      <c r="D1" s="242"/>
      <c r="E1" s="242"/>
      <c r="F1" s="242"/>
      <c r="G1" s="242"/>
      <c r="H1" s="242"/>
      <c r="I1" s="242"/>
      <c r="J1" s="242"/>
    </row>
    <row r="2" spans="1:12" ht="15.75" x14ac:dyDescent="0.25">
      <c r="A2" s="9" t="s">
        <v>17</v>
      </c>
      <c r="B2" s="24" t="str">
        <f>MODULES!A2</f>
        <v>HANWHA 315 (Q.PEAK DUO BLK-G5 315)</v>
      </c>
      <c r="C2" s="4"/>
      <c r="D2" s="4"/>
      <c r="E2" s="4"/>
      <c r="F2" s="4"/>
      <c r="G2" s="4"/>
    </row>
    <row r="3" spans="1:12" s="194" customFormat="1" ht="15.75" x14ac:dyDescent="0.25">
      <c r="A3" s="9" t="s">
        <v>383</v>
      </c>
      <c r="B3" s="5">
        <f>IF((CALCULATIONS!L2*1.35)/CALCULATIONS!$H$9=0,"",ROUNDDOWN(((CALCULATIONS!B30*15)/CALCULATIONS!$H$9),0))</f>
        <v>19</v>
      </c>
      <c r="C3" s="5" t="str">
        <f>IF((CALCULATIONS!M2*1.35)/CALCULATIONS!$H$9=0,"",ROUNDDOWN(((CALCULATIONS!C30*15)/CALCULATIONS!$H$9),0))</f>
        <v/>
      </c>
      <c r="D3" s="5" t="str">
        <f>IF((CALCULATIONS!N2*1.35)/CALCULATIONS!$H$9=0,"",ROUNDDOWN(((CALCULATIONS!D30*15)/CALCULATIONS!$H$9),0))</f>
        <v/>
      </c>
      <c r="E3" s="5" t="str">
        <f>IF((CALCULATIONS!O2*1.35)/CALCULATIONS!$H$9=0,"",ROUNDDOWN(((CALCULATIONS!E30*15)/CALCULATIONS!$H$9),0))</f>
        <v/>
      </c>
      <c r="F3" s="4"/>
      <c r="G3" s="4"/>
    </row>
    <row r="4" spans="1:12" ht="15.75" x14ac:dyDescent="0.25">
      <c r="A4" s="9" t="s">
        <v>384</v>
      </c>
      <c r="B4" s="5">
        <f>IF((CALCULATIONS!L2*1.35)/CALCULATIONS!$H$9=0,"",ROUNDDOWN(((CALCULATIONS!L2*1.35)/CALCULATIONS!$H$9),0))</f>
        <v>42</v>
      </c>
      <c r="C4" s="5" t="str">
        <f>IF((CALCULATIONS!M2*1.35)/CALCULATIONS!$H$9=0,"",ROUNDDOWN(((CALCULATIONS!M2*1.35)/CALCULATIONS!$H$9),0))</f>
        <v/>
      </c>
      <c r="D4" s="5" t="str">
        <f>IF((CALCULATIONS!N2*1.35)/CALCULATIONS!$H$9=0,"",ROUNDDOWN(((CALCULATIONS!N2*1.35)/CALCULATIONS!$H$9),0))</f>
        <v/>
      </c>
      <c r="E4" s="5" t="str">
        <f>IF((CALCULATIONS!O2*1.35)/CALCULATIONS!$H$9=0,"",ROUNDDOWN(((CALCULATIONS!O2*1.35)/CALCULATIONS!$H$9),0))</f>
        <v/>
      </c>
      <c r="F4" s="13" t="s">
        <v>50</v>
      </c>
      <c r="G4" s="4"/>
      <c r="I4" s="84" t="str">
        <f>IF(F6="","",IF(F6="M215 MICROINVERTERS","1-13=15A, 14-17=20A",IF(F6="M250 MICROINVERTERS","1-11=15A, 12-15=20A",IF(F6="IQ6 MICROINVERTERS","1-12=15A, 13-16=20A",IF(F6="IQ6PLUS MICROINVERTERS","1-10=15A, 11-13=20A",IF(F6="IQ7 MICROINVERTERS","1-12=15A, 13-16=20A",IF(F6="IQ7PLUS MICROINVERTERS","1-9=15A, 10-13=20A")))))))</f>
        <v/>
      </c>
    </row>
    <row r="5" spans="1:12" ht="19.5" x14ac:dyDescent="0.3">
      <c r="A5" s="6"/>
      <c r="B5" s="10" t="s">
        <v>9</v>
      </c>
      <c r="C5" s="10" t="s">
        <v>10</v>
      </c>
      <c r="D5" s="10" t="s">
        <v>11</v>
      </c>
      <c r="E5" s="10" t="s">
        <v>12</v>
      </c>
      <c r="F5" s="10" t="s">
        <v>13</v>
      </c>
      <c r="I5" s="16" t="str">
        <f>IF(CALCULATIONS!I43="YES","MICROINVERTER STRINGING","")</f>
        <v/>
      </c>
    </row>
    <row r="6" spans="1:12" ht="15.75" x14ac:dyDescent="0.25">
      <c r="A6" s="6" t="s">
        <v>14</v>
      </c>
      <c r="B6" s="18" t="s">
        <v>418</v>
      </c>
      <c r="C6" s="18"/>
      <c r="D6" s="18"/>
      <c r="E6" s="18"/>
      <c r="F6" s="24"/>
      <c r="G6" s="85" t="str">
        <f>IF(CALCULATIONS!H9=0,"",IF(B18="SUNRUN",IF(OR(FORM!F6="IQ6 MICROINVERTERS",FORM!F6="IQ6PLUS MICROINVERTERS"),IF(CALCULATIONS!H9&lt;=295,"IQ6"," IQ6PLUS"),IF(CALCULATIONS!H9&lt;236,"M215","M250")),IF(OR(FORM!F6="IQ6 MICROINVERTERS",FORM!F6="IQ6PLUS MICROINVERTERS"),IF(CALCULATIONS!H9&lt;=324,"IQ6"," IQ6PLUS"),IF(CALCULATIONS!H9&lt;270,"M215","M250"))))</f>
        <v>M250</v>
      </c>
      <c r="H6" s="3" t="str">
        <f>IF(CALCULATIONS!I43="YES","REMAING:","")</f>
        <v/>
      </c>
      <c r="I6" s="17" t="str">
        <f>IF(CALCULATIONS!I43="YES",F11-SUM(I7:I12),"")</f>
        <v/>
      </c>
    </row>
    <row r="7" spans="1:12" ht="15.75" x14ac:dyDescent="0.25">
      <c r="A7" s="6" t="s">
        <v>15</v>
      </c>
      <c r="B7" s="19">
        <v>2</v>
      </c>
      <c r="C7" s="19"/>
      <c r="D7" s="19"/>
      <c r="E7" s="20"/>
      <c r="F7" s="19"/>
      <c r="H7" s="3" t="str">
        <f>IF(CALCULATIONS!I43="YES","CIRCUIT 1:","")</f>
        <v/>
      </c>
      <c r="I7" s="22"/>
    </row>
    <row r="8" spans="1:12" ht="16.5" customHeight="1" x14ac:dyDescent="0.25">
      <c r="A8" s="11" t="s">
        <v>387</v>
      </c>
      <c r="B8" s="196">
        <v>17</v>
      </c>
      <c r="C8" s="196"/>
      <c r="D8" s="196"/>
      <c r="E8" s="196"/>
      <c r="F8" s="196"/>
      <c r="H8" s="3" t="str">
        <f>IF(CALCULATIONS!I43="YES","CIRCUIT 2:","")</f>
        <v/>
      </c>
      <c r="I8" s="22"/>
      <c r="L8">
        <v>10</v>
      </c>
    </row>
    <row r="9" spans="1:12" ht="17.25" customHeight="1" x14ac:dyDescent="0.25">
      <c r="A9" s="11" t="s">
        <v>386</v>
      </c>
      <c r="B9" s="196"/>
      <c r="C9" s="196"/>
      <c r="D9" s="196"/>
      <c r="E9" s="196"/>
      <c r="F9" s="196"/>
      <c r="H9" s="3" t="str">
        <f>IF(CALCULATIONS!I43="YES","CIRCUIT 3:","")</f>
        <v/>
      </c>
      <c r="I9" s="22"/>
    </row>
    <row r="10" spans="1:12" s="188" customFormat="1" ht="15.75" customHeight="1" x14ac:dyDescent="0.25">
      <c r="A10" s="11" t="s">
        <v>381</v>
      </c>
      <c r="B10" s="196"/>
      <c r="C10" s="196"/>
      <c r="D10" s="196"/>
      <c r="E10" s="196"/>
      <c r="F10" s="196"/>
      <c r="H10" s="3" t="str">
        <f>IF(CALCULATIONS!I43="YES","CIRCUIT 4:","")</f>
        <v/>
      </c>
      <c r="I10" s="22"/>
    </row>
    <row r="11" spans="1:12" ht="15.75" x14ac:dyDescent="0.25">
      <c r="A11" s="9" t="s">
        <v>124</v>
      </c>
      <c r="B11" s="53">
        <f>CALCULATIONS!B12</f>
        <v>34</v>
      </c>
      <c r="C11" s="5"/>
      <c r="D11" s="5"/>
      <c r="E11" s="6" t="s">
        <v>28</v>
      </c>
      <c r="F11" s="192"/>
      <c r="H11" s="3" t="str">
        <f>IF(CALCULATIONS!I43="YES","CIRCUIT 5:","")</f>
        <v/>
      </c>
      <c r="I11" s="22"/>
    </row>
    <row r="12" spans="1:12" ht="21" x14ac:dyDescent="0.25">
      <c r="A12" s="237" t="str">
        <f>IF(A33="","","↓ CHECK ALERT WINDOW! ↓")</f>
        <v/>
      </c>
      <c r="B12" s="67" t="str">
        <f>IF(B6="","",ROUNDUP(((SUM(CALCULATIONS!B7:B11)*CALCULATIONS!H9)*100)/CALCULATIONS!L2,0)&amp;"%")</f>
        <v>108%</v>
      </c>
      <c r="C12" s="67" t="str">
        <f>IF(C6="","",ROUNDUP(((SUM(CALCULATIONS!C7:C11)*CALCULATIONS!H9)*100)/CALCULATIONS!M2,0)&amp;"%")</f>
        <v/>
      </c>
      <c r="D12" s="67" t="str">
        <f>IF(D6="","",ROUNDUP(((SUM(CALCULATIONS!D7:D11)*CALCULATIONS!H9)*100)/CALCULATIONS!N2,0)&amp;"%")</f>
        <v/>
      </c>
      <c r="E12" s="67" t="str">
        <f>IF(E6="","",ROUNDUP(((SUM(CALCULATIONS!E7:E11)*CALCULATIONS!H9)*100)/CALCULATIONS!O2,0)&amp;"%")</f>
        <v/>
      </c>
      <c r="F12" s="67" t="str">
        <f>IF(F6="","",ROUNDUP(((SUM(CALCULATIONS!F7:F11)*CALCULATIONS!H9)*100)/CALCULATIONS!P2,0)&amp;"%")</f>
        <v/>
      </c>
      <c r="G12" s="243" t="str">
        <f>IF(A33="","","↓ CHECK ALERT WINDOW! ↓")</f>
        <v/>
      </c>
      <c r="H12" s="243"/>
      <c r="I12" s="243"/>
    </row>
    <row r="13" spans="1:12" ht="15.75" x14ac:dyDescent="0.25">
      <c r="A13" s="6" t="s">
        <v>20</v>
      </c>
      <c r="B13" s="22" t="s">
        <v>469</v>
      </c>
      <c r="C13" s="4"/>
      <c r="D13" s="8" t="s">
        <v>84</v>
      </c>
      <c r="E13" s="115" t="s">
        <v>460</v>
      </c>
      <c r="F13" s="55" t="str">
        <f>IF(B20="","",IF((B21*1.2-B20)&gt;=CALCULATIONS!B35,"USE BREAKER *IF THERE'S SPACE*","USE LINE TAPS"))</f>
        <v>USE LINE TAPS</v>
      </c>
    </row>
    <row r="14" spans="1:12" ht="15.75" x14ac:dyDescent="0.25">
      <c r="A14" s="6" t="s">
        <v>378</v>
      </c>
      <c r="B14" s="226" t="s">
        <v>450</v>
      </c>
      <c r="C14" s="179"/>
      <c r="D14" s="8" t="s">
        <v>227</v>
      </c>
      <c r="E14" s="178" t="s">
        <v>365</v>
      </c>
      <c r="F14" s="55" t="str">
        <f>IF(E14="NY"," IF LI, 1” CONDUITS!",IF(E14="CT","   1” CONDUIT!",""))</f>
        <v/>
      </c>
      <c r="I14" s="180"/>
    </row>
    <row r="15" spans="1:12" s="175" customFormat="1" ht="15.75" customHeight="1" x14ac:dyDescent="0.25">
      <c r="A15" s="6" t="s">
        <v>379</v>
      </c>
      <c r="B15" s="226" t="s">
        <v>451</v>
      </c>
      <c r="C15" s="179"/>
      <c r="D15" s="8"/>
      <c r="E15" s="178"/>
      <c r="F15" s="55"/>
      <c r="I15" s="180"/>
    </row>
    <row r="16" spans="1:12" s="175" customFormat="1" ht="16.5" customHeight="1" x14ac:dyDescent="0.25">
      <c r="A16" s="181" t="s">
        <v>380</v>
      </c>
      <c r="B16" s="226" t="s">
        <v>452</v>
      </c>
      <c r="C16" s="179"/>
      <c r="D16" s="8"/>
      <c r="E16" s="178"/>
      <c r="F16" s="55"/>
      <c r="I16" s="180"/>
    </row>
    <row r="17" spans="1:10" ht="16.5" customHeight="1" x14ac:dyDescent="0.25">
      <c r="A17" s="181" t="s">
        <v>27</v>
      </c>
      <c r="B17" s="197">
        <v>43599</v>
      </c>
      <c r="C17" s="4"/>
      <c r="D17" s="8" t="s">
        <v>108</v>
      </c>
      <c r="E17" s="115" t="s">
        <v>268</v>
      </c>
      <c r="F17" s="4"/>
      <c r="H17" s="74"/>
      <c r="I17" s="180" t="s">
        <v>421</v>
      </c>
    </row>
    <row r="18" spans="1:10" ht="15.75" x14ac:dyDescent="0.25">
      <c r="A18" s="6" t="s">
        <v>18</v>
      </c>
      <c r="B18" s="66" t="str">
        <f>'UTILITY, DEALS &amp; STATE'!C3</f>
        <v>DIVIDEND SOLAR</v>
      </c>
      <c r="C18" s="172" t="str">
        <f>IF(B18="SUNRUN","       SOLAREDGE ONLY!!"," ")</f>
        <v xml:space="preserve"> </v>
      </c>
      <c r="D18" s="47" t="s">
        <v>107</v>
      </c>
      <c r="E18" s="226">
        <v>34</v>
      </c>
      <c r="F18" s="4"/>
      <c r="H18" s="74" t="s">
        <v>156</v>
      </c>
      <c r="I18" s="75">
        <f>'CURRENT EXCEL ROOFS'!P2</f>
        <v>29</v>
      </c>
      <c r="J18" s="71" t="s">
        <v>157</v>
      </c>
    </row>
    <row r="19" spans="1:10" ht="15.75" x14ac:dyDescent="0.25">
      <c r="A19" s="6" t="s">
        <v>22</v>
      </c>
      <c r="B19" s="22" t="s">
        <v>361</v>
      </c>
      <c r="C19" s="4"/>
      <c r="D19" s="47" t="s">
        <v>176</v>
      </c>
      <c r="E19" s="21" t="s">
        <v>329</v>
      </c>
      <c r="F19" s="4"/>
      <c r="H19" s="74"/>
      <c r="I19" s="75">
        <f>'CURRENT EXCEL ROOFS'!Q2</f>
        <v>3</v>
      </c>
      <c r="J19" s="72" t="s">
        <v>158</v>
      </c>
    </row>
    <row r="20" spans="1:10" ht="15.75" x14ac:dyDescent="0.25">
      <c r="A20" s="6" t="s">
        <v>455</v>
      </c>
      <c r="B20" s="23">
        <v>200</v>
      </c>
      <c r="C20" s="4"/>
      <c r="D20" s="47" t="s">
        <v>184</v>
      </c>
      <c r="E20" s="89" t="s">
        <v>194</v>
      </c>
      <c r="F20" s="4"/>
      <c r="H20" s="74" t="s">
        <v>159</v>
      </c>
      <c r="I20" s="75"/>
      <c r="J20" s="73" t="s">
        <v>164</v>
      </c>
    </row>
    <row r="21" spans="1:10" ht="15.75" x14ac:dyDescent="0.25">
      <c r="A21" s="9" t="s">
        <v>456</v>
      </c>
      <c r="B21" s="23">
        <f>B20</f>
        <v>200</v>
      </c>
      <c r="C21" s="4"/>
      <c r="D21" s="90" t="str">
        <f>IF(OR(E20="NO",E20=""),"","TRENCH DISTANCE IN FEET?:")</f>
        <v/>
      </c>
      <c r="E21" s="91"/>
      <c r="F21" s="4"/>
      <c r="H21" s="74" t="s">
        <v>161</v>
      </c>
      <c r="I21" s="75"/>
      <c r="J21" s="73" t="s">
        <v>164</v>
      </c>
    </row>
    <row r="22" spans="1:10" ht="15.75" x14ac:dyDescent="0.25">
      <c r="A22" s="6" t="s">
        <v>23</v>
      </c>
      <c r="B22" s="23" t="str">
        <f>'UTILITY, DEALS &amp; STATE'!A3</f>
        <v>JCP&amp;L</v>
      </c>
      <c r="C22" s="55" t="str">
        <f>IF(B22="EVERSOURCE","   PROPERTY LINES!"," ")</f>
        <v xml:space="preserve"> </v>
      </c>
      <c r="D22" s="90" t="str">
        <f>IF(OR(E20="NO",E20=""),"","CIRCUIT LENGTH:")</f>
        <v/>
      </c>
      <c r="E22" s="117"/>
      <c r="F22" s="118"/>
      <c r="H22" s="74" t="s">
        <v>160</v>
      </c>
      <c r="I22" s="75"/>
      <c r="J22" s="73" t="s">
        <v>164</v>
      </c>
    </row>
    <row r="23" spans="1:10" ht="15.75" x14ac:dyDescent="0.25">
      <c r="A23" s="6" t="s">
        <v>24</v>
      </c>
      <c r="B23" s="22" t="s">
        <v>362</v>
      </c>
      <c r="C23" s="4"/>
      <c r="D23" s="90" t="str">
        <f>IF(OR(E20="NO",E20=""),"","MORE THAN ONE BUILDING?:")</f>
        <v/>
      </c>
      <c r="E23" s="48"/>
      <c r="F23" s="140" t="str">
        <f>IF(E23="YES","TRENCH IS DC","")</f>
        <v/>
      </c>
      <c r="H23" s="74" t="s">
        <v>161</v>
      </c>
      <c r="I23" s="75"/>
      <c r="J23" s="73" t="s">
        <v>164</v>
      </c>
    </row>
    <row r="24" spans="1:10" ht="15.75" x14ac:dyDescent="0.25">
      <c r="A24" s="6" t="s">
        <v>25</v>
      </c>
      <c r="B24" s="22" t="s">
        <v>363</v>
      </c>
      <c r="C24" s="4"/>
      <c r="D24" s="47" t="s">
        <v>214</v>
      </c>
      <c r="E24" s="89" t="s">
        <v>461</v>
      </c>
      <c r="F24" s="26"/>
      <c r="H24" s="74" t="s">
        <v>162</v>
      </c>
      <c r="I24" s="75"/>
      <c r="J24" s="73" t="s">
        <v>164</v>
      </c>
    </row>
    <row r="25" spans="1:10" ht="15.75" x14ac:dyDescent="0.25">
      <c r="A25" s="6" t="s">
        <v>318</v>
      </c>
      <c r="B25" s="23" t="s">
        <v>440</v>
      </c>
      <c r="C25" s="4"/>
      <c r="D25" s="47" t="s">
        <v>213</v>
      </c>
      <c r="E25" s="89" t="s">
        <v>194</v>
      </c>
      <c r="F25" s="26"/>
      <c r="H25" s="74" t="s">
        <v>161</v>
      </c>
      <c r="I25" s="75"/>
      <c r="J25" s="73" t="s">
        <v>164</v>
      </c>
    </row>
    <row r="26" spans="1:10" ht="15.75" x14ac:dyDescent="0.25">
      <c r="A26" s="6" t="s">
        <v>26</v>
      </c>
      <c r="B26" s="22" t="str">
        <f>IF('CURRENT EXCEL ROOFS'!G2="Jason Stolze","JES",IF('CURRENT EXCEL ROOFS'!G2="Jillian Clarkin","JC",IF('CURRENT EXCEL ROOFS'!G2="Tamir Lieber","TL",IF('CURRENT EXCEL ROOFS'!G2="Ryan Colbridge","RTC",IF('CURRENT EXCEL ROOFS'!G2="Randy Faiges","RF",IF('CURRENT EXCEL ROOFS'!G2="Dave Rucki","DMR",IF('CURRENT EXCEL ROOFS'!G2="Kyle Breese","KB",IF('CURRENT EXCEL ROOFS'!G2="John Seybolt","JMS",IF('CURRENT EXCEL ROOFS'!G2="James Seaberg","JWS",IF('CURRENT EXCEL ROOFS'!G2="Joe Rios","RIOS",IF('CURRENT EXCEL ROOFS'!G2="Matt Salsano","MS",IF('CURRENT EXCEL ROOFS'!G2="Ian Guapisaca","IG",IF('CURRENT EXCEL ROOFS'!G2="Rick Bello","RB","")))))))))))))</f>
        <v>RF</v>
      </c>
      <c r="C26" s="55" t="str">
        <f>IF(B26="JC","AACHOOOO!",IF(B26="KB","I AM THE HYPE!",IF(B26="RTC","DRONES!",IF(B26="RF","NO LONGER A NOOB",IF(B26="JMS","KAMEHAMEHA!",IF(B26="DMR","ROCK YOU LIKE A HURRRICANE",IF(B26="JES","THE MAN IN CHARGE",IF(B26="TL","KARATE MASTER",IF(B26="RIOS","REEACH FOR THE SKYYYY!!!",IF(B26="IG","MASTER OF MEMES",IF(B26="MS","ASTROMATT",IF(B26="JWS","JAMES!",IF(B26="RB","HACKERMAN","")))))))))))))</f>
        <v>NO LONGER A NOOB</v>
      </c>
      <c r="D26" s="47" t="s">
        <v>267</v>
      </c>
      <c r="E26" s="89" t="s">
        <v>268</v>
      </c>
      <c r="F26" s="26"/>
      <c r="H26" s="74" t="s">
        <v>163</v>
      </c>
      <c r="I26" s="75"/>
      <c r="J26" s="73" t="s">
        <v>164</v>
      </c>
    </row>
    <row r="27" spans="1:10" x14ac:dyDescent="0.25">
      <c r="A27" s="8" t="s">
        <v>54</v>
      </c>
      <c r="B27" s="22">
        <f>COUNTA('CURRENT EXCEL ROOFS'!L3:L28)-COUNTIF('CURRENT EXCEL ROOFS'!L2:L28,0)</f>
        <v>1</v>
      </c>
      <c r="C27" s="55"/>
      <c r="D27" s="26"/>
      <c r="E27" s="56" t="s">
        <v>140</v>
      </c>
      <c r="F27" s="26"/>
      <c r="H27" s="74" t="s">
        <v>161</v>
      </c>
      <c r="I27" s="75"/>
      <c r="J27" s="73" t="s">
        <v>164</v>
      </c>
    </row>
    <row r="28" spans="1:10" x14ac:dyDescent="0.25">
      <c r="A28" s="8" t="s">
        <v>419</v>
      </c>
      <c r="B28" s="226" t="str">
        <f>CALCULATIONS!R7</f>
        <v>Brick Township</v>
      </c>
      <c r="C28" s="55"/>
      <c r="D28" s="21"/>
      <c r="E28" s="88"/>
      <c r="F28" s="65"/>
      <c r="H28" s="74" t="s">
        <v>308</v>
      </c>
      <c r="I28" s="173" t="s">
        <v>307</v>
      </c>
    </row>
    <row r="29" spans="1:10" x14ac:dyDescent="0.25">
      <c r="A29" s="8" t="s">
        <v>30</v>
      </c>
      <c r="B29" s="87" t="str">
        <f>IF(D28&lt;&gt;"",D28,IF(D29&lt;&gt;"",D29,IF(D30&lt;&gt;"",D30,IF(D31&lt;&gt;"",D31,""))))</f>
        <v>A1</v>
      </c>
      <c r="C29" s="223"/>
      <c r="D29" s="21" t="s">
        <v>406</v>
      </c>
      <c r="E29" s="88" t="s">
        <v>471</v>
      </c>
      <c r="F29" s="65">
        <v>43637</v>
      </c>
      <c r="H29" s="74" t="s">
        <v>171</v>
      </c>
      <c r="I29" s="54" t="str">
        <f>RIGHT(B14,LEN(B14)-FIND("|",SUBSTITUTE(B14," ","|",1)))</f>
        <v>Tall Oaks Drive</v>
      </c>
    </row>
    <row r="30" spans="1:10" ht="15.75" x14ac:dyDescent="0.25">
      <c r="A30" s="7" t="s">
        <v>31</v>
      </c>
      <c r="B30" s="22" t="s">
        <v>470</v>
      </c>
      <c r="C30" s="55" t="str">
        <f>IF(B30="JC","AACHOOOO!",IF(B30="KB","I AM THE HYPE!",IF(B30="RTC","DRONES!",IF(B30="RF","NO LONGER A NOOB",IF(B30="JMS","KAMEHAMEHA!",IF(B30="DMR","ROCK YOU LIKE A HURRRICANE",IF(B30="JES","THE MAN IN CHARGE",IF(B30="TL","KARATE MASTER",IF(B30="RIOS","REEACH FOR THE SKYYYY!!!",IF(B30="IG","MASTER OF MEMES",IF(B30="MS","ASTROMATT",IF(B30="JWS","JAMES!",""))))))))))))</f>
        <v>KAMEHAMEHA!</v>
      </c>
      <c r="D30" s="115" t="s">
        <v>401</v>
      </c>
      <c r="E30" s="88" t="s">
        <v>468</v>
      </c>
      <c r="F30" s="65">
        <v>43608</v>
      </c>
      <c r="H30" s="74" t="s">
        <v>172</v>
      </c>
      <c r="I30" s="54" t="s">
        <v>331</v>
      </c>
    </row>
    <row r="31" spans="1:10" x14ac:dyDescent="0.25">
      <c r="A31" s="3" t="s">
        <v>34</v>
      </c>
      <c r="B31" s="86">
        <f>IF(F28&lt;&gt;"",F28,IF(F29&lt;&gt;"",F29,IF(F30&lt;&gt;"",F30,IF(F31&lt;&gt;"",F31,""))))</f>
        <v>43637</v>
      </c>
      <c r="C31" s="54"/>
      <c r="D31" s="42" t="s">
        <v>141</v>
      </c>
      <c r="E31" s="42" t="s">
        <v>142</v>
      </c>
      <c r="F31" s="57">
        <f>IF(B17="","",B17)</f>
        <v>43599</v>
      </c>
      <c r="H31" s="227" t="s">
        <v>422</v>
      </c>
      <c r="I31" s="54" t="s">
        <v>423</v>
      </c>
    </row>
    <row r="32" spans="1:10" x14ac:dyDescent="0.25">
      <c r="C32" s="54"/>
      <c r="D32" s="58" t="s">
        <v>137</v>
      </c>
      <c r="E32" s="58" t="s">
        <v>138</v>
      </c>
      <c r="F32" s="58" t="s">
        <v>139</v>
      </c>
      <c r="H32" s="74" t="s">
        <v>174</v>
      </c>
      <c r="I32" s="54" t="s">
        <v>330</v>
      </c>
    </row>
    <row r="33" spans="1:11" ht="92.25" x14ac:dyDescent="1.35">
      <c r="A33" s="240" t="str">
        <f>IF(CALCULATIONS!I26&gt;4,"MANUAL CALC REQUIRED(5 MICROS)",IF(AND(CALCULATIONS!B37="YES",FORM!B7&gt;2,FORM!C7&gt;0),"SIZE DC WIRES MANUALLY",IF(OR((SUM(CALCULATIONS!B7:B11)*CALCULATIONS!H9)&gt;(CALCULATIONS!L2*1.35),(SUM(CALCULATIONS!C7:C11)*CALCULATIONS!H9)&gt;(CALCULATIONS!M2*1.35),(SUM(CALCULATIONS!D7:D11)*CALCULATIONS!H9)&gt;(CALCULATIONS!N2*1.35),(SUM(CALCULATIONS!E7:E11)*CALCULATIONS!H9)&gt;(CALCULATIONS!O2*1.35),(SUM(CALCULATIONS!F7:F11)*CALCULATIONS!H9)&gt;(CALCULATIONS!P2*1.35)),"INVERTER OVER 135%!",IF(AND(CALCULATIONS!B37="YES",ISNUMBER(SEARCH("A-US",CALCULATIONS!B2))=TRUE,OR(B8*CALCULATIONS!H9&gt;5250,B9*CALCULATIONS!H9&gt;5250,C8*CALCULATIONS!H9&gt;5250,C9*CALCULATIONS!H9&gt;5250,D8*CALCULATIONS!H9&gt;5250,D9*CALCULATIONS!H9&gt;5250,E8*CALCULATIONS!H9&gt;5250,E9*CALCULATIONS!H9&gt;5250,F8*CALCULATIONS!H9&gt;5250,F9*CALCULATIONS!H9&gt;5250)),"OVERSIZED STRING(S)",IF(AND(CALCULATIONS!B37="YES",OR((SUM(CALCULATIONS!B7:B11)*CALCULATIONS!H9)&gt;(CALCULATIONS!L2*1.25),(SUM(CALCULATIONS!C7:C11)*CALCULATIONS!H9)&gt;(CALCULATIONS!M2*1.25),(SUM(CALCULATIONS!D7:D11)*CALCULATIONS!H9)&gt;(CALCULATIONS!N2*1.25),(SUM(CALCULATIONS!E7:E11)*CALCULATIONS!H9)&gt;(CALCULATIONS!O2*1.25),(SUM(CALCULATIONS!F7:F11)*CALCULATIONS!H9)&gt;(CALCULATIONS!P2*1.25)),B18="SUNNOVA"),"SUNNOVA OVER 125%!",IF(AND(CALCULATIONS!B37="YES",ISNUMBER(SEARCH("H-US",CALCULATIONS!B2))=TRUE,AND(CALCULATIONS!B2&lt;&gt;"SE7600H-US",CALCULATIONS!B2&lt;&gt;"SE10000H-US",CALCULATIONS!B2&lt;&gt;"SE11400H-US"),OR(B8*CALCULATIONS!H9&gt;5700,B9*CALCULATIONS!H9&gt;5700,C8*CALCULATIONS!H9&gt;5700,C9*CALCULATIONS!H9&gt;5700,D8*CALCULATIONS!H9&gt;5700,D9*CALCULATIONS!H9&gt;5700,E8*CALCULATIONS!H9&gt;5700,E9*CALCULATIONS!H9&gt;5700,F8*CALCULATIONS!H9&gt;5700,F9*CALCULATIONS!H9&gt;5700)),"OVERSIZED STRING(S)",IF(AND(CALCULATIONS!B37="YES",OR(CALCULATIONS!B2="SE7600H-US",CALCULATIONS!B2="SE10000H-US",CALCULATIONS!B2="SE11400H-US"),OR(B8*CALCULATIONS!H9&gt;6000,B9*CALCULATIONS!H9&gt;6000,C8*CALCULATIONS!H9&gt;6000,C9*CALCULATIONS!H9&gt;6000,D8*CALCULATIONS!H9&gt;6000,D9*CALCULATIONS!H9&gt;6000,E8*CALCULATIONS!H9&gt;6000,E9*CALCULATIONS!H9&gt;6000,F8*CALCULATIONS!H9&gt;6000,F9*CALCULATIONS!H9&gt;6000)),"OVERSIZED STRING(S)",IF(AND(CALCULATIONS!B37="YES",OR(AND(B8&lt;8,B8&gt;0),AND(B9&lt;8,B9&gt;0),AND(C8&lt;8,C8&gt;0),AND(C9&lt;8,C9&gt;0),AND(D8&lt;8,D8&gt;0),AND(D9&lt;8,D9&gt;0),AND(E8&lt;8,E8&gt;0),AND(E9&lt;8,E9&gt;0),AND(F8&lt;8,F8&gt;0),AND(F9&lt;8,F9&gt;0))),"STRING(S) TOO SMALL",""))))))))</f>
        <v/>
      </c>
      <c r="B33" s="240"/>
      <c r="C33" s="240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5">
      <c r="A34" s="3"/>
      <c r="B34" s="170"/>
    </row>
    <row r="35" spans="1:11" x14ac:dyDescent="0.25">
      <c r="A35" s="3"/>
    </row>
    <row r="36" spans="1:11" x14ac:dyDescent="0.25">
      <c r="A36" s="3"/>
    </row>
    <row r="38" spans="1:11" x14ac:dyDescent="0.25">
      <c r="A38" s="94"/>
      <c r="B38" s="94"/>
      <c r="D38" s="241"/>
      <c r="E38" s="241"/>
    </row>
  </sheetData>
  <sheetProtection selectLockedCells="1"/>
  <mergeCells count="4">
    <mergeCell ref="A33:K33"/>
    <mergeCell ref="D38:E38"/>
    <mergeCell ref="A1:J1"/>
    <mergeCell ref="G12:I12"/>
  </mergeCells>
  <conditionalFormatting sqref="A12">
    <cfRule type="cellIs" dxfId="6" priority="3" operator="notEqual">
      <formula>""</formula>
    </cfRule>
  </conditionalFormatting>
  <conditionalFormatting sqref="G12">
    <cfRule type="cellIs" dxfId="5" priority="2" operator="notEqual">
      <formula>""</formula>
    </cfRule>
  </conditionalFormatting>
  <conditionalFormatting sqref="A33:K33">
    <cfRule type="cellIs" dxfId="4" priority="1" operator="notEqual">
      <formula>""</formula>
    </cfRule>
  </conditionalFormatting>
  <dataValidations count="11">
    <dataValidation type="list" allowBlank="1" showInputMessage="1" showErrorMessage="1" sqref="B20 B21">
      <formula1>"60,100,125,150,200,225"</formula1>
    </dataValidation>
    <dataValidation type="list" allowBlank="1" showInputMessage="1" showErrorMessage="1" sqref="E13">
      <formula1>"LINE TAPS,BREAKER"</formula1>
    </dataValidation>
    <dataValidation type="list" allowBlank="1" showInputMessage="1" showErrorMessage="1" sqref="E25:E26 E17 E23">
      <formula1>"YES,NO"</formula1>
    </dataValidation>
    <dataValidation type="list" allowBlank="1" showInputMessage="1" showErrorMessage="1" sqref="D28:D30">
      <formula1>"P2,P3,R1,R2,R3,R4,A1,A2,A3"</formula1>
    </dataValidation>
    <dataValidation type="list" allowBlank="1" showInputMessage="1" showErrorMessage="1" sqref="E19">
      <formula1>"ROOF MOUNT, GROUND MOUNT"</formula1>
    </dataValidation>
    <dataValidation type="list" allowBlank="1" showInputMessage="1" showErrorMessage="1" sqref="E20">
      <formula1>"NO,AC,DC"</formula1>
    </dataValidation>
    <dataValidation type="list" allowBlank="1" showInputMessage="1" showErrorMessage="1" sqref="E24">
      <formula1>"UNKOWN BRAND,SQUARE D QO,SQUARE D HOMELINE,SIEMENS,CUTLER HAMMER CH,CUTLER HAMMER BR,GE,STAB-LOK,CHALLENGER,MURRAY,BRYANT"</formula1>
    </dataValidation>
    <dataValidation allowBlank="1" showInputMessage="1" showErrorMessage="1" error="THAT'S YOUR NAME?" sqref="B26"/>
    <dataValidation type="whole" allowBlank="1" showInputMessage="1" showErrorMessage="1" error="PRETTY SURE THAT'S NOT A NUMBER BRAH " sqref="B27">
      <formula1>0</formula1>
      <formula2>100</formula2>
    </dataValidation>
    <dataValidation type="list" allowBlank="1" showInputMessage="1" showErrorMessage="1" sqref="B25">
      <formula1>"ECOLIBRIUM, OTHER"</formula1>
    </dataValidation>
    <dataValidation type="list" allowBlank="1" showInputMessage="1" showErrorMessage="1" sqref="C29">
      <formula1>"P1,P2,P3,P3,P4,P5,R1,R2,R3,R4,R5,A1,A2,A3,A4,A5"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MODULES!$A$2:$A$27</xm:f>
          </x14:formula1>
          <xm:sqref>B2</xm:sqref>
        </x14:dataValidation>
        <x14:dataValidation type="list" allowBlank="1" showInputMessage="1" showErrorMessage="1">
          <x14:formula1>
            <xm:f>MODULES!$A$7:$A$20</xm:f>
          </x14:formula1>
          <xm:sqref>E39</xm:sqref>
        </x14:dataValidation>
        <x14:dataValidation type="list" allowBlank="1" showErrorMessage="1" errorTitle="SELECT FROM DROPDOWN MENU" error="SELECT FROM DROPDOWN MENU">
          <x14:formula1>
            <xm:f>INVERTERS!$A$2:$A$29</xm:f>
          </x14:formula1>
          <xm:sqref>B6:F6</xm:sqref>
        </x14:dataValidation>
        <x14:dataValidation type="list" allowBlank="1" showInputMessage="1">
          <x14:formula1>
            <xm:f>CALCULATIONS!$R$2:$R$3</xm:f>
          </x14:formula1>
          <xm:sqref>I28</xm:sqref>
        </x14:dataValidation>
        <x14:dataValidation type="list" allowBlank="1" showInputMessage="1" showErrorMessage="1" prompt=";)">
          <x14:formula1>
            <xm:f>'UTILITY, DEALS &amp; STATE'!$C$3:$C$50</xm:f>
          </x14:formula1>
          <xm:sqref>B18</xm:sqref>
        </x14:dataValidation>
        <x14:dataValidation type="list" allowBlank="1" showInputMessage="1" showErrorMessage="1" error="WTF">
          <x14:formula1>
            <xm:f>'UTILITY, DEALS &amp; STATE'!$A$2:$A$50</xm:f>
          </x14:formula1>
          <xm:sqref>B22</xm:sqref>
        </x14:dataValidation>
        <x14:dataValidation type="list" allowBlank="1" showInputMessage="1" showErrorMessage="1">
          <x14:formula1>
            <xm:f>'UTILITY, DEALS &amp; STATE'!$F$3:$F$18</xm:f>
          </x14:formula1>
          <xm:sqref>E14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43"/>
  <sheetViews>
    <sheetView topLeftCell="A13" workbookViewId="0">
      <selection activeCell="B44" sqref="B44"/>
    </sheetView>
  </sheetViews>
  <sheetFormatPr defaultRowHeight="15" x14ac:dyDescent="0.25"/>
  <cols>
    <col min="1" max="1" width="47.5703125" style="27" bestFit="1" customWidth="1"/>
    <col min="2" max="16384" width="9.140625" style="27"/>
  </cols>
  <sheetData>
    <row r="1" spans="1:2" x14ac:dyDescent="0.25">
      <c r="A1" s="28" t="s">
        <v>61</v>
      </c>
      <c r="B1" s="27">
        <f>(IF(CALCULATIONS!B36="","0",CALCULATIONS!B36))</f>
        <v>60</v>
      </c>
    </row>
    <row r="2" spans="1:2" x14ac:dyDescent="0.25">
      <c r="A2" s="28" t="s">
        <v>78</v>
      </c>
      <c r="B2" s="27">
        <f>(IF(CALCULATIONS!B35&lt;=60,60,IF(CALCULATIONS!B35&lt;=100,100,IF(CALCULATIONS!B35&lt;=125,125,""))))</f>
        <v>60</v>
      </c>
    </row>
    <row r="3" spans="1:2" x14ac:dyDescent="0.25">
      <c r="A3" s="28" t="s">
        <v>19</v>
      </c>
      <c r="B3" s="27">
        <f>(FORM!B20)</f>
        <v>200</v>
      </c>
    </row>
    <row r="4" spans="1:2" x14ac:dyDescent="0.25">
      <c r="A4" s="28" t="s">
        <v>91</v>
      </c>
      <c r="B4" s="27">
        <f>(IF(CALCULATIONS!B35&lt;=60,60,IF(CALCULATIONS!B35&lt;=100,100,"SIZE ACCORDINGLY")))</f>
        <v>60</v>
      </c>
    </row>
    <row r="5" spans="1:2" x14ac:dyDescent="0.25">
      <c r="A5" s="28" t="s">
        <v>92</v>
      </c>
      <c r="B5" s="27">
        <f>(IF(CALCULATIONS!B35&lt;=100,100,IF(CALCULATIONS!B35&lt;=125,125,"SIZE ACCORDINGLY")))</f>
        <v>100</v>
      </c>
    </row>
    <row r="6" spans="1:2" x14ac:dyDescent="0.25">
      <c r="A6" s="28" t="s">
        <v>93</v>
      </c>
      <c r="B6" s="27">
        <f>(IF((CALCULATIONS!B33*1.25)&lt;=20,20,IF((CALCULATIONS!B33*1.25)&lt;=30,30,IF((CALCULATIONS!B33*1.25)&lt;=40,40,IF((CALCULATIONS!B33*1.25)&lt;=50,50,IF((CALCULATIONS!B33*1.25)&lt;=60,60,""))))))</f>
        <v>60</v>
      </c>
    </row>
    <row r="7" spans="1:2" x14ac:dyDescent="0.25">
      <c r="A7" s="28" t="s">
        <v>94</v>
      </c>
      <c r="B7" s="27">
        <f>(IF((CALCULATIONS!C33*1.25)&lt;=20,20,IF((CALCULATIONS!C33*1.25)&lt;=30,30,IF((CALCULATIONS!C33*1.25)&lt;=40,40,IF((CALCULATIONS!C33*1.25)&lt;=50,50,IF((CALCULATIONS!C33*1.25)&lt;=60,60,""))))))</f>
        <v>20</v>
      </c>
    </row>
    <row r="8" spans="1:2" x14ac:dyDescent="0.25">
      <c r="A8" s="28" t="s">
        <v>95</v>
      </c>
      <c r="B8" s="27">
        <f>(IF((CALCULATIONS!D33*1.25)&lt;=20,20,IF((CALCULATIONS!D33*1.25)&lt;=30,30,IF((CALCULATIONS!D33*1.25)&lt;=40,40,IF((CALCULATIONS!D33*1.25)&lt;=50,50,IF((CALCULATIONS!D33*1.25)&lt;=60,60,""))))))</f>
        <v>20</v>
      </c>
    </row>
    <row r="9" spans="1:2" x14ac:dyDescent="0.25">
      <c r="A9" s="28" t="s">
        <v>96</v>
      </c>
      <c r="B9" s="27">
        <f>(IF((CALCULATIONS!E33*1.25)&lt;=20,20,IF((CALCULATIONS!E33*1.25)&lt;=30,30,IF((CALCULATIONS!E33*1.25)&lt;=40,40,IF((CALCULATIONS!E33*1.25)&lt;=50,50,IF((CALCULATIONS!E33*1.25)&lt;=60,60,""))))))</f>
        <v>20</v>
      </c>
    </row>
    <row r="10" spans="1:2" x14ac:dyDescent="0.25">
      <c r="A10" s="28" t="s">
        <v>97</v>
      </c>
      <c r="B10" s="27">
        <f>(IF(CALCULATIONS!I43="YES","",IF((CALCULATIONS!F33*1.25)&lt;=20,20,IF((CALCULATIONS!F33*1.25)&lt;=30,30,IF((CALCULATIONS!F33*1.25)&lt;=40,40,IF((CALCULATIONS!F33*1.25)&lt;=50,50,IF((CALCULATIONS!F33*1.25)&lt;=60,60,"")))))))</f>
        <v>20</v>
      </c>
    </row>
    <row r="11" spans="1:2" x14ac:dyDescent="0.25">
      <c r="A11" s="28" t="s">
        <v>98</v>
      </c>
      <c r="B11" s="27" t="str">
        <f>(IF(CALCULATIONS!I44="M215 MICROINVERTERS",IF(CALCULATIONS!I28&lt;=13,15,IF(CALCULATIONS!I28&lt;=17,20,"0")),IF(CALCULATIONS!I44="M250 MICROINVERTERS",IF(CALCULATIONS!I28&lt;=11,15,IF(CALCULATIONS!I28&lt;=15,20,"0")),IF(CALCULATIONS!I44="IQ6 MICROINVERTERS",IF(CALCULATIONS!I28&lt;=12,15,IF(CALCULATIONS!I28&lt;=16,20,"0")),IF(CALCULATIONS!I44="IQ6PLUS MICROINVERTERS",IF(CALCULATIONS!I28&lt;=10,15,IF(CALCULATIONS!I28&lt;=13,20,"0")),"0")))))</f>
        <v>0</v>
      </c>
    </row>
    <row r="12" spans="1:2" x14ac:dyDescent="0.25">
      <c r="A12" s="28" t="s">
        <v>99</v>
      </c>
      <c r="B12" s="27" t="str">
        <f>(IF(CALCULATIONS!I44="M215 MICROINVERTERS",IF(CALCULATIONS!I29&lt;=13,15,IF(CALCULATIONS!I29&lt;=17,20,"0")),IF(CALCULATIONS!I44="M250 MICROINVERTERS",IF(CALCULATIONS!I29&lt;=11,15,IF(CALCULATIONS!I29&lt;=15,20,"0")),IF(CALCULATIONS!I44="IQ6 MICROINVERTERS",IF(CALCULATIONS!I29&lt;=12,15,IF(CALCULATIONS!I29&lt;=16,20,"0")),IF(CALCULATIONS!I44="IQ6PLUS MICROINVERTERS",IF(CALCULATIONS!I29&lt;=10,15,IF(CALCULATIONS!I29&lt;=13,20,"0")),"0")))))</f>
        <v>0</v>
      </c>
    </row>
    <row r="13" spans="1:2" x14ac:dyDescent="0.25">
      <c r="A13" s="28" t="s">
        <v>100</v>
      </c>
      <c r="B13" s="27" t="str">
        <f>(IF(CALCULATIONS!I44="M215 MICROINVERTERS",IF(CALCULATIONS!I30&lt;=13,15,IF(CALCULATIONS!I30&lt;=17,20,"0")),IF(CALCULATIONS!I44="M250 MICROINVERTERS",IF(CALCULATIONS!I30&lt;=11,15,IF(CALCULATIONS!I30&lt;=15,20,"0")),IF(CALCULATIONS!I44="IQ6 MICROINVERTERS",IF(CALCULATIONS!I30&lt;=12,15,IF(CALCULATIONS!I30&lt;=16,20,"0")),IF(CALCULATIONS!I44="IQ6PLUS MICROINVERTERS",IF(CALCULATIONS!I30&lt;=10,15,IF(CALCULATIONS!I30&lt;=13,20,"0")),"0")))))</f>
        <v>0</v>
      </c>
    </row>
    <row r="14" spans="1:2" x14ac:dyDescent="0.25">
      <c r="A14" s="28" t="s">
        <v>101</v>
      </c>
      <c r="B14" s="27" t="str">
        <f>(IF(CALCULATIONS!I44="M215 MICROINVERTERS",IF(CALCULATIONS!I31&lt;=13,15,IF(CALCULATIONS!I31&lt;=17,20,"0")),IF(CALCULATIONS!I44="M250 MICROINVERTERS",IF(CALCULATIONS!I31&lt;=11,15,IF(CALCULATIONS!I31&lt;=15,20,"0")),IF(CALCULATIONS!I44="IQ6 MICROINVERTERS",IF(CALCULATIONS!I31&lt;=12,15,IF(CALCULATIONS!I31&lt;=16,20,"0")),IF(CALCULATIONS!I44="IQ6PLUS MICROINVERTERS",IF(CALCULATIONS!I31&lt;=10,15,IF(CALCULATIONS!I31&lt;=13,20,"0")),"0")))))</f>
        <v>0</v>
      </c>
    </row>
    <row r="15" spans="1:2" x14ac:dyDescent="0.25">
      <c r="A15" s="28" t="s">
        <v>102</v>
      </c>
      <c r="B15" s="27" t="str">
        <f>(IF(CALCULATIONS!I44="M215 MICROINVERTERS",IF(CALCULATIONS!I32&lt;=13,15,IF(CALCULATIONS!I32&lt;=17,20,"0")),IF(CALCULATIONS!I44="M250 MICROINVERTERS",IF(CALCULATIONS!I32&lt;=11,15,IF(CALCULATIONS!I32&lt;=15,20,"0")),IF(CALCULATIONS!I44="IQ6 MICROINVERTERS",IF(CALCULATIONS!I32&lt;=12,15,IF(CALCULATIONS!I32&lt;=16,20,"0")),IF(CALCULATIONS!I44="IQ6PLUS MICROINVERTERS",IF(CALCULATIONS!I32&lt;=10,15,IF(CALCULATIONS!I32&lt;=13,20,"0")),"0")))))</f>
        <v>0</v>
      </c>
    </row>
    <row r="16" spans="1:2" x14ac:dyDescent="0.25">
      <c r="A16" s="28" t="s">
        <v>182</v>
      </c>
      <c r="B16" s="27">
        <f>(IF(CALCULATIONS!I43="YES",LARGE(CALCULATIONS!I28:I32,1),IF(AND(CALCULATIONS!B3=3,CALCULATIONS!B37="YES"),1,1)))</f>
        <v>1</v>
      </c>
    </row>
    <row r="17" spans="1:2" x14ac:dyDescent="0.25">
      <c r="A17" s="28" t="s">
        <v>126</v>
      </c>
      <c r="B17" s="83">
        <f>(IF(CALCULATIONS!I43="YES",'LARGE TABLE'!B27*'LARGE TABLE'!B28*'LARGE TABLE'!B16,IF(CALCULATIONS!B37="YES",(15*1.25*'LARGE TABLE'!B16),(CALCULATIONS!H13*1.56))))</f>
        <v>18.75</v>
      </c>
    </row>
    <row r="18" spans="1:2" x14ac:dyDescent="0.25">
      <c r="A18" s="28" t="s">
        <v>127</v>
      </c>
      <c r="B18" s="27">
        <f>(IF(B16=3,6,IF(AND(B19&gt;=10,CALCULATIONS!B37="YES"),8,10)))</f>
        <v>10</v>
      </c>
    </row>
    <row r="19" spans="1:2" x14ac:dyDescent="0.25">
      <c r="A19" s="28" t="s">
        <v>128</v>
      </c>
      <c r="B19" s="27">
        <f>(IF(B16=3,2,CALCULATIONS!B61))</f>
        <v>4</v>
      </c>
    </row>
    <row r="20" spans="1:2" x14ac:dyDescent="0.25">
      <c r="A20" s="28" t="s">
        <v>129</v>
      </c>
      <c r="B20" s="27">
        <f>(IF(B19&lt;4,1,IF(B19&lt;=6,0.8,IF(B19&lt;=9,0.7,IF(B19&lt;=20,0.5,IF(B19&lt;=30,0.45,IF(B19&lt;=40,0.4,0.35)))))))</f>
        <v>0.8</v>
      </c>
    </row>
    <row r="21" spans="1:2" x14ac:dyDescent="0.25">
      <c r="A21" s="28" t="s">
        <v>130</v>
      </c>
      <c r="B21" s="27">
        <f>(IF(B18=10,40,IF(B18=8,55,IF(B18=6,75,IF(B18=4,95,"")))))</f>
        <v>40</v>
      </c>
    </row>
    <row r="22" spans="1:2" x14ac:dyDescent="0.25">
      <c r="A22" s="28" t="s">
        <v>131</v>
      </c>
      <c r="B22" s="27">
        <f>(B21*0.96*IF(B20="N/A",1,B20))</f>
        <v>30.72</v>
      </c>
    </row>
    <row r="23" spans="1:2" x14ac:dyDescent="0.25">
      <c r="A23" s="28" t="s">
        <v>132</v>
      </c>
      <c r="B23" s="83">
        <f>(SUM(CALCULATIONS!B33:F33))</f>
        <v>42</v>
      </c>
    </row>
    <row r="24" spans="1:2" x14ac:dyDescent="0.25">
      <c r="A24" s="28" t="s">
        <v>133</v>
      </c>
      <c r="B24" s="83">
        <f>(B23*1.25)</f>
        <v>52.5</v>
      </c>
    </row>
    <row r="25" spans="1:2" x14ac:dyDescent="0.25">
      <c r="A25" s="28" t="s">
        <v>134</v>
      </c>
      <c r="B25" s="27">
        <f>(IF(B24&lt;=30,10,IF(B24&lt;=50,8,IF(B24&lt;=65,6,IF(B24&lt;=85,4,IF(B24&lt;=100,3,IF(B24&lt;=115,2,IF(B24&lt;=130,1,""))))))))</f>
        <v>6</v>
      </c>
    </row>
    <row r="26" spans="1:2" x14ac:dyDescent="0.25">
      <c r="A26" s="28" t="s">
        <v>135</v>
      </c>
      <c r="B26" s="27">
        <f>(IF(B25=10,40,IF(B25=8,55,IF(B25=6,75,IF(B25=4,95,IF(B25=3,115,IF(B25=2,130,IF(B25=1,145,""))))))))</f>
        <v>75</v>
      </c>
    </row>
    <row r="27" spans="1:2" x14ac:dyDescent="0.25">
      <c r="A27" s="28" t="s">
        <v>183</v>
      </c>
      <c r="B27" s="83">
        <f>(IF(CALCULATIONS!I43="YES",CALCULATIONS!G33,IF(CALCULATIONS!B37="YES",15,CALCULATIONS!H13)))</f>
        <v>15</v>
      </c>
    </row>
    <row r="28" spans="1:2" x14ac:dyDescent="0.25">
      <c r="A28" s="28" t="s">
        <v>136</v>
      </c>
      <c r="B28" s="27">
        <f>(IF(OR(CALCULATIONS!B37="YES",CALCULATIONS!I43="YES"),1.25,1.56))</f>
        <v>1.25</v>
      </c>
    </row>
    <row r="29" spans="1:2" x14ac:dyDescent="0.25">
      <c r="A29" s="28" t="s">
        <v>165</v>
      </c>
      <c r="B29" s="27">
        <f>(FORM!I18)</f>
        <v>29</v>
      </c>
    </row>
    <row r="30" spans="1:2" x14ac:dyDescent="0.25">
      <c r="A30" s="28" t="s">
        <v>166</v>
      </c>
      <c r="B30" s="27">
        <f>(FORM!I19)</f>
        <v>3</v>
      </c>
    </row>
    <row r="31" spans="1:2" x14ac:dyDescent="0.25">
      <c r="A31" s="28" t="s">
        <v>167</v>
      </c>
      <c r="B31" s="27">
        <f>(FORM!I20)</f>
        <v>0</v>
      </c>
    </row>
    <row r="32" spans="1:2" x14ac:dyDescent="0.25">
      <c r="A32" s="28" t="s">
        <v>161</v>
      </c>
      <c r="B32" s="27">
        <f>(FORM!I21)</f>
        <v>0</v>
      </c>
    </row>
    <row r="33" spans="1:2" x14ac:dyDescent="0.25">
      <c r="A33" s="28" t="s">
        <v>168</v>
      </c>
      <c r="B33" s="27">
        <f>(FORM!I22)</f>
        <v>0</v>
      </c>
    </row>
    <row r="34" spans="1:2" x14ac:dyDescent="0.25">
      <c r="A34" s="28" t="s">
        <v>161</v>
      </c>
      <c r="B34" s="27">
        <f>(FORM!I23)</f>
        <v>0</v>
      </c>
    </row>
    <row r="35" spans="1:2" x14ac:dyDescent="0.25">
      <c r="A35" s="28" t="s">
        <v>169</v>
      </c>
      <c r="B35" s="27">
        <f>(FORM!I24)</f>
        <v>0</v>
      </c>
    </row>
    <row r="36" spans="1:2" x14ac:dyDescent="0.25">
      <c r="A36" s="28" t="s">
        <v>161</v>
      </c>
      <c r="B36" s="27">
        <f>(FORM!I25)</f>
        <v>0</v>
      </c>
    </row>
    <row r="37" spans="1:2" x14ac:dyDescent="0.25">
      <c r="A37" s="28" t="s">
        <v>170</v>
      </c>
      <c r="B37" s="27">
        <f>(FORM!I26)</f>
        <v>0</v>
      </c>
    </row>
    <row r="38" spans="1:2" x14ac:dyDescent="0.25">
      <c r="A38" s="28" t="s">
        <v>161</v>
      </c>
      <c r="B38" s="27">
        <f>(FORM!I27)</f>
        <v>0</v>
      </c>
    </row>
    <row r="39" spans="1:2" x14ac:dyDescent="0.25">
      <c r="A39" s="28" t="s">
        <v>171</v>
      </c>
      <c r="B39" s="27" t="str">
        <f>(UPPER(IF(FORM!I29="","",FORM!I29)))</f>
        <v>TALL OAKS DRIVE</v>
      </c>
    </row>
    <row r="40" spans="1:2" x14ac:dyDescent="0.25">
      <c r="A40" s="46" t="s">
        <v>270</v>
      </c>
      <c r="B40" s="27" t="str">
        <f>IF(B4=30,"DU221RB","DU222RB")</f>
        <v>DU222RB</v>
      </c>
    </row>
    <row r="41" spans="1:2" x14ac:dyDescent="0.25">
      <c r="A41" s="46" t="s">
        <v>436</v>
      </c>
      <c r="B41" s="27">
        <f>FORM!B21</f>
        <v>200</v>
      </c>
    </row>
    <row r="42" spans="1:2" x14ac:dyDescent="0.25">
      <c r="A42" s="46" t="s">
        <v>437</v>
      </c>
      <c r="B42" s="27" t="str">
        <f>IF(B2&lt;=60,"D222N",IF(B2&lt;=100,"D323N",IF(B2=200,"D224N","")))</f>
        <v>D222N</v>
      </c>
    </row>
    <row r="43" spans="1:2" x14ac:dyDescent="0.25">
      <c r="A43" s="46" t="s">
        <v>457</v>
      </c>
      <c r="B43" s="27" t="str">
        <f>IF(OR(FORM!E14="CT",FORM!E14="MA"),"B","D")</f>
        <v>D</v>
      </c>
    </row>
  </sheetData>
  <pageMargins left="0.7" right="0.7" top="0.75" bottom="0.75" header="0.3" footer="0.3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T36"/>
  <sheetViews>
    <sheetView showGridLines="0" topLeftCell="A4" workbookViewId="0">
      <selection activeCell="G16" sqref="G16"/>
    </sheetView>
  </sheetViews>
  <sheetFormatPr defaultRowHeight="15" x14ac:dyDescent="0.25"/>
  <cols>
    <col min="1" max="3" width="9.140625" style="119"/>
    <col min="4" max="4" width="16.7109375" style="119" customWidth="1"/>
    <col min="5" max="5" width="9.140625" style="119"/>
    <col min="6" max="6" width="3.85546875" style="119" customWidth="1"/>
    <col min="7" max="7" width="10.42578125" style="119" customWidth="1"/>
    <col min="8" max="8" width="10.85546875" style="119" bestFit="1" customWidth="1"/>
    <col min="9" max="9" width="11.85546875" style="119" customWidth="1"/>
    <col min="10" max="16384" width="9.140625" style="119"/>
  </cols>
  <sheetData>
    <row r="1" spans="2:20" ht="15.75" thickBot="1" x14ac:dyDescent="0.3"/>
    <row r="2" spans="2:20" x14ac:dyDescent="0.25">
      <c r="B2" s="4"/>
      <c r="C2" s="120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2"/>
      <c r="O2" s="4"/>
    </row>
    <row r="3" spans="2:20" ht="15.75" thickBot="1" x14ac:dyDescent="0.3">
      <c r="B3" s="4"/>
      <c r="C3" s="123"/>
      <c r="D3" s="4"/>
      <c r="E3" s="4"/>
      <c r="F3" s="4"/>
      <c r="G3" s="4"/>
      <c r="H3" s="4"/>
      <c r="I3" s="4"/>
      <c r="J3" s="4"/>
      <c r="K3" s="4"/>
      <c r="L3" s="4"/>
      <c r="M3" s="4"/>
      <c r="N3" s="124"/>
      <c r="O3" s="4"/>
    </row>
    <row r="4" spans="2:20" ht="34.5" thickBot="1" x14ac:dyDescent="0.55000000000000004">
      <c r="B4" s="4"/>
      <c r="C4" s="123"/>
      <c r="D4" s="125">
        <f>SUM(I9:I17)</f>
        <v>57.692</v>
      </c>
      <c r="E4" s="298" t="s">
        <v>228</v>
      </c>
      <c r="F4" s="298"/>
      <c r="G4" s="299"/>
      <c r="H4" s="4"/>
      <c r="I4" s="125">
        <f>ROUND((D4/48),2)</f>
        <v>1.2</v>
      </c>
      <c r="J4" s="298" t="s">
        <v>229</v>
      </c>
      <c r="K4" s="298"/>
      <c r="L4" s="298"/>
      <c r="M4" s="299"/>
      <c r="N4" s="124"/>
      <c r="O4" s="4"/>
    </row>
    <row r="5" spans="2:20" ht="34.5" thickBot="1" x14ac:dyDescent="0.55000000000000004">
      <c r="B5" s="4"/>
      <c r="C5" s="123"/>
      <c r="D5" s="4"/>
      <c r="E5" s="4"/>
      <c r="F5" s="126"/>
      <c r="G5" s="126"/>
      <c r="H5" s="127"/>
      <c r="I5" s="128">
        <f>ROUND((D4/32),2)</f>
        <v>1.8</v>
      </c>
      <c r="J5" s="298" t="s">
        <v>230</v>
      </c>
      <c r="K5" s="298"/>
      <c r="L5" s="298"/>
      <c r="M5" s="299"/>
      <c r="N5" s="124"/>
      <c r="O5" s="4"/>
      <c r="P5" s="4"/>
      <c r="Q5" s="4"/>
      <c r="R5" s="4"/>
      <c r="S5" s="4"/>
    </row>
    <row r="6" spans="2:20" ht="34.5" thickBot="1" x14ac:dyDescent="0.55000000000000004">
      <c r="B6" s="4"/>
      <c r="C6" s="123"/>
      <c r="D6" s="4"/>
      <c r="E6" s="4"/>
      <c r="F6" s="4"/>
      <c r="G6" s="4"/>
      <c r="H6" s="4"/>
      <c r="I6" s="128">
        <f>ROUND((D4/24),2)</f>
        <v>2.4</v>
      </c>
      <c r="J6" s="298" t="s">
        <v>231</v>
      </c>
      <c r="K6" s="298"/>
      <c r="L6" s="298"/>
      <c r="M6" s="299"/>
      <c r="N6" s="124"/>
      <c r="O6" s="4"/>
      <c r="P6" s="4"/>
      <c r="Q6" s="4"/>
      <c r="R6" s="4"/>
      <c r="S6" s="4"/>
    </row>
    <row r="7" spans="2:20" x14ac:dyDescent="0.25">
      <c r="C7" s="123"/>
      <c r="D7" s="4"/>
      <c r="E7" s="4"/>
      <c r="F7" s="4"/>
      <c r="G7" s="4"/>
      <c r="H7" s="4"/>
      <c r="I7" s="4"/>
      <c r="J7" s="4"/>
      <c r="K7" s="4"/>
      <c r="L7" s="4"/>
      <c r="M7" s="4"/>
      <c r="N7" s="124"/>
      <c r="O7" s="4"/>
      <c r="P7" s="4"/>
      <c r="Q7" s="4"/>
      <c r="R7" s="4"/>
      <c r="S7" s="4"/>
    </row>
    <row r="8" spans="2:20" ht="15.75" thickBot="1" x14ac:dyDescent="0.3">
      <c r="C8" s="123"/>
      <c r="D8" s="4"/>
      <c r="E8" s="4"/>
      <c r="F8" s="4"/>
      <c r="G8" s="4"/>
      <c r="H8" s="4"/>
      <c r="I8" s="4"/>
      <c r="J8" s="4"/>
      <c r="K8" s="4"/>
      <c r="L8" s="4"/>
      <c r="M8" s="4"/>
      <c r="N8" s="124"/>
      <c r="O8" s="4"/>
      <c r="P8" s="4"/>
      <c r="Q8" s="4"/>
      <c r="R8" s="4"/>
      <c r="S8" s="4"/>
    </row>
    <row r="9" spans="2:20" ht="21.75" thickBot="1" x14ac:dyDescent="0.4">
      <c r="C9" s="123"/>
      <c r="D9" s="294" t="s">
        <v>232</v>
      </c>
      <c r="E9" s="295"/>
      <c r="F9" s="129"/>
      <c r="G9" s="130">
        <f>CALCULATIONS!D34</f>
        <v>10.71</v>
      </c>
      <c r="H9" s="131"/>
      <c r="I9" s="132">
        <f>(G9*1000)/M28+2</f>
        <v>53.407999999999994</v>
      </c>
      <c r="J9" s="296" t="s">
        <v>233</v>
      </c>
      <c r="K9" s="296"/>
      <c r="L9" s="297"/>
      <c r="M9" s="4"/>
      <c r="N9" s="124"/>
      <c r="O9" s="4"/>
      <c r="P9" s="4"/>
      <c r="Q9" s="4"/>
      <c r="R9" s="4">
        <f>FORM!I21</f>
        <v>0</v>
      </c>
      <c r="S9" s="4"/>
      <c r="T9" s="4"/>
    </row>
    <row r="10" spans="2:20" ht="21.75" thickBot="1" x14ac:dyDescent="0.4">
      <c r="C10" s="123"/>
      <c r="D10" s="294" t="s">
        <v>234</v>
      </c>
      <c r="E10" s="295"/>
      <c r="F10" s="129"/>
      <c r="G10" s="130">
        <f>IF(FORM!I18&gt;19,2,1)</f>
        <v>2</v>
      </c>
      <c r="H10" s="131"/>
      <c r="I10" s="132">
        <f>IF(G10&gt;1,G9*M29,0)</f>
        <v>2.1420000000000003</v>
      </c>
      <c r="J10" s="296" t="s">
        <v>235</v>
      </c>
      <c r="K10" s="296"/>
      <c r="L10" s="297"/>
      <c r="M10" s="4"/>
      <c r="N10" s="124"/>
      <c r="O10" s="4"/>
      <c r="P10" s="4"/>
      <c r="Q10" s="4"/>
      <c r="R10" s="4">
        <f>FORM!I23</f>
        <v>0</v>
      </c>
      <c r="S10" s="4"/>
      <c r="T10" s="4"/>
    </row>
    <row r="11" spans="2:20" ht="21.75" thickBot="1" x14ac:dyDescent="0.4">
      <c r="C11" s="123"/>
      <c r="D11" s="294" t="s">
        <v>236</v>
      </c>
      <c r="E11" s="295"/>
      <c r="F11" s="129"/>
      <c r="G11" s="130">
        <f>LARGE(R9:R12,1)</f>
        <v>0</v>
      </c>
      <c r="H11" s="131"/>
      <c r="I11" s="132">
        <f>IF(G11&gt;35,(M30*G9),0)</f>
        <v>0</v>
      </c>
      <c r="J11" s="296" t="s">
        <v>235</v>
      </c>
      <c r="K11" s="296"/>
      <c r="L11" s="297"/>
      <c r="M11" s="4"/>
      <c r="N11" s="124"/>
      <c r="O11" s="4"/>
      <c r="P11" s="4"/>
      <c r="Q11" s="4"/>
      <c r="R11" s="4">
        <f>FORM!I25</f>
        <v>0</v>
      </c>
      <c r="S11" s="4"/>
      <c r="T11" s="4"/>
    </row>
    <row r="12" spans="2:20" ht="21.75" thickBot="1" x14ac:dyDescent="0.4">
      <c r="C12" s="123"/>
      <c r="D12" s="294" t="s">
        <v>237</v>
      </c>
      <c r="E12" s="295"/>
      <c r="F12" s="129"/>
      <c r="G12" s="130"/>
      <c r="H12" s="131"/>
      <c r="I12" s="132">
        <f>IF(FORM!E17="YES",0,M31*G9)</f>
        <v>0</v>
      </c>
      <c r="J12" s="296" t="s">
        <v>235</v>
      </c>
      <c r="K12" s="296"/>
      <c r="L12" s="297"/>
      <c r="M12" s="4"/>
      <c r="N12" s="124"/>
      <c r="O12" s="4"/>
      <c r="P12" s="4"/>
      <c r="Q12" s="4"/>
      <c r="R12" s="4">
        <f>FORM!I27</f>
        <v>0</v>
      </c>
      <c r="S12" s="4"/>
      <c r="T12" s="4"/>
    </row>
    <row r="13" spans="2:20" ht="21.75" thickBot="1" x14ac:dyDescent="0.4">
      <c r="C13" s="123"/>
      <c r="D13" s="294" t="s">
        <v>238</v>
      </c>
      <c r="E13" s="295"/>
      <c r="F13" s="129"/>
      <c r="G13" s="130" t="s">
        <v>239</v>
      </c>
      <c r="H13" s="131"/>
      <c r="I13" s="132">
        <f>IF(G13="attic",M32*G9,0)</f>
        <v>2.1420000000000003</v>
      </c>
      <c r="J13" s="296" t="s">
        <v>235</v>
      </c>
      <c r="K13" s="296"/>
      <c r="L13" s="297"/>
      <c r="M13" s="4"/>
      <c r="N13" s="124"/>
      <c r="O13" s="4"/>
      <c r="Q13" s="4"/>
      <c r="R13" s="4"/>
      <c r="S13" s="4"/>
      <c r="T13" s="4"/>
    </row>
    <row r="14" spans="2:20" ht="21.75" thickBot="1" x14ac:dyDescent="0.4">
      <c r="C14" s="123"/>
      <c r="D14" s="294" t="s">
        <v>240</v>
      </c>
      <c r="E14" s="295"/>
      <c r="F14" s="129"/>
      <c r="G14" s="130">
        <f>FORM!B27</f>
        <v>1</v>
      </c>
      <c r="H14" s="131"/>
      <c r="I14" s="132">
        <f>IF(G14&gt;1,(G14*(M33*G9)),0)</f>
        <v>0</v>
      </c>
      <c r="J14" s="296" t="s">
        <v>235</v>
      </c>
      <c r="K14" s="296"/>
      <c r="L14" s="297"/>
      <c r="M14" s="4"/>
      <c r="N14" s="124"/>
      <c r="O14" s="4"/>
      <c r="Q14" s="4"/>
      <c r="R14" s="4"/>
      <c r="S14" s="4"/>
      <c r="T14" s="4"/>
    </row>
    <row r="15" spans="2:20" ht="21.75" thickBot="1" x14ac:dyDescent="0.4">
      <c r="C15" s="123"/>
      <c r="D15" s="294" t="s">
        <v>241</v>
      </c>
      <c r="E15" s="295"/>
      <c r="F15" s="129"/>
      <c r="G15" s="130">
        <v>0</v>
      </c>
      <c r="H15" s="131"/>
      <c r="I15" s="132">
        <f>G15*(M34*G9)</f>
        <v>0</v>
      </c>
      <c r="J15" s="296" t="s">
        <v>235</v>
      </c>
      <c r="K15" s="296"/>
      <c r="L15" s="297"/>
      <c r="M15" s="4"/>
      <c r="N15" s="124"/>
      <c r="O15" s="4"/>
      <c r="Q15" s="4"/>
      <c r="R15" s="4"/>
      <c r="S15" s="4"/>
      <c r="T15" s="4"/>
    </row>
    <row r="16" spans="2:20" ht="21.75" thickBot="1" x14ac:dyDescent="0.4">
      <c r="C16" s="123"/>
      <c r="D16" s="294" t="s">
        <v>242</v>
      </c>
      <c r="E16" s="295"/>
      <c r="F16" s="129"/>
      <c r="G16" s="130"/>
      <c r="H16" s="131"/>
      <c r="I16" s="132">
        <f>IF(FORM!E26="NO",M35*G9,0)</f>
        <v>0</v>
      </c>
      <c r="J16" s="296" t="s">
        <v>235</v>
      </c>
      <c r="K16" s="296"/>
      <c r="L16" s="297"/>
      <c r="M16" s="4"/>
      <c r="N16" s="124"/>
      <c r="O16" s="4"/>
      <c r="Q16" s="4"/>
      <c r="R16" s="4"/>
      <c r="S16" s="4"/>
      <c r="T16" s="4"/>
    </row>
    <row r="17" spans="3:20" ht="21.75" thickBot="1" x14ac:dyDescent="0.4">
      <c r="C17" s="123"/>
      <c r="D17" s="294" t="s">
        <v>243</v>
      </c>
      <c r="E17" s="295"/>
      <c r="F17" s="133"/>
      <c r="G17" s="130">
        <f>FORM!E21</f>
        <v>0</v>
      </c>
      <c r="H17" s="4"/>
      <c r="I17" s="134">
        <f>M36*G17</f>
        <v>0</v>
      </c>
      <c r="J17" s="296" t="s">
        <v>235</v>
      </c>
      <c r="K17" s="296"/>
      <c r="L17" s="297"/>
      <c r="M17" s="4"/>
      <c r="N17" s="124"/>
      <c r="O17" s="4"/>
      <c r="Q17" s="4"/>
      <c r="R17" s="4"/>
      <c r="S17" s="4"/>
      <c r="T17" s="4"/>
    </row>
    <row r="18" spans="3:20" ht="15.75" thickBot="1" x14ac:dyDescent="0.3">
      <c r="C18" s="135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7"/>
      <c r="O18" s="4"/>
      <c r="Q18" s="4"/>
      <c r="R18" s="4"/>
      <c r="S18" s="4"/>
      <c r="T18" s="4"/>
    </row>
    <row r="19" spans="3:20" x14ac:dyDescent="0.25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Q19" s="4"/>
      <c r="R19" s="4"/>
      <c r="S19" s="4"/>
      <c r="T19" s="4"/>
    </row>
    <row r="20" spans="3:20" x14ac:dyDescent="0.25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Q20" s="4"/>
      <c r="R20" s="4"/>
      <c r="S20" s="4"/>
      <c r="T20" s="4"/>
    </row>
    <row r="21" spans="3:20" x14ac:dyDescent="0.25">
      <c r="S21" s="4"/>
      <c r="T21" s="4"/>
    </row>
    <row r="24" spans="3:20" x14ac:dyDescent="0.25">
      <c r="D24" s="119" t="s">
        <v>244</v>
      </c>
    </row>
    <row r="25" spans="3:20" x14ac:dyDescent="0.25">
      <c r="D25" s="119" t="s">
        <v>245</v>
      </c>
    </row>
    <row r="28" spans="3:20" x14ac:dyDescent="0.25">
      <c r="D28" s="119" t="s">
        <v>246</v>
      </c>
      <c r="G28" s="119">
        <v>48</v>
      </c>
      <c r="H28" s="94" t="s">
        <v>247</v>
      </c>
      <c r="I28" s="94"/>
      <c r="J28" s="94"/>
      <c r="K28" s="94"/>
      <c r="M28" s="138">
        <f>10000/G28</f>
        <v>208.33333333333334</v>
      </c>
      <c r="N28" s="119" t="s">
        <v>248</v>
      </c>
    </row>
    <row r="29" spans="3:20" x14ac:dyDescent="0.25">
      <c r="D29" s="119" t="s">
        <v>249</v>
      </c>
      <c r="G29" s="119">
        <v>2</v>
      </c>
      <c r="H29" s="94" t="s">
        <v>250</v>
      </c>
      <c r="I29" s="94"/>
      <c r="J29" s="94"/>
      <c r="K29" s="94"/>
      <c r="M29" s="139">
        <f t="shared" ref="M29:M35" si="0">G29/10</f>
        <v>0.2</v>
      </c>
      <c r="N29" s="119" t="s">
        <v>251</v>
      </c>
    </row>
    <row r="30" spans="3:20" x14ac:dyDescent="0.25">
      <c r="D30" s="119" t="s">
        <v>252</v>
      </c>
      <c r="G30" s="119">
        <v>12</v>
      </c>
      <c r="H30" s="94" t="s">
        <v>253</v>
      </c>
      <c r="I30" s="94"/>
      <c r="J30" s="94"/>
      <c r="K30" s="94"/>
      <c r="M30" s="139">
        <f t="shared" si="0"/>
        <v>1.2</v>
      </c>
      <c r="N30" s="119" t="s">
        <v>254</v>
      </c>
    </row>
    <row r="31" spans="3:20" x14ac:dyDescent="0.25">
      <c r="D31" s="119" t="s">
        <v>255</v>
      </c>
      <c r="G31" s="119">
        <v>2</v>
      </c>
      <c r="H31" s="94" t="s">
        <v>256</v>
      </c>
      <c r="I31" s="94"/>
      <c r="J31" s="94"/>
      <c r="K31" s="94"/>
      <c r="M31" s="139">
        <f t="shared" si="0"/>
        <v>0.2</v>
      </c>
      <c r="N31" s="119" t="s">
        <v>257</v>
      </c>
    </row>
    <row r="32" spans="3:20" x14ac:dyDescent="0.25">
      <c r="D32" s="119" t="s">
        <v>258</v>
      </c>
      <c r="G32" s="119">
        <v>2</v>
      </c>
      <c r="H32" s="94" t="s">
        <v>256</v>
      </c>
      <c r="I32" s="94"/>
      <c r="J32" s="94"/>
      <c r="K32" s="94"/>
      <c r="M32" s="139">
        <f t="shared" si="0"/>
        <v>0.2</v>
      </c>
      <c r="N32" s="119" t="s">
        <v>257</v>
      </c>
    </row>
    <row r="33" spans="4:14" x14ac:dyDescent="0.25">
      <c r="D33" s="119" t="s">
        <v>259</v>
      </c>
      <c r="G33" s="119">
        <v>1</v>
      </c>
      <c r="H33" s="94" t="s">
        <v>260</v>
      </c>
      <c r="I33" s="94"/>
      <c r="J33" s="94"/>
      <c r="K33" s="94"/>
      <c r="M33" s="139">
        <f t="shared" si="0"/>
        <v>0.1</v>
      </c>
      <c r="N33" s="119" t="s">
        <v>261</v>
      </c>
    </row>
    <row r="34" spans="4:14" x14ac:dyDescent="0.25">
      <c r="D34" s="119" t="s">
        <v>262</v>
      </c>
      <c r="G34" s="119">
        <v>1</v>
      </c>
      <c r="H34" s="94" t="s">
        <v>263</v>
      </c>
      <c r="I34" s="94"/>
      <c r="J34" s="94"/>
      <c r="K34" s="94"/>
      <c r="M34" s="139">
        <f t="shared" si="0"/>
        <v>0.1</v>
      </c>
      <c r="N34" s="119" t="s">
        <v>264</v>
      </c>
    </row>
    <row r="35" spans="4:14" x14ac:dyDescent="0.25">
      <c r="D35" s="119" t="s">
        <v>265</v>
      </c>
      <c r="G35" s="119">
        <v>32</v>
      </c>
      <c r="H35" s="94" t="s">
        <v>256</v>
      </c>
      <c r="I35" s="94"/>
      <c r="J35" s="94"/>
      <c r="K35" s="94"/>
      <c r="M35" s="139">
        <f t="shared" si="0"/>
        <v>3.2</v>
      </c>
      <c r="N35" s="119" t="s">
        <v>257</v>
      </c>
    </row>
    <row r="36" spans="4:14" x14ac:dyDescent="0.25">
      <c r="D36" s="119" t="s">
        <v>243</v>
      </c>
      <c r="G36" s="119">
        <v>8.3000000000000004E-2</v>
      </c>
      <c r="H36" s="94" t="s">
        <v>266</v>
      </c>
      <c r="M36" s="139">
        <f>G36</f>
        <v>8.3000000000000004E-2</v>
      </c>
      <c r="N36" s="119" t="s">
        <v>266</v>
      </c>
    </row>
  </sheetData>
  <mergeCells count="22">
    <mergeCell ref="E4:G4"/>
    <mergeCell ref="J4:M4"/>
    <mergeCell ref="J5:M5"/>
    <mergeCell ref="J6:M6"/>
    <mergeCell ref="D9:E9"/>
    <mergeCell ref="J9:L9"/>
    <mergeCell ref="D10:E10"/>
    <mergeCell ref="J10:L10"/>
    <mergeCell ref="D11:E11"/>
    <mergeCell ref="J11:L11"/>
    <mergeCell ref="D12:E12"/>
    <mergeCell ref="J12:L12"/>
    <mergeCell ref="D16:E16"/>
    <mergeCell ref="J16:L16"/>
    <mergeCell ref="D17:E17"/>
    <mergeCell ref="J17:L17"/>
    <mergeCell ref="D13:E13"/>
    <mergeCell ref="J13:L13"/>
    <mergeCell ref="D14:E14"/>
    <mergeCell ref="J14:L14"/>
    <mergeCell ref="D15:E15"/>
    <mergeCell ref="J15:L15"/>
  </mergeCells>
  <dataValidations count="3">
    <dataValidation type="list" allowBlank="1" showInputMessage="1" showErrorMessage="1" sqref="G16">
      <formula1>"yes,no"</formula1>
    </dataValidation>
    <dataValidation type="list" allowBlank="1" showInputMessage="1" showErrorMessage="1" sqref="G13">
      <formula1>"attic, outside"</formula1>
    </dataValidation>
    <dataValidation type="list" allowBlank="1" showInputMessage="1" showErrorMessage="1" sqref="G12">
      <formula1>"inside,outside"</formula1>
    </dataValidation>
  </dataValidations>
  <pageMargins left="0.7" right="0.7" top="0.75" bottom="0.75" header="0.3" footer="0.3"/>
  <pageSetup scale="74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6"/>
  <sheetViews>
    <sheetView topLeftCell="AJ1" workbookViewId="0">
      <selection activeCell="AR3" sqref="AR3:AR43"/>
    </sheetView>
  </sheetViews>
  <sheetFormatPr defaultRowHeight="15" x14ac:dyDescent="0.25"/>
  <cols>
    <col min="1" max="1" width="18.140625" customWidth="1"/>
    <col min="5" max="5" width="18.42578125" bestFit="1" customWidth="1"/>
    <col min="9" max="9" width="18.42578125" bestFit="1" customWidth="1"/>
    <col min="13" max="13" width="18.42578125" bestFit="1" customWidth="1"/>
    <col min="17" max="17" width="18.42578125" bestFit="1" customWidth="1"/>
    <col min="21" max="21" width="18.42578125" bestFit="1" customWidth="1"/>
    <col min="25" max="25" width="18.42578125" bestFit="1" customWidth="1"/>
    <col min="29" max="29" width="18.42578125" bestFit="1" customWidth="1"/>
    <col min="33" max="33" width="18.42578125" bestFit="1" customWidth="1"/>
    <col min="37" max="37" width="18.42578125" bestFit="1" customWidth="1"/>
    <col min="41" max="41" width="18.42578125" bestFit="1" customWidth="1"/>
    <col min="45" max="45" width="18.42578125" bestFit="1" customWidth="1"/>
    <col min="49" max="49" width="18.42578125" bestFit="1" customWidth="1"/>
    <col min="53" max="53" width="18.42578125" bestFit="1" customWidth="1"/>
    <col min="57" max="57" width="18.42578125" bestFit="1" customWidth="1"/>
  </cols>
  <sheetData>
    <row r="1" spans="1:60" ht="15.75" thickBot="1" x14ac:dyDescent="0.3">
      <c r="A1" s="303" t="s">
        <v>141</v>
      </c>
      <c r="B1" s="303"/>
      <c r="C1" s="303"/>
      <c r="D1" s="303"/>
      <c r="E1" s="303" t="s">
        <v>397</v>
      </c>
      <c r="F1" s="303"/>
      <c r="G1" s="303"/>
      <c r="H1" s="303"/>
      <c r="I1" s="303" t="s">
        <v>398</v>
      </c>
      <c r="J1" s="303"/>
      <c r="K1" s="303"/>
      <c r="L1" s="303"/>
      <c r="M1" s="303" t="s">
        <v>399</v>
      </c>
      <c r="N1" s="303"/>
      <c r="O1" s="303"/>
      <c r="P1" s="303"/>
      <c r="Q1" s="304" t="s">
        <v>400</v>
      </c>
      <c r="R1" s="305"/>
      <c r="S1" s="305"/>
      <c r="T1" s="306"/>
      <c r="U1" s="303" t="s">
        <v>401</v>
      </c>
      <c r="V1" s="303"/>
      <c r="W1" s="303"/>
      <c r="X1" s="303"/>
      <c r="Y1" s="303" t="s">
        <v>402</v>
      </c>
      <c r="Z1" s="303"/>
      <c r="AA1" s="303"/>
      <c r="AB1" s="303"/>
      <c r="AC1" s="303" t="s">
        <v>403</v>
      </c>
      <c r="AD1" s="303"/>
      <c r="AE1" s="303"/>
      <c r="AF1" s="303"/>
      <c r="AG1" s="304" t="s">
        <v>404</v>
      </c>
      <c r="AH1" s="305"/>
      <c r="AI1" s="305"/>
      <c r="AJ1" s="306"/>
      <c r="AK1" s="304" t="s">
        <v>405</v>
      </c>
      <c r="AL1" s="305"/>
      <c r="AM1" s="305"/>
      <c r="AN1" s="306"/>
      <c r="AO1" s="303" t="s">
        <v>406</v>
      </c>
      <c r="AP1" s="303"/>
      <c r="AQ1" s="303"/>
      <c r="AR1" s="303"/>
      <c r="AS1" s="303" t="s">
        <v>407</v>
      </c>
      <c r="AT1" s="303"/>
      <c r="AU1" s="303"/>
      <c r="AV1" s="303"/>
      <c r="AW1" s="303" t="s">
        <v>408</v>
      </c>
      <c r="AX1" s="303"/>
      <c r="AY1" s="303"/>
      <c r="AZ1" s="303"/>
      <c r="BA1" s="303" t="s">
        <v>409</v>
      </c>
      <c r="BB1" s="303"/>
      <c r="BC1" s="303"/>
      <c r="BD1" s="303"/>
      <c r="BE1" s="303" t="s">
        <v>410</v>
      </c>
      <c r="BF1" s="303"/>
      <c r="BG1" s="303"/>
      <c r="BH1" s="303"/>
    </row>
    <row r="2" spans="1:60" ht="16.5" thickTop="1" thickBot="1" x14ac:dyDescent="0.3">
      <c r="A2" s="212" t="s">
        <v>411</v>
      </c>
      <c r="B2" s="213" t="s">
        <v>412</v>
      </c>
      <c r="C2" s="213" t="s">
        <v>413</v>
      </c>
      <c r="D2" s="214" t="s">
        <v>414</v>
      </c>
      <c r="E2" s="215" t="s">
        <v>411</v>
      </c>
      <c r="F2" s="213" t="s">
        <v>412</v>
      </c>
      <c r="G2" s="213" t="s">
        <v>413</v>
      </c>
      <c r="H2" s="214" t="s">
        <v>414</v>
      </c>
      <c r="I2" s="212" t="s">
        <v>411</v>
      </c>
      <c r="J2" s="213" t="s">
        <v>412</v>
      </c>
      <c r="K2" s="213" t="s">
        <v>413</v>
      </c>
      <c r="L2" s="214" t="s">
        <v>414</v>
      </c>
      <c r="M2" s="212" t="s">
        <v>411</v>
      </c>
      <c r="N2" s="213" t="s">
        <v>412</v>
      </c>
      <c r="O2" s="213" t="s">
        <v>413</v>
      </c>
      <c r="P2" s="214" t="s">
        <v>414</v>
      </c>
      <c r="Q2" s="212" t="s">
        <v>411</v>
      </c>
      <c r="R2" s="213" t="s">
        <v>412</v>
      </c>
      <c r="S2" s="213" t="s">
        <v>413</v>
      </c>
      <c r="T2" s="214" t="s">
        <v>414</v>
      </c>
      <c r="U2" s="212" t="s">
        <v>411</v>
      </c>
      <c r="V2" s="213" t="s">
        <v>412</v>
      </c>
      <c r="W2" s="213" t="s">
        <v>413</v>
      </c>
      <c r="X2" s="214" t="s">
        <v>414</v>
      </c>
      <c r="Y2" s="215" t="s">
        <v>411</v>
      </c>
      <c r="Z2" s="213" t="s">
        <v>412</v>
      </c>
      <c r="AA2" s="213" t="s">
        <v>413</v>
      </c>
      <c r="AB2" s="214" t="s">
        <v>414</v>
      </c>
      <c r="AC2" s="212" t="s">
        <v>411</v>
      </c>
      <c r="AD2" s="213" t="s">
        <v>412</v>
      </c>
      <c r="AE2" s="213" t="s">
        <v>413</v>
      </c>
      <c r="AF2" s="214" t="s">
        <v>414</v>
      </c>
      <c r="AG2" s="212" t="s">
        <v>411</v>
      </c>
      <c r="AH2" s="213" t="s">
        <v>412</v>
      </c>
      <c r="AI2" s="213" t="s">
        <v>413</v>
      </c>
      <c r="AJ2" s="214" t="s">
        <v>414</v>
      </c>
      <c r="AK2" s="212" t="s">
        <v>411</v>
      </c>
      <c r="AL2" s="213" t="s">
        <v>412</v>
      </c>
      <c r="AM2" s="213" t="s">
        <v>413</v>
      </c>
      <c r="AN2" s="214" t="s">
        <v>414</v>
      </c>
      <c r="AO2" s="212" t="s">
        <v>411</v>
      </c>
      <c r="AP2" s="213" t="s">
        <v>412</v>
      </c>
      <c r="AQ2" s="213" t="s">
        <v>413</v>
      </c>
      <c r="AR2" s="214" t="s">
        <v>414</v>
      </c>
      <c r="AS2" s="212" t="s">
        <v>411</v>
      </c>
      <c r="AT2" s="213" t="s">
        <v>412</v>
      </c>
      <c r="AU2" s="213" t="s">
        <v>413</v>
      </c>
      <c r="AV2" s="214" t="s">
        <v>414</v>
      </c>
      <c r="AW2" s="212" t="s">
        <v>411</v>
      </c>
      <c r="AX2" s="213" t="s">
        <v>412</v>
      </c>
      <c r="AY2" s="213" t="s">
        <v>413</v>
      </c>
      <c r="AZ2" s="214" t="s">
        <v>414</v>
      </c>
      <c r="BA2" s="212" t="s">
        <v>411</v>
      </c>
      <c r="BB2" s="213" t="s">
        <v>412</v>
      </c>
      <c r="BC2" s="213" t="s">
        <v>413</v>
      </c>
      <c r="BD2" s="214" t="s">
        <v>414</v>
      </c>
      <c r="BE2" s="212" t="s">
        <v>411</v>
      </c>
      <c r="BF2" s="213" t="s">
        <v>412</v>
      </c>
      <c r="BG2" s="213" t="s">
        <v>413</v>
      </c>
      <c r="BH2" s="214" t="s">
        <v>414</v>
      </c>
    </row>
    <row r="3" spans="1:60" ht="15.75" thickTop="1" x14ac:dyDescent="0.25">
      <c r="A3" s="216" t="s">
        <v>396</v>
      </c>
      <c r="B3" s="217">
        <v>36</v>
      </c>
      <c r="C3" s="217">
        <v>37</v>
      </c>
      <c r="D3" s="218">
        <v>223</v>
      </c>
      <c r="E3" s="219"/>
      <c r="F3" s="217"/>
      <c r="G3" s="217"/>
      <c r="H3" s="220"/>
      <c r="I3" s="219"/>
      <c r="J3" s="217"/>
      <c r="K3" s="217"/>
      <c r="L3" s="220"/>
      <c r="M3" s="219"/>
      <c r="N3" s="217"/>
      <c r="O3" s="217"/>
      <c r="P3" s="220"/>
      <c r="Q3" s="219"/>
      <c r="R3" s="217"/>
      <c r="S3" s="217"/>
      <c r="T3" s="220"/>
      <c r="U3" s="219" t="s">
        <v>396</v>
      </c>
      <c r="V3" s="217">
        <v>34</v>
      </c>
      <c r="W3" s="217">
        <v>37</v>
      </c>
      <c r="X3" s="218">
        <v>223</v>
      </c>
      <c r="Y3" s="219"/>
      <c r="Z3" s="217"/>
      <c r="AA3" s="217"/>
      <c r="AB3" s="220"/>
      <c r="AC3" s="219"/>
      <c r="AD3" s="217"/>
      <c r="AE3" s="217"/>
      <c r="AF3" s="220"/>
      <c r="AG3" s="219"/>
      <c r="AH3" s="217"/>
      <c r="AI3" s="217"/>
      <c r="AJ3" s="220"/>
      <c r="AK3" s="219"/>
      <c r="AL3" s="217"/>
      <c r="AM3" s="217"/>
      <c r="AN3" s="220"/>
      <c r="AO3" s="219" t="s">
        <v>396</v>
      </c>
      <c r="AP3" s="217">
        <v>34</v>
      </c>
      <c r="AQ3" s="217">
        <v>37</v>
      </c>
      <c r="AR3" s="220">
        <v>223</v>
      </c>
      <c r="AS3" s="219"/>
      <c r="AT3" s="217"/>
      <c r="AU3" s="217"/>
      <c r="AV3" s="220"/>
      <c r="AW3" s="219"/>
      <c r="AX3" s="217"/>
      <c r="AY3" s="217"/>
      <c r="AZ3" s="220"/>
      <c r="BA3" s="219"/>
      <c r="BB3" s="217"/>
      <c r="BC3" s="217"/>
      <c r="BD3" s="220"/>
      <c r="BE3" s="219"/>
      <c r="BF3" s="217"/>
      <c r="BG3" s="217"/>
      <c r="BH3" s="220"/>
    </row>
    <row r="4" spans="1:60" x14ac:dyDescent="0.25">
      <c r="A4" s="216" t="s">
        <v>374</v>
      </c>
      <c r="B4" s="221">
        <v>0</v>
      </c>
      <c r="C4" s="221">
        <v>37</v>
      </c>
      <c r="D4" s="222">
        <v>43</v>
      </c>
      <c r="E4" s="219"/>
      <c r="F4" s="221"/>
      <c r="G4" s="221"/>
      <c r="H4" s="222"/>
      <c r="I4" s="219"/>
      <c r="J4" s="221"/>
      <c r="K4" s="221"/>
      <c r="L4" s="222"/>
      <c r="M4" s="219"/>
      <c r="N4" s="221"/>
      <c r="O4" s="221"/>
      <c r="P4" s="222"/>
      <c r="Q4" s="219"/>
      <c r="R4" s="221"/>
      <c r="S4" s="221"/>
      <c r="T4" s="222"/>
      <c r="U4" s="219" t="s">
        <v>374</v>
      </c>
      <c r="V4" s="221">
        <v>0</v>
      </c>
      <c r="W4" s="221">
        <v>37</v>
      </c>
      <c r="X4" s="222">
        <v>43</v>
      </c>
      <c r="Y4" s="219"/>
      <c r="Z4" s="221"/>
      <c r="AA4" s="221"/>
      <c r="AB4" s="222"/>
      <c r="AC4" s="219"/>
      <c r="AD4" s="221"/>
      <c r="AE4" s="221"/>
      <c r="AF4" s="222"/>
      <c r="AG4" s="219"/>
      <c r="AH4" s="221"/>
      <c r="AI4" s="221"/>
      <c r="AJ4" s="222"/>
      <c r="AK4" s="219"/>
      <c r="AL4" s="221"/>
      <c r="AM4" s="221"/>
      <c r="AN4" s="222"/>
      <c r="AO4" s="219" t="s">
        <v>374</v>
      </c>
      <c r="AP4" s="221">
        <v>0</v>
      </c>
      <c r="AQ4" s="221">
        <v>37</v>
      </c>
      <c r="AR4" s="222">
        <v>43</v>
      </c>
      <c r="AS4" s="219"/>
      <c r="AT4" s="221"/>
      <c r="AU4" s="221"/>
      <c r="AV4" s="222"/>
      <c r="AW4" s="219"/>
      <c r="AX4" s="221"/>
      <c r="AY4" s="221"/>
      <c r="AZ4" s="222"/>
      <c r="BA4" s="219"/>
      <c r="BB4" s="221"/>
      <c r="BC4" s="221"/>
      <c r="BD4" s="222"/>
      <c r="BE4" s="219"/>
      <c r="BF4" s="221"/>
      <c r="BG4" s="221"/>
      <c r="BH4" s="222"/>
    </row>
    <row r="5" spans="1:60" x14ac:dyDescent="0.25">
      <c r="A5" s="216" t="s">
        <v>375</v>
      </c>
      <c r="B5" s="221">
        <v>0</v>
      </c>
      <c r="C5" s="221">
        <v>37</v>
      </c>
      <c r="D5" s="222">
        <v>223</v>
      </c>
      <c r="E5" s="219"/>
      <c r="F5" s="221"/>
      <c r="G5" s="221"/>
      <c r="H5" s="222"/>
      <c r="I5" s="219"/>
      <c r="J5" s="221"/>
      <c r="K5" s="221"/>
      <c r="L5" s="222"/>
      <c r="M5" s="219"/>
      <c r="N5" s="221"/>
      <c r="O5" s="221"/>
      <c r="P5" s="222"/>
      <c r="Q5" s="219"/>
      <c r="R5" s="221"/>
      <c r="S5" s="221"/>
      <c r="T5" s="222"/>
      <c r="U5" s="219" t="s">
        <v>375</v>
      </c>
      <c r="V5" s="221">
        <v>0</v>
      </c>
      <c r="W5" s="221">
        <v>37</v>
      </c>
      <c r="X5" s="222">
        <v>223</v>
      </c>
      <c r="Y5" s="219"/>
      <c r="Z5" s="221"/>
      <c r="AA5" s="221"/>
      <c r="AB5" s="222"/>
      <c r="AC5" s="219"/>
      <c r="AD5" s="221"/>
      <c r="AE5" s="221"/>
      <c r="AF5" s="222"/>
      <c r="AG5" s="219"/>
      <c r="AH5" s="221"/>
      <c r="AI5" s="221"/>
      <c r="AJ5" s="222"/>
      <c r="AK5" s="219"/>
      <c r="AL5" s="221"/>
      <c r="AM5" s="221"/>
      <c r="AN5" s="222"/>
      <c r="AO5" s="219" t="s">
        <v>375</v>
      </c>
      <c r="AP5" s="221">
        <v>0</v>
      </c>
      <c r="AQ5" s="221">
        <v>37</v>
      </c>
      <c r="AR5" s="222">
        <v>223</v>
      </c>
      <c r="AS5" s="219"/>
      <c r="AT5" s="221"/>
      <c r="AU5" s="221"/>
      <c r="AV5" s="222"/>
      <c r="AW5" s="219"/>
      <c r="AX5" s="221"/>
      <c r="AY5" s="221"/>
      <c r="AZ5" s="222"/>
      <c r="BA5" s="219"/>
      <c r="BB5" s="221"/>
      <c r="BC5" s="221"/>
      <c r="BD5" s="222"/>
      <c r="BE5" s="219"/>
      <c r="BF5" s="221"/>
      <c r="BG5" s="221"/>
      <c r="BH5" s="222"/>
    </row>
    <row r="6" spans="1:60" x14ac:dyDescent="0.25">
      <c r="A6" s="216" t="s">
        <v>394</v>
      </c>
      <c r="B6" s="221">
        <v>0</v>
      </c>
      <c r="C6" s="221">
        <v>37</v>
      </c>
      <c r="D6" s="222">
        <v>43</v>
      </c>
      <c r="E6" s="219"/>
      <c r="F6" s="221"/>
      <c r="G6" s="221"/>
      <c r="H6" s="222"/>
      <c r="I6" s="219"/>
      <c r="J6" s="221"/>
      <c r="K6" s="221"/>
      <c r="L6" s="222"/>
      <c r="M6" s="219"/>
      <c r="N6" s="221"/>
      <c r="O6" s="221"/>
      <c r="P6" s="222"/>
      <c r="Q6" s="219"/>
      <c r="R6" s="221"/>
      <c r="S6" s="221"/>
      <c r="T6" s="222"/>
      <c r="U6" s="219" t="s">
        <v>394</v>
      </c>
      <c r="V6" s="221">
        <v>0</v>
      </c>
      <c r="W6" s="221">
        <v>37</v>
      </c>
      <c r="X6" s="222">
        <v>43</v>
      </c>
      <c r="Y6" s="219"/>
      <c r="Z6" s="221"/>
      <c r="AA6" s="221"/>
      <c r="AB6" s="222"/>
      <c r="AC6" s="219"/>
      <c r="AD6" s="221"/>
      <c r="AE6" s="221"/>
      <c r="AF6" s="222"/>
      <c r="AG6" s="219"/>
      <c r="AH6" s="221"/>
      <c r="AI6" s="221"/>
      <c r="AJ6" s="222"/>
      <c r="AK6" s="219"/>
      <c r="AL6" s="221"/>
      <c r="AM6" s="221"/>
      <c r="AN6" s="222"/>
      <c r="AO6" s="219" t="s">
        <v>394</v>
      </c>
      <c r="AP6" s="221">
        <v>0</v>
      </c>
      <c r="AQ6" s="221">
        <v>37</v>
      </c>
      <c r="AR6" s="222">
        <v>43</v>
      </c>
      <c r="AS6" s="219"/>
      <c r="AT6" s="221"/>
      <c r="AU6" s="221"/>
      <c r="AV6" s="222"/>
      <c r="AW6" s="219"/>
      <c r="AX6" s="221"/>
      <c r="AY6" s="221"/>
      <c r="AZ6" s="222"/>
      <c r="BA6" s="219"/>
      <c r="BB6" s="221"/>
      <c r="BC6" s="221"/>
      <c r="BD6" s="222"/>
      <c r="BE6" s="219"/>
      <c r="BF6" s="221"/>
      <c r="BG6" s="221"/>
      <c r="BH6" s="222"/>
    </row>
    <row r="7" spans="1:60" x14ac:dyDescent="0.25">
      <c r="A7" s="216" t="s">
        <v>415</v>
      </c>
      <c r="B7" s="221">
        <v>0</v>
      </c>
      <c r="C7" s="221">
        <v>37</v>
      </c>
      <c r="D7" s="222">
        <v>43</v>
      </c>
      <c r="E7" s="219"/>
      <c r="F7" s="221"/>
      <c r="G7" s="221"/>
      <c r="H7" s="222"/>
      <c r="I7" s="219"/>
      <c r="J7" s="221"/>
      <c r="K7" s="221"/>
      <c r="L7" s="222"/>
      <c r="M7" s="219"/>
      <c r="N7" s="221"/>
      <c r="O7" s="221"/>
      <c r="P7" s="222"/>
      <c r="Q7" s="219"/>
      <c r="R7" s="221"/>
      <c r="S7" s="221"/>
      <c r="T7" s="222"/>
      <c r="U7" s="219" t="s">
        <v>415</v>
      </c>
      <c r="V7" s="221">
        <v>0</v>
      </c>
      <c r="W7" s="221">
        <v>37</v>
      </c>
      <c r="X7" s="222">
        <v>43</v>
      </c>
      <c r="Y7" s="219"/>
      <c r="Z7" s="221"/>
      <c r="AA7" s="221"/>
      <c r="AB7" s="222"/>
      <c r="AC7" s="219"/>
      <c r="AD7" s="221"/>
      <c r="AE7" s="221"/>
      <c r="AF7" s="222"/>
      <c r="AG7" s="219"/>
      <c r="AH7" s="221"/>
      <c r="AI7" s="221"/>
      <c r="AJ7" s="222"/>
      <c r="AK7" s="219"/>
      <c r="AL7" s="221"/>
      <c r="AM7" s="221"/>
      <c r="AN7" s="222"/>
      <c r="AO7" s="219" t="s">
        <v>415</v>
      </c>
      <c r="AP7" s="221">
        <v>0</v>
      </c>
      <c r="AQ7" s="221">
        <v>37</v>
      </c>
      <c r="AR7" s="222">
        <v>43</v>
      </c>
      <c r="AS7" s="219"/>
      <c r="AT7" s="221"/>
      <c r="AU7" s="221"/>
      <c r="AV7" s="222"/>
      <c r="AW7" s="219"/>
      <c r="AX7" s="221"/>
      <c r="AY7" s="221"/>
      <c r="AZ7" s="222"/>
      <c r="BA7" s="219"/>
      <c r="BB7" s="221"/>
      <c r="BC7" s="221"/>
      <c r="BD7" s="222"/>
      <c r="BE7" s="219"/>
      <c r="BF7" s="221"/>
      <c r="BG7" s="221"/>
      <c r="BH7" s="222"/>
    </row>
    <row r="8" spans="1:60" x14ac:dyDescent="0.25">
      <c r="A8" s="216" t="s">
        <v>373</v>
      </c>
      <c r="B8" s="221">
        <v>0</v>
      </c>
      <c r="C8" s="221">
        <v>5</v>
      </c>
      <c r="D8" s="222">
        <v>223</v>
      </c>
      <c r="E8" s="219"/>
      <c r="F8" s="221"/>
      <c r="G8" s="221"/>
      <c r="H8" s="222"/>
      <c r="I8" s="219"/>
      <c r="J8" s="221"/>
      <c r="K8" s="221"/>
      <c r="L8" s="222"/>
      <c r="M8" s="219"/>
      <c r="N8" s="221"/>
      <c r="O8" s="221"/>
      <c r="P8" s="222"/>
      <c r="Q8" s="219"/>
      <c r="R8" s="221"/>
      <c r="S8" s="221"/>
      <c r="T8" s="222"/>
      <c r="U8" s="219" t="s">
        <v>373</v>
      </c>
      <c r="V8" s="221">
        <v>0</v>
      </c>
      <c r="W8" s="221">
        <v>5</v>
      </c>
      <c r="X8" s="222">
        <v>223</v>
      </c>
      <c r="Y8" s="219"/>
      <c r="Z8" s="221"/>
      <c r="AA8" s="221"/>
      <c r="AB8" s="222"/>
      <c r="AC8" s="219"/>
      <c r="AD8" s="221"/>
      <c r="AE8" s="221"/>
      <c r="AF8" s="222"/>
      <c r="AG8" s="219"/>
      <c r="AH8" s="221"/>
      <c r="AI8" s="221"/>
      <c r="AJ8" s="222"/>
      <c r="AK8" s="219"/>
      <c r="AL8" s="221"/>
      <c r="AM8" s="221"/>
      <c r="AN8" s="222"/>
      <c r="AO8" s="219" t="s">
        <v>373</v>
      </c>
      <c r="AP8" s="221">
        <v>0</v>
      </c>
      <c r="AQ8" s="221">
        <v>5</v>
      </c>
      <c r="AR8" s="222">
        <v>223</v>
      </c>
      <c r="AS8" s="219"/>
      <c r="AT8" s="221"/>
      <c r="AU8" s="221"/>
      <c r="AV8" s="222"/>
      <c r="AW8" s="219"/>
      <c r="AX8" s="221"/>
      <c r="AY8" s="221"/>
      <c r="AZ8" s="222"/>
      <c r="BA8" s="219"/>
      <c r="BB8" s="221"/>
      <c r="BC8" s="221"/>
      <c r="BD8" s="222"/>
      <c r="BE8" s="219"/>
      <c r="BF8" s="221"/>
      <c r="BG8" s="221"/>
      <c r="BH8" s="222"/>
    </row>
    <row r="9" spans="1:60" x14ac:dyDescent="0.25">
      <c r="A9" s="216" t="s">
        <v>454</v>
      </c>
      <c r="B9" s="221">
        <v>0</v>
      </c>
      <c r="C9" s="221">
        <v>37</v>
      </c>
      <c r="D9" s="222">
        <v>218</v>
      </c>
      <c r="E9" s="219"/>
      <c r="F9" s="221"/>
      <c r="G9" s="221"/>
      <c r="H9" s="222"/>
      <c r="I9" s="219"/>
      <c r="J9" s="221"/>
      <c r="K9" s="221"/>
      <c r="L9" s="222"/>
      <c r="M9" s="219"/>
      <c r="N9" s="221"/>
      <c r="O9" s="221"/>
      <c r="P9" s="222"/>
      <c r="Q9" s="219"/>
      <c r="R9" s="221"/>
      <c r="S9" s="221"/>
      <c r="T9" s="222"/>
      <c r="U9" s="219" t="s">
        <v>454</v>
      </c>
      <c r="V9" s="221">
        <v>0</v>
      </c>
      <c r="W9" s="221">
        <v>37</v>
      </c>
      <c r="X9" s="222">
        <v>218</v>
      </c>
      <c r="Y9" s="219"/>
      <c r="Z9" s="221"/>
      <c r="AA9" s="221"/>
      <c r="AB9" s="222"/>
      <c r="AC9" s="219"/>
      <c r="AD9" s="221"/>
      <c r="AE9" s="221"/>
      <c r="AF9" s="222"/>
      <c r="AG9" s="219"/>
      <c r="AH9" s="221"/>
      <c r="AI9" s="221"/>
      <c r="AJ9" s="222"/>
      <c r="AK9" s="219"/>
      <c r="AL9" s="221"/>
      <c r="AM9" s="221"/>
      <c r="AN9" s="222"/>
      <c r="AO9" s="219" t="s">
        <v>454</v>
      </c>
      <c r="AP9" s="221">
        <v>0</v>
      </c>
      <c r="AQ9" s="221">
        <v>37</v>
      </c>
      <c r="AR9" s="222">
        <v>218</v>
      </c>
      <c r="AS9" s="219"/>
      <c r="AT9" s="221"/>
      <c r="AU9" s="221"/>
      <c r="AV9" s="222"/>
      <c r="AW9" s="219"/>
      <c r="AX9" s="221"/>
      <c r="AY9" s="221"/>
      <c r="AZ9" s="222"/>
      <c r="BA9" s="219"/>
      <c r="BB9" s="221"/>
      <c r="BC9" s="221"/>
      <c r="BD9" s="222"/>
      <c r="BE9" s="219"/>
      <c r="BF9" s="221"/>
      <c r="BG9" s="221"/>
      <c r="BH9" s="222"/>
    </row>
    <row r="10" spans="1:60" x14ac:dyDescent="0.25">
      <c r="A10" s="216" t="s">
        <v>453</v>
      </c>
      <c r="B10" s="221">
        <v>0</v>
      </c>
      <c r="C10" s="221">
        <v>37</v>
      </c>
      <c r="D10" s="222">
        <v>38</v>
      </c>
      <c r="E10" s="219"/>
      <c r="F10" s="221"/>
      <c r="G10" s="221"/>
      <c r="H10" s="222"/>
      <c r="I10" s="219"/>
      <c r="J10" s="221"/>
      <c r="K10" s="221"/>
      <c r="L10" s="222"/>
      <c r="M10" s="219"/>
      <c r="N10" s="221"/>
      <c r="O10" s="221"/>
      <c r="P10" s="222"/>
      <c r="Q10" s="219"/>
      <c r="R10" s="221"/>
      <c r="S10" s="221"/>
      <c r="T10" s="222"/>
      <c r="U10" s="219" t="s">
        <v>453</v>
      </c>
      <c r="V10" s="221">
        <v>0</v>
      </c>
      <c r="W10" s="221">
        <v>37</v>
      </c>
      <c r="X10" s="222">
        <v>38</v>
      </c>
      <c r="Y10" s="219"/>
      <c r="Z10" s="221"/>
      <c r="AA10" s="221"/>
      <c r="AB10" s="222"/>
      <c r="AC10" s="219"/>
      <c r="AD10" s="221"/>
      <c r="AE10" s="221"/>
      <c r="AF10" s="222"/>
      <c r="AG10" s="219"/>
      <c r="AH10" s="221"/>
      <c r="AI10" s="221"/>
      <c r="AJ10" s="222"/>
      <c r="AK10" s="219"/>
      <c r="AL10" s="221"/>
      <c r="AM10" s="221"/>
      <c r="AN10" s="222"/>
      <c r="AO10" s="219" t="s">
        <v>453</v>
      </c>
      <c r="AP10" s="221">
        <v>0</v>
      </c>
      <c r="AQ10" s="221">
        <v>37</v>
      </c>
      <c r="AR10" s="222">
        <v>38</v>
      </c>
      <c r="AS10" s="219"/>
      <c r="AT10" s="221"/>
      <c r="AU10" s="221"/>
      <c r="AV10" s="222"/>
      <c r="AW10" s="219"/>
      <c r="AX10" s="221"/>
      <c r="AY10" s="221"/>
      <c r="AZ10" s="222"/>
      <c r="BA10" s="219"/>
      <c r="BB10" s="221"/>
      <c r="BC10" s="221"/>
      <c r="BD10" s="222"/>
      <c r="BE10" s="219"/>
      <c r="BF10" s="221"/>
      <c r="BG10" s="221"/>
      <c r="BH10" s="222"/>
    </row>
    <row r="11" spans="1:60" x14ac:dyDescent="0.25">
      <c r="A11" s="216"/>
      <c r="B11" s="221"/>
      <c r="C11" s="221"/>
      <c r="D11" s="222"/>
      <c r="E11" s="219"/>
      <c r="F11" s="221"/>
      <c r="G11" s="221"/>
      <c r="H11" s="222"/>
      <c r="I11" s="219"/>
      <c r="J11" s="221"/>
      <c r="K11" s="221"/>
      <c r="L11" s="222"/>
      <c r="M11" s="219"/>
      <c r="N11" s="221"/>
      <c r="O11" s="221"/>
      <c r="P11" s="222"/>
      <c r="Q11" s="219"/>
      <c r="R11" s="221"/>
      <c r="S11" s="221"/>
      <c r="T11" s="222"/>
      <c r="U11" s="219"/>
      <c r="V11" s="221"/>
      <c r="W11" s="221"/>
      <c r="X11" s="222"/>
      <c r="Y11" s="219"/>
      <c r="Z11" s="221"/>
      <c r="AA11" s="221"/>
      <c r="AB11" s="222"/>
      <c r="AC11" s="219"/>
      <c r="AD11" s="221"/>
      <c r="AE11" s="221"/>
      <c r="AF11" s="222"/>
      <c r="AG11" s="219"/>
      <c r="AH11" s="221"/>
      <c r="AI11" s="221"/>
      <c r="AJ11" s="222"/>
      <c r="AK11" s="219"/>
      <c r="AL11" s="221"/>
      <c r="AM11" s="221"/>
      <c r="AN11" s="222"/>
      <c r="AO11" s="219"/>
      <c r="AP11" s="221"/>
      <c r="AQ11" s="221"/>
      <c r="AR11" s="222"/>
      <c r="AS11" s="219"/>
      <c r="AT11" s="221"/>
      <c r="AU11" s="221"/>
      <c r="AV11" s="222"/>
      <c r="AW11" s="219"/>
      <c r="AX11" s="221"/>
      <c r="AY11" s="221"/>
      <c r="AZ11" s="222"/>
      <c r="BA11" s="219"/>
      <c r="BB11" s="221"/>
      <c r="BC11" s="221"/>
      <c r="BD11" s="222"/>
      <c r="BE11" s="219"/>
      <c r="BF11" s="221"/>
      <c r="BG11" s="221"/>
      <c r="BH11" s="222"/>
    </row>
    <row r="12" spans="1:60" x14ac:dyDescent="0.25">
      <c r="A12" s="216"/>
      <c r="B12" s="221"/>
      <c r="C12" s="221"/>
      <c r="D12" s="222"/>
      <c r="E12" s="219"/>
      <c r="F12" s="221"/>
      <c r="G12" s="221"/>
      <c r="H12" s="222"/>
      <c r="I12" s="219"/>
      <c r="J12" s="221"/>
      <c r="K12" s="221"/>
      <c r="L12" s="222"/>
      <c r="M12" s="219"/>
      <c r="N12" s="221"/>
      <c r="O12" s="221"/>
      <c r="P12" s="222"/>
      <c r="Q12" s="219"/>
      <c r="R12" s="221"/>
      <c r="S12" s="221"/>
      <c r="T12" s="222"/>
      <c r="U12" s="219"/>
      <c r="V12" s="221"/>
      <c r="W12" s="221"/>
      <c r="X12" s="222"/>
      <c r="Y12" s="219"/>
      <c r="Z12" s="221"/>
      <c r="AA12" s="221"/>
      <c r="AB12" s="222"/>
      <c r="AC12" s="219"/>
      <c r="AD12" s="221"/>
      <c r="AE12" s="221"/>
      <c r="AF12" s="222"/>
      <c r="AG12" s="219"/>
      <c r="AH12" s="221"/>
      <c r="AI12" s="221"/>
      <c r="AJ12" s="222"/>
      <c r="AK12" s="219"/>
      <c r="AL12" s="221"/>
      <c r="AM12" s="221"/>
      <c r="AN12" s="222"/>
      <c r="AO12" s="219"/>
      <c r="AP12" s="221"/>
      <c r="AQ12" s="221"/>
      <c r="AR12" s="222"/>
      <c r="AS12" s="219"/>
      <c r="AT12" s="221"/>
      <c r="AU12" s="221"/>
      <c r="AV12" s="222"/>
      <c r="AW12" s="219"/>
      <c r="AX12" s="221"/>
      <c r="AY12" s="221"/>
      <c r="AZ12" s="222"/>
      <c r="BA12" s="219"/>
      <c r="BB12" s="221"/>
      <c r="BC12" s="221"/>
      <c r="BD12" s="222"/>
      <c r="BE12" s="219"/>
      <c r="BF12" s="221"/>
      <c r="BG12" s="221"/>
      <c r="BH12" s="222"/>
    </row>
    <row r="13" spans="1:60" x14ac:dyDescent="0.25">
      <c r="A13" s="216"/>
      <c r="B13" s="221"/>
      <c r="C13" s="221"/>
      <c r="D13" s="222"/>
      <c r="E13" s="219"/>
      <c r="F13" s="221"/>
      <c r="G13" s="221"/>
      <c r="H13" s="222"/>
      <c r="I13" s="219"/>
      <c r="J13" s="221"/>
      <c r="K13" s="221"/>
      <c r="L13" s="222"/>
      <c r="M13" s="219"/>
      <c r="N13" s="221"/>
      <c r="O13" s="221"/>
      <c r="P13" s="222"/>
      <c r="Q13" s="219"/>
      <c r="R13" s="221"/>
      <c r="S13" s="221"/>
      <c r="T13" s="222"/>
      <c r="U13" s="219"/>
      <c r="V13" s="221"/>
      <c r="W13" s="221"/>
      <c r="X13" s="222"/>
      <c r="Y13" s="219"/>
      <c r="Z13" s="221"/>
      <c r="AA13" s="221"/>
      <c r="AB13" s="222"/>
      <c r="AC13" s="219"/>
      <c r="AD13" s="221"/>
      <c r="AE13" s="221"/>
      <c r="AF13" s="222"/>
      <c r="AG13" s="219"/>
      <c r="AH13" s="221"/>
      <c r="AI13" s="221"/>
      <c r="AJ13" s="222"/>
      <c r="AK13" s="219"/>
      <c r="AL13" s="221"/>
      <c r="AM13" s="221"/>
      <c r="AN13" s="222"/>
      <c r="AO13" s="219"/>
      <c r="AP13" s="221"/>
      <c r="AQ13" s="221"/>
      <c r="AR13" s="222"/>
      <c r="AS13" s="219"/>
      <c r="AT13" s="221"/>
      <c r="AU13" s="221"/>
      <c r="AV13" s="222"/>
      <c r="AW13" s="219"/>
      <c r="AX13" s="221"/>
      <c r="AY13" s="221"/>
      <c r="AZ13" s="222"/>
      <c r="BA13" s="219"/>
      <c r="BB13" s="221"/>
      <c r="BC13" s="221"/>
      <c r="BD13" s="222"/>
      <c r="BE13" s="219"/>
      <c r="BF13" s="221"/>
      <c r="BG13" s="221"/>
      <c r="BH13" s="222"/>
    </row>
    <row r="14" spans="1:60" x14ac:dyDescent="0.25">
      <c r="A14" s="216"/>
      <c r="B14" s="221"/>
      <c r="C14" s="221"/>
      <c r="D14" s="222"/>
      <c r="E14" s="219"/>
      <c r="F14" s="221"/>
      <c r="G14" s="221"/>
      <c r="H14" s="222"/>
      <c r="I14" s="219"/>
      <c r="J14" s="221"/>
      <c r="K14" s="221"/>
      <c r="L14" s="222"/>
      <c r="M14" s="219"/>
      <c r="N14" s="221"/>
      <c r="O14" s="221"/>
      <c r="P14" s="222"/>
      <c r="Q14" s="219"/>
      <c r="R14" s="221"/>
      <c r="S14" s="221"/>
      <c r="T14" s="222"/>
      <c r="U14" s="219"/>
      <c r="V14" s="221"/>
      <c r="W14" s="221"/>
      <c r="X14" s="222"/>
      <c r="Y14" s="219"/>
      <c r="Z14" s="221"/>
      <c r="AA14" s="221"/>
      <c r="AB14" s="222"/>
      <c r="AC14" s="219"/>
      <c r="AD14" s="221"/>
      <c r="AE14" s="221"/>
      <c r="AF14" s="222"/>
      <c r="AG14" s="219"/>
      <c r="AH14" s="221"/>
      <c r="AI14" s="221"/>
      <c r="AJ14" s="222"/>
      <c r="AK14" s="219"/>
      <c r="AL14" s="221"/>
      <c r="AM14" s="221"/>
      <c r="AN14" s="222"/>
      <c r="AO14" s="219"/>
      <c r="AP14" s="221"/>
      <c r="AQ14" s="221"/>
      <c r="AR14" s="222"/>
      <c r="AS14" s="219"/>
      <c r="AT14" s="221"/>
      <c r="AU14" s="221"/>
      <c r="AV14" s="222"/>
      <c r="AW14" s="219"/>
      <c r="AX14" s="221"/>
      <c r="AY14" s="221"/>
      <c r="AZ14" s="222"/>
      <c r="BA14" s="219"/>
      <c r="BB14" s="221"/>
      <c r="BC14" s="221"/>
      <c r="BD14" s="222"/>
      <c r="BE14" s="219"/>
      <c r="BF14" s="221"/>
      <c r="BG14" s="221"/>
      <c r="BH14" s="222"/>
    </row>
    <row r="15" spans="1:60" x14ac:dyDescent="0.25">
      <c r="A15" s="216"/>
      <c r="B15" s="221"/>
      <c r="C15" s="221"/>
      <c r="D15" s="222"/>
      <c r="E15" s="219"/>
      <c r="F15" s="221"/>
      <c r="G15" s="221"/>
      <c r="H15" s="222"/>
      <c r="I15" s="219"/>
      <c r="J15" s="221"/>
      <c r="K15" s="221"/>
      <c r="L15" s="222"/>
      <c r="M15" s="219"/>
      <c r="N15" s="221"/>
      <c r="O15" s="221"/>
      <c r="P15" s="222"/>
      <c r="Q15" s="219"/>
      <c r="R15" s="221"/>
      <c r="S15" s="221"/>
      <c r="T15" s="222"/>
      <c r="U15" s="219"/>
      <c r="V15" s="221"/>
      <c r="W15" s="221"/>
      <c r="X15" s="222"/>
      <c r="Y15" s="219"/>
      <c r="Z15" s="221"/>
      <c r="AA15" s="221"/>
      <c r="AB15" s="222"/>
      <c r="AC15" s="219"/>
      <c r="AD15" s="221"/>
      <c r="AE15" s="221"/>
      <c r="AF15" s="222"/>
      <c r="AG15" s="219"/>
      <c r="AH15" s="221"/>
      <c r="AI15" s="221"/>
      <c r="AJ15" s="222"/>
      <c r="AK15" s="219"/>
      <c r="AL15" s="221"/>
      <c r="AM15" s="221"/>
      <c r="AN15" s="222"/>
      <c r="AO15" s="219"/>
      <c r="AP15" s="221"/>
      <c r="AQ15" s="221"/>
      <c r="AR15" s="222"/>
      <c r="AS15" s="219"/>
      <c r="AT15" s="221"/>
      <c r="AU15" s="221"/>
      <c r="AV15" s="222"/>
      <c r="AW15" s="219"/>
      <c r="AX15" s="221"/>
      <c r="AY15" s="221"/>
      <c r="AZ15" s="222"/>
      <c r="BA15" s="219"/>
      <c r="BB15" s="221"/>
      <c r="BC15" s="221"/>
      <c r="BD15" s="222"/>
      <c r="BE15" s="219"/>
      <c r="BF15" s="221"/>
      <c r="BG15" s="221"/>
      <c r="BH15" s="222"/>
    </row>
    <row r="16" spans="1:60" x14ac:dyDescent="0.25">
      <c r="A16" s="216"/>
      <c r="B16" s="221"/>
      <c r="C16" s="221"/>
      <c r="D16" s="222"/>
      <c r="E16" s="219"/>
      <c r="F16" s="221"/>
      <c r="G16" s="221"/>
      <c r="H16" s="222"/>
      <c r="I16" s="219"/>
      <c r="J16" s="221"/>
      <c r="K16" s="221"/>
      <c r="L16" s="222"/>
      <c r="M16" s="219"/>
      <c r="N16" s="221"/>
      <c r="O16" s="221"/>
      <c r="P16" s="222"/>
      <c r="Q16" s="219"/>
      <c r="R16" s="221"/>
      <c r="S16" s="221"/>
      <c r="T16" s="222"/>
      <c r="U16" s="219"/>
      <c r="V16" s="221"/>
      <c r="W16" s="221"/>
      <c r="X16" s="222"/>
      <c r="Y16" s="219"/>
      <c r="Z16" s="221"/>
      <c r="AA16" s="221"/>
      <c r="AB16" s="222"/>
      <c r="AC16" s="219"/>
      <c r="AD16" s="221"/>
      <c r="AE16" s="221"/>
      <c r="AF16" s="222"/>
      <c r="AG16" s="219"/>
      <c r="AH16" s="221"/>
      <c r="AI16" s="221"/>
      <c r="AJ16" s="222"/>
      <c r="AK16" s="219"/>
      <c r="AL16" s="221"/>
      <c r="AM16" s="221"/>
      <c r="AN16" s="222"/>
      <c r="AO16" s="219"/>
      <c r="AP16" s="221"/>
      <c r="AQ16" s="221"/>
      <c r="AR16" s="222"/>
      <c r="AS16" s="219"/>
      <c r="AT16" s="221"/>
      <c r="AU16" s="221"/>
      <c r="AV16" s="222"/>
      <c r="AW16" s="219"/>
      <c r="AX16" s="221"/>
      <c r="AY16" s="221"/>
      <c r="AZ16" s="222"/>
      <c r="BA16" s="219"/>
      <c r="BB16" s="221"/>
      <c r="BC16" s="221"/>
      <c r="BD16" s="222"/>
      <c r="BE16" s="219"/>
      <c r="BF16" s="221"/>
      <c r="BG16" s="221"/>
      <c r="BH16" s="222"/>
    </row>
    <row r="17" spans="1:60" x14ac:dyDescent="0.25">
      <c r="A17" s="216"/>
      <c r="B17" s="221"/>
      <c r="C17" s="221"/>
      <c r="D17" s="222"/>
      <c r="E17" s="219"/>
      <c r="F17" s="221"/>
      <c r="G17" s="221"/>
      <c r="H17" s="222"/>
      <c r="I17" s="219"/>
      <c r="J17" s="221"/>
      <c r="K17" s="221"/>
      <c r="L17" s="222"/>
      <c r="M17" s="219"/>
      <c r="N17" s="221"/>
      <c r="O17" s="221"/>
      <c r="P17" s="222"/>
      <c r="Q17" s="219"/>
      <c r="R17" s="221"/>
      <c r="S17" s="221"/>
      <c r="T17" s="222"/>
      <c r="U17" s="219"/>
      <c r="V17" s="221"/>
      <c r="W17" s="221"/>
      <c r="X17" s="222"/>
      <c r="Y17" s="219"/>
      <c r="Z17" s="221"/>
      <c r="AA17" s="221"/>
      <c r="AB17" s="222"/>
      <c r="AC17" s="219"/>
      <c r="AD17" s="221"/>
      <c r="AE17" s="221"/>
      <c r="AF17" s="222"/>
      <c r="AG17" s="219"/>
      <c r="AH17" s="221"/>
      <c r="AI17" s="221"/>
      <c r="AJ17" s="222"/>
      <c r="AK17" s="219"/>
      <c r="AL17" s="221"/>
      <c r="AM17" s="221"/>
      <c r="AN17" s="222"/>
      <c r="AO17" s="219"/>
      <c r="AP17" s="221"/>
      <c r="AQ17" s="221"/>
      <c r="AR17" s="222"/>
      <c r="AS17" s="219"/>
      <c r="AT17" s="221"/>
      <c r="AU17" s="221"/>
      <c r="AV17" s="222"/>
      <c r="AW17" s="219"/>
      <c r="AX17" s="221"/>
      <c r="AY17" s="221"/>
      <c r="AZ17" s="222"/>
      <c r="BA17" s="219"/>
      <c r="BB17" s="221"/>
      <c r="BC17" s="221"/>
      <c r="BD17" s="222"/>
      <c r="BE17" s="219"/>
      <c r="BF17" s="221"/>
      <c r="BG17" s="221"/>
      <c r="BH17" s="222"/>
    </row>
    <row r="18" spans="1:60" x14ac:dyDescent="0.25">
      <c r="A18" s="216"/>
      <c r="B18" s="221"/>
      <c r="C18" s="221"/>
      <c r="D18" s="222"/>
      <c r="E18" s="219"/>
      <c r="F18" s="221"/>
      <c r="G18" s="221"/>
      <c r="H18" s="222"/>
      <c r="I18" s="219"/>
      <c r="J18" s="221"/>
      <c r="K18" s="221"/>
      <c r="L18" s="222"/>
      <c r="M18" s="219"/>
      <c r="N18" s="221"/>
      <c r="O18" s="221"/>
      <c r="P18" s="222"/>
      <c r="Q18" s="219"/>
      <c r="R18" s="221"/>
      <c r="S18" s="221"/>
      <c r="T18" s="222"/>
      <c r="U18" s="219"/>
      <c r="V18" s="221"/>
      <c r="W18" s="221"/>
      <c r="X18" s="222"/>
      <c r="Y18" s="219"/>
      <c r="Z18" s="221"/>
      <c r="AA18" s="221"/>
      <c r="AB18" s="222"/>
      <c r="AC18" s="219"/>
      <c r="AD18" s="221"/>
      <c r="AE18" s="221"/>
      <c r="AF18" s="222"/>
      <c r="AG18" s="219"/>
      <c r="AH18" s="221"/>
      <c r="AI18" s="221"/>
      <c r="AJ18" s="222"/>
      <c r="AK18" s="219"/>
      <c r="AL18" s="221"/>
      <c r="AM18" s="221"/>
      <c r="AN18" s="222"/>
      <c r="AO18" s="219"/>
      <c r="AP18" s="221"/>
      <c r="AQ18" s="221"/>
      <c r="AR18" s="222"/>
      <c r="AS18" s="219"/>
      <c r="AT18" s="221"/>
      <c r="AU18" s="221"/>
      <c r="AV18" s="222"/>
      <c r="AW18" s="219"/>
      <c r="AX18" s="221"/>
      <c r="AY18" s="221"/>
      <c r="AZ18" s="222"/>
      <c r="BA18" s="219"/>
      <c r="BB18" s="221"/>
      <c r="BC18" s="221"/>
      <c r="BD18" s="222"/>
      <c r="BE18" s="219"/>
      <c r="BF18" s="221"/>
      <c r="BG18" s="221"/>
      <c r="BH18" s="222"/>
    </row>
    <row r="19" spans="1:60" x14ac:dyDescent="0.25">
      <c r="A19" s="216"/>
      <c r="B19" s="221"/>
      <c r="C19" s="221"/>
      <c r="D19" s="222"/>
      <c r="E19" s="219"/>
      <c r="F19" s="221"/>
      <c r="G19" s="221"/>
      <c r="H19" s="222"/>
      <c r="I19" s="219"/>
      <c r="J19" s="221"/>
      <c r="K19" s="221"/>
      <c r="L19" s="222"/>
      <c r="M19" s="219"/>
      <c r="N19" s="221"/>
      <c r="O19" s="221"/>
      <c r="P19" s="222"/>
      <c r="Q19" s="219"/>
      <c r="R19" s="221"/>
      <c r="S19" s="221"/>
      <c r="T19" s="222"/>
      <c r="U19" s="219"/>
      <c r="V19" s="221"/>
      <c r="W19" s="221"/>
      <c r="X19" s="222"/>
      <c r="Y19" s="219"/>
      <c r="Z19" s="221"/>
      <c r="AA19" s="221"/>
      <c r="AB19" s="222"/>
      <c r="AC19" s="219"/>
      <c r="AD19" s="221"/>
      <c r="AE19" s="221"/>
      <c r="AF19" s="222"/>
      <c r="AG19" s="219"/>
      <c r="AH19" s="221"/>
      <c r="AI19" s="221"/>
      <c r="AJ19" s="222"/>
      <c r="AK19" s="219"/>
      <c r="AL19" s="221"/>
      <c r="AM19" s="221"/>
      <c r="AN19" s="222"/>
      <c r="AO19" s="219"/>
      <c r="AP19" s="221"/>
      <c r="AQ19" s="221"/>
      <c r="AR19" s="222"/>
      <c r="AS19" s="219"/>
      <c r="AT19" s="221"/>
      <c r="AU19" s="221"/>
      <c r="AV19" s="222"/>
      <c r="AW19" s="219"/>
      <c r="AX19" s="221"/>
      <c r="AY19" s="221"/>
      <c r="AZ19" s="222"/>
      <c r="BA19" s="219"/>
      <c r="BB19" s="221"/>
      <c r="BC19" s="221"/>
      <c r="BD19" s="222"/>
      <c r="BE19" s="219"/>
      <c r="BF19" s="221"/>
      <c r="BG19" s="221"/>
      <c r="BH19" s="222"/>
    </row>
    <row r="20" spans="1:60" x14ac:dyDescent="0.25">
      <c r="A20" s="216"/>
      <c r="B20" s="221"/>
      <c r="C20" s="221"/>
      <c r="D20" s="222"/>
      <c r="E20" s="219"/>
      <c r="F20" s="221"/>
      <c r="G20" s="221"/>
      <c r="H20" s="222"/>
      <c r="I20" s="219"/>
      <c r="J20" s="221"/>
      <c r="K20" s="221"/>
      <c r="L20" s="222"/>
      <c r="M20" s="219"/>
      <c r="N20" s="221"/>
      <c r="O20" s="221"/>
      <c r="P20" s="222"/>
      <c r="Q20" s="219"/>
      <c r="R20" s="221"/>
      <c r="S20" s="221"/>
      <c r="T20" s="222"/>
      <c r="U20" s="219"/>
      <c r="V20" s="221"/>
      <c r="W20" s="221"/>
      <c r="X20" s="222"/>
      <c r="Y20" s="219"/>
      <c r="Z20" s="221"/>
      <c r="AA20" s="221"/>
      <c r="AB20" s="222"/>
      <c r="AC20" s="219"/>
      <c r="AD20" s="221"/>
      <c r="AE20" s="221"/>
      <c r="AF20" s="222"/>
      <c r="AG20" s="219"/>
      <c r="AH20" s="221"/>
      <c r="AI20" s="221"/>
      <c r="AJ20" s="222"/>
      <c r="AK20" s="219"/>
      <c r="AL20" s="221"/>
      <c r="AM20" s="221"/>
      <c r="AN20" s="222"/>
      <c r="AO20" s="219"/>
      <c r="AP20" s="221"/>
      <c r="AQ20" s="221"/>
      <c r="AR20" s="222"/>
      <c r="AS20" s="219"/>
      <c r="AT20" s="221"/>
      <c r="AU20" s="221"/>
      <c r="AV20" s="222"/>
      <c r="AW20" s="219"/>
      <c r="AX20" s="221"/>
      <c r="AY20" s="221"/>
      <c r="AZ20" s="222"/>
      <c r="BA20" s="219"/>
      <c r="BB20" s="221"/>
      <c r="BC20" s="221"/>
      <c r="BD20" s="222"/>
      <c r="BE20" s="219"/>
      <c r="BF20" s="221"/>
      <c r="BG20" s="221"/>
      <c r="BH20" s="222"/>
    </row>
    <row r="21" spans="1:60" x14ac:dyDescent="0.25">
      <c r="A21" s="216"/>
      <c r="B21" s="221"/>
      <c r="C21" s="221"/>
      <c r="D21" s="222"/>
      <c r="E21" s="219"/>
      <c r="F21" s="221"/>
      <c r="G21" s="221"/>
      <c r="H21" s="222"/>
      <c r="I21" s="219"/>
      <c r="J21" s="221"/>
      <c r="K21" s="221"/>
      <c r="L21" s="222"/>
      <c r="M21" s="219"/>
      <c r="N21" s="221"/>
      <c r="O21" s="221"/>
      <c r="P21" s="222"/>
      <c r="Q21" s="219"/>
      <c r="R21" s="221"/>
      <c r="S21" s="221"/>
      <c r="T21" s="222"/>
      <c r="U21" s="219"/>
      <c r="V21" s="221"/>
      <c r="W21" s="221"/>
      <c r="X21" s="222"/>
      <c r="Y21" s="219"/>
      <c r="Z21" s="221"/>
      <c r="AA21" s="221"/>
      <c r="AB21" s="222"/>
      <c r="AC21" s="219"/>
      <c r="AD21" s="221"/>
      <c r="AE21" s="221"/>
      <c r="AF21" s="222"/>
      <c r="AG21" s="219"/>
      <c r="AH21" s="221"/>
      <c r="AI21" s="221"/>
      <c r="AJ21" s="222"/>
      <c r="AK21" s="219"/>
      <c r="AL21" s="221"/>
      <c r="AM21" s="221"/>
      <c r="AN21" s="222"/>
      <c r="AO21" s="219"/>
      <c r="AP21" s="221"/>
      <c r="AQ21" s="221"/>
      <c r="AR21" s="222"/>
      <c r="AS21" s="219"/>
      <c r="AT21" s="221"/>
      <c r="AU21" s="221"/>
      <c r="AV21" s="222"/>
      <c r="AW21" s="219"/>
      <c r="AX21" s="221"/>
      <c r="AY21" s="221"/>
      <c r="AZ21" s="222"/>
      <c r="BA21" s="219"/>
      <c r="BB21" s="221"/>
      <c r="BC21" s="221"/>
      <c r="BD21" s="222"/>
      <c r="BE21" s="219"/>
      <c r="BF21" s="221"/>
      <c r="BG21" s="221"/>
      <c r="BH21" s="222"/>
    </row>
    <row r="22" spans="1:60" x14ac:dyDescent="0.25">
      <c r="A22" s="216"/>
      <c r="B22" s="221"/>
      <c r="C22" s="221"/>
      <c r="D22" s="222"/>
      <c r="E22" s="219"/>
      <c r="F22" s="221"/>
      <c r="G22" s="221"/>
      <c r="H22" s="222"/>
      <c r="I22" s="219"/>
      <c r="J22" s="221"/>
      <c r="K22" s="221"/>
      <c r="L22" s="222"/>
      <c r="M22" s="219"/>
      <c r="N22" s="221"/>
      <c r="O22" s="221"/>
      <c r="P22" s="222"/>
      <c r="Q22" s="219"/>
      <c r="R22" s="221"/>
      <c r="S22" s="221"/>
      <c r="T22" s="222"/>
      <c r="U22" s="219"/>
      <c r="V22" s="221"/>
      <c r="W22" s="221"/>
      <c r="X22" s="222"/>
      <c r="Y22" s="219"/>
      <c r="Z22" s="221"/>
      <c r="AA22" s="221"/>
      <c r="AB22" s="222"/>
      <c r="AC22" s="219"/>
      <c r="AD22" s="221"/>
      <c r="AE22" s="221"/>
      <c r="AF22" s="222"/>
      <c r="AG22" s="219"/>
      <c r="AH22" s="221"/>
      <c r="AI22" s="221"/>
      <c r="AJ22" s="222"/>
      <c r="AK22" s="219"/>
      <c r="AL22" s="221"/>
      <c r="AM22" s="221"/>
      <c r="AN22" s="222"/>
      <c r="AO22" s="219"/>
      <c r="AP22" s="221"/>
      <c r="AQ22" s="221"/>
      <c r="AR22" s="222"/>
      <c r="AS22" s="219"/>
      <c r="AT22" s="221"/>
      <c r="AU22" s="221"/>
      <c r="AV22" s="222"/>
      <c r="AW22" s="219"/>
      <c r="AX22" s="221"/>
      <c r="AY22" s="221"/>
      <c r="AZ22" s="222"/>
      <c r="BA22" s="219"/>
      <c r="BB22" s="221"/>
      <c r="BC22" s="221"/>
      <c r="BD22" s="222"/>
      <c r="BE22" s="219"/>
      <c r="BF22" s="221"/>
      <c r="BG22" s="221"/>
      <c r="BH22" s="222"/>
    </row>
    <row r="23" spans="1:60" x14ac:dyDescent="0.25">
      <c r="A23" s="216"/>
      <c r="B23" s="221"/>
      <c r="C23" s="221"/>
      <c r="D23" s="222"/>
      <c r="E23" s="219"/>
      <c r="F23" s="221"/>
      <c r="G23" s="221"/>
      <c r="H23" s="222"/>
      <c r="I23" s="219"/>
      <c r="J23" s="221"/>
      <c r="K23" s="221"/>
      <c r="L23" s="222"/>
      <c r="M23" s="219"/>
      <c r="N23" s="221"/>
      <c r="O23" s="221"/>
      <c r="P23" s="222"/>
      <c r="Q23" s="219"/>
      <c r="R23" s="221"/>
      <c r="S23" s="221"/>
      <c r="T23" s="222"/>
      <c r="U23" s="219"/>
      <c r="V23" s="221"/>
      <c r="W23" s="221"/>
      <c r="X23" s="222"/>
      <c r="Y23" s="219"/>
      <c r="Z23" s="221"/>
      <c r="AA23" s="221"/>
      <c r="AB23" s="222"/>
      <c r="AC23" s="219"/>
      <c r="AD23" s="221"/>
      <c r="AE23" s="221"/>
      <c r="AF23" s="222"/>
      <c r="AG23" s="219"/>
      <c r="AH23" s="221"/>
      <c r="AI23" s="221"/>
      <c r="AJ23" s="222"/>
      <c r="AK23" s="219"/>
      <c r="AL23" s="221"/>
      <c r="AM23" s="221"/>
      <c r="AN23" s="222"/>
      <c r="AO23" s="219"/>
      <c r="AP23" s="221"/>
      <c r="AQ23" s="221"/>
      <c r="AR23" s="222"/>
      <c r="AS23" s="219"/>
      <c r="AT23" s="221"/>
      <c r="AU23" s="221"/>
      <c r="AV23" s="222"/>
      <c r="AW23" s="219"/>
      <c r="AX23" s="221"/>
      <c r="AY23" s="221"/>
      <c r="AZ23" s="222"/>
      <c r="BA23" s="219"/>
      <c r="BB23" s="221"/>
      <c r="BC23" s="221"/>
      <c r="BD23" s="222"/>
      <c r="BE23" s="219"/>
      <c r="BF23" s="221"/>
      <c r="BG23" s="221"/>
      <c r="BH23" s="222"/>
    </row>
    <row r="24" spans="1:60" x14ac:dyDescent="0.25">
      <c r="A24" s="216"/>
      <c r="B24" s="221"/>
      <c r="C24" s="221"/>
      <c r="D24" s="222"/>
      <c r="E24" s="219"/>
      <c r="F24" s="221"/>
      <c r="G24" s="221"/>
      <c r="H24" s="222"/>
      <c r="I24" s="219"/>
      <c r="J24" s="221"/>
      <c r="K24" s="221"/>
      <c r="L24" s="222"/>
      <c r="M24" s="219"/>
      <c r="N24" s="221"/>
      <c r="O24" s="221"/>
      <c r="P24" s="222"/>
      <c r="Q24" s="219"/>
      <c r="R24" s="221"/>
      <c r="S24" s="221"/>
      <c r="T24" s="222"/>
      <c r="U24" s="219"/>
      <c r="V24" s="221"/>
      <c r="W24" s="221"/>
      <c r="X24" s="222"/>
      <c r="Y24" s="219"/>
      <c r="Z24" s="221"/>
      <c r="AA24" s="221"/>
      <c r="AB24" s="222"/>
      <c r="AC24" s="219"/>
      <c r="AD24" s="221"/>
      <c r="AE24" s="221"/>
      <c r="AF24" s="222"/>
      <c r="AG24" s="219"/>
      <c r="AH24" s="221"/>
      <c r="AI24" s="221"/>
      <c r="AJ24" s="222"/>
      <c r="AK24" s="219"/>
      <c r="AL24" s="221"/>
      <c r="AM24" s="221"/>
      <c r="AN24" s="222"/>
      <c r="AO24" s="219"/>
      <c r="AP24" s="221"/>
      <c r="AQ24" s="221"/>
      <c r="AR24" s="222"/>
      <c r="AS24" s="219"/>
      <c r="AT24" s="221"/>
      <c r="AU24" s="221"/>
      <c r="AV24" s="222"/>
      <c r="AW24" s="219"/>
      <c r="AX24" s="221"/>
      <c r="AY24" s="221"/>
      <c r="AZ24" s="222"/>
      <c r="BA24" s="219"/>
      <c r="BB24" s="221"/>
      <c r="BC24" s="221"/>
      <c r="BD24" s="222"/>
      <c r="BE24" s="219"/>
      <c r="BF24" s="221"/>
      <c r="BG24" s="221"/>
      <c r="BH24" s="222"/>
    </row>
    <row r="25" spans="1:60" x14ac:dyDescent="0.25">
      <c r="A25" s="216"/>
      <c r="B25" s="221"/>
      <c r="C25" s="221"/>
      <c r="D25" s="222"/>
      <c r="E25" s="219"/>
      <c r="F25" s="221"/>
      <c r="G25" s="221"/>
      <c r="H25" s="222"/>
      <c r="I25" s="219"/>
      <c r="J25" s="221"/>
      <c r="K25" s="221"/>
      <c r="L25" s="222"/>
      <c r="M25" s="219"/>
      <c r="N25" s="221"/>
      <c r="O25" s="221"/>
      <c r="P25" s="222"/>
      <c r="Q25" s="219"/>
      <c r="R25" s="221"/>
      <c r="S25" s="221"/>
      <c r="T25" s="222"/>
      <c r="U25" s="219"/>
      <c r="V25" s="221"/>
      <c r="W25" s="221"/>
      <c r="X25" s="222"/>
      <c r="Y25" s="219"/>
      <c r="Z25" s="221"/>
      <c r="AA25" s="221"/>
      <c r="AB25" s="222"/>
      <c r="AC25" s="219"/>
      <c r="AD25" s="221"/>
      <c r="AE25" s="221"/>
      <c r="AF25" s="222"/>
      <c r="AG25" s="219"/>
      <c r="AH25" s="221"/>
      <c r="AI25" s="221"/>
      <c r="AJ25" s="222"/>
      <c r="AK25" s="219"/>
      <c r="AL25" s="221"/>
      <c r="AM25" s="221"/>
      <c r="AN25" s="222"/>
      <c r="AO25" s="219"/>
      <c r="AP25" s="221"/>
      <c r="AQ25" s="221"/>
      <c r="AR25" s="222"/>
      <c r="AS25" s="219"/>
      <c r="AT25" s="221"/>
      <c r="AU25" s="221"/>
      <c r="AV25" s="222"/>
      <c r="AW25" s="219"/>
      <c r="AX25" s="221"/>
      <c r="AY25" s="221"/>
      <c r="AZ25" s="222"/>
      <c r="BA25" s="219"/>
      <c r="BB25" s="221"/>
      <c r="BC25" s="221"/>
      <c r="BD25" s="222"/>
      <c r="BE25" s="219"/>
      <c r="BF25" s="221"/>
      <c r="BG25" s="221"/>
      <c r="BH25" s="222"/>
    </row>
    <row r="26" spans="1:60" x14ac:dyDescent="0.25">
      <c r="A26" s="216"/>
      <c r="B26" s="221"/>
      <c r="C26" s="221"/>
      <c r="D26" s="222"/>
      <c r="E26" s="219"/>
      <c r="F26" s="221"/>
      <c r="G26" s="221"/>
      <c r="H26" s="222"/>
      <c r="I26" s="219"/>
      <c r="J26" s="221"/>
      <c r="K26" s="221"/>
      <c r="L26" s="222"/>
      <c r="M26" s="219"/>
      <c r="N26" s="221"/>
      <c r="O26" s="221"/>
      <c r="P26" s="222"/>
      <c r="Q26" s="219"/>
      <c r="R26" s="221"/>
      <c r="S26" s="221"/>
      <c r="T26" s="222"/>
      <c r="U26" s="219"/>
      <c r="V26" s="221"/>
      <c r="W26" s="221"/>
      <c r="X26" s="222"/>
      <c r="Y26" s="219"/>
      <c r="Z26" s="221"/>
      <c r="AA26" s="221"/>
      <c r="AB26" s="222"/>
      <c r="AC26" s="219"/>
      <c r="AD26" s="221"/>
      <c r="AE26" s="221"/>
      <c r="AF26" s="222"/>
      <c r="AG26" s="219"/>
      <c r="AH26" s="221"/>
      <c r="AI26" s="221"/>
      <c r="AJ26" s="222"/>
      <c r="AK26" s="219"/>
      <c r="AL26" s="221"/>
      <c r="AM26" s="221"/>
      <c r="AN26" s="222"/>
      <c r="AO26" s="219"/>
      <c r="AP26" s="221"/>
      <c r="AQ26" s="221"/>
      <c r="AR26" s="222"/>
      <c r="AS26" s="219"/>
      <c r="AT26" s="221"/>
      <c r="AU26" s="221"/>
      <c r="AV26" s="222"/>
      <c r="AW26" s="219"/>
      <c r="AX26" s="221"/>
      <c r="AY26" s="221"/>
      <c r="AZ26" s="222"/>
      <c r="BA26" s="219"/>
      <c r="BB26" s="221"/>
      <c r="BC26" s="221"/>
      <c r="BD26" s="222"/>
      <c r="BE26" s="219"/>
      <c r="BF26" s="221"/>
      <c r="BG26" s="221"/>
      <c r="BH26" s="222"/>
    </row>
    <row r="27" spans="1:60" x14ac:dyDescent="0.25">
      <c r="A27" s="216"/>
      <c r="B27" s="221"/>
      <c r="C27" s="221"/>
      <c r="D27" s="222"/>
      <c r="E27" s="219"/>
      <c r="F27" s="221"/>
      <c r="G27" s="221"/>
      <c r="H27" s="222"/>
      <c r="I27" s="219"/>
      <c r="J27" s="221"/>
      <c r="K27" s="221"/>
      <c r="L27" s="222"/>
      <c r="M27" s="219"/>
      <c r="N27" s="221"/>
      <c r="O27" s="221"/>
      <c r="P27" s="222"/>
      <c r="Q27" s="219"/>
      <c r="R27" s="221"/>
      <c r="S27" s="221"/>
      <c r="T27" s="222"/>
      <c r="U27" s="219"/>
      <c r="V27" s="221"/>
      <c r="W27" s="221"/>
      <c r="X27" s="222"/>
      <c r="Y27" s="219"/>
      <c r="Z27" s="221"/>
      <c r="AA27" s="221"/>
      <c r="AB27" s="222"/>
      <c r="AC27" s="219"/>
      <c r="AD27" s="221"/>
      <c r="AE27" s="221"/>
      <c r="AF27" s="222"/>
      <c r="AG27" s="219"/>
      <c r="AH27" s="221"/>
      <c r="AI27" s="221"/>
      <c r="AJ27" s="222"/>
      <c r="AK27" s="219"/>
      <c r="AL27" s="221"/>
      <c r="AM27" s="221"/>
      <c r="AN27" s="222"/>
      <c r="AO27" s="219"/>
      <c r="AP27" s="221"/>
      <c r="AQ27" s="221"/>
      <c r="AR27" s="222"/>
      <c r="AS27" s="219"/>
      <c r="AT27" s="221"/>
      <c r="AU27" s="221"/>
      <c r="AV27" s="222"/>
      <c r="AW27" s="219"/>
      <c r="AX27" s="221"/>
      <c r="AY27" s="221"/>
      <c r="AZ27" s="222"/>
      <c r="BA27" s="219"/>
      <c r="BB27" s="221"/>
      <c r="BC27" s="221"/>
      <c r="BD27" s="222"/>
      <c r="BE27" s="219"/>
      <c r="BF27" s="221"/>
      <c r="BG27" s="221"/>
      <c r="BH27" s="222"/>
    </row>
    <row r="28" spans="1:60" x14ac:dyDescent="0.25">
      <c r="A28" s="216"/>
      <c r="B28" s="221"/>
      <c r="C28" s="221"/>
      <c r="D28" s="222"/>
      <c r="E28" s="219"/>
      <c r="F28" s="221"/>
      <c r="G28" s="221"/>
      <c r="H28" s="222"/>
      <c r="I28" s="219"/>
      <c r="J28" s="221"/>
      <c r="K28" s="221"/>
      <c r="L28" s="222"/>
      <c r="M28" s="219"/>
      <c r="N28" s="221"/>
      <c r="O28" s="221"/>
      <c r="P28" s="222"/>
      <c r="Q28" s="219"/>
      <c r="R28" s="221"/>
      <c r="S28" s="221"/>
      <c r="T28" s="222"/>
      <c r="U28" s="219"/>
      <c r="V28" s="221"/>
      <c r="W28" s="221"/>
      <c r="X28" s="222"/>
      <c r="Y28" s="219"/>
      <c r="Z28" s="221"/>
      <c r="AA28" s="221"/>
      <c r="AB28" s="222"/>
      <c r="AC28" s="219"/>
      <c r="AD28" s="221"/>
      <c r="AE28" s="221"/>
      <c r="AF28" s="222"/>
      <c r="AG28" s="219"/>
      <c r="AH28" s="221"/>
      <c r="AI28" s="221"/>
      <c r="AJ28" s="222"/>
      <c r="AK28" s="219"/>
      <c r="AL28" s="221"/>
      <c r="AM28" s="221"/>
      <c r="AN28" s="222"/>
      <c r="AO28" s="219"/>
      <c r="AP28" s="221"/>
      <c r="AQ28" s="221"/>
      <c r="AR28" s="222"/>
      <c r="AS28" s="219"/>
      <c r="AT28" s="221"/>
      <c r="AU28" s="221"/>
      <c r="AV28" s="222"/>
      <c r="AW28" s="219"/>
      <c r="AX28" s="221"/>
      <c r="AY28" s="221"/>
      <c r="AZ28" s="222"/>
      <c r="BA28" s="219"/>
      <c r="BB28" s="221"/>
      <c r="BC28" s="221"/>
      <c r="BD28" s="222"/>
      <c r="BE28" s="219"/>
      <c r="BF28" s="221"/>
      <c r="BG28" s="221"/>
      <c r="BH28" s="222"/>
    </row>
    <row r="29" spans="1:60" x14ac:dyDescent="0.25">
      <c r="A29" s="216"/>
      <c r="B29" s="221"/>
      <c r="C29" s="221"/>
      <c r="D29" s="222"/>
      <c r="E29" s="219"/>
      <c r="F29" s="221"/>
      <c r="G29" s="221"/>
      <c r="H29" s="222"/>
      <c r="I29" s="219"/>
      <c r="J29" s="221"/>
      <c r="K29" s="221"/>
      <c r="L29" s="222"/>
      <c r="M29" s="219"/>
      <c r="N29" s="221"/>
      <c r="O29" s="221"/>
      <c r="P29" s="222"/>
      <c r="Q29" s="219"/>
      <c r="R29" s="221"/>
      <c r="S29" s="221"/>
      <c r="T29" s="222"/>
      <c r="U29" s="219"/>
      <c r="V29" s="221"/>
      <c r="W29" s="221"/>
      <c r="X29" s="222"/>
      <c r="Y29" s="219"/>
      <c r="Z29" s="221"/>
      <c r="AA29" s="221"/>
      <c r="AB29" s="222"/>
      <c r="AC29" s="219"/>
      <c r="AD29" s="221"/>
      <c r="AE29" s="221"/>
      <c r="AF29" s="222"/>
      <c r="AG29" s="219"/>
      <c r="AH29" s="221"/>
      <c r="AI29" s="221"/>
      <c r="AJ29" s="222"/>
      <c r="AK29" s="219"/>
      <c r="AL29" s="221"/>
      <c r="AM29" s="221"/>
      <c r="AN29" s="222"/>
      <c r="AO29" s="219"/>
      <c r="AP29" s="221"/>
      <c r="AQ29" s="221"/>
      <c r="AR29" s="222"/>
      <c r="AS29" s="219"/>
      <c r="AT29" s="221"/>
      <c r="AU29" s="221"/>
      <c r="AV29" s="222"/>
      <c r="AW29" s="219"/>
      <c r="AX29" s="221"/>
      <c r="AY29" s="221"/>
      <c r="AZ29" s="222"/>
      <c r="BA29" s="219"/>
      <c r="BB29" s="221"/>
      <c r="BC29" s="221"/>
      <c r="BD29" s="222"/>
      <c r="BE29" s="219"/>
      <c r="BF29" s="221"/>
      <c r="BG29" s="221"/>
      <c r="BH29" s="222"/>
    </row>
    <row r="30" spans="1:60" x14ac:dyDescent="0.25">
      <c r="A30" s="216"/>
      <c r="B30" s="221"/>
      <c r="C30" s="221"/>
      <c r="D30" s="222"/>
      <c r="E30" s="219"/>
      <c r="F30" s="221"/>
      <c r="G30" s="221"/>
      <c r="H30" s="222"/>
      <c r="I30" s="219"/>
      <c r="J30" s="221"/>
      <c r="K30" s="221"/>
      <c r="L30" s="222"/>
      <c r="M30" s="219"/>
      <c r="N30" s="221"/>
      <c r="O30" s="221"/>
      <c r="P30" s="222"/>
      <c r="Q30" s="219"/>
      <c r="R30" s="221"/>
      <c r="S30" s="221"/>
      <c r="T30" s="222"/>
      <c r="U30" s="219"/>
      <c r="V30" s="221"/>
      <c r="W30" s="221"/>
      <c r="X30" s="222"/>
      <c r="Y30" s="219"/>
      <c r="Z30" s="221"/>
      <c r="AA30" s="221"/>
      <c r="AB30" s="222"/>
      <c r="AC30" s="219"/>
      <c r="AD30" s="221"/>
      <c r="AE30" s="221"/>
      <c r="AF30" s="222"/>
      <c r="AG30" s="219"/>
      <c r="AH30" s="221"/>
      <c r="AI30" s="221"/>
      <c r="AJ30" s="222"/>
      <c r="AK30" s="219"/>
      <c r="AL30" s="221"/>
      <c r="AM30" s="221"/>
      <c r="AN30" s="222"/>
      <c r="AO30" s="219"/>
      <c r="AP30" s="221"/>
      <c r="AQ30" s="221"/>
      <c r="AR30" s="222"/>
      <c r="AS30" s="219"/>
      <c r="AT30" s="221"/>
      <c r="AU30" s="221"/>
      <c r="AV30" s="222"/>
      <c r="AW30" s="219"/>
      <c r="AX30" s="221"/>
      <c r="AY30" s="221"/>
      <c r="AZ30" s="222"/>
      <c r="BA30" s="219"/>
      <c r="BB30" s="221"/>
      <c r="BC30" s="221"/>
      <c r="BD30" s="222"/>
      <c r="BE30" s="219"/>
      <c r="BF30" s="221"/>
      <c r="BG30" s="221"/>
      <c r="BH30" s="222"/>
    </row>
    <row r="31" spans="1:60" x14ac:dyDescent="0.25">
      <c r="A31" s="216"/>
      <c r="B31" s="221"/>
      <c r="C31" s="221"/>
      <c r="D31" s="222"/>
      <c r="E31" s="219"/>
      <c r="F31" s="221"/>
      <c r="G31" s="221"/>
      <c r="H31" s="222"/>
      <c r="I31" s="219"/>
      <c r="J31" s="221"/>
      <c r="K31" s="221"/>
      <c r="L31" s="222"/>
      <c r="M31" s="219"/>
      <c r="N31" s="221"/>
      <c r="O31" s="221"/>
      <c r="P31" s="222"/>
      <c r="Q31" s="219"/>
      <c r="R31" s="221"/>
      <c r="S31" s="221"/>
      <c r="T31" s="222"/>
      <c r="U31" s="219"/>
      <c r="V31" s="221"/>
      <c r="W31" s="221"/>
      <c r="X31" s="222"/>
      <c r="Y31" s="219"/>
      <c r="Z31" s="221"/>
      <c r="AA31" s="221"/>
      <c r="AB31" s="222"/>
      <c r="AC31" s="219"/>
      <c r="AD31" s="221"/>
      <c r="AE31" s="221"/>
      <c r="AF31" s="222"/>
      <c r="AG31" s="219"/>
      <c r="AH31" s="221"/>
      <c r="AI31" s="221"/>
      <c r="AJ31" s="222"/>
      <c r="AK31" s="219"/>
      <c r="AL31" s="221"/>
      <c r="AM31" s="221"/>
      <c r="AN31" s="222"/>
      <c r="AO31" s="219"/>
      <c r="AP31" s="221"/>
      <c r="AQ31" s="221"/>
      <c r="AR31" s="222"/>
      <c r="AS31" s="219"/>
      <c r="AT31" s="221"/>
      <c r="AU31" s="221"/>
      <c r="AV31" s="222"/>
      <c r="AW31" s="219"/>
      <c r="AX31" s="221"/>
      <c r="AY31" s="221"/>
      <c r="AZ31" s="222"/>
      <c r="BA31" s="219"/>
      <c r="BB31" s="221"/>
      <c r="BC31" s="221"/>
      <c r="BD31" s="222"/>
      <c r="BE31" s="219"/>
      <c r="BF31" s="221"/>
      <c r="BG31" s="221"/>
      <c r="BH31" s="222"/>
    </row>
    <row r="32" spans="1:60" x14ac:dyDescent="0.25">
      <c r="A32" s="216"/>
      <c r="B32" s="221"/>
      <c r="C32" s="221"/>
      <c r="D32" s="222"/>
      <c r="E32" s="219"/>
      <c r="F32" s="221"/>
      <c r="G32" s="221"/>
      <c r="H32" s="222"/>
      <c r="I32" s="219"/>
      <c r="J32" s="221"/>
      <c r="K32" s="221"/>
      <c r="L32" s="222"/>
      <c r="M32" s="219"/>
      <c r="N32" s="221"/>
      <c r="O32" s="221"/>
      <c r="P32" s="222"/>
      <c r="Q32" s="219"/>
      <c r="R32" s="221"/>
      <c r="S32" s="221"/>
      <c r="T32" s="222"/>
      <c r="U32" s="219"/>
      <c r="V32" s="221"/>
      <c r="W32" s="221"/>
      <c r="X32" s="222"/>
      <c r="Y32" s="219"/>
      <c r="Z32" s="221"/>
      <c r="AA32" s="221"/>
      <c r="AB32" s="222"/>
      <c r="AC32" s="219"/>
      <c r="AD32" s="221"/>
      <c r="AE32" s="221"/>
      <c r="AF32" s="222"/>
      <c r="AG32" s="219"/>
      <c r="AH32" s="221"/>
      <c r="AI32" s="221"/>
      <c r="AJ32" s="222"/>
      <c r="AK32" s="219"/>
      <c r="AL32" s="221"/>
      <c r="AM32" s="221"/>
      <c r="AN32" s="222"/>
      <c r="AO32" s="219"/>
      <c r="AP32" s="221"/>
      <c r="AQ32" s="221"/>
      <c r="AR32" s="222"/>
      <c r="AS32" s="219"/>
      <c r="AT32" s="221"/>
      <c r="AU32" s="221"/>
      <c r="AV32" s="222"/>
      <c r="AW32" s="219"/>
      <c r="AX32" s="221"/>
      <c r="AY32" s="221"/>
      <c r="AZ32" s="222"/>
      <c r="BA32" s="219"/>
      <c r="BB32" s="221"/>
      <c r="BC32" s="221"/>
      <c r="BD32" s="222"/>
      <c r="BE32" s="219"/>
      <c r="BF32" s="221"/>
      <c r="BG32" s="221"/>
      <c r="BH32" s="222"/>
    </row>
    <row r="33" spans="1:60" x14ac:dyDescent="0.25">
      <c r="A33" s="216"/>
      <c r="B33" s="221"/>
      <c r="C33" s="221"/>
      <c r="D33" s="222"/>
      <c r="E33" s="219"/>
      <c r="F33" s="221"/>
      <c r="G33" s="221"/>
      <c r="H33" s="222"/>
      <c r="I33" s="219"/>
      <c r="J33" s="221"/>
      <c r="K33" s="221"/>
      <c r="L33" s="222"/>
      <c r="M33" s="219"/>
      <c r="N33" s="221"/>
      <c r="O33" s="221"/>
      <c r="P33" s="222"/>
      <c r="Q33" s="219"/>
      <c r="R33" s="221"/>
      <c r="S33" s="221"/>
      <c r="T33" s="222"/>
      <c r="U33" s="219"/>
      <c r="V33" s="221"/>
      <c r="W33" s="221"/>
      <c r="X33" s="222"/>
      <c r="Y33" s="219"/>
      <c r="Z33" s="221"/>
      <c r="AA33" s="221"/>
      <c r="AB33" s="222"/>
      <c r="AC33" s="219"/>
      <c r="AD33" s="221"/>
      <c r="AE33" s="221"/>
      <c r="AF33" s="222"/>
      <c r="AG33" s="219"/>
      <c r="AH33" s="221"/>
      <c r="AI33" s="221"/>
      <c r="AJ33" s="222"/>
      <c r="AK33" s="219"/>
      <c r="AL33" s="221"/>
      <c r="AM33" s="221"/>
      <c r="AN33" s="222"/>
      <c r="AO33" s="219"/>
      <c r="AP33" s="221"/>
      <c r="AQ33" s="221"/>
      <c r="AR33" s="222"/>
      <c r="AS33" s="219"/>
      <c r="AT33" s="221"/>
      <c r="AU33" s="221"/>
      <c r="AV33" s="222"/>
      <c r="AW33" s="219"/>
      <c r="AX33" s="221"/>
      <c r="AY33" s="221"/>
      <c r="AZ33" s="222"/>
      <c r="BA33" s="219"/>
      <c r="BB33" s="221"/>
      <c r="BC33" s="221"/>
      <c r="BD33" s="222"/>
      <c r="BE33" s="219"/>
      <c r="BF33" s="221"/>
      <c r="BG33" s="221"/>
      <c r="BH33" s="222"/>
    </row>
    <row r="34" spans="1:60" x14ac:dyDescent="0.25">
      <c r="A34" s="216"/>
      <c r="B34" s="221"/>
      <c r="C34" s="221"/>
      <c r="D34" s="222"/>
      <c r="E34" s="219"/>
      <c r="F34" s="221"/>
      <c r="G34" s="221"/>
      <c r="H34" s="222"/>
      <c r="I34" s="219"/>
      <c r="J34" s="221"/>
      <c r="K34" s="221"/>
      <c r="L34" s="222"/>
      <c r="M34" s="219"/>
      <c r="N34" s="221"/>
      <c r="O34" s="221"/>
      <c r="P34" s="222"/>
      <c r="Q34" s="219"/>
      <c r="R34" s="221"/>
      <c r="S34" s="221"/>
      <c r="T34" s="222"/>
      <c r="U34" s="219"/>
      <c r="V34" s="221"/>
      <c r="W34" s="221"/>
      <c r="X34" s="222"/>
      <c r="Y34" s="219"/>
      <c r="Z34" s="221"/>
      <c r="AA34" s="221"/>
      <c r="AB34" s="222"/>
      <c r="AC34" s="219"/>
      <c r="AD34" s="221"/>
      <c r="AE34" s="221"/>
      <c r="AF34" s="222"/>
      <c r="AG34" s="219"/>
      <c r="AH34" s="221"/>
      <c r="AI34" s="221"/>
      <c r="AJ34" s="222"/>
      <c r="AK34" s="219"/>
      <c r="AL34" s="221"/>
      <c r="AM34" s="221"/>
      <c r="AN34" s="222"/>
      <c r="AO34" s="219"/>
      <c r="AP34" s="221"/>
      <c r="AQ34" s="221"/>
      <c r="AR34" s="222"/>
      <c r="AS34" s="219"/>
      <c r="AT34" s="221"/>
      <c r="AU34" s="221"/>
      <c r="AV34" s="222"/>
      <c r="AW34" s="219"/>
      <c r="AX34" s="221"/>
      <c r="AY34" s="221"/>
      <c r="AZ34" s="222"/>
      <c r="BA34" s="219"/>
      <c r="BB34" s="221"/>
      <c r="BC34" s="221"/>
      <c r="BD34" s="222"/>
      <c r="BE34" s="219"/>
      <c r="BF34" s="221"/>
      <c r="BG34" s="221"/>
      <c r="BH34" s="222"/>
    </row>
    <row r="35" spans="1:60" x14ac:dyDescent="0.25">
      <c r="A35" s="216"/>
      <c r="B35" s="221"/>
      <c r="C35" s="221"/>
      <c r="D35" s="222"/>
      <c r="E35" s="219"/>
      <c r="F35" s="221"/>
      <c r="G35" s="221"/>
      <c r="H35" s="222"/>
      <c r="I35" s="219"/>
      <c r="J35" s="221"/>
      <c r="K35" s="221"/>
      <c r="L35" s="222"/>
      <c r="M35" s="219"/>
      <c r="N35" s="221"/>
      <c r="O35" s="221"/>
      <c r="P35" s="222"/>
      <c r="Q35" s="219"/>
      <c r="R35" s="221"/>
      <c r="S35" s="221"/>
      <c r="T35" s="222"/>
      <c r="U35" s="219"/>
      <c r="V35" s="221"/>
      <c r="W35" s="221"/>
      <c r="X35" s="222"/>
      <c r="Y35" s="219"/>
      <c r="Z35" s="221"/>
      <c r="AA35" s="221"/>
      <c r="AB35" s="222"/>
      <c r="AC35" s="219"/>
      <c r="AD35" s="221"/>
      <c r="AE35" s="221"/>
      <c r="AF35" s="222"/>
      <c r="AG35" s="219"/>
      <c r="AH35" s="221"/>
      <c r="AI35" s="221"/>
      <c r="AJ35" s="222"/>
      <c r="AK35" s="219"/>
      <c r="AL35" s="221"/>
      <c r="AM35" s="221"/>
      <c r="AN35" s="222"/>
      <c r="AO35" s="219"/>
      <c r="AP35" s="221"/>
      <c r="AQ35" s="221"/>
      <c r="AR35" s="222"/>
      <c r="AS35" s="219"/>
      <c r="AT35" s="221"/>
      <c r="AU35" s="221"/>
      <c r="AV35" s="222"/>
      <c r="AW35" s="219"/>
      <c r="AX35" s="221"/>
      <c r="AY35" s="221"/>
      <c r="AZ35" s="222"/>
      <c r="BA35" s="219"/>
      <c r="BB35" s="221"/>
      <c r="BC35" s="221"/>
      <c r="BD35" s="222"/>
      <c r="BE35" s="219"/>
      <c r="BF35" s="221"/>
      <c r="BG35" s="221"/>
      <c r="BH35" s="222"/>
    </row>
    <row r="36" spans="1:60" x14ac:dyDescent="0.25">
      <c r="A36" s="216"/>
      <c r="B36" s="221"/>
      <c r="C36" s="221"/>
      <c r="D36" s="222"/>
      <c r="E36" s="219"/>
      <c r="F36" s="221"/>
      <c r="G36" s="221"/>
      <c r="H36" s="222"/>
      <c r="I36" s="219"/>
      <c r="J36" s="221"/>
      <c r="K36" s="221"/>
      <c r="L36" s="222"/>
      <c r="M36" s="219"/>
      <c r="N36" s="221"/>
      <c r="O36" s="221"/>
      <c r="P36" s="222"/>
      <c r="Q36" s="219"/>
      <c r="R36" s="221"/>
      <c r="S36" s="221"/>
      <c r="T36" s="222"/>
      <c r="U36" s="219"/>
      <c r="V36" s="221"/>
      <c r="W36" s="221"/>
      <c r="X36" s="222"/>
      <c r="Y36" s="219"/>
      <c r="Z36" s="221"/>
      <c r="AA36" s="221"/>
      <c r="AB36" s="222"/>
      <c r="AC36" s="219"/>
      <c r="AD36" s="221"/>
      <c r="AE36" s="221"/>
      <c r="AF36" s="222"/>
      <c r="AG36" s="219"/>
      <c r="AH36" s="221"/>
      <c r="AI36" s="221"/>
      <c r="AJ36" s="222"/>
      <c r="AK36" s="219"/>
      <c r="AL36" s="221"/>
      <c r="AM36" s="221"/>
      <c r="AN36" s="222"/>
      <c r="AO36" s="219"/>
      <c r="AP36" s="221"/>
      <c r="AQ36" s="221"/>
      <c r="AR36" s="222"/>
      <c r="AS36" s="219"/>
      <c r="AT36" s="221"/>
      <c r="AU36" s="221"/>
      <c r="AV36" s="222"/>
      <c r="AW36" s="219"/>
      <c r="AX36" s="221"/>
      <c r="AY36" s="221"/>
      <c r="AZ36" s="222"/>
      <c r="BA36" s="219"/>
      <c r="BB36" s="221"/>
      <c r="BC36" s="221"/>
      <c r="BD36" s="222"/>
      <c r="BE36" s="219"/>
      <c r="BF36" s="221"/>
      <c r="BG36" s="221"/>
      <c r="BH36" s="222"/>
    </row>
    <row r="37" spans="1:60" x14ac:dyDescent="0.25">
      <c r="A37" s="216"/>
      <c r="B37" s="221"/>
      <c r="C37" s="221"/>
      <c r="D37" s="222"/>
      <c r="E37" s="219"/>
      <c r="F37" s="221"/>
      <c r="G37" s="221"/>
      <c r="H37" s="222"/>
      <c r="I37" s="219"/>
      <c r="J37" s="221"/>
      <c r="K37" s="221"/>
      <c r="L37" s="222"/>
      <c r="M37" s="219"/>
      <c r="N37" s="221"/>
      <c r="O37" s="221"/>
      <c r="P37" s="222"/>
      <c r="Q37" s="219"/>
      <c r="R37" s="221"/>
      <c r="S37" s="221"/>
      <c r="T37" s="222"/>
      <c r="U37" s="219"/>
      <c r="V37" s="221"/>
      <c r="W37" s="221"/>
      <c r="X37" s="222"/>
      <c r="Y37" s="219"/>
      <c r="Z37" s="221"/>
      <c r="AA37" s="221"/>
      <c r="AB37" s="222"/>
      <c r="AC37" s="219"/>
      <c r="AD37" s="221"/>
      <c r="AE37" s="221"/>
      <c r="AF37" s="222"/>
      <c r="AG37" s="219"/>
      <c r="AH37" s="221"/>
      <c r="AI37" s="221"/>
      <c r="AJ37" s="222"/>
      <c r="AK37" s="219"/>
      <c r="AL37" s="221"/>
      <c r="AM37" s="221"/>
      <c r="AN37" s="222"/>
      <c r="AO37" s="219"/>
      <c r="AP37" s="221"/>
      <c r="AQ37" s="221"/>
      <c r="AR37" s="222"/>
      <c r="AS37" s="219"/>
      <c r="AT37" s="221"/>
      <c r="AU37" s="221"/>
      <c r="AV37" s="222"/>
      <c r="AW37" s="219"/>
      <c r="AX37" s="221"/>
      <c r="AY37" s="221"/>
      <c r="AZ37" s="222"/>
      <c r="BA37" s="219"/>
      <c r="BB37" s="221"/>
      <c r="BC37" s="221"/>
      <c r="BD37" s="222"/>
      <c r="BE37" s="219"/>
      <c r="BF37" s="221"/>
      <c r="BG37" s="221"/>
      <c r="BH37" s="222"/>
    </row>
    <row r="38" spans="1:60" x14ac:dyDescent="0.25">
      <c r="A38" s="216"/>
      <c r="B38" s="221"/>
      <c r="C38" s="221"/>
      <c r="D38" s="222"/>
      <c r="E38" s="219"/>
      <c r="F38" s="221"/>
      <c r="G38" s="221"/>
      <c r="H38" s="222"/>
      <c r="I38" s="219"/>
      <c r="J38" s="221"/>
      <c r="K38" s="221"/>
      <c r="L38" s="222"/>
      <c r="M38" s="219"/>
      <c r="N38" s="221"/>
      <c r="O38" s="221"/>
      <c r="P38" s="222"/>
      <c r="Q38" s="219"/>
      <c r="R38" s="221"/>
      <c r="S38" s="221"/>
      <c r="T38" s="222"/>
      <c r="U38" s="219"/>
      <c r="V38" s="221"/>
      <c r="W38" s="221"/>
      <c r="X38" s="222"/>
      <c r="Y38" s="219"/>
      <c r="Z38" s="221"/>
      <c r="AA38" s="221"/>
      <c r="AB38" s="222"/>
      <c r="AC38" s="219"/>
      <c r="AD38" s="221"/>
      <c r="AE38" s="221"/>
      <c r="AF38" s="222"/>
      <c r="AG38" s="219"/>
      <c r="AH38" s="221"/>
      <c r="AI38" s="221"/>
      <c r="AJ38" s="222"/>
      <c r="AK38" s="219"/>
      <c r="AL38" s="221"/>
      <c r="AM38" s="221"/>
      <c r="AN38" s="222"/>
      <c r="AO38" s="219"/>
      <c r="AP38" s="221"/>
      <c r="AQ38" s="221"/>
      <c r="AR38" s="222"/>
      <c r="AS38" s="219"/>
      <c r="AT38" s="221"/>
      <c r="AU38" s="221"/>
      <c r="AV38" s="222"/>
      <c r="AW38" s="219"/>
      <c r="AX38" s="221"/>
      <c r="AY38" s="221"/>
      <c r="AZ38" s="222"/>
      <c r="BA38" s="219"/>
      <c r="BB38" s="221"/>
      <c r="BC38" s="221"/>
      <c r="BD38" s="222"/>
      <c r="BE38" s="219"/>
      <c r="BF38" s="221"/>
      <c r="BG38" s="221"/>
      <c r="BH38" s="222"/>
    </row>
    <row r="39" spans="1:60" x14ac:dyDescent="0.25">
      <c r="A39" s="216"/>
      <c r="B39" s="221"/>
      <c r="C39" s="221"/>
      <c r="D39" s="222"/>
      <c r="E39" s="219"/>
      <c r="F39" s="221"/>
      <c r="G39" s="221"/>
      <c r="H39" s="222"/>
      <c r="I39" s="219"/>
      <c r="J39" s="221"/>
      <c r="K39" s="221"/>
      <c r="L39" s="222"/>
      <c r="M39" s="219"/>
      <c r="N39" s="221"/>
      <c r="O39" s="221"/>
      <c r="P39" s="222"/>
      <c r="Q39" s="219"/>
      <c r="R39" s="221"/>
      <c r="S39" s="221"/>
      <c r="T39" s="222"/>
      <c r="U39" s="219"/>
      <c r="V39" s="221"/>
      <c r="W39" s="221"/>
      <c r="X39" s="222"/>
      <c r="Y39" s="219"/>
      <c r="Z39" s="221"/>
      <c r="AA39" s="221"/>
      <c r="AB39" s="222"/>
      <c r="AC39" s="219"/>
      <c r="AD39" s="221"/>
      <c r="AE39" s="221"/>
      <c r="AF39" s="222"/>
      <c r="AG39" s="219"/>
      <c r="AH39" s="221"/>
      <c r="AI39" s="221"/>
      <c r="AJ39" s="222"/>
      <c r="AK39" s="219"/>
      <c r="AL39" s="221"/>
      <c r="AM39" s="221"/>
      <c r="AN39" s="222"/>
      <c r="AO39" s="219"/>
      <c r="AP39" s="221"/>
      <c r="AQ39" s="221"/>
      <c r="AR39" s="222"/>
      <c r="AS39" s="219"/>
      <c r="AT39" s="221"/>
      <c r="AU39" s="221"/>
      <c r="AV39" s="222"/>
      <c r="AW39" s="219"/>
      <c r="AX39" s="221"/>
      <c r="AY39" s="221"/>
      <c r="AZ39" s="222"/>
      <c r="BA39" s="219"/>
      <c r="BB39" s="221"/>
      <c r="BC39" s="221"/>
      <c r="BD39" s="222"/>
      <c r="BE39" s="219"/>
      <c r="BF39" s="221"/>
      <c r="BG39" s="221"/>
      <c r="BH39" s="222"/>
    </row>
    <row r="40" spans="1:60" x14ac:dyDescent="0.25">
      <c r="A40" s="216"/>
      <c r="B40" s="221"/>
      <c r="C40" s="221"/>
      <c r="D40" s="222"/>
      <c r="E40" s="219"/>
      <c r="F40" s="221"/>
      <c r="G40" s="221"/>
      <c r="H40" s="222"/>
      <c r="I40" s="219"/>
      <c r="J40" s="221"/>
      <c r="K40" s="221"/>
      <c r="L40" s="222"/>
      <c r="M40" s="219"/>
      <c r="N40" s="221"/>
      <c r="O40" s="221"/>
      <c r="P40" s="222"/>
      <c r="Q40" s="219"/>
      <c r="R40" s="221"/>
      <c r="S40" s="221"/>
      <c r="T40" s="222"/>
      <c r="U40" s="219"/>
      <c r="V40" s="221"/>
      <c r="W40" s="221"/>
      <c r="X40" s="222"/>
      <c r="Y40" s="219"/>
      <c r="Z40" s="221"/>
      <c r="AA40" s="221"/>
      <c r="AB40" s="222"/>
      <c r="AC40" s="219"/>
      <c r="AD40" s="221"/>
      <c r="AE40" s="221"/>
      <c r="AF40" s="222"/>
      <c r="AG40" s="219"/>
      <c r="AH40" s="221"/>
      <c r="AI40" s="221"/>
      <c r="AJ40" s="222"/>
      <c r="AK40" s="219"/>
      <c r="AL40" s="221"/>
      <c r="AM40" s="221"/>
      <c r="AN40" s="222"/>
      <c r="AO40" s="219"/>
      <c r="AP40" s="221"/>
      <c r="AQ40" s="221"/>
      <c r="AR40" s="222"/>
      <c r="AS40" s="219"/>
      <c r="AT40" s="221"/>
      <c r="AU40" s="221"/>
      <c r="AV40" s="222"/>
      <c r="AW40" s="219"/>
      <c r="AX40" s="221"/>
      <c r="AY40" s="221"/>
      <c r="AZ40" s="222"/>
      <c r="BA40" s="219"/>
      <c r="BB40" s="221"/>
      <c r="BC40" s="221"/>
      <c r="BD40" s="222"/>
      <c r="BE40" s="219"/>
      <c r="BF40" s="221"/>
      <c r="BG40" s="221"/>
      <c r="BH40" s="222"/>
    </row>
    <row r="41" spans="1:60" x14ac:dyDescent="0.25">
      <c r="A41" s="216"/>
      <c r="B41" s="221"/>
      <c r="C41" s="221"/>
      <c r="D41" s="222"/>
      <c r="E41" s="219"/>
      <c r="F41" s="221"/>
      <c r="G41" s="221"/>
      <c r="H41" s="222"/>
      <c r="I41" s="219"/>
      <c r="J41" s="221"/>
      <c r="K41" s="221"/>
      <c r="L41" s="222"/>
      <c r="M41" s="219"/>
      <c r="N41" s="221"/>
      <c r="O41" s="221"/>
      <c r="P41" s="222"/>
      <c r="Q41" s="219"/>
      <c r="R41" s="221"/>
      <c r="S41" s="221"/>
      <c r="T41" s="222"/>
      <c r="U41" s="219"/>
      <c r="V41" s="221"/>
      <c r="W41" s="221"/>
      <c r="X41" s="222"/>
      <c r="Y41" s="219"/>
      <c r="Z41" s="221"/>
      <c r="AA41" s="221"/>
      <c r="AB41" s="222"/>
      <c r="AC41" s="219"/>
      <c r="AD41" s="221"/>
      <c r="AE41" s="221"/>
      <c r="AF41" s="222"/>
      <c r="AG41" s="219"/>
      <c r="AH41" s="221"/>
      <c r="AI41" s="221"/>
      <c r="AJ41" s="222"/>
      <c r="AK41" s="219"/>
      <c r="AL41" s="221"/>
      <c r="AM41" s="221"/>
      <c r="AN41" s="222"/>
      <c r="AO41" s="219"/>
      <c r="AP41" s="221"/>
      <c r="AQ41" s="221"/>
      <c r="AR41" s="222"/>
      <c r="AS41" s="219"/>
      <c r="AT41" s="221"/>
      <c r="AU41" s="221"/>
      <c r="AV41" s="222"/>
      <c r="AW41" s="219"/>
      <c r="AX41" s="221"/>
      <c r="AY41" s="221"/>
      <c r="AZ41" s="222"/>
      <c r="BA41" s="219"/>
      <c r="BB41" s="221"/>
      <c r="BC41" s="221"/>
      <c r="BD41" s="222"/>
      <c r="BE41" s="219"/>
      <c r="BF41" s="221"/>
      <c r="BG41" s="221"/>
      <c r="BH41" s="222"/>
    </row>
    <row r="42" spans="1:60" x14ac:dyDescent="0.25">
      <c r="A42" s="216"/>
      <c r="B42" s="221"/>
      <c r="C42" s="221"/>
      <c r="D42" s="222"/>
      <c r="E42" s="219"/>
      <c r="F42" s="221"/>
      <c r="G42" s="221"/>
      <c r="H42" s="222"/>
      <c r="I42" s="219"/>
      <c r="J42" s="221"/>
      <c r="K42" s="221"/>
      <c r="L42" s="222"/>
      <c r="M42" s="219"/>
      <c r="N42" s="221"/>
      <c r="O42" s="221"/>
      <c r="P42" s="222"/>
      <c r="Q42" s="219"/>
      <c r="R42" s="221"/>
      <c r="S42" s="221"/>
      <c r="T42" s="222"/>
      <c r="U42" s="219"/>
      <c r="V42" s="221"/>
      <c r="W42" s="221"/>
      <c r="X42" s="222"/>
      <c r="Y42" s="219"/>
      <c r="Z42" s="221"/>
      <c r="AA42" s="221"/>
      <c r="AB42" s="222"/>
      <c r="AC42" s="219"/>
      <c r="AD42" s="221"/>
      <c r="AE42" s="221"/>
      <c r="AF42" s="222"/>
      <c r="AG42" s="219"/>
      <c r="AH42" s="221"/>
      <c r="AI42" s="221"/>
      <c r="AJ42" s="222"/>
      <c r="AK42" s="219"/>
      <c r="AL42" s="221"/>
      <c r="AM42" s="221"/>
      <c r="AN42" s="222"/>
      <c r="AO42" s="219"/>
      <c r="AP42" s="221"/>
      <c r="AQ42" s="221"/>
      <c r="AR42" s="222"/>
      <c r="AS42" s="219"/>
      <c r="AT42" s="221"/>
      <c r="AU42" s="221"/>
      <c r="AV42" s="222"/>
      <c r="AW42" s="219"/>
      <c r="AX42" s="221"/>
      <c r="AY42" s="221"/>
      <c r="AZ42" s="222"/>
      <c r="BA42" s="219"/>
      <c r="BB42" s="221"/>
      <c r="BC42" s="221"/>
      <c r="BD42" s="222"/>
      <c r="BE42" s="219"/>
      <c r="BF42" s="221"/>
      <c r="BG42" s="221"/>
      <c r="BH42" s="222"/>
    </row>
    <row r="43" spans="1:60" ht="15.75" thickBot="1" x14ac:dyDescent="0.3">
      <c r="A43" s="228"/>
      <c r="B43" s="229"/>
      <c r="C43" s="229"/>
      <c r="D43" s="230"/>
      <c r="E43" s="219"/>
      <c r="F43" s="221"/>
      <c r="G43" s="221"/>
      <c r="H43" s="222"/>
      <c r="I43" s="219"/>
      <c r="J43" s="221"/>
      <c r="K43" s="221"/>
      <c r="L43" s="222"/>
      <c r="M43" s="219"/>
      <c r="N43" s="221"/>
      <c r="O43" s="221"/>
      <c r="P43" s="222"/>
      <c r="Q43" s="219"/>
      <c r="R43" s="221"/>
      <c r="S43" s="221"/>
      <c r="T43" s="222"/>
      <c r="U43" s="219"/>
      <c r="V43" s="221"/>
      <c r="W43" s="221"/>
      <c r="X43" s="222"/>
      <c r="Y43" s="219"/>
      <c r="Z43" s="221"/>
      <c r="AA43" s="221"/>
      <c r="AB43" s="222"/>
      <c r="AC43" s="219"/>
      <c r="AD43" s="221"/>
      <c r="AE43" s="221"/>
      <c r="AF43" s="222"/>
      <c r="AG43" s="219"/>
      <c r="AH43" s="221"/>
      <c r="AI43" s="221"/>
      <c r="AJ43" s="222"/>
      <c r="AK43" s="219"/>
      <c r="AL43" s="221"/>
      <c r="AM43" s="221"/>
      <c r="AN43" s="222"/>
      <c r="AO43" s="219"/>
      <c r="AP43" s="221"/>
      <c r="AQ43" s="221"/>
      <c r="AR43" s="222"/>
      <c r="AS43" s="219"/>
      <c r="AT43" s="221"/>
      <c r="AU43" s="221"/>
      <c r="AV43" s="222"/>
      <c r="AW43" s="219"/>
      <c r="AX43" s="221"/>
      <c r="AY43" s="221"/>
      <c r="AZ43" s="222"/>
      <c r="BA43" s="219"/>
      <c r="BB43" s="221"/>
      <c r="BC43" s="221"/>
      <c r="BD43" s="222"/>
      <c r="BE43" s="219"/>
      <c r="BF43" s="221"/>
      <c r="BG43" s="221"/>
      <c r="BH43" s="222"/>
    </row>
    <row r="44" spans="1:60" ht="15.75" thickBot="1" x14ac:dyDescent="0.3">
      <c r="A44" s="300" t="s">
        <v>435</v>
      </c>
      <c r="B44" s="301"/>
      <c r="C44" s="301"/>
      <c r="D44" s="302"/>
      <c r="E44" s="300" t="s">
        <v>435</v>
      </c>
      <c r="F44" s="301"/>
      <c r="G44" s="301"/>
      <c r="H44" s="302"/>
      <c r="I44" s="300" t="s">
        <v>435</v>
      </c>
      <c r="J44" s="301"/>
      <c r="K44" s="301"/>
      <c r="L44" s="302"/>
      <c r="M44" s="300" t="s">
        <v>435</v>
      </c>
      <c r="N44" s="301"/>
      <c r="O44" s="301"/>
      <c r="P44" s="302"/>
      <c r="Q44" s="300" t="s">
        <v>435</v>
      </c>
      <c r="R44" s="301"/>
      <c r="S44" s="301"/>
      <c r="T44" s="302"/>
      <c r="U44" s="300" t="s">
        <v>435</v>
      </c>
      <c r="V44" s="301"/>
      <c r="W44" s="301"/>
      <c r="X44" s="302"/>
      <c r="Y44" s="300" t="s">
        <v>435</v>
      </c>
      <c r="Z44" s="301"/>
      <c r="AA44" s="301"/>
      <c r="AB44" s="302"/>
      <c r="AC44" s="300" t="s">
        <v>435</v>
      </c>
      <c r="AD44" s="301"/>
      <c r="AE44" s="301"/>
      <c r="AF44" s="302"/>
      <c r="AG44" s="300" t="s">
        <v>435</v>
      </c>
      <c r="AH44" s="301"/>
      <c r="AI44" s="301"/>
      <c r="AJ44" s="302"/>
      <c r="AK44" s="300" t="s">
        <v>435</v>
      </c>
      <c r="AL44" s="301"/>
      <c r="AM44" s="301"/>
      <c r="AN44" s="302"/>
      <c r="AO44" s="300" t="s">
        <v>435</v>
      </c>
      <c r="AP44" s="301"/>
      <c r="AQ44" s="301"/>
      <c r="AR44" s="302"/>
      <c r="AS44" s="300" t="s">
        <v>435</v>
      </c>
      <c r="AT44" s="301"/>
      <c r="AU44" s="301"/>
      <c r="AV44" s="302"/>
      <c r="AW44" s="300" t="s">
        <v>435</v>
      </c>
      <c r="AX44" s="301"/>
      <c r="AY44" s="301"/>
      <c r="AZ44" s="302"/>
      <c r="BA44" s="300" t="s">
        <v>435</v>
      </c>
      <c r="BB44" s="301"/>
      <c r="BC44" s="301"/>
      <c r="BD44" s="302"/>
      <c r="BE44" s="300" t="s">
        <v>435</v>
      </c>
      <c r="BF44" s="301"/>
      <c r="BG44" s="301"/>
      <c r="BH44" s="302"/>
    </row>
    <row r="45" spans="1:60" x14ac:dyDescent="0.25">
      <c r="A45" s="216"/>
      <c r="B45" s="216"/>
      <c r="C45" s="216"/>
      <c r="D45" s="235"/>
      <c r="E45" s="219"/>
      <c r="F45" s="216"/>
      <c r="G45" s="216"/>
      <c r="H45" s="235"/>
      <c r="I45" s="219"/>
      <c r="J45" s="216"/>
      <c r="K45" s="216"/>
      <c r="L45" s="235"/>
      <c r="M45" s="219"/>
      <c r="N45" s="216"/>
      <c r="O45" s="216"/>
      <c r="P45" s="235"/>
      <c r="Q45" s="219"/>
      <c r="R45" s="216"/>
      <c r="S45" s="216"/>
      <c r="T45" s="235"/>
      <c r="U45" s="219"/>
      <c r="V45" s="216"/>
      <c r="W45" s="216"/>
      <c r="X45" s="235"/>
      <c r="Y45" s="219"/>
      <c r="Z45" s="216"/>
      <c r="AA45" s="216"/>
      <c r="AB45" s="235"/>
      <c r="AC45" s="219"/>
      <c r="AD45" s="216"/>
      <c r="AE45" s="216"/>
      <c r="AF45" s="235"/>
      <c r="AG45" s="219"/>
      <c r="AH45" s="216"/>
      <c r="AI45" s="216"/>
      <c r="AJ45" s="235"/>
      <c r="AK45" s="219"/>
      <c r="AL45" s="216"/>
      <c r="AM45" s="216"/>
      <c r="AN45" s="235"/>
      <c r="AO45" s="219"/>
      <c r="AP45" s="216"/>
      <c r="AQ45" s="216"/>
      <c r="AR45" s="235"/>
      <c r="AS45" s="219"/>
      <c r="AT45" s="216"/>
      <c r="AU45" s="216"/>
      <c r="AV45" s="235"/>
      <c r="AW45" s="219"/>
      <c r="AX45" s="216"/>
      <c r="AY45" s="216"/>
      <c r="AZ45" s="235"/>
      <c r="BA45" s="219"/>
      <c r="BB45" s="216"/>
      <c r="BC45" s="216"/>
      <c r="BD45" s="235"/>
      <c r="BE45" s="219"/>
      <c r="BF45" s="216"/>
      <c r="BG45" s="216"/>
      <c r="BH45" s="235"/>
    </row>
    <row r="46" spans="1:60" x14ac:dyDescent="0.25">
      <c r="A46" s="231" t="s">
        <v>424</v>
      </c>
      <c r="B46" s="231" t="s">
        <v>462</v>
      </c>
      <c r="C46" s="231"/>
      <c r="D46" s="177"/>
      <c r="E46" s="233" t="s">
        <v>424</v>
      </c>
      <c r="F46" s="231"/>
      <c r="G46" s="231"/>
      <c r="H46" s="177"/>
      <c r="I46" s="233" t="s">
        <v>424</v>
      </c>
      <c r="J46" s="231"/>
      <c r="K46" s="231"/>
      <c r="L46" s="177"/>
      <c r="M46" s="233" t="s">
        <v>424</v>
      </c>
      <c r="N46" s="231"/>
      <c r="O46" s="231"/>
      <c r="P46" s="177"/>
      <c r="Q46" s="233" t="s">
        <v>424</v>
      </c>
      <c r="R46" s="231"/>
      <c r="S46" s="231"/>
      <c r="T46" s="177"/>
      <c r="U46" s="233" t="s">
        <v>424</v>
      </c>
      <c r="V46" s="231" t="s">
        <v>462</v>
      </c>
      <c r="W46" s="231"/>
      <c r="X46" s="177"/>
      <c r="Y46" s="233" t="s">
        <v>424</v>
      </c>
      <c r="Z46" s="231"/>
      <c r="AA46" s="231"/>
      <c r="AB46" s="177"/>
      <c r="AC46" s="233" t="s">
        <v>424</v>
      </c>
      <c r="AD46" s="231"/>
      <c r="AE46" s="231"/>
      <c r="AF46" s="177"/>
      <c r="AG46" s="233" t="s">
        <v>424</v>
      </c>
      <c r="AH46" s="231"/>
      <c r="AI46" s="231"/>
      <c r="AJ46" s="177"/>
      <c r="AK46" s="233" t="s">
        <v>424</v>
      </c>
      <c r="AL46" s="231"/>
      <c r="AM46" s="231"/>
      <c r="AN46" s="177"/>
      <c r="AO46" s="233" t="s">
        <v>424</v>
      </c>
      <c r="AP46" s="231" t="s">
        <v>462</v>
      </c>
      <c r="AQ46" s="231"/>
      <c r="AR46" s="177"/>
      <c r="AS46" s="233" t="s">
        <v>424</v>
      </c>
      <c r="AT46" s="231"/>
      <c r="AU46" s="231"/>
      <c r="AV46" s="177"/>
      <c r="AW46" s="233" t="s">
        <v>424</v>
      </c>
      <c r="AX46" s="231"/>
      <c r="AY46" s="231"/>
      <c r="AZ46" s="177"/>
      <c r="BA46" s="233" t="s">
        <v>424</v>
      </c>
      <c r="BB46" s="231"/>
      <c r="BC46" s="231"/>
      <c r="BD46" s="177"/>
      <c r="BE46" s="233" t="s">
        <v>424</v>
      </c>
      <c r="BF46" s="231"/>
      <c r="BG46" s="231"/>
      <c r="BH46" s="177"/>
    </row>
    <row r="47" spans="1:60" x14ac:dyDescent="0.25">
      <c r="A47" s="232" t="s">
        <v>425</v>
      </c>
      <c r="B47" s="231" t="s">
        <v>438</v>
      </c>
      <c r="C47" s="231"/>
      <c r="D47" s="177"/>
      <c r="E47" s="234" t="s">
        <v>425</v>
      </c>
      <c r="F47" s="231"/>
      <c r="G47" s="231"/>
      <c r="H47" s="177"/>
      <c r="I47" s="234" t="s">
        <v>425</v>
      </c>
      <c r="J47" s="231"/>
      <c r="K47" s="231"/>
      <c r="L47" s="177"/>
      <c r="M47" s="234" t="s">
        <v>425</v>
      </c>
      <c r="N47" s="231"/>
      <c r="O47" s="231"/>
      <c r="P47" s="177"/>
      <c r="Q47" s="234" t="s">
        <v>425</v>
      </c>
      <c r="R47" s="231"/>
      <c r="S47" s="231"/>
      <c r="T47" s="177"/>
      <c r="U47" s="234" t="s">
        <v>425</v>
      </c>
      <c r="V47" s="231" t="s">
        <v>438</v>
      </c>
      <c r="W47" s="231"/>
      <c r="X47" s="177"/>
      <c r="Y47" s="234" t="s">
        <v>425</v>
      </c>
      <c r="Z47" s="231"/>
      <c r="AA47" s="231"/>
      <c r="AB47" s="177"/>
      <c r="AC47" s="234" t="s">
        <v>425</v>
      </c>
      <c r="AD47" s="231"/>
      <c r="AE47" s="231"/>
      <c r="AF47" s="177"/>
      <c r="AG47" s="234" t="s">
        <v>425</v>
      </c>
      <c r="AH47" s="231"/>
      <c r="AI47" s="231"/>
      <c r="AJ47" s="177"/>
      <c r="AK47" s="234" t="s">
        <v>425</v>
      </c>
      <c r="AL47" s="231"/>
      <c r="AM47" s="231"/>
      <c r="AN47" s="177"/>
      <c r="AO47" s="234" t="s">
        <v>425</v>
      </c>
      <c r="AP47" s="231" t="s">
        <v>438</v>
      </c>
      <c r="AQ47" s="231"/>
      <c r="AR47" s="177"/>
      <c r="AS47" s="234" t="s">
        <v>425</v>
      </c>
      <c r="AT47" s="231"/>
      <c r="AU47" s="231"/>
      <c r="AV47" s="177"/>
      <c r="AW47" s="234" t="s">
        <v>425</v>
      </c>
      <c r="AX47" s="231"/>
      <c r="AY47" s="231"/>
      <c r="AZ47" s="177"/>
      <c r="BA47" s="234" t="s">
        <v>425</v>
      </c>
      <c r="BB47" s="231"/>
      <c r="BC47" s="231"/>
      <c r="BD47" s="177"/>
      <c r="BE47" s="234" t="s">
        <v>425</v>
      </c>
      <c r="BF47" s="231"/>
      <c r="BG47" s="231"/>
      <c r="BH47" s="177"/>
    </row>
    <row r="48" spans="1:60" x14ac:dyDescent="0.25">
      <c r="A48" s="232" t="s">
        <v>426</v>
      </c>
      <c r="B48" s="231" t="s">
        <v>463</v>
      </c>
      <c r="C48" s="231"/>
      <c r="D48" s="177"/>
      <c r="E48" s="234" t="s">
        <v>426</v>
      </c>
      <c r="F48" s="231"/>
      <c r="G48" s="231"/>
      <c r="H48" s="177"/>
      <c r="I48" s="234" t="s">
        <v>426</v>
      </c>
      <c r="J48" s="231"/>
      <c r="K48" s="231"/>
      <c r="L48" s="177"/>
      <c r="M48" s="234" t="s">
        <v>426</v>
      </c>
      <c r="N48" s="231"/>
      <c r="O48" s="231"/>
      <c r="P48" s="177"/>
      <c r="Q48" s="234" t="s">
        <v>426</v>
      </c>
      <c r="R48" s="231"/>
      <c r="S48" s="231"/>
      <c r="T48" s="177"/>
      <c r="U48" s="234" t="s">
        <v>426</v>
      </c>
      <c r="V48" s="231" t="s">
        <v>463</v>
      </c>
      <c r="W48" s="231"/>
      <c r="X48" s="177"/>
      <c r="Y48" s="234" t="s">
        <v>426</v>
      </c>
      <c r="Z48" s="231"/>
      <c r="AA48" s="231"/>
      <c r="AB48" s="177"/>
      <c r="AC48" s="234" t="s">
        <v>426</v>
      </c>
      <c r="AD48" s="231"/>
      <c r="AE48" s="231"/>
      <c r="AF48" s="177"/>
      <c r="AG48" s="234" t="s">
        <v>426</v>
      </c>
      <c r="AH48" s="231"/>
      <c r="AI48" s="231"/>
      <c r="AJ48" s="177"/>
      <c r="AK48" s="234" t="s">
        <v>426</v>
      </c>
      <c r="AL48" s="231"/>
      <c r="AM48" s="231"/>
      <c r="AN48" s="177"/>
      <c r="AO48" s="234" t="s">
        <v>426</v>
      </c>
      <c r="AP48" s="231" t="s">
        <v>463</v>
      </c>
      <c r="AQ48" s="231"/>
      <c r="AR48" s="177"/>
      <c r="AS48" s="234" t="s">
        <v>426</v>
      </c>
      <c r="AT48" s="231"/>
      <c r="AU48" s="231"/>
      <c r="AV48" s="177"/>
      <c r="AW48" s="234" t="s">
        <v>426</v>
      </c>
      <c r="AX48" s="231"/>
      <c r="AY48" s="231"/>
      <c r="AZ48" s="177"/>
      <c r="BA48" s="234" t="s">
        <v>426</v>
      </c>
      <c r="BB48" s="231"/>
      <c r="BC48" s="231"/>
      <c r="BD48" s="177"/>
      <c r="BE48" s="234" t="s">
        <v>426</v>
      </c>
      <c r="BF48" s="231"/>
      <c r="BG48" s="231"/>
      <c r="BH48" s="177"/>
    </row>
    <row r="49" spans="1:60" x14ac:dyDescent="0.25">
      <c r="A49" s="231" t="s">
        <v>427</v>
      </c>
      <c r="B49" s="231" t="s">
        <v>464</v>
      </c>
      <c r="C49" s="231"/>
      <c r="D49" s="177"/>
      <c r="E49" s="233" t="s">
        <v>427</v>
      </c>
      <c r="F49" s="231"/>
      <c r="G49" s="231"/>
      <c r="H49" s="177"/>
      <c r="I49" s="233" t="s">
        <v>427</v>
      </c>
      <c r="J49" s="231"/>
      <c r="K49" s="231"/>
      <c r="L49" s="177"/>
      <c r="M49" s="233" t="s">
        <v>427</v>
      </c>
      <c r="N49" s="231"/>
      <c r="O49" s="231"/>
      <c r="P49" s="177"/>
      <c r="Q49" s="233" t="s">
        <v>427</v>
      </c>
      <c r="R49" s="231"/>
      <c r="S49" s="231"/>
      <c r="T49" s="177"/>
      <c r="U49" s="233" t="s">
        <v>427</v>
      </c>
      <c r="V49" s="231" t="s">
        <v>464</v>
      </c>
      <c r="W49" s="231"/>
      <c r="X49" s="177"/>
      <c r="Y49" s="233" t="s">
        <v>427</v>
      </c>
      <c r="Z49" s="231"/>
      <c r="AA49" s="231"/>
      <c r="AB49" s="177"/>
      <c r="AC49" s="233" t="s">
        <v>427</v>
      </c>
      <c r="AD49" s="231"/>
      <c r="AE49" s="231"/>
      <c r="AF49" s="177"/>
      <c r="AG49" s="233" t="s">
        <v>427</v>
      </c>
      <c r="AH49" s="231"/>
      <c r="AI49" s="231"/>
      <c r="AJ49" s="177"/>
      <c r="AK49" s="233" t="s">
        <v>427</v>
      </c>
      <c r="AL49" s="231"/>
      <c r="AM49" s="231"/>
      <c r="AN49" s="177"/>
      <c r="AO49" s="233" t="s">
        <v>427</v>
      </c>
      <c r="AP49" s="231" t="s">
        <v>464</v>
      </c>
      <c r="AQ49" s="231"/>
      <c r="AR49" s="177"/>
      <c r="AS49" s="233" t="s">
        <v>427</v>
      </c>
      <c r="AT49" s="231"/>
      <c r="AU49" s="231"/>
      <c r="AV49" s="177"/>
      <c r="AW49" s="233" t="s">
        <v>427</v>
      </c>
      <c r="AX49" s="231"/>
      <c r="AY49" s="231"/>
      <c r="AZ49" s="177"/>
      <c r="BA49" s="233" t="s">
        <v>427</v>
      </c>
      <c r="BB49" s="231"/>
      <c r="BC49" s="231"/>
      <c r="BD49" s="177"/>
      <c r="BE49" s="233" t="s">
        <v>427</v>
      </c>
      <c r="BF49" s="231"/>
      <c r="BG49" s="231"/>
      <c r="BH49" s="177"/>
    </row>
    <row r="50" spans="1:60" x14ac:dyDescent="0.25">
      <c r="A50" s="231" t="s">
        <v>428</v>
      </c>
      <c r="B50" s="231" t="s">
        <v>465</v>
      </c>
      <c r="C50" s="231"/>
      <c r="D50" s="177"/>
      <c r="E50" s="233" t="s">
        <v>428</v>
      </c>
      <c r="F50" s="231"/>
      <c r="G50" s="231"/>
      <c r="H50" s="177"/>
      <c r="I50" s="233" t="s">
        <v>428</v>
      </c>
      <c r="J50" s="231"/>
      <c r="K50" s="231"/>
      <c r="L50" s="177"/>
      <c r="M50" s="233" t="s">
        <v>428</v>
      </c>
      <c r="N50" s="231"/>
      <c r="O50" s="231"/>
      <c r="P50" s="177"/>
      <c r="Q50" s="233" t="s">
        <v>428</v>
      </c>
      <c r="R50" s="231"/>
      <c r="S50" s="231"/>
      <c r="T50" s="177"/>
      <c r="U50" s="233" t="s">
        <v>428</v>
      </c>
      <c r="V50" s="231" t="s">
        <v>465</v>
      </c>
      <c r="W50" s="231"/>
      <c r="X50" s="177"/>
      <c r="Y50" s="233" t="s">
        <v>428</v>
      </c>
      <c r="Z50" s="231"/>
      <c r="AA50" s="231"/>
      <c r="AB50" s="177"/>
      <c r="AC50" s="233" t="s">
        <v>428</v>
      </c>
      <c r="AD50" s="231"/>
      <c r="AE50" s="231"/>
      <c r="AF50" s="177"/>
      <c r="AG50" s="233" t="s">
        <v>428</v>
      </c>
      <c r="AH50" s="231"/>
      <c r="AI50" s="231"/>
      <c r="AJ50" s="177"/>
      <c r="AK50" s="233" t="s">
        <v>428</v>
      </c>
      <c r="AL50" s="231"/>
      <c r="AM50" s="231"/>
      <c r="AN50" s="177"/>
      <c r="AO50" s="233" t="s">
        <v>428</v>
      </c>
      <c r="AP50" s="231" t="s">
        <v>465</v>
      </c>
      <c r="AQ50" s="231"/>
      <c r="AR50" s="177"/>
      <c r="AS50" s="233" t="s">
        <v>428</v>
      </c>
      <c r="AT50" s="231"/>
      <c r="AU50" s="231"/>
      <c r="AV50" s="177"/>
      <c r="AW50" s="233" t="s">
        <v>428</v>
      </c>
      <c r="AX50" s="231"/>
      <c r="AY50" s="231"/>
      <c r="AZ50" s="177"/>
      <c r="BA50" s="233" t="s">
        <v>428</v>
      </c>
      <c r="BB50" s="231"/>
      <c r="BC50" s="231"/>
      <c r="BD50" s="177"/>
      <c r="BE50" s="233" t="s">
        <v>428</v>
      </c>
      <c r="BF50" s="231"/>
      <c r="BG50" s="231"/>
      <c r="BH50" s="177"/>
    </row>
    <row r="51" spans="1:60" ht="30" x14ac:dyDescent="0.25">
      <c r="A51" s="232" t="s">
        <v>429</v>
      </c>
      <c r="B51" s="231" t="s">
        <v>466</v>
      </c>
      <c r="C51" s="231"/>
      <c r="D51" s="177"/>
      <c r="E51" s="234" t="s">
        <v>429</v>
      </c>
      <c r="F51" s="231"/>
      <c r="G51" s="231"/>
      <c r="H51" s="177"/>
      <c r="I51" s="234" t="s">
        <v>429</v>
      </c>
      <c r="J51" s="231"/>
      <c r="K51" s="231"/>
      <c r="L51" s="177"/>
      <c r="M51" s="234" t="s">
        <v>429</v>
      </c>
      <c r="N51" s="231"/>
      <c r="O51" s="231"/>
      <c r="P51" s="177"/>
      <c r="Q51" s="234" t="s">
        <v>429</v>
      </c>
      <c r="R51" s="231"/>
      <c r="S51" s="231"/>
      <c r="T51" s="177"/>
      <c r="U51" s="234" t="s">
        <v>429</v>
      </c>
      <c r="V51" s="231" t="s">
        <v>466</v>
      </c>
      <c r="W51" s="231"/>
      <c r="X51" s="177"/>
      <c r="Y51" s="234" t="s">
        <v>429</v>
      </c>
      <c r="Z51" s="231"/>
      <c r="AA51" s="231"/>
      <c r="AB51" s="177"/>
      <c r="AC51" s="234" t="s">
        <v>429</v>
      </c>
      <c r="AD51" s="231"/>
      <c r="AE51" s="231"/>
      <c r="AF51" s="177"/>
      <c r="AG51" s="234" t="s">
        <v>429</v>
      </c>
      <c r="AH51" s="231"/>
      <c r="AI51" s="231"/>
      <c r="AJ51" s="177"/>
      <c r="AK51" s="234" t="s">
        <v>429</v>
      </c>
      <c r="AL51" s="231"/>
      <c r="AM51" s="231"/>
      <c r="AN51" s="177"/>
      <c r="AO51" s="234" t="s">
        <v>429</v>
      </c>
      <c r="AP51" s="231" t="s">
        <v>466</v>
      </c>
      <c r="AQ51" s="231"/>
      <c r="AR51" s="177"/>
      <c r="AS51" s="234" t="s">
        <v>429</v>
      </c>
      <c r="AT51" s="231"/>
      <c r="AU51" s="231"/>
      <c r="AV51" s="177"/>
      <c r="AW51" s="234" t="s">
        <v>429</v>
      </c>
      <c r="AX51" s="231"/>
      <c r="AY51" s="231"/>
      <c r="AZ51" s="177"/>
      <c r="BA51" s="234" t="s">
        <v>429</v>
      </c>
      <c r="BB51" s="231"/>
      <c r="BC51" s="231"/>
      <c r="BD51" s="177"/>
      <c r="BE51" s="234" t="s">
        <v>429</v>
      </c>
      <c r="BF51" s="231"/>
      <c r="BG51" s="231"/>
      <c r="BH51" s="177"/>
    </row>
    <row r="52" spans="1:60" x14ac:dyDescent="0.25">
      <c r="A52" s="231" t="s">
        <v>430</v>
      </c>
      <c r="B52" s="231" t="s">
        <v>467</v>
      </c>
      <c r="C52" s="231"/>
      <c r="D52" s="177"/>
      <c r="E52" s="233" t="s">
        <v>430</v>
      </c>
      <c r="F52" s="231"/>
      <c r="G52" s="231"/>
      <c r="H52" s="177"/>
      <c r="I52" s="233" t="s">
        <v>430</v>
      </c>
      <c r="J52" s="231"/>
      <c r="K52" s="231"/>
      <c r="L52" s="177"/>
      <c r="M52" s="233" t="s">
        <v>430</v>
      </c>
      <c r="N52" s="231"/>
      <c r="O52" s="231"/>
      <c r="P52" s="177"/>
      <c r="Q52" s="233" t="s">
        <v>430</v>
      </c>
      <c r="R52" s="231"/>
      <c r="S52" s="231"/>
      <c r="T52" s="177"/>
      <c r="U52" s="233" t="s">
        <v>430</v>
      </c>
      <c r="V52" s="231" t="s">
        <v>467</v>
      </c>
      <c r="W52" s="231"/>
      <c r="X52" s="177"/>
      <c r="Y52" s="233" t="s">
        <v>430</v>
      </c>
      <c r="Z52" s="231"/>
      <c r="AA52" s="231"/>
      <c r="AB52" s="177"/>
      <c r="AC52" s="233" t="s">
        <v>430</v>
      </c>
      <c r="AD52" s="231"/>
      <c r="AE52" s="231"/>
      <c r="AF52" s="177"/>
      <c r="AG52" s="233" t="s">
        <v>430</v>
      </c>
      <c r="AH52" s="231"/>
      <c r="AI52" s="231"/>
      <c r="AJ52" s="177"/>
      <c r="AK52" s="233" t="s">
        <v>430</v>
      </c>
      <c r="AL52" s="231"/>
      <c r="AM52" s="231"/>
      <c r="AN52" s="177"/>
      <c r="AO52" s="233" t="s">
        <v>430</v>
      </c>
      <c r="AP52" s="231" t="s">
        <v>472</v>
      </c>
      <c r="AQ52" s="231"/>
      <c r="AR52" s="177"/>
      <c r="AS52" s="233" t="s">
        <v>430</v>
      </c>
      <c r="AT52" s="231"/>
      <c r="AU52" s="231"/>
      <c r="AV52" s="177"/>
      <c r="AW52" s="233" t="s">
        <v>430</v>
      </c>
      <c r="AX52" s="231"/>
      <c r="AY52" s="231"/>
      <c r="AZ52" s="177"/>
      <c r="BA52" s="233" t="s">
        <v>430</v>
      </c>
      <c r="BB52" s="231"/>
      <c r="BC52" s="231"/>
      <c r="BD52" s="177"/>
      <c r="BE52" s="233" t="s">
        <v>430</v>
      </c>
      <c r="BF52" s="231"/>
      <c r="BG52" s="231"/>
      <c r="BH52" s="177"/>
    </row>
    <row r="53" spans="1:60" x14ac:dyDescent="0.25">
      <c r="A53" s="231" t="s">
        <v>431</v>
      </c>
      <c r="B53" s="231">
        <v>60</v>
      </c>
      <c r="C53" s="231"/>
      <c r="D53" s="177"/>
      <c r="E53" s="233" t="s">
        <v>431</v>
      </c>
      <c r="F53" s="231"/>
      <c r="G53" s="231"/>
      <c r="H53" s="177"/>
      <c r="I53" s="233" t="s">
        <v>431</v>
      </c>
      <c r="J53" s="231"/>
      <c r="K53" s="231"/>
      <c r="L53" s="177"/>
      <c r="M53" s="233" t="s">
        <v>431</v>
      </c>
      <c r="N53" s="231"/>
      <c r="O53" s="231"/>
      <c r="P53" s="177"/>
      <c r="Q53" s="233" t="s">
        <v>431</v>
      </c>
      <c r="R53" s="231"/>
      <c r="S53" s="231"/>
      <c r="T53" s="177"/>
      <c r="U53" s="233" t="s">
        <v>431</v>
      </c>
      <c r="V53" s="231">
        <v>60</v>
      </c>
      <c r="W53" s="231"/>
      <c r="X53" s="177"/>
      <c r="Y53" s="233" t="s">
        <v>431</v>
      </c>
      <c r="Z53" s="231"/>
      <c r="AA53" s="231"/>
      <c r="AB53" s="177"/>
      <c r="AC53" s="233" t="s">
        <v>431</v>
      </c>
      <c r="AD53" s="231"/>
      <c r="AE53" s="231"/>
      <c r="AF53" s="177"/>
      <c r="AG53" s="233" t="s">
        <v>431</v>
      </c>
      <c r="AH53" s="231"/>
      <c r="AI53" s="231"/>
      <c r="AJ53" s="177"/>
      <c r="AK53" s="233" t="s">
        <v>431</v>
      </c>
      <c r="AL53" s="231"/>
      <c r="AM53" s="231"/>
      <c r="AN53" s="177"/>
      <c r="AO53" s="233" t="s">
        <v>431</v>
      </c>
      <c r="AP53" s="231">
        <v>60</v>
      </c>
      <c r="AQ53" s="231"/>
      <c r="AR53" s="177"/>
      <c r="AS53" s="233" t="s">
        <v>431</v>
      </c>
      <c r="AT53" s="231"/>
      <c r="AU53" s="231"/>
      <c r="AV53" s="177"/>
      <c r="AW53" s="233" t="s">
        <v>431</v>
      </c>
      <c r="AX53" s="231"/>
      <c r="AY53" s="231"/>
      <c r="AZ53" s="177"/>
      <c r="BA53" s="233" t="s">
        <v>431</v>
      </c>
      <c r="BB53" s="231"/>
      <c r="BC53" s="231"/>
      <c r="BD53" s="177"/>
      <c r="BE53" s="233" t="s">
        <v>431</v>
      </c>
      <c r="BF53" s="231"/>
      <c r="BG53" s="231"/>
      <c r="BH53" s="177"/>
    </row>
    <row r="54" spans="1:60" x14ac:dyDescent="0.25">
      <c r="A54" s="231" t="s">
        <v>432</v>
      </c>
      <c r="B54" s="231">
        <v>11340</v>
      </c>
      <c r="C54" s="231"/>
      <c r="D54" s="177"/>
      <c r="E54" s="233" t="s">
        <v>432</v>
      </c>
      <c r="F54" s="231"/>
      <c r="G54" s="231"/>
      <c r="H54" s="177"/>
      <c r="I54" s="233" t="s">
        <v>432</v>
      </c>
      <c r="J54" s="231"/>
      <c r="K54" s="231"/>
      <c r="L54" s="177"/>
      <c r="M54" s="233" t="s">
        <v>432</v>
      </c>
      <c r="N54" s="231"/>
      <c r="O54" s="231"/>
      <c r="P54" s="177"/>
      <c r="Q54" s="233" t="s">
        <v>432</v>
      </c>
      <c r="R54" s="231"/>
      <c r="S54" s="231"/>
      <c r="T54" s="177"/>
      <c r="U54" s="233" t="s">
        <v>432</v>
      </c>
      <c r="V54" s="231">
        <v>10710</v>
      </c>
      <c r="W54" s="231"/>
      <c r="X54" s="177"/>
      <c r="Y54" s="233" t="s">
        <v>432</v>
      </c>
      <c r="Z54" s="231"/>
      <c r="AA54" s="231"/>
      <c r="AB54" s="177"/>
      <c r="AC54" s="233" t="s">
        <v>432</v>
      </c>
      <c r="AD54" s="231"/>
      <c r="AE54" s="231"/>
      <c r="AF54" s="177"/>
      <c r="AG54" s="233" t="s">
        <v>432</v>
      </c>
      <c r="AH54" s="231"/>
      <c r="AI54" s="231"/>
      <c r="AJ54" s="177"/>
      <c r="AK54" s="233" t="s">
        <v>432</v>
      </c>
      <c r="AL54" s="231"/>
      <c r="AM54" s="231"/>
      <c r="AN54" s="177"/>
      <c r="AO54" s="233" t="s">
        <v>432</v>
      </c>
      <c r="AP54" s="231">
        <v>10710</v>
      </c>
      <c r="AQ54" s="231"/>
      <c r="AR54" s="177"/>
      <c r="AS54" s="233" t="s">
        <v>432</v>
      </c>
      <c r="AT54" s="231"/>
      <c r="AU54" s="231"/>
      <c r="AV54" s="177"/>
      <c r="AW54" s="233" t="s">
        <v>432</v>
      </c>
      <c r="AX54" s="231"/>
      <c r="AY54" s="231"/>
      <c r="AZ54" s="177"/>
      <c r="BA54" s="233" t="s">
        <v>432</v>
      </c>
      <c r="BB54" s="231"/>
      <c r="BC54" s="231"/>
      <c r="BD54" s="177"/>
      <c r="BE54" s="233" t="s">
        <v>432</v>
      </c>
      <c r="BF54" s="231"/>
      <c r="BG54" s="231"/>
      <c r="BH54" s="177"/>
    </row>
    <row r="55" spans="1:60" x14ac:dyDescent="0.25">
      <c r="A55" s="231" t="s">
        <v>433</v>
      </c>
      <c r="B55" s="231">
        <v>10000</v>
      </c>
      <c r="C55" s="231"/>
      <c r="D55" s="177"/>
      <c r="E55" s="233" t="s">
        <v>433</v>
      </c>
      <c r="F55" s="231"/>
      <c r="G55" s="231"/>
      <c r="H55" s="177"/>
      <c r="I55" s="233" t="s">
        <v>433</v>
      </c>
      <c r="J55" s="231"/>
      <c r="K55" s="231"/>
      <c r="L55" s="177"/>
      <c r="M55" s="233" t="s">
        <v>433</v>
      </c>
      <c r="N55" s="231"/>
      <c r="O55" s="231"/>
      <c r="P55" s="177"/>
      <c r="Q55" s="233" t="s">
        <v>433</v>
      </c>
      <c r="R55" s="231"/>
      <c r="S55" s="231"/>
      <c r="T55" s="177"/>
      <c r="U55" s="233" t="s">
        <v>433</v>
      </c>
      <c r="V55" s="231">
        <v>10000</v>
      </c>
      <c r="W55" s="231"/>
      <c r="X55" s="177"/>
      <c r="Y55" s="233" t="s">
        <v>433</v>
      </c>
      <c r="Z55" s="231"/>
      <c r="AA55" s="231"/>
      <c r="AB55" s="177"/>
      <c r="AC55" s="233" t="s">
        <v>433</v>
      </c>
      <c r="AD55" s="231"/>
      <c r="AE55" s="231"/>
      <c r="AF55" s="177"/>
      <c r="AG55" s="233" t="s">
        <v>433</v>
      </c>
      <c r="AH55" s="231"/>
      <c r="AI55" s="231"/>
      <c r="AJ55" s="177"/>
      <c r="AK55" s="233" t="s">
        <v>433</v>
      </c>
      <c r="AL55" s="231"/>
      <c r="AM55" s="231"/>
      <c r="AN55" s="177"/>
      <c r="AO55" s="233" t="s">
        <v>433</v>
      </c>
      <c r="AP55" s="231">
        <v>10000</v>
      </c>
      <c r="AQ55" s="231"/>
      <c r="AR55" s="177"/>
      <c r="AS55" s="233" t="s">
        <v>433</v>
      </c>
      <c r="AT55" s="231"/>
      <c r="AU55" s="231"/>
      <c r="AV55" s="177"/>
      <c r="AW55" s="233" t="s">
        <v>433</v>
      </c>
      <c r="AX55" s="231"/>
      <c r="AY55" s="231"/>
      <c r="AZ55" s="177"/>
      <c r="BA55" s="233" t="s">
        <v>433</v>
      </c>
      <c r="BB55" s="231"/>
      <c r="BC55" s="231"/>
      <c r="BD55" s="177"/>
      <c r="BE55" s="233" t="s">
        <v>433</v>
      </c>
      <c r="BF55" s="231"/>
      <c r="BG55" s="231"/>
      <c r="BH55" s="177"/>
    </row>
    <row r="56" spans="1:60" x14ac:dyDescent="0.25">
      <c r="A56" s="231" t="s">
        <v>434</v>
      </c>
      <c r="B56" s="231">
        <v>36</v>
      </c>
      <c r="C56" s="231"/>
      <c r="D56" s="177"/>
      <c r="E56" s="233" t="s">
        <v>434</v>
      </c>
      <c r="F56" s="231"/>
      <c r="G56" s="231"/>
      <c r="H56" s="177"/>
      <c r="I56" s="233" t="s">
        <v>434</v>
      </c>
      <c r="J56" s="231"/>
      <c r="K56" s="231"/>
      <c r="L56" s="177"/>
      <c r="M56" s="233" t="s">
        <v>434</v>
      </c>
      <c r="N56" s="231"/>
      <c r="O56" s="231"/>
      <c r="P56" s="177"/>
      <c r="Q56" s="233" t="s">
        <v>434</v>
      </c>
      <c r="R56" s="231"/>
      <c r="S56" s="231"/>
      <c r="T56" s="177"/>
      <c r="U56" s="233" t="s">
        <v>434</v>
      </c>
      <c r="V56" s="231">
        <v>34</v>
      </c>
      <c r="W56" s="231"/>
      <c r="X56" s="177"/>
      <c r="Y56" s="233" t="s">
        <v>434</v>
      </c>
      <c r="Z56" s="231"/>
      <c r="AA56" s="231"/>
      <c r="AB56" s="177"/>
      <c r="AC56" s="233" t="s">
        <v>434</v>
      </c>
      <c r="AD56" s="231"/>
      <c r="AE56" s="231"/>
      <c r="AF56" s="177"/>
      <c r="AG56" s="233" t="s">
        <v>434</v>
      </c>
      <c r="AH56" s="231"/>
      <c r="AI56" s="231"/>
      <c r="AJ56" s="177"/>
      <c r="AK56" s="233" t="s">
        <v>434</v>
      </c>
      <c r="AL56" s="231"/>
      <c r="AM56" s="231"/>
      <c r="AN56" s="177"/>
      <c r="AO56" s="233" t="s">
        <v>434</v>
      </c>
      <c r="AP56" s="231">
        <v>34</v>
      </c>
      <c r="AQ56" s="231"/>
      <c r="AR56" s="177"/>
      <c r="AS56" s="233" t="s">
        <v>434</v>
      </c>
      <c r="AT56" s="231"/>
      <c r="AU56" s="231"/>
      <c r="AV56" s="177"/>
      <c r="AW56" s="233" t="s">
        <v>434</v>
      </c>
      <c r="AX56" s="231"/>
      <c r="AY56" s="231"/>
      <c r="AZ56" s="177"/>
      <c r="BA56" s="233" t="s">
        <v>434</v>
      </c>
      <c r="BB56" s="231"/>
      <c r="BC56" s="231"/>
      <c r="BD56" s="177"/>
      <c r="BE56" s="233" t="s">
        <v>434</v>
      </c>
      <c r="BF56" s="231"/>
      <c r="BG56" s="231"/>
      <c r="BH56" s="177"/>
    </row>
  </sheetData>
  <mergeCells count="30">
    <mergeCell ref="U1:X1"/>
    <mergeCell ref="A1:D1"/>
    <mergeCell ref="E1:H1"/>
    <mergeCell ref="I1:L1"/>
    <mergeCell ref="M1:P1"/>
    <mergeCell ref="Q1:T1"/>
    <mergeCell ref="AW1:AZ1"/>
    <mergeCell ref="BA1:BD1"/>
    <mergeCell ref="BE1:BH1"/>
    <mergeCell ref="Y1:AB1"/>
    <mergeCell ref="AC1:AF1"/>
    <mergeCell ref="AG1:AJ1"/>
    <mergeCell ref="AK1:AN1"/>
    <mergeCell ref="AO1:AR1"/>
    <mergeCell ref="AS1:AV1"/>
    <mergeCell ref="A44:D44"/>
    <mergeCell ref="E44:H44"/>
    <mergeCell ref="I44:L44"/>
    <mergeCell ref="M44:P44"/>
    <mergeCell ref="Q44:T44"/>
    <mergeCell ref="U44:X44"/>
    <mergeCell ref="Y44:AB44"/>
    <mergeCell ref="AC44:AF44"/>
    <mergeCell ref="AG44:AJ44"/>
    <mergeCell ref="AK44:AN44"/>
    <mergeCell ref="AO44:AR44"/>
    <mergeCell ref="AS44:AV44"/>
    <mergeCell ref="AW44:AZ44"/>
    <mergeCell ref="BA44:BD44"/>
    <mergeCell ref="BE44:BH44"/>
  </mergeCells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05"/>
  <sheetViews>
    <sheetView topLeftCell="A73" zoomScale="85" zoomScaleNormal="85" workbookViewId="0">
      <selection activeCell="D79" sqref="D79"/>
    </sheetView>
  </sheetViews>
  <sheetFormatPr defaultRowHeight="15" x14ac:dyDescent="0.25"/>
  <cols>
    <col min="1" max="1" width="25.7109375" style="27" bestFit="1" customWidth="1"/>
    <col min="2" max="2" width="97.140625" style="27" customWidth="1"/>
    <col min="3" max="3" width="26.140625" style="27" customWidth="1"/>
    <col min="4" max="4" width="42.28515625" style="27" customWidth="1"/>
    <col min="5" max="5" width="31.85546875" style="27" customWidth="1"/>
    <col min="6" max="6" width="6.85546875" style="27" customWidth="1"/>
    <col min="7" max="7" width="46" style="27" customWidth="1"/>
    <col min="8" max="8" width="9.140625" style="27"/>
    <col min="9" max="9" width="47" style="27" bestFit="1" customWidth="1"/>
    <col min="10" max="12" width="9.140625" style="27"/>
    <col min="13" max="14" width="9.140625" style="27" customWidth="1"/>
    <col min="15" max="15" width="9.140625" style="27"/>
    <col min="16" max="16" width="12.85546875" style="27" customWidth="1"/>
    <col min="17" max="17" width="9.140625" style="27"/>
    <col min="18" max="18" width="41.28515625" style="27" customWidth="1"/>
    <col min="19" max="16384" width="9.140625" style="27"/>
  </cols>
  <sheetData>
    <row r="1" spans="1:18" ht="18" thickBot="1" x14ac:dyDescent="0.35">
      <c r="A1" s="244" t="s">
        <v>46</v>
      </c>
      <c r="B1" s="244"/>
      <c r="C1" s="244"/>
      <c r="D1" s="30"/>
      <c r="E1" s="244" t="s">
        <v>47</v>
      </c>
      <c r="F1" s="244"/>
      <c r="G1" s="244"/>
      <c r="H1" s="26"/>
      <c r="I1" s="26"/>
      <c r="M1" s="253" t="s">
        <v>143</v>
      </c>
      <c r="N1" s="253"/>
      <c r="O1" s="253"/>
      <c r="P1" s="253"/>
      <c r="Q1" s="244" t="s">
        <v>150</v>
      </c>
      <c r="R1" s="244"/>
    </row>
    <row r="2" spans="1:18" ht="15.75" thickTop="1" x14ac:dyDescent="0.25">
      <c r="A2" s="31" t="str">
        <f>IF(CALCULATIONS!B20=0,"",CALCULATIONS!B20)</f>
        <v>100124808161</v>
      </c>
      <c r="B2" s="26"/>
      <c r="C2" s="32">
        <f>CALCULATIONS!B15</f>
        <v>43599</v>
      </c>
      <c r="D2" s="26"/>
      <c r="E2" s="254" t="str">
        <f ca="1">I2&amp;CHAR(10)&amp;I3&amp;CHAR(10)&amp;I4</f>
        <v>ELECTRICAL 3 LINE DIAGRAM
10.71kW PV SYSTEM (DIVIDEND SOLAR)
34 - HANWHA 315 (Q.PEAK DUO BLK-G5 315)</v>
      </c>
      <c r="F2" s="257"/>
      <c r="G2" s="26" t="str">
        <f>CALCULATIONS!B13</f>
        <v>KOMNINAKIS, JAMES</v>
      </c>
      <c r="H2" s="26"/>
      <c r="I2" s="26" t="s">
        <v>151</v>
      </c>
      <c r="M2" s="59" t="str">
        <f>IF(FORM!D28="","",FORM!D28)</f>
        <v/>
      </c>
      <c r="N2" s="269" t="str">
        <f>IF(FORM!E28="","",UPPER(FORM!E28))</f>
        <v/>
      </c>
      <c r="O2" s="269"/>
      <c r="P2" s="64" t="str">
        <f>IF(FORM!F28="","",FORM!F28)</f>
        <v/>
      </c>
      <c r="Q2" s="61">
        <f>(CALCULATIONS!B12)</f>
        <v>34</v>
      </c>
      <c r="R2" s="61" t="str">
        <f>(CALCULATIONS!C12)</f>
        <v>HANWHA 315 (Q.PEAK DUO BLK-G5 315)</v>
      </c>
    </row>
    <row r="3" spans="1:18" x14ac:dyDescent="0.25">
      <c r="A3" s="31" t="str">
        <f>IF(CALCULATIONS!B21=0,"",CALCULATIONS!B21)</f>
        <v>G83410081</v>
      </c>
      <c r="B3" s="26"/>
      <c r="C3" s="26" t="str">
        <f>CALCULATIONS!B22</f>
        <v>RF</v>
      </c>
      <c r="D3" s="26"/>
      <c r="E3" s="255"/>
      <c r="F3" s="242"/>
      <c r="G3" s="256" t="str">
        <f ca="1">IF(AND(CALCULATIONS!A1&lt;TODAY(),OR(CALCULATIONS!B15="NODATE",CALCULATIONS!A1&lt;CALCULATIONS!B15)),"",CALCULATIONS!B14&amp;CHAR(10)&amp;"TRINITY ACCOUNT #: "&amp;CALCULATIONS!B18)</f>
        <v>763 Tall Oaks Drive
Brick, NJ 08724
40.116594,-74.105553
TRINITY ACCOUNT #: 2018-12-309067</v>
      </c>
      <c r="H3" s="26"/>
      <c r="I3" s="26" t="str">
        <f ca="1">IF(AND(CALCULATIONS!A1&lt;TODAY(),OR(CALCULATIONS!B15="NODATE",CALCULATIONS!A1&lt;CALCULATIONS!B15)),"",CALCULATIONS!D34&amp;"kW PV SYSTEM "&amp;CALCULATIONS!B16)</f>
        <v>10.71kW PV SYSTEM (DIVIDEND SOLAR)</v>
      </c>
      <c r="M3" s="59" t="str">
        <f>IF(FORM!D29="","",FORM!D29)</f>
        <v>A1</v>
      </c>
      <c r="N3" s="269" t="str">
        <f>IF(FORM!E29="","",UPPER(FORM!E29))</f>
        <v>AS BUILT</v>
      </c>
      <c r="O3" s="269"/>
      <c r="P3" s="64">
        <f>IF(FORM!F29="","",FORM!F29)</f>
        <v>43637</v>
      </c>
      <c r="Q3" s="62">
        <f>IF(AND(CALCULATIONS!I43="YES",FORM!I10=""),1,IF(AND(CALCULATIONS!I43="YES",FORM!I10&lt;&gt;""),'SMALL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>1</v>
      </c>
      <c r="R3" s="62" t="str">
        <f>IF(CALCULATIONS!C120&lt;&gt;"",CALCULATIONS!C120,IF(CALCULATIONS!C121&lt;&gt;"",CALCULATIONS!C121,IF(CALCULATIONS!C122&lt;&gt;"",CALCULATIONS!C122,IF(CALCULATIONS!C123&lt;&gt;"",CALCULATIONS!C123,IF(CALCULATIONS!C124&lt;&gt;"",CALCULATIONS!C124,IF(CALCULATIONS!C125&lt;&gt;"",CALCULATIONS!C125,""))))))</f>
        <v>SE10000H-US000NNC2</v>
      </c>
    </row>
    <row r="4" spans="1:18" x14ac:dyDescent="0.25">
      <c r="A4" s="26" t="str">
        <f>IF(CALCULATIONS!B23=0,"",IF(CALCULATIONS!B23="A1","AS BUILT 1",IF(CALCULATIONS!B23="A2","AS BUILT 2",IF(CALCULATIONS!B23="A3","AS BUILT 3",CALCULATIONS!B23))))</f>
        <v>AS BUILT 1</v>
      </c>
      <c r="B4" s="26"/>
      <c r="C4" s="26"/>
      <c r="D4" s="26"/>
      <c r="E4" s="255"/>
      <c r="F4" s="242"/>
      <c r="G4" s="256"/>
      <c r="H4" s="26"/>
      <c r="I4" s="26" t="str">
        <f ca="1">IF(AND(CALCULATIONS!A1&lt;TODAY(),OR(CALCULATIONS!B15="NODATE",CALCULATIONS!A1&lt;CALCULATIONS!B15)),"",CALCULATIONS!B12&amp;" - "&amp;CALCULATIONS!C12)</f>
        <v>34 - HANWHA 315 (Q.PEAK DUO BLK-G5 315)</v>
      </c>
      <c r="M4" s="59" t="str">
        <f>IF(FORM!D30="","",FORM!D30)</f>
        <v>R1</v>
      </c>
      <c r="N4" s="269" t="str">
        <f>IF(FORM!E30="","",UPPER(FORM!E30))</f>
        <v>SYSTEM SIZE DECREASE</v>
      </c>
      <c r="O4" s="269"/>
      <c r="P4" s="64">
        <f>IF(FORM!F30="","",FORM!F30)</f>
        <v>43608</v>
      </c>
      <c r="Q4" s="62" t="str">
        <f>IF(R4="","",IF(AND(CALCULATIONS!I43="YES",FORM!I10=""),'SMALL TABLES'!Q2,IF(CALCULATIONS!B125&lt;&gt;"",CALCULATIONS!B125,IF(CALCULATIONS!B124&lt;&gt;"",CALCULATIONS!B124,IF(CALCULATIONS!B123&lt;&gt;"",CALCULATIONS!B123,IF(CALCULATIONS!B122&lt;&gt;"",CALCULATIONS!B122,IF(CALCULATIONS!B121&lt;&gt;"",CALCULATIONS!B121,IF(CALCULATIONS!B120&lt;&gt;"",CALCULATIONS!B120,""))))))))</f>
        <v/>
      </c>
      <c r="R4" s="62" t="str">
        <f>IF(AND(AND(R3&lt;&gt;"",Q3=1),CALCULATIONS!I43="NO"),IF(CALCULATIONS!C121&lt;&gt;"",CALCULATIONS!C121,IF(CALCULATIONS!C122&lt;&gt;"",CALCULATIONS!C122,IF(CALCULATIONS!C123&lt;&gt;"",CALCULATIONS!C123,IF(CALCULATIONS!C124&lt;&gt;"",CALCULATIONS!C124,IF(CALCULATIONS!C125&lt;&gt;"",CALCULATIONS!C125,""))))),IF(AND(AND(CALCULATIONS!I43="YES",R3&lt;&gt;""),FORM!I10=""),CALCULATIONS!C125,""))</f>
        <v/>
      </c>
    </row>
    <row r="5" spans="1:18" x14ac:dyDescent="0.25">
      <c r="A5" s="32">
        <f>IF(CALCULATIONS!B25="","",CALCULATIONS!B25)</f>
        <v>43637</v>
      </c>
      <c r="B5" s="26"/>
      <c r="C5" s="26" t="str">
        <f>IF(CALCULATIONS!B24=0,"",CALCULATIONS!B24)</f>
        <v>JMS</v>
      </c>
      <c r="D5" s="26"/>
      <c r="E5" s="33"/>
      <c r="F5" s="26"/>
      <c r="G5" s="34"/>
      <c r="H5" s="26"/>
      <c r="I5" s="26"/>
      <c r="M5" s="59" t="str">
        <f>IF(FORM!D31="","",FORM!D31)</f>
        <v>P1</v>
      </c>
      <c r="N5" s="269" t="str">
        <f>IF(FORM!E31="","",FORM!E31)</f>
        <v>ISSUED TO TOWNSHIP FOR PERMIT</v>
      </c>
      <c r="O5" s="269"/>
      <c r="P5" s="64">
        <f>IF(FORM!F31="","",FORM!F31)</f>
        <v>43599</v>
      </c>
      <c r="Q5" s="62" t="str">
        <f>IF(R5="","",1)</f>
        <v/>
      </c>
      <c r="R5" s="62" t="str">
        <f>IF(OR(Q2=Q4,AND(R4="",CALCULATIONS!I43="YES")),"",IF(CALCULATIONS!C122&lt;&gt;"",CALCULATIONS!C122,IF(CALCULATIONS!C123&lt;&gt;"",CALCULATIONS!C123,IF(CALCULATIONS!C124&lt;&gt;"",CALCULATIONS!C124,IF(CALCULATIONS!C125&lt;&gt;"",CALCULATIONS!C125,"")))))</f>
        <v/>
      </c>
    </row>
    <row r="6" spans="1:18" x14ac:dyDescent="0.25">
      <c r="A6" s="26"/>
      <c r="B6" s="26"/>
      <c r="C6" s="26"/>
      <c r="D6" s="26"/>
      <c r="E6" s="26"/>
      <c r="F6" s="26"/>
      <c r="G6" s="26"/>
      <c r="H6" s="26"/>
      <c r="I6" s="26"/>
      <c r="M6" s="60" t="s">
        <v>137</v>
      </c>
      <c r="N6" s="266" t="s">
        <v>138</v>
      </c>
      <c r="O6" s="267"/>
      <c r="P6" s="60" t="s">
        <v>139</v>
      </c>
      <c r="Q6" s="62" t="str">
        <f>IF(R6="","",1)</f>
        <v/>
      </c>
      <c r="R6" s="62" t="str">
        <f>IF(OR(Q2=Q4,AND(R4="",CALCULATIONS!I43="YES")),"",IF(CALCULATIONS!C123&lt;&gt;"",CALCULATIONS!C123,IF(CALCULATIONS!C124&lt;&gt;"",CALCULATIONS!C124,IF(CALCULATIONS!C125&lt;&gt;"",CALCULATIONS!C125,""))))</f>
        <v/>
      </c>
    </row>
    <row r="7" spans="1:18" ht="18" thickBot="1" x14ac:dyDescent="0.35">
      <c r="A7" s="244" t="s">
        <v>63</v>
      </c>
      <c r="B7" s="244"/>
      <c r="C7" s="244"/>
      <c r="D7" s="244"/>
      <c r="E7" s="26"/>
      <c r="F7" s="26"/>
      <c r="G7" s="35" t="s">
        <v>75</v>
      </c>
      <c r="H7" s="26"/>
      <c r="I7" s="36" t="s">
        <v>79</v>
      </c>
      <c r="M7" s="268"/>
      <c r="N7" s="268"/>
      <c r="O7" s="268"/>
      <c r="P7" s="268"/>
      <c r="Q7" s="63"/>
      <c r="R7" s="63"/>
    </row>
    <row r="8" spans="1:18" ht="60.75" thickTop="1" x14ac:dyDescent="0.25">
      <c r="A8" s="257" t="str">
        <f>IF(OR(CALCULATIONS!B28="SE3000A-US",CALCULATIONS!B28="SE3800A-US",CALCULATIONS!B28="SE5000A-US",CALCULATIONS!B28="SE6000A-US",CALCULATIONS!B28="SE10000A-US",CALCULATIONS!B28="SE11400A-US"),"INVERTER #1 - "&amp;CALCULATIONS!B28&amp;"000NNR2",IF(OR(CALCULATIONS!B28="SE3000H-US",CALCULATIONS!B28="SE3800H-US",CALCULATIONS!B28="SE5000H-US",CALCULATIONS!B28="SE6000H-US",CALCULATIONS!B28="SE7600H-US",CALCULATIONS!B28="SE10000H-US",CALCULATIONS!B28="SE11400H-US"),"INVERTER #1 - "&amp;CALCULATIONS!B28&amp;"000NNC2","INVERTER #1 - "&amp;CALCULATIONS!B28))</f>
        <v>INVERTER #1 - SE10000H-US000NNC2</v>
      </c>
      <c r="B8" s="257"/>
      <c r="C8" s="257"/>
      <c r="D8" s="257"/>
      <c r="E8" s="26"/>
      <c r="F8" s="26"/>
      <c r="G8" s="52" t="str">
        <f>(IF(FORM!E19="GROUND MOUNT","SOLAR MODULES GROUND MOUNTED ON ","SOLAR MODULES MOUNTED TO ROOF ON ")&amp;CALCULATIONS!E26&amp;IF(CALCULATIONS!E26=1," ARRAY"," ARRAYS")&amp;CHAR(10)&amp;CALCULATIONS!B12&amp;" - "&amp;CALCULATIONS!H9&amp;"W MODULES"&amp;IF(AND(CALCULATIONS!B37="YES",CALCULATIONS!H9&lt;=320)," W/ 1 SOLAR EDGE P320 PER MODULE",IF(AND(CALCULATIONS!B37="YES",CALCULATIONS!H9&gt;=321)," W/ 1 SOLAR EDGE P370 PER MODULE","")&amp;CHAR(10)&amp;IF(CALCULATIONS!B37="YES",15,CALCULATIONS!H13*1.25)&amp;" ADC MAX PER STRING"))</f>
        <v>SOLAR MODULES MOUNTED TO ROOF ON 1 ARRAY
34 - 315W MODULES W/ 1 SOLAR EDGE P320 PER MODULE</v>
      </c>
      <c r="H8" s="26"/>
      <c r="I8" s="38" t="str">
        <f>(IF(FORM!E19="GROUND MOUNT","SOLAR MODULES GROUND MOUNTED ON ","SOLAR MODULES MOUNTED TO ROOF ON ")&amp;CALCULATIONS!E26&amp;IF(CALCULATIONS!E26=1," ARRAY"," ARRAYS")&amp;CHAR(10)&amp;CALCULATIONS!B12&amp;" - "&amp;CALCULATIONS!H9&amp;"W MODULES"&amp;CHAR(10)&amp;CALCULATIONS!I27&amp;" - ENPHASE "&amp;CALCULATIONS!F2&amp;CHAR(10)&amp;IF(FORM!F6="M250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</f>
        <v>SOLAR MODULES MOUNTED TO ROOF ON 1 ARRAY
34 - 315W MODULES
0 - ENPHASE 0
FALSE</v>
      </c>
      <c r="M8" s="261" t="str">
        <f>(UPPER(A71))</f>
        <v>KOMNINAKIS, JAMES</v>
      </c>
      <c r="N8" s="262"/>
      <c r="O8" s="262"/>
      <c r="P8" s="263"/>
    </row>
    <row r="9" spans="1:18" ht="73.5" customHeight="1" x14ac:dyDescent="0.25">
      <c r="A9" s="242" t="s">
        <v>64</v>
      </c>
      <c r="B9" s="242"/>
      <c r="C9" s="242" t="s">
        <v>65</v>
      </c>
      <c r="D9" s="242"/>
      <c r="E9" s="39"/>
      <c r="F9" s="26"/>
      <c r="G9" s="37" t="str">
        <f>(CALCULATIONS!B40&amp;CHAR(10)&amp;CALCULATIONS!B41&amp;CHAR(10)&amp;CALCULATIONS!B42&amp;CHAR(10)&amp;IF(CALCULATIONS!B3&gt;1,"*"&amp;CALCULATIONS!B3&amp;" STRINGS TO BE TERMINATED IN PARALLEL INSIDE INVERTER 1","*TERMINATED INSIDE INVERTER 1"))</f>
        <v>2 STRINGS OF 17 MODULES IN SERIES - 400 Vmax
*2 STRINGS TO BE TERMINATED IN PARALLEL INSIDE INVERTER 1</v>
      </c>
      <c r="H9" s="37"/>
      <c r="I9" s="38"/>
      <c r="J9" s="37"/>
      <c r="K9" s="37"/>
      <c r="M9" s="258" t="str">
        <f>("TRINITY ACCT #: "&amp;CALCULATIONS!B18)</f>
        <v>TRINITY ACCT #: 2018-12-309067</v>
      </c>
      <c r="N9" s="259"/>
      <c r="O9" s="259"/>
      <c r="P9" s="260"/>
    </row>
    <row r="10" spans="1:18" ht="78" customHeight="1" x14ac:dyDescent="0.25">
      <c r="A10" s="27" t="s">
        <v>3</v>
      </c>
      <c r="B10" s="27">
        <f ca="1">IF(AND(CALCULATIONS!A1&lt;TODAY(),OR(CALCULATIONS!B15="NODATE",CALCULATIONS!A1&lt;CALCULATIONS!B15)),"#VALUE!",CALCULATIONS!B29)</f>
        <v>26.78</v>
      </c>
      <c r="C10" s="27" t="s">
        <v>66</v>
      </c>
      <c r="D10" s="27">
        <f>(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12,INVERTERS!B12,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13,INVERTERS!B13,IF(CALCULATIONS!B28=INVERTERS!A28,INVERTERS!B28,IF(CALCULATIONS!B28=INVERTERS!A29,INVERTERS!B29,"")))))))))))))))))))))))))))))</f>
        <v>10000</v>
      </c>
      <c r="G10" s="193" t="str">
        <f>(CALCULATIONS!C40&amp;CHAR(10)&amp;CALCULATIONS!C41&amp;CHAR(10)&amp;CALCULATIONS!C42&amp;CHAR(10)&amp;IF(CALCULATIONS!C3&gt;1,"*"&amp;CALCULATIONS!C3&amp;" STRINGS TO BE TERMINATED IN PARALLEL INSIDE INVERTER 2","*TERMINATED INSIDE INVERTER 2"))</f>
        <v xml:space="preserve">
*TERMINATED INSIDE INVERTER 2</v>
      </c>
      <c r="I10" s="41" t="str">
        <f>(CALCULATIONS!I28&amp;" MODULES ON "&amp;CALCULATIONS!I28&amp;" ENPHASE "&amp;CALCULATIONS!F2)</f>
        <v>0 MODULES ON 0 ENPHASE 0</v>
      </c>
      <c r="M10" s="246"/>
      <c r="N10" s="281"/>
      <c r="O10" s="281"/>
      <c r="P10" s="247"/>
    </row>
    <row r="11" spans="1:18" ht="70.5" customHeight="1" x14ac:dyDescent="0.25">
      <c r="A11" s="27" t="s">
        <v>4</v>
      </c>
      <c r="B11" s="27">
        <f>(CALCULATIONS!B30)</f>
        <v>400</v>
      </c>
      <c r="C11" s="27" t="s">
        <v>68</v>
      </c>
      <c r="D11" s="27">
        <f>(CALCULATIONS!B33)</f>
        <v>42</v>
      </c>
      <c r="G11" s="40" t="str">
        <f>(CALCULATIONS!D40&amp;CHAR(10)&amp;CALCULATIONS!D41&amp;CHAR(10)&amp;CALCULATIONS!D42&amp;CHAR(10)&amp;IF(CALCULATIONS!D3&gt;1,"*"&amp;CALCULATIONS!D3&amp;" STRINGS TO BE TERMINATED IN PARALLEL INSIDE INVERTER 3","*TERMINATED INSIDE INVERTER 3"))</f>
        <v xml:space="preserve">
*TERMINATED INSIDE INVERTER 3</v>
      </c>
      <c r="I11" s="41"/>
      <c r="M11" s="261" t="str">
        <f>(UPPER(A73))</f>
        <v>763 TALL OAKS DRIVE
BRICK, NJ 08724
40.116594,-74.105553</v>
      </c>
      <c r="N11" s="262"/>
      <c r="O11" s="262"/>
      <c r="P11" s="263"/>
    </row>
    <row r="12" spans="1:18" ht="75" customHeight="1" x14ac:dyDescent="0.25">
      <c r="A12" s="27" t="s">
        <v>5</v>
      </c>
      <c r="B12" s="27">
        <f>(CALCULATIONS!B31)</f>
        <v>480</v>
      </c>
      <c r="C12" s="27" t="s">
        <v>310</v>
      </c>
      <c r="D12" s="27">
        <f>(D11*1.25)</f>
        <v>52.5</v>
      </c>
      <c r="G12" s="40" t="str">
        <f>(CALCULATIONS!E40&amp;CHAR(10)&amp;CALCULATIONS!E41&amp;CHAR(10)&amp;CALCULATIONS!E42&amp;CHAR(10)&amp;IF(CALCULATIONS!E3&gt;1,"*"&amp;CALCULATIONS!E3&amp;" STRINGS TO BE TERMINATED IN PARALLEL INSIDE INVERTER 4","*TERMINATED INSIDE INVERTER 4"))</f>
        <v xml:space="preserve">
*TERMINATED INSIDE INVERTER 4</v>
      </c>
      <c r="I12" s="41" t="str">
        <f>(CALCULATIONS!I29&amp;" MODULES ON "&amp;CALCULATIONS!I29&amp;" ENPHASE "&amp;CALCULATIONS!F2)</f>
        <v>0 MODULES ON 0 ENPHASE 0</v>
      </c>
      <c r="M12" s="258"/>
      <c r="N12" s="259"/>
      <c r="O12" s="259"/>
      <c r="P12" s="260"/>
    </row>
    <row r="13" spans="1:18" ht="60" customHeight="1" x14ac:dyDescent="0.25">
      <c r="A13" s="27" t="s">
        <v>6</v>
      </c>
      <c r="B13" s="27">
        <f>(CALCULATIONS!B32)</f>
        <v>30</v>
      </c>
      <c r="C13" s="27" t="s">
        <v>67</v>
      </c>
      <c r="D13" s="27">
        <f>(240)</f>
        <v>240</v>
      </c>
      <c r="G13" s="40" t="str">
        <f>(CALCULATIONS!F40&amp;CHAR(10)&amp;CALCULATIONS!F42&amp;CHAR(10)&amp;IF(CALCULATIONS!F3&gt;1,"*"&amp;CALCULATIONS!F3&amp;" STRINGS TO BE TERMINATED IN PARALLEL INSIDE INVERTER 5","*TERMINATED INSIDE INVERTER 5"))</f>
        <v xml:space="preserve">
*TERMINATED INSIDE INVERTER 5</v>
      </c>
      <c r="I13" s="41"/>
      <c r="M13" s="261" t="str">
        <f ca="1">(A75)</f>
        <v>AS BUILT PV SOLAR SYSTEM</v>
      </c>
      <c r="N13" s="262"/>
      <c r="O13" s="262"/>
      <c r="P13" s="263"/>
    </row>
    <row r="14" spans="1:18" x14ac:dyDescent="0.25">
      <c r="I14" s="41" t="str">
        <f>(CALCULATIONS!I30&amp;" MODULES ON "&amp;CALCULATIONS!I30&amp;" ENPHASE "&amp;CALCULATIONS!F2)</f>
        <v>0 MODULES ON 0 ENPHASE 0</v>
      </c>
      <c r="M14" s="258"/>
      <c r="N14" s="259"/>
      <c r="O14" s="259"/>
      <c r="P14" s="260"/>
    </row>
    <row r="15" spans="1:18" ht="18" thickBot="1" x14ac:dyDescent="0.35">
      <c r="A15" s="244" t="s">
        <v>69</v>
      </c>
      <c r="B15" s="244"/>
      <c r="C15" s="244"/>
      <c r="D15" s="244"/>
      <c r="I15" s="41"/>
      <c r="M15" s="264" t="s">
        <v>144</v>
      </c>
      <c r="N15" s="265"/>
      <c r="O15" s="277">
        <f>(B77)</f>
        <v>43599</v>
      </c>
      <c r="P15" s="278"/>
    </row>
    <row r="16" spans="1:18" ht="15.75" thickTop="1" x14ac:dyDescent="0.25">
      <c r="A16" s="257" t="str">
        <f>IF(OR(CALCULATIONS!C28="SE3000A-US",CALCULATIONS!C28="SE3800A-US",CALCULATIONS!C28="SE5000A-US",CALCULATIONS!C28="SE6000A-US",CALCULATIONS!C28="SE10000A-US",CALCULATIONS!C28="SE11400A-US"),"INVERTER #2 - "&amp;CALCULATIONS!C28&amp;"000NNR2",IF(OR(CALCULATIONS!C28="SE3000H-US",CALCULATIONS!C28="SE3800H-US",CALCULATIONS!C28="SE5000H-US",CALCULATIONS!C28="SE6000H-US",CALCULATIONS!C28="SE7600H-US",CALCULATIONS!C28="SE10000H-US",CALCULATIONS!C28="SE11400H-US"),"INVERTER #2 - "&amp;CALCULATIONS!C28&amp;"000NNC2","INVERTER #2 - "&amp;CALCULATIONS!C28))</f>
        <v>INVERTER #2 - 0</v>
      </c>
      <c r="B16" s="257"/>
      <c r="C16" s="257"/>
      <c r="D16" s="257"/>
      <c r="I16" s="41" t="str">
        <f>(CALCULATIONS!I31&amp;" MODULES ON "&amp;CALCULATIONS!I31&amp;" ENPHASE "&amp;CALCULATIONS!F2)</f>
        <v>0 MODULES ON 0 ENPHASE 0</v>
      </c>
      <c r="M16" s="264" t="s">
        <v>145</v>
      </c>
      <c r="N16" s="265"/>
      <c r="O16" s="246" t="str">
        <f>(UPPER(B78))</f>
        <v>RF</v>
      </c>
      <c r="P16" s="247"/>
    </row>
    <row r="17" spans="1:17" x14ac:dyDescent="0.25">
      <c r="A17" s="242" t="s">
        <v>64</v>
      </c>
      <c r="B17" s="242"/>
      <c r="C17" s="242" t="s">
        <v>65</v>
      </c>
      <c r="D17" s="242"/>
      <c r="I17" s="41"/>
      <c r="M17" s="264" t="s">
        <v>146</v>
      </c>
      <c r="N17" s="265"/>
      <c r="O17" s="246" t="str">
        <f>(UPPER(IF(CALCULATIONS!B24=0,"",CALCULATIONS!B24)))</f>
        <v>JMS</v>
      </c>
      <c r="P17" s="247"/>
    </row>
    <row r="18" spans="1:17" x14ac:dyDescent="0.25">
      <c r="A18" s="27" t="s">
        <v>3</v>
      </c>
      <c r="B18" s="27">
        <f ca="1">IF(AND(CALCULATIONS!A1&lt;TODAY(),OR(CALCULATIONS!B15="NODATE",CALCULATIONS!A1&lt;CALCULATIONS!B15)),"",CALCULATIONS!C29)</f>
        <v>0</v>
      </c>
      <c r="C18" s="27" t="s">
        <v>66</v>
      </c>
      <c r="D18" s="27" t="str">
        <f ca="1">IF(AND(CALCULATIONS!A1&lt;TODAY(),OR(CALCULATIONS!B15="NODATE",CALCULATIONS!A1&lt;CALCULATIONS!B15)),""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12,INVERTERS!B12,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13,INVERTERS!B13,IF(CALCULATIONS!C28=INVERTERS!A28,INVERTERS!B28,IF(CALCULATIONS!C28=INVERTERS!A29,INVERTERS!B29,"")))))))))))))))))))))))))))))</f>
        <v/>
      </c>
      <c r="I18" s="41" t="str">
        <f>(CALCULATIONS!I32&amp;" MODULES ON "&amp;CALCULATIONS!I32&amp;" ENPHASE "&amp;CALCULATIONS!F2)</f>
        <v>0 MODULES ON 0 ENPHASE 0</v>
      </c>
      <c r="M18" s="246"/>
      <c r="N18" s="281"/>
      <c r="O18" s="281"/>
      <c r="P18" s="247"/>
    </row>
    <row r="19" spans="1:17" x14ac:dyDescent="0.25">
      <c r="A19" s="27" t="s">
        <v>4</v>
      </c>
      <c r="B19" s="27">
        <f ca="1">IF(AND(CALCULATIONS!A1&lt;TODAY(),OR(CALCULATIONS!B15="NODATE",CALCULATIONS!A1&lt;CALCULATIONS!B15)),"",CALCULATIONS!C30)</f>
        <v>0</v>
      </c>
      <c r="C19" s="27" t="s">
        <v>68</v>
      </c>
      <c r="D19" s="27">
        <f ca="1">IF(AND(CALCULATIONS!A1&lt;TODAY(),OR(CALCULATIONS!B15="NODATE",CALCULATIONS!A1&lt;CALCULATIONS!B15)),"",CALCULATIONS!C33)</f>
        <v>0</v>
      </c>
      <c r="M19" s="264" t="s">
        <v>311</v>
      </c>
      <c r="N19" s="265"/>
      <c r="O19" s="246" t="str">
        <f>(B83)</f>
        <v>10.71kW</v>
      </c>
      <c r="P19" s="247"/>
    </row>
    <row r="20" spans="1:17" x14ac:dyDescent="0.25">
      <c r="A20" s="27" t="s">
        <v>5</v>
      </c>
      <c r="B20" s="27">
        <f ca="1">IF(AND(CALCULATIONS!A1&lt;TODAY(),OR(CALCULATIONS!B15="NODATE",CALCULATIONS!A1&lt;CALCULATIONS!B15)),"",CALCULATIONS!C31)</f>
        <v>0</v>
      </c>
      <c r="C20" s="27" t="s">
        <v>310</v>
      </c>
      <c r="D20" s="27">
        <f ca="1">IF(AND(CALCULATIONS!A1&lt;TODAY(),OR(CALCULATIONS!B15="NODATE",CALCULATIONS!A1&lt;CALCULATIONS!B15)),"",D19*1.25)</f>
        <v>0</v>
      </c>
      <c r="M20" s="264" t="s">
        <v>312</v>
      </c>
      <c r="N20" s="265"/>
      <c r="O20" s="246" t="str">
        <f>(SUM(M32:Q32)/1000)&amp;"kW"</f>
        <v>10kW</v>
      </c>
      <c r="P20" s="247"/>
    </row>
    <row r="21" spans="1:17" x14ac:dyDescent="0.25">
      <c r="A21" s="27" t="s">
        <v>6</v>
      </c>
      <c r="B21" s="27">
        <f ca="1">IF(AND(CALCULATIONS!A1&lt;TODAY(),OR(CALCULATIONS!B15="NODATE",CALCULATIONS!A1&lt;CALCULATIONS!B15)),"",CALCULATIONS!C32)</f>
        <v>0</v>
      </c>
      <c r="C21" s="27" t="s">
        <v>67</v>
      </c>
      <c r="D21" s="27">
        <f ca="1">IF(AND(CALCULATIONS!A1&lt;TODAY(),OR(CALCULATIONS!B15="NODATE",CALCULATIONS!A1&lt;CALCULATIONS!B15)),"",240)</f>
        <v>240</v>
      </c>
      <c r="M21" s="264" t="s">
        <v>147</v>
      </c>
      <c r="N21" s="265"/>
      <c r="O21" s="246">
        <f>(B84)</f>
        <v>34</v>
      </c>
      <c r="P21" s="247"/>
    </row>
    <row r="22" spans="1:17" x14ac:dyDescent="0.25">
      <c r="M22" s="264" t="s">
        <v>148</v>
      </c>
      <c r="N22" s="265"/>
      <c r="O22" s="246" t="str">
        <f>(B85)</f>
        <v>HANWHA 315</v>
      </c>
      <c r="P22" s="247"/>
    </row>
    <row r="23" spans="1:17" ht="18" thickBot="1" x14ac:dyDescent="0.35">
      <c r="A23" s="244" t="s">
        <v>70</v>
      </c>
      <c r="B23" s="244"/>
      <c r="C23" s="244"/>
      <c r="D23" s="244"/>
      <c r="M23" s="275" t="s">
        <v>149</v>
      </c>
      <c r="N23" s="276"/>
      <c r="O23" s="246" t="str">
        <f>(B86)</f>
        <v>Q.PEAK DUO BLK-G5 315</v>
      </c>
      <c r="P23" s="247"/>
    </row>
    <row r="24" spans="1:17" ht="15.75" thickTop="1" x14ac:dyDescent="0.25">
      <c r="A24" s="257" t="str">
        <f>IF(OR(CALCULATIONS!D28="SE3000A-US",CALCULATIONS!D28="SE3800A-US",CALCULATIONS!D28="SE5000A-US",CALCULATIONS!D28="SE6000A-US",CALCULATIONS!D28="SE10000A-US",CALCULATIONS!D28="SE11400A-US"),"INVERTER #3 - "&amp;CALCULATIONS!D28&amp;"000NNR2",IF(OR(CALCULATIONS!D28="SE3000H-US",CALCULATIONS!D28="SE3800H-US",CALCULATIONS!D28="SE5000H-US",CALCULATIONS!D28="SE6000H-US",CALCULATIONS!D28="SE7600H-US",CALCULATIONS!D28="SE10000H-US",CALCULATIONS!D28="SE11400H-US"),"INVERTER #3 - "&amp;CALCULATIONS!D28&amp;"000NNC2","INVERTER #3 - "&amp;CALCULATIONS!D28))</f>
        <v>INVERTER #3 - 0</v>
      </c>
      <c r="B24" s="257"/>
      <c r="C24" s="257"/>
      <c r="D24" s="257"/>
      <c r="M24" s="275" t="s">
        <v>23</v>
      </c>
      <c r="N24" s="276"/>
      <c r="O24" s="279" t="str">
        <f>(B87)</f>
        <v>JCP&amp;L</v>
      </c>
      <c r="P24" s="280"/>
    </row>
    <row r="25" spans="1:17" x14ac:dyDescent="0.25">
      <c r="A25" s="242" t="s">
        <v>64</v>
      </c>
      <c r="B25" s="242"/>
      <c r="C25" s="242" t="s">
        <v>65</v>
      </c>
      <c r="D25" s="242"/>
      <c r="M25" s="275" t="s">
        <v>153</v>
      </c>
      <c r="N25" s="276"/>
      <c r="O25" s="246" t="str">
        <f>(UPPER(B88))</f>
        <v>100124808161</v>
      </c>
      <c r="P25" s="247"/>
    </row>
    <row r="26" spans="1:17" x14ac:dyDescent="0.25">
      <c r="A26" s="27" t="s">
        <v>3</v>
      </c>
      <c r="B26" s="27">
        <f ca="1">IF(AND(CALCULATIONS!A1&lt;TODAY(),OR(CALCULATIONS!B15="NODATE",CALCULATIONS!A1&lt;CALCULATIONS!B15)),"",CALCULATIONS!D29)</f>
        <v>0</v>
      </c>
      <c r="C26" s="27" t="s">
        <v>66</v>
      </c>
      <c r="D26" s="27" t="str">
        <f ca="1">IF(AND(CALCULATIONS!A1&lt;TODAY(),OR(CALCULATIONS!B15="NODATE",CALCULATIONS!A1&lt;CALCULATIONS!B15)),""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12,INVERTERS!B12,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13,INVERTERS!B13,IF(CALCULATIONS!D28=INVERTERS!A28,INVERTERS!B28,IF(CALCULATIONS!D28=INVERTERS!A29,INVERTERS!B29,"")))))))))))))))))))))))))))))</f>
        <v/>
      </c>
      <c r="M26" s="275" t="s">
        <v>25</v>
      </c>
      <c r="N26" s="276"/>
      <c r="O26" s="258" t="str">
        <f>(UPPER(IF(CALCULATIONS!B21=0,"",CALCULATIONS!B21)))</f>
        <v>G83410081</v>
      </c>
      <c r="P26" s="260"/>
    </row>
    <row r="27" spans="1:17" ht="20.25" customHeight="1" x14ac:dyDescent="0.25">
      <c r="A27" s="27" t="s">
        <v>4</v>
      </c>
      <c r="B27" s="27">
        <f ca="1">IF(AND(CALCULATIONS!A1&lt;TODAY(),OR(CALCULATIONS!B15="NODATE",CALCULATIONS!A1&lt;CALCULATIONS!B15)),"",CALCULATIONS!D30)</f>
        <v>0</v>
      </c>
      <c r="C27" s="27" t="s">
        <v>68</v>
      </c>
      <c r="D27" s="27">
        <f ca="1">IF(AND(CALCULATIONS!A1&lt;TODAY(),OR(CALCULATIONS!B15="NODATE",CALCULATIONS!A1&lt;CALCULATIONS!B15)),"",CALCULATIONS!D33)</f>
        <v>0</v>
      </c>
      <c r="M27" s="273" t="s">
        <v>155</v>
      </c>
      <c r="N27" s="274"/>
      <c r="O27" s="258" t="str">
        <f>(IF(FORM!B18="","",FORM!B18))</f>
        <v>DIVIDEND SOLAR</v>
      </c>
      <c r="P27" s="260"/>
    </row>
    <row r="28" spans="1:17" x14ac:dyDescent="0.25">
      <c r="A28" s="27" t="s">
        <v>5</v>
      </c>
      <c r="B28" s="27">
        <f ca="1">IF(AND(CALCULATIONS!A1&lt;TODAY(),OR(CALCULATIONS!B15="NODATE",CALCULATIONS!A1&lt;CALCULATIONS!B15)),"",CALCULATIONS!D31)</f>
        <v>0</v>
      </c>
      <c r="C28" s="27" t="s">
        <v>310</v>
      </c>
      <c r="D28" s="27">
        <f ca="1">IF(AND(CALCULATIONS!A1&lt;TODAY(),OR(CALCULATIONS!B15="NODATE",CALCULATIONS!A1&lt;CALCULATIONS!B15)),"",D27*1.25)</f>
        <v>0</v>
      </c>
      <c r="M28" s="270"/>
      <c r="N28" s="271"/>
      <c r="O28" s="271"/>
      <c r="P28" s="272"/>
    </row>
    <row r="29" spans="1:17" ht="39.75" customHeight="1" x14ac:dyDescent="0.25">
      <c r="A29" s="27" t="s">
        <v>6</v>
      </c>
      <c r="B29" s="27">
        <f ca="1">IF(AND(CALCULATIONS!A1&lt;TODAY(),OR(CALCULATIONS!B15="NODATE",CALCULATIONS!A1&lt;CALCULATIONS!B15)),"",CALCULATIONS!D32)</f>
        <v>0</v>
      </c>
      <c r="C29" s="27" t="s">
        <v>67</v>
      </c>
      <c r="D29" s="27">
        <f ca="1">IF(AND(CALCULATIONS!A1&lt;TODAY(),OR(CALCULATIONS!B15="NODATE",CALCULATIONS!A1&lt;CALCULATIONS!B15)),"",240)</f>
        <v>240</v>
      </c>
      <c r="M29" s="248" t="str">
        <f ca="1">IF(AND(CALCULATIONS!A1&lt;TODAY(),OR(CALCULATIONS!B15="NODATE",CALCULATIONS!A1&lt;CALCULATIONS!B15)),"",IF(FORM!B29="","P1",FORM!B29))</f>
        <v>A1</v>
      </c>
      <c r="N29" s="249"/>
      <c r="O29" s="246"/>
      <c r="P29" s="247"/>
    </row>
    <row r="31" spans="1:17" ht="18" thickBot="1" x14ac:dyDescent="0.35">
      <c r="A31" s="244" t="s">
        <v>71</v>
      </c>
      <c r="B31" s="244"/>
      <c r="C31" s="244"/>
      <c r="D31" s="244"/>
      <c r="M31" s="27" t="s">
        <v>313</v>
      </c>
      <c r="N31" s="27" t="s">
        <v>314</v>
      </c>
      <c r="O31" s="27" t="s">
        <v>315</v>
      </c>
      <c r="P31" s="27" t="s">
        <v>316</v>
      </c>
      <c r="Q31" s="27" t="s">
        <v>317</v>
      </c>
    </row>
    <row r="32" spans="1:17" ht="15.75" thickTop="1" x14ac:dyDescent="0.25">
      <c r="A32" s="257" t="str">
        <f>IF(OR(CALCULATIONS!E28="SE3000A-US",CALCULATIONS!E28="SE3800A-US",CALCULATIONS!E28="SE5000A-US",CALCULATIONS!E28="SE6000A-US",CALCULATIONS!E28="SE10000A-US",CALCULATIONS!E28="SE11400A-US"),"INVERTER #4 - "&amp;CALCULATIONS!E28&amp;"000NNR2",IF(OR(CALCULATIONS!E28="SE3000H-US",CALCULATIONS!E28="SE3800H-US",CALCULATIONS!E28="SE5000H-US",CALCULATIONS!E28="SE6000H-US",CALCULATIONS!E28="SE7600H-US",CALCULATIONS!E28="SE10000H-US",CALCULATIONS!E28="SE11400H-US"),"INVERTER #4 - "&amp;CALCULATIONS!E28&amp;"000NNC2","INVERTER #4 - "&amp;CALCULATIONS!E28))</f>
        <v>INVERTER #4 - 0</v>
      </c>
      <c r="B32" s="257"/>
      <c r="C32" s="257"/>
      <c r="D32" s="257"/>
      <c r="M32" s="27">
        <f>IF(CALCULATIONS!B28=INVERTERS!A2,INVERTERS!B2,IF(CALCULATIONS!B28=INVERTERS!A3,INVERTERS!B3,IF(CALCULATIONS!B28=INVERTERS!A4,INVERTERS!B4,IF(CALCULATIONS!B28=INVERTERS!A5,INVERTERS!B5,IF(CALCULATIONS!B28=INVERTERS!A6,INVERTERS!B6,IF(CALCULATIONS!B28=INVERTERS!A7,INVERTERS!B7,IF(CALCULATIONS!B28=INVERTERS!A8,INVERTERS!B8,IF(CALCULATIONS!B28=INVERTERS!A9,INVERTERS!B9,IF(CALCULATIONS!B28=INVERTERS!A10,INVERTERS!B10,IF(CALCULATIONS!B28=INVERTERS!A11,INVERTERS!B11,IF(CALCULATIONS!B28=INVERTERS!A12,INVERTERS!B12,IF(CALCULATIONS!B28=INVERTERS!A13,INVERTERS!B13,IF(CALCULATIONS!B28=INVERTERS!A14,INVERTERS!B14,IF(CALCULATIONS!B28=INVERTERS!A15,INVERTERS!B15,IF(CALCULATIONS!B28=INVERTERS!A16,INVERTERS!B16,IF(CALCULATIONS!B28=INVERTERS!A17,INVERTERS!B17,IF(CALCULATIONS!B28=INVERTERS!A18,INVERTERS!B18,IF(CALCULATIONS!B28=INVERTERS!A19,INVERTERS!B19,IF(CALCULATIONS!B28=INVERTERS!A20,INVERTERS!B20,IF(CALCULATIONS!B28=INVERTERS!A21,INVERTERS!B21,IF(CALCULATIONS!B28=INVERTERS!A22,INVERTERS!B22,IF(CALCULATIONS!B28=INVERTERS!A23,INVERTERS!B23,IF(CALCULATIONS!B28=INVERTERS!A24,INVERTERS!B24,IF(CALCULATIONS!B28=INVERTERS!A25,INVERTERS!B25,IF(CALCULATIONS!B28=INVERTERS!A26,INVERTERS!B26,IF(CALCULATIONS!B28=INVERTERS!A27,INVERTERS!B27,IF(CALCULATIONS!B28=INVERTERS!A28,INVERTERS!B28,IF(CALCULATIONS!B28=INVERTERS!A29,INVERTERS!B29,CALCULATIONS!B28))))))))))))))))))))))))))))</f>
        <v>10000</v>
      </c>
      <c r="N32" s="27">
        <f>IF(CALCULATIONS!C28=INVERTERS!A2,INVERTERS!B2,IF(CALCULATIONS!C28=INVERTERS!A3,INVERTERS!B3,IF(CALCULATIONS!C28=INVERTERS!A4,INVERTERS!B4,IF(CALCULATIONS!C28=INVERTERS!A5,INVERTERS!B5,IF(CALCULATIONS!C28=INVERTERS!A6,INVERTERS!B6,IF(CALCULATIONS!C28=INVERTERS!A7,INVERTERS!B7,IF(CALCULATIONS!C28=INVERTERS!A8,INVERTERS!B8,IF(CALCULATIONS!C28=INVERTERS!A9,INVERTERS!B9,IF(CALCULATIONS!C28=INVERTERS!A10,INVERTERS!B10,IF(CALCULATIONS!C28=INVERTERS!A11,INVERTERS!B11,IF(CALCULATIONS!C28=INVERTERS!A12,INVERTERS!B12,IF(CALCULATIONS!C28=INVERTERS!A13,INVERTERS!B13,IF(CALCULATIONS!C28=INVERTERS!A14,INVERTERS!B14,IF(CALCULATIONS!C28=INVERTERS!A15,INVERTERS!B15,IF(CALCULATIONS!C28=INVERTERS!A16,INVERTERS!B16,IF(CALCULATIONS!C28=INVERTERS!A17,INVERTERS!B17,IF(CALCULATIONS!C28=INVERTERS!A18,INVERTERS!B18,IF(CALCULATIONS!C28=INVERTERS!A19,INVERTERS!B19,IF(CALCULATIONS!C28=INVERTERS!A20,INVERTERS!B20,IF(CALCULATIONS!C28=INVERTERS!A21,INVERTERS!B21,IF(CALCULATIONS!C28=INVERTERS!A22,INVERTERS!B22,IF(CALCULATIONS!C28=INVERTERS!A23,INVERTERS!B23,IF(CALCULATIONS!C28=INVERTERS!A24,INVERTERS!B24,IF(CALCULATIONS!C28=INVERTERS!A25,INVERTERS!B25,IF(CALCULATIONS!C28=INVERTERS!A26,INVERTERS!B26,IF(CALCULATIONS!C28=INVERTERS!A27,INVERTERS!B27,IF(CALCULATIONS!C28=INVERTERS!A28,INVERTERS!B28,IF(CALCULATIONS!C28=INVERTERS!A29,INVERTERS!B29,CALCULATIONS!C28))))))))))))))))))))))))))))</f>
        <v>0</v>
      </c>
      <c r="O32" s="27">
        <f>IF(CALCULATIONS!D28=INVERTERS!A2,INVERTERS!B2,IF(CALCULATIONS!D28=INVERTERS!A3,INVERTERS!B3,IF(CALCULATIONS!D28=INVERTERS!A4,INVERTERS!B4,IF(CALCULATIONS!D28=INVERTERS!A5,INVERTERS!B5,IF(CALCULATIONS!D28=INVERTERS!A6,INVERTERS!B6,IF(CALCULATIONS!D28=INVERTERS!A7,INVERTERS!B7,IF(CALCULATIONS!D28=INVERTERS!A8,INVERTERS!B8,IF(CALCULATIONS!D28=INVERTERS!A9,INVERTERS!B9,IF(CALCULATIONS!D28=INVERTERS!A10,INVERTERS!B10,IF(CALCULATIONS!D28=INVERTERS!A11,INVERTERS!B11,IF(CALCULATIONS!D28=INVERTERS!A12,INVERTERS!B12,IF(CALCULATIONS!D28=INVERTERS!A13,INVERTERS!B13,IF(CALCULATIONS!D28=INVERTERS!A14,INVERTERS!B14,IF(CALCULATIONS!D28=INVERTERS!A15,INVERTERS!B15,IF(CALCULATIONS!D28=INVERTERS!A16,INVERTERS!B16,IF(CALCULATIONS!D28=INVERTERS!A17,INVERTERS!B17,IF(CALCULATIONS!D28=INVERTERS!A18,INVERTERS!B18,IF(CALCULATIONS!D28=INVERTERS!A19,INVERTERS!B19,IF(CALCULATIONS!D28=INVERTERS!A20,INVERTERS!B20,IF(CALCULATIONS!D28=INVERTERS!A21,INVERTERS!B21,IF(CALCULATIONS!D28=INVERTERS!A22,INVERTERS!B22,IF(CALCULATIONS!D28=INVERTERS!A23,INVERTERS!B23,IF(CALCULATIONS!D28=INVERTERS!A24,INVERTERS!B24,IF(CALCULATIONS!D28=INVERTERS!A25,INVERTERS!B25,IF(CALCULATIONS!D28=INVERTERS!A26,INVERTERS!B26,IF(CALCULATIONS!D28=INVERTERS!A27,INVERTERS!B27,IF(CALCULATIONS!D28=INVERTERS!A28,INVERTERS!B28,IF(CALCULATIONS!D28=INVERTERS!A29,INVERTERS!B29,CALCULATIONS!D28))))))))))))))))))))))))))))</f>
        <v>0</v>
      </c>
      <c r="P32" s="27">
        <f>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12,INVERTERS!B12,IF(CALCULATIONS!E28=INVERTERS!A13,INVERTERS!B13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28,INVERTERS!B28,IF(CALCULATIONS!E28=INVERTERS!A29,INVERTERS!B29,CALCULATIONS!E28))))))))))))))))))))))))))))</f>
        <v>0</v>
      </c>
      <c r="Q32" s="27">
        <f>IF(CALCULATIONS!F28=INVERTERS!A2,INVERTERS!B2,IF(CALCULATIONS!F28=INVERTERS!A3,INVERTERS!B3,IF(CALCULATIONS!F28=INVERTERS!A4,INVERTERS!B4,IF(CALCULATIONS!F28=INVERTERS!A6,INVERTERS!B6,IF(CALCULATIONS!F28=INVERTERS!A7,INVERTERS!B7,IF(CALCULATIONS!F28=INVERTERS!A8,INVERTERS!B8,IF(CALCULATIONS!F28=INVERTERS!A9,INVERTERS!B9,IF(CALCULATIONS!F28=INVERTERS!A10,INVERTERS!B10,IF(CALCULATIONS!F28=INVERTERS!A11,INVERTERS!B11,IF(CALCULATIONS!F28=INVERTERS!A12,INVERTERS!B12,IF(CALCULATIONS!F28=INVERTERS!A13,INVERTERS!B13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28,INVERTERS!B28,IF(CALCULATIONS!F28=INVERTERS!A29,INVERTERS!B29,CALCULATIONS!F28)))))))))))))))))))))))))*FORM!F11))</f>
        <v>0</v>
      </c>
    </row>
    <row r="33" spans="1:4" x14ac:dyDescent="0.25">
      <c r="A33" s="242" t="s">
        <v>64</v>
      </c>
      <c r="B33" s="242"/>
      <c r="C33" s="242" t="s">
        <v>65</v>
      </c>
      <c r="D33" s="242"/>
    </row>
    <row r="34" spans="1:4" x14ac:dyDescent="0.25">
      <c r="A34" s="27" t="s">
        <v>3</v>
      </c>
      <c r="B34" s="27">
        <f ca="1">IF(AND(CALCULATIONS!A1&lt;TODAY(),OR(CALCULATIONS!B15="NODATE",CALCULATIONS!A1&lt;CALCULATIONS!B15)),"",CALCULATIONS!E29)</f>
        <v>0</v>
      </c>
      <c r="C34" s="27" t="s">
        <v>66</v>
      </c>
      <c r="D34" s="27" t="str">
        <f ca="1">IF(AND(CALCULATIONS!A1&lt;TODAY(),OR(CALCULATIONS!B15="NODATE",CALCULATIONS!A1&lt;CALCULATIONS!B15)),"",IF(CALCULATIONS!E28=INVERTERS!A14,INVERTERS!B14,IF(CALCULATIONS!E28=INVERTERS!A15,INVERTERS!B15,IF(CALCULATIONS!E28=INVERTERS!A16,INVERTERS!B16,IF(CALCULATIONS!E28=INVERTERS!A17,INVERTERS!B17,IF(CALCULATIONS!E28=INVERTERS!A18,INVERTERS!B18,IF(CALCULATIONS!E28=INVERTERS!A19,INVERTERS!B19,IF(CALCULATIONS!E28=INVERTERS!A20,INVERTERS!B20,IF(CALCULATIONS!E28=INVERTERS!A21,INVERTERS!B21,IF(CALCULATIONS!E28=INVERTERS!A22,INVERTERS!B22,IF(CALCULATIONS!E28=INVERTERS!A23,INVERTERS!B23,IF(CALCULATIONS!E28=INVERTERS!A24,INVERTERS!B24,IF(CALCULATIONS!E28=INVERTERS!A25,INVERTERS!B25,IF(CALCULATIONS!E28=INVERTERS!A26,INVERTERS!B26,IF(CALCULATIONS!E28=INVERTERS!A27,INVERTERS!B27,IF(CALCULATIONS!E28=INVERTERS!A12,INVERTERS!B12,IF(CALCULATIONS!E28=INVERTERS!A2,INVERTERS!B2,IF(CALCULATIONS!E28=INVERTERS!A3,INVERTERS!B3,IF(CALCULATIONS!E28=INVERTERS!A4,INVERTERS!B4,IF(CALCULATIONS!E28=INVERTERS!A5,INVERTERS!B5,IF(CALCULATIONS!E28=INVERTERS!A6,INVERTERS!B6,IF(CALCULATIONS!E28=INVERTERS!A7,INVERTERS!B7,IF(CALCULATIONS!E28=INVERTERS!A8,INVERTERS!B8,IF(CALCULATIONS!E28=INVERTERS!A9,INVERTERS!B9,IF(CALCULATIONS!E28=INVERTERS!A10,INVERTERS!B10,IF(CALCULATIONS!E28=INVERTERS!A11,INVERTERS!B11,IF(CALCULATIONS!E28=INVERTERS!A13,INVERTERS!B13,IF(CALCULATIONS!E28=INVERTERS!A28,INVERTERS!B28,IF(CALCULATIONS!E28=INVERTERS!A29,INVERTERS!B29,"")))))))))))))))))))))))))))))</f>
        <v/>
      </c>
    </row>
    <row r="35" spans="1:4" x14ac:dyDescent="0.25">
      <c r="A35" s="27" t="s">
        <v>4</v>
      </c>
      <c r="B35" s="27">
        <f ca="1">IF(AND(CALCULATIONS!A1&lt;TODAY(),OR(CALCULATIONS!B15="NODATE",CALCULATIONS!A1&lt;CALCULATIONS!B15)),"",CALCULATIONS!E30)</f>
        <v>0</v>
      </c>
      <c r="C35" s="27" t="s">
        <v>68</v>
      </c>
      <c r="D35" s="27">
        <f ca="1">IF(AND(CALCULATIONS!A1&lt;TODAY(),OR(CALCULATIONS!B15="NODATE",CALCULATIONS!A1&lt;CALCULATIONS!B15)),"",CALCULATIONS!E33)</f>
        <v>0</v>
      </c>
    </row>
    <row r="36" spans="1:4" x14ac:dyDescent="0.25">
      <c r="A36" s="27" t="s">
        <v>5</v>
      </c>
      <c r="B36" s="27">
        <f ca="1">IF(AND(CALCULATIONS!A1&lt;TODAY(),OR(CALCULATIONS!B15="NODATE",CALCULATIONS!A1&lt;CALCULATIONS!B15)),"",CALCULATIONS!E31)</f>
        <v>0</v>
      </c>
      <c r="C36" s="27" t="s">
        <v>310</v>
      </c>
      <c r="D36" s="27">
        <f ca="1">IF(AND(CALCULATIONS!A1&lt;TODAY(),OR(CALCULATIONS!B15="NODATE",CALCULATIONS!A1&lt;CALCULATIONS!B15)),"",D35*1.25)</f>
        <v>0</v>
      </c>
    </row>
    <row r="37" spans="1:4" x14ac:dyDescent="0.25">
      <c r="A37" s="27" t="s">
        <v>6</v>
      </c>
      <c r="B37" s="27">
        <f ca="1">IF(AND(CALCULATIONS!A1&lt;TODAY(),OR(CALCULATIONS!B15="NODATE",CALCULATIONS!A1&lt;CALCULATIONS!B15)),"",CALCULATIONS!E32)</f>
        <v>0</v>
      </c>
      <c r="C37" s="27" t="s">
        <v>67</v>
      </c>
      <c r="D37" s="27">
        <f ca="1">IF(AND(CALCULATIONS!A1&lt;TODAY(),OR(CALCULATIONS!B15="NODATE",CALCULATIONS!A1&lt;CALCULATIONS!B15)),"",240)</f>
        <v>240</v>
      </c>
    </row>
    <row r="39" spans="1:4" ht="18" thickBot="1" x14ac:dyDescent="0.35">
      <c r="A39" s="244" t="s">
        <v>72</v>
      </c>
      <c r="B39" s="244"/>
      <c r="C39" s="244"/>
      <c r="D39" s="244"/>
    </row>
    <row r="40" spans="1:4" ht="15.75" thickTop="1" x14ac:dyDescent="0.25">
      <c r="A40" s="257" t="str">
        <f ca="1">IF(AND(CALCULATIONS!A1&lt;TODAY(),OR(CALCULATIONS!B15="NODATE",CALCULATIONS!A1&lt;CALCULATIONS!B15)),"","INVERTER #5 - "&amp;CALCULATIONS!F28)</f>
        <v>INVERTER #5 - 0</v>
      </c>
      <c r="B40" s="257"/>
      <c r="C40" s="257"/>
      <c r="D40" s="257"/>
    </row>
    <row r="41" spans="1:4" x14ac:dyDescent="0.25">
      <c r="A41" s="242" t="s">
        <v>64</v>
      </c>
      <c r="B41" s="242"/>
      <c r="C41" s="242" t="s">
        <v>65</v>
      </c>
      <c r="D41" s="242"/>
    </row>
    <row r="42" spans="1:4" x14ac:dyDescent="0.25">
      <c r="A42" s="27" t="s">
        <v>3</v>
      </c>
      <c r="B42" s="27">
        <f ca="1">IF(AND(CALCULATIONS!A1&lt;TODAY(),OR(CALCULATIONS!B15="NODATE",CALCULATIONS!A1&lt;CALCULATIONS!B15)),"",CALCULATIONS!F29)</f>
        <v>0</v>
      </c>
      <c r="C42" s="27" t="s">
        <v>66</v>
      </c>
      <c r="D42" s="27" t="str">
        <f ca="1">IF(AND(CALCULATIONS!A1&lt;TODAY(),OR(CALCULATIONS!B15="NODATE",CALCULATIONS!A1&lt;CALCULATIONS!B15)),"",IF(CALCULATIONS!F28=INVERTERS!A14,INVERTERS!B14,IF(CALCULATIONS!F28=INVERTERS!A15,INVERTERS!B15,IF(CALCULATIONS!F28=INVERTERS!A16,INVERTERS!B16,IF(CALCULATIONS!F28=INVERTERS!A17,INVERTERS!B17,IF(CALCULATIONS!F28=INVERTERS!A18,INVERTERS!B18,IF(CALCULATIONS!F28=INVERTERS!A19,INVERTERS!B19,IF(CALCULATIONS!F28=INVERTERS!A20,INVERTERS!B20,IF(CALCULATIONS!F28=INVERTERS!A21,INVERTERS!B21,IF(CALCULATIONS!F28=INVERTERS!A22,INVERTERS!B22,IF(CALCULATIONS!F28=INVERTERS!A23,INVERTERS!B23,IF(CALCULATIONS!F28=INVERTERS!A24,INVERTERS!B24,IF(CALCULATIONS!F28=INVERTERS!A25,INVERTERS!B25,IF(CALCULATIONS!F28=INVERTERS!A26,INVERTERS!B26,IF(CALCULATIONS!F28=INVERTERS!A27,INVERTERS!B27,IF(CALCULATIONS!F28=INVERTERS!A12,INVERTERS!B12,IF(CALCULATIONS!F28=INVERTERS!A2,INVERTERS!B2,IF(CALCULATIONS!F28=INVERTERS!A3,INVERTERS!B3,IF(CALCULATIONS!F28=INVERTERS!A4,INVERTERS!B4,IF(CALCULATIONS!F28=INVERTERS!A6,INVERTERS!B6,IF(CALCULATIONS!F28=INVERTERS!A7,INVERTERS!B7,IF(CALCULATIONS!F28=INVERTERS!A9,INVERTERS!B9,IF(CALCULATIONS!F28=INVERTERS!A10,INVERTERS!B10,IF(CALCULATIONS!F28=INVERTERS!A11,INVERTERS!B11,IF(CALCULATIONS!F28=INVERTERS!A13,INVERTERS!B13,IF(CALCULATIONS!F28=INVERTERS!A28,INVERTERS!B28,IF(CALCULATIONS!F28=INVERTERS!A29,INVERTERS!B29,"")))))))))))))))))))))))))))</f>
        <v/>
      </c>
    </row>
    <row r="43" spans="1:4" x14ac:dyDescent="0.25">
      <c r="A43" s="27" t="s">
        <v>4</v>
      </c>
      <c r="B43" s="27">
        <f ca="1">IF(AND(CALCULATIONS!A1&lt;TODAY(),OR(CALCULATIONS!B15="NODATE",CALCULATIONS!A1&lt;CALCULATIONS!B15)),"",CALCULATIONS!F30)</f>
        <v>0</v>
      </c>
      <c r="C43" s="27" t="s">
        <v>68</v>
      </c>
      <c r="D43" s="27">
        <f ca="1">IF(AND(CALCULATIONS!A1&lt;TODAY(),OR(CALCULATIONS!B15="NODATE",CALCULATIONS!A1&lt;CALCULATIONS!B15)),"",CALCULATIONS!F33)</f>
        <v>0</v>
      </c>
    </row>
    <row r="44" spans="1:4" x14ac:dyDescent="0.25">
      <c r="A44" s="27" t="s">
        <v>5</v>
      </c>
      <c r="B44" s="27">
        <f ca="1">IF(AND(CALCULATIONS!A1&lt;TODAY(),OR(CALCULATIONS!B15="NODATE",CALCULATIONS!A1&lt;CALCULATIONS!B15)),"",CALCULATIONS!F31)</f>
        <v>0</v>
      </c>
      <c r="C44" s="27" t="s">
        <v>310</v>
      </c>
      <c r="D44" s="27">
        <f ca="1">IF(AND(CALCULATIONS!A1&lt;TODAY(),OR(CALCULATIONS!B15="NODATE",CALCULATIONS!A1&lt;CALCULATIONS!B15)),"",D43*1.25)</f>
        <v>0</v>
      </c>
    </row>
    <row r="45" spans="1:4" x14ac:dyDescent="0.25">
      <c r="A45" s="27" t="s">
        <v>6</v>
      </c>
      <c r="B45" s="27">
        <f ca="1">IF(AND(CALCULATIONS!A1&lt;TODAY(),OR(CALCULATIONS!B15="NODATE",CALCULATIONS!A1&lt;CALCULATIONS!B15)),"",CALCULATIONS!F32)</f>
        <v>0</v>
      </c>
      <c r="C45" s="27" t="s">
        <v>67</v>
      </c>
      <c r="D45" s="27">
        <f ca="1">IF(AND(CALCULATIONS!A1&lt;TODAY(),OR(CALCULATIONS!B15="NODATE",CALCULATIONS!A1&lt;CALCULATIONS!B15)),"",240)</f>
        <v>240</v>
      </c>
    </row>
    <row r="48" spans="1:4" ht="18" thickBot="1" x14ac:dyDescent="0.35">
      <c r="A48" s="244" t="s">
        <v>76</v>
      </c>
      <c r="B48" s="244"/>
    </row>
    <row r="49" spans="1:7" ht="15.75" thickTop="1" x14ac:dyDescent="0.25">
      <c r="A49" s="245" t="s">
        <v>77</v>
      </c>
      <c r="B49" s="245"/>
    </row>
    <row r="50" spans="1:7" x14ac:dyDescent="0.25">
      <c r="A50" s="245" t="str">
        <f>(CALCULATIONS!C12)</f>
        <v>HANWHA 315 (Q.PEAK DUO BLK-G5 315)</v>
      </c>
      <c r="B50" s="245"/>
    </row>
    <row r="51" spans="1:7" x14ac:dyDescent="0.25">
      <c r="A51" s="27" t="s">
        <v>3</v>
      </c>
      <c r="B51" s="27">
        <f>(CALCULATIONS!H10)</f>
        <v>9.41</v>
      </c>
    </row>
    <row r="52" spans="1:7" x14ac:dyDescent="0.25">
      <c r="A52" s="27" t="s">
        <v>4</v>
      </c>
      <c r="B52" s="27">
        <f>(CALCULATIONS!H11)</f>
        <v>33.46</v>
      </c>
    </row>
    <row r="53" spans="1:7" x14ac:dyDescent="0.25">
      <c r="A53" s="27" t="s">
        <v>5</v>
      </c>
      <c r="B53" s="27">
        <f>(CALCULATIONS!H12)</f>
        <v>40.29</v>
      </c>
    </row>
    <row r="54" spans="1:7" x14ac:dyDescent="0.25">
      <c r="A54" s="27" t="s">
        <v>6</v>
      </c>
      <c r="B54" s="27">
        <f>(CALCULATIONS!H13)</f>
        <v>9.89</v>
      </c>
    </row>
    <row r="59" spans="1:7" ht="17.25" x14ac:dyDescent="0.3">
      <c r="A59" s="253" t="s">
        <v>80</v>
      </c>
      <c r="B59" s="253"/>
      <c r="C59" s="253"/>
      <c r="D59" s="253"/>
      <c r="G59" s="27" t="s">
        <v>114</v>
      </c>
    </row>
    <row r="60" spans="1:7" x14ac:dyDescent="0.25">
      <c r="A60" s="42" t="str">
        <f>IF(B60="","","A")</f>
        <v>A</v>
      </c>
      <c r="B60" s="42" t="str">
        <f>(IF(COUNT(CALCULATIONS!D45:D59)&gt;=1,IF(SMALL(CALCULATIONS!D45:D59,1)=1,CALCULATIONS!C45,IF(SMALL(CALCULATIONS!D45:D59,1)=2,CALCULATIONS!C46,IF(SMALL(CALCULATIONS!D45:D59,1)=3,CALCULATIONS!C47,IF(SMALL(CALCULATIONS!D45:D59,1)=4,CALCULATIONS!C48,IF(SMALL(CALCULATIONS!D45:D59,1)=5,CALCULATIONS!C49,IF(SMALL(CALCULATIONS!D45:D59,1)=6,CALCULATIONS!C50,IF(SMALL(CALCULATIONS!D45:D59,1)=7,CALCULATIONS!C51,IF(SMALL(CALCULATIONS!D45:D59,1)=8,CALCULATIONS!C52,IF(SMALL(CALCULATIONS!D45:D59,1)=9,CALCULATIONS!C53,IF(SMALL(CALCULATIONS!D45:D59,1)=10,CALCULATIONS!C54,IF(SMALL(CALCULATIONS!D45:D59,1)=11,CALCULATIONS!C55,IF(SMALL(CALCULATIONS!D45:D59,1)=12,CALCULATIONS!C56,IF(SMALL(CALCULATIONS!D45:D59,1)=13,CALCULATIONS!C57,IF(SMALL(CALCULATIONS!D45:D59,1)=14,CALCULATIONS!C58,IF(SMALL(CALCULATIONS!D45:D59,1)=15,CALCULATIONS!C59))))))))))))))),""))</f>
        <v>#6 THWN-2 GEC TO EXISTING GROUND ROD</v>
      </c>
      <c r="C60" s="42" t="str">
        <f>IF(D60="","","G")</f>
        <v>G</v>
      </c>
      <c r="D60" s="42" t="str">
        <f>(IF(COUNT(CALCULATIONS!D45:D59)&gt;=7,IF(SMALL(CALCULATIONS!D45:D59,7)=1,CALCULATIONS!C45,IF(SMALL(CALCULATIONS!D45:D59,7)=2,CALCULATIONS!C46,IF(SMALL(CALCULATIONS!D45:D59,7)=3,CALCULATIONS!C47,IF(SMALL(CALCULATIONS!D45:D59,7)=4,CALCULATIONS!C48,IF(SMALL(CALCULATIONS!D45:D59,7)=5,CALCULATIONS!C49,IF(SMALL(CALCULATIONS!D45:D59,7)=6,CALCULATIONS!C50,IF(SMALL(CALCULATIONS!D45:D59,7)=7,CALCULATIONS!C51,IF(SMALL(CALCULATIONS!D45:D59,7)=8,CALCULATIONS!C52,IF(SMALL(CALCULATIONS!D45:D59,7)=9,CALCULATIONS!C53,IF(SMALL(CALCULATIONS!D45:D59,7)=10,CALCULATIONS!C54,IF(SMALL(CALCULATIONS!D45:D59,7)=11,CALCULATIONS!C55,IF(SMALL(CALCULATIONS!D45:D59,7)=12,CALCULATIONS!C56,IF(SMALL(CALCULATIONS!D45:D59,7)=13,CALCULATIONS!C57,IF(SMALL(CALCULATIONS!D45:D59,7)=14,CALCULATIONS!C58,IF(SMALL(CALCULATIONS!D45:D59,7)=15,CALCULATIONS!C59))))))))))))))),""))</f>
        <v>3/4'' CONDUIT W/ 2-#6 THWN-2, 1-#6 THWN-2, 1-#8 THWN-2 GROUND</v>
      </c>
      <c r="F60" s="42" t="str">
        <f>IF(G60="","","A")</f>
        <v>A</v>
      </c>
      <c r="G60" s="42" t="str">
        <f t="shared" ref="G60:G65" si="0">B60</f>
        <v>#6 THWN-2 GEC TO EXISTING GROUND ROD</v>
      </c>
    </row>
    <row r="61" spans="1:7" x14ac:dyDescent="0.25">
      <c r="A61" s="42" t="str">
        <f>IF(B61="","","B")</f>
        <v>B</v>
      </c>
      <c r="B61" s="42" t="str">
        <f>(IF(COUNT(CALCULATIONS!D45:D59)&gt;=2,IF(SMALL(CALCULATIONS!D45:D59,2)=1,CALCULATIONS!C45,IF(SMALL(CALCULATIONS!D45:D59,2)=2,CALCULATIONS!C46,IF(SMALL(CALCULATIONS!D45:D59,2)=3,CALCULATIONS!C47,IF(SMALL(CALCULATIONS!D45:D59,2)=4,CALCULATIONS!C48,IF(SMALL(CALCULATIONS!D45:D59,2)=5,CALCULATIONS!C49,IF(SMALL(CALCULATIONS!D45:D59,2)=6,CALCULATIONS!C50,IF(SMALL(CALCULATIONS!D45:D59,2)=7,CALCULATIONS!C51,IF(SMALL(CALCULATIONS!D45:D59,2)=8,CALCULATIONS!C52,IF(SMALL(CALCULATIONS!D45:D59,2)=9,CALCULATIONS!C53,IF(SMALL(CALCULATIONS!D45:D59,2)=10,CALCULATIONS!C54,IF(SMALL(CALCULATIONS!D45:D59,2)=11,CALCULATIONS!C55,IF(SMALL(CALCULATIONS!D45:D59,2)=12,CALCULATIONS!C56,IF(SMALL(CALCULATIONS!D45:D59,2)=13,CALCULATIONS!C57,IF(SMALL(CALCULATIONS!D45:D59,2)=14,CALCULATIONS!C58,IF(SMALL(CALCULATIONS!D45:D59,2)=15,CALCULATIONS!C59))))))))))))))),""))</f>
        <v>3/4'' CONDUIT W/ 2-#6 THWN-2, 1-#10 THWN-2, 1-#10 THWN-2 GROUND</v>
      </c>
      <c r="C61" s="42" t="str">
        <f>IF(D61="","","H")</f>
        <v/>
      </c>
      <c r="D61" s="42" t="str">
        <f>(IF(COUNT(CALCULATIONS!D45:D59)&gt;=8,IF(SMALL(CALCULATIONS!D45:D59,8)=1,CALCULATIONS!C45,IF(SMALL(CALCULATIONS!D45:D59,8)=2,CALCULATIONS!C46,IF(SMALL(CALCULATIONS!D45:D59,8)=3,CALCULATIONS!C47,IF(SMALL(CALCULATIONS!D45:D59,8)=4,CALCULATIONS!C48,IF(SMALL(CALCULATIONS!D45:D59,8)=5,CALCULATIONS!C49,IF(SMALL(CALCULATIONS!D45:D59,8)=6,CALCULATIONS!C50,IF(SMALL(CALCULATIONS!D45:D59,8)=7,CALCULATIONS!C51,IF(SMALL(CALCULATIONS!D45:D59,8)=8,CALCULATIONS!C52,IF(SMALL(CALCULATIONS!D45:D59,8)=9,CALCULATIONS!C53,IF(SMALL(CALCULATIONS!D45:D59,8)=10,CALCULATIONS!C54,IF(SMALL(CALCULATIONS!D45:D59,8)=11,CALCULATIONS!C55,IF(SMALL(CALCULATIONS!D45:D59,8)=12,CALCULATIONS!C56,IF(SMALL(CALCULATIONS!D45:D59,8)=13,CALCULATIONS!C57,IF(SMALL(CALCULATIONS!D45:D59,8)=14,CALCULATIONS!C58,IF(SMALL(CALCULATIONS!D45:D59,8)=15,CALCULATIONS!C59))))))))))))))),""))</f>
        <v/>
      </c>
      <c r="F61" s="42" t="str">
        <f>IF(G61="","","B")</f>
        <v>B</v>
      </c>
      <c r="G61" s="42" t="str">
        <f t="shared" si="0"/>
        <v>3/4'' CONDUIT W/ 2-#6 THWN-2, 1-#10 THWN-2, 1-#10 THWN-2 GROUND</v>
      </c>
    </row>
    <row r="62" spans="1:7" x14ac:dyDescent="0.25">
      <c r="A62" s="42" t="str">
        <f>IF(B62="","","C")</f>
        <v>C</v>
      </c>
      <c r="B62" s="42" t="str">
        <f>(IF(COUNT(CALCULATIONS!D45:D59)&gt;=3,IF(SMALL(CALCULATIONS!D45:D59,3)=1,CALCULATIONS!C45,IF(SMALL(CALCULATIONS!D45:D59,3)=2,CALCULATIONS!C46,IF(SMALL(CALCULATIONS!D45:D59,3)=3,CALCULATIONS!C47,IF(SMALL(CALCULATIONS!D45:D59,3)=4,CALCULATIONS!C48,IF(SMALL(CALCULATIONS!D45:D59,3)=5,CALCULATIONS!C49,IF(SMALL(CALCULATIONS!D45:D59,3)=6,CALCULATIONS!C50,IF(SMALL(CALCULATIONS!D45:D59,3)=7,CALCULATIONS!C51,IF(SMALL(CALCULATIONS!D45:D59,3)=8,CALCULATIONS!C52,IF(SMALL(CALCULATIONS!D45:D59,3)=9,CALCULATIONS!C53,IF(SMALL(CALCULATIONS!D45:D59,3)=10,CALCULATIONS!C54,IF(SMALL(CALCULATIONS!D45:D59,3)=11,CALCULATIONS!C55,IF(SMALL(CALCULATIONS!D45:D59,3)=12,CALCULATIONS!C56,IF(SMALL(CALCULATIONS!D45:D59,3)=13,CALCULATIONS!C57,IF(SMALL(CALCULATIONS!D45:D59,3)=14,CALCULATIONS!C58,IF(SMALL(CALCULATIONS!D45:D59,3)=15,CALCULATIONS!C59))))))))))))))),""))</f>
        <v>3/4'' CONDUIT W/ 4-#10 THWN-2, 1-#10 THWN-2 GROUND</v>
      </c>
      <c r="C62" s="42" t="str">
        <f>IF(D62="","","I")</f>
        <v/>
      </c>
      <c r="D62" s="42" t="str">
        <f>(IF(COUNT(CALCULATIONS!D45:D59)&gt;=9,IF(SMALL(CALCULATIONS!D45:D59,9)=1,CALCULATIONS!C45,IF(SMALL(CALCULATIONS!D45:D59,9)=2,CALCULATIONS!C46,IF(SMALL(CALCULATIONS!D45:D59,9)=3,CALCULATIONS!C47,IF(SMALL(CALCULATIONS!D45:D59,9)=4,CALCULATIONS!C48,IF(SMALL(CALCULATIONS!D45:D59,9)=5,CALCULATIONS!C49,IF(SMALL(CALCULATIONS!D45:D59,9)=6,CALCULATIONS!C50,IF(SMALL(CALCULATIONS!D45:D59,9)=7,CALCULATIONS!C51,IF(SMALL(CALCULATIONS!D45:D59,9)=8,CALCULATIONS!C52,IF(SMALL(CALCULATIONS!D45:D59,9)=9,CALCULATIONS!C53,IF(SMALL(CALCULATIONS!D45:D59,9)=10,CALCULATIONS!C54,IF(SMALL(CALCULATIONS!D45:D59,9)=11,CALCULATIONS!C55,IF(SMALL(CALCULATIONS!D45:D59,9)=12,CALCULATIONS!C56,IF(SMALL(CALCULATIONS!D45:D59,9)=13,CALCULATIONS!C57,IF(SMALL(CALCULATIONS!D45:D59,9)=14,CALCULATIONS!C58,IF(SMALL(CALCULATIONS!D45:D59,9)=15,CALCULATIONS!C59))))))))))))))),""))</f>
        <v/>
      </c>
      <c r="F62" s="42" t="str">
        <f>IF(G62="","","C")</f>
        <v>C</v>
      </c>
      <c r="G62" s="42" t="str">
        <f t="shared" si="0"/>
        <v>3/4'' CONDUIT W/ 4-#10 THWN-2, 1-#10 THWN-2 GROUND</v>
      </c>
    </row>
    <row r="63" spans="1:7" x14ac:dyDescent="0.25">
      <c r="A63" s="42" t="str">
        <f>IF(B63="","","D")</f>
        <v>D</v>
      </c>
      <c r="B63" s="42" t="str">
        <f>(IF(COUNT(CALCULATIONS!D45:D59)&gt;=4,IF(SMALL(CALCULATIONS!D45:D59,4)=1,CALCULATIONS!C45,IF(SMALL(CALCULATIONS!D45:D59,4)=2,CALCULATIONS!C46,IF(SMALL(CALCULATIONS!D45:D59,4)=3,CALCULATIONS!C47,IF(SMALL(CALCULATIONS!D45:D59,4)=4,CALCULATIONS!C48,IF(SMALL(CALCULATIONS!D45:D59,4)=5,CALCULATIONS!C49,IF(SMALL(CALCULATIONS!D45:D59,4)=6,CALCULATIONS!C50,IF(SMALL(CALCULATIONS!D45:D59,4)=7,CALCULATIONS!C51,IF(SMALL(CALCULATIONS!D45:D59,4)=8,CALCULATIONS!C52,IF(SMALL(CALCULATIONS!D45:D59,4)=9,CALCULATIONS!C53,IF(SMALL(CALCULATIONS!D45:D59,4)=10,CALCULATIONS!C54,IF(SMALL(CALCULATIONS!D45:D59,4)=11,CALCULATIONS!C55,IF(SMALL(CALCULATIONS!D45:D59,4)=12,CALCULATIONS!C56,IF(SMALL(CALCULATIONS!D45:D59,4)=13,CALCULATIONS!C57,IF(SMALL(CALCULATIONS!D45:D59,4)=14,CALCULATIONS!C58,IF(SMALL(CALCULATIONS!D45:D59,4)=15,CALCULATIONS!C59))))))))))))))),""))</f>
        <v>3/4'' CONDUIT W/ 4-#10 THWN-2, 1-#10 THWN-2 GROUND</v>
      </c>
      <c r="C63" s="42" t="str">
        <f>IF(D63="","","J")</f>
        <v/>
      </c>
      <c r="D63" s="42" t="str">
        <f>(IF(COUNT(CALCULATIONS!D45:D59)&gt;=10,IF(SMALL(CALCULATIONS!D45:D59,10)=1,CALCULATIONS!C45,IF(SMALL(CALCULATIONS!D45:D59,10)=2,CALCULATIONS!C46,IF(SMALL(CALCULATIONS!D45:D59,10)=3,CALCULATIONS!C47,IF(SMALL(CALCULATIONS!D45:D59,10)=4,CALCULATIONS!C48,IF(SMALL(CALCULATIONS!D45:D59,10)=5,CALCULATIONS!C49,IF(SMALL(CALCULATIONS!D45:D59,10)=6,CALCULATIONS!C50,IF(SMALL(CALCULATIONS!D45:D59,10)=7,CALCULATIONS!C51,IF(SMALL(CALCULATIONS!D45:D59,10)=8,CALCULATIONS!C52,IF(SMALL(CALCULATIONS!D45:D59,10)=9,CALCULATIONS!C53,IF(SMALL(CALCULATIONS!D45:D59,10)=10,CALCULATIONS!C54,IF(SMALL(CALCULATIONS!D45:D59,10)=11,CALCULATIONS!C55,IF(SMALL(CALCULATIONS!D45:D59,10)=12,CALCULATIONS!C56,IF(SMALL(CALCULATIONS!D45:D59,10)=13,CALCULATIONS!C57,IF(SMALL(CALCULATIONS!D45:D59,10)=14,CALCULATIONS!C58,IF(SMALL(CALCULATIONS!D45:D59,10)=15,CALCULATIONS!C59))))))))))))))),""))</f>
        <v/>
      </c>
      <c r="F63" s="42" t="str">
        <f>IF(G63="","","D")</f>
        <v>D</v>
      </c>
      <c r="G63" s="42" t="str">
        <f t="shared" si="0"/>
        <v>3/4'' CONDUIT W/ 4-#10 THWN-2, 1-#10 THWN-2 GROUND</v>
      </c>
    </row>
    <row r="64" spans="1:7" x14ac:dyDescent="0.25">
      <c r="A64" s="42" t="str">
        <f>IF(B64="","","E")</f>
        <v>E</v>
      </c>
      <c r="B64" s="42" t="str">
        <f>(IF(COUNT(CALCULATIONS!D45:D59)&gt;=5,IF(SMALL(CALCULATIONS!D45:D59,5)=1,CALCULATIONS!C45,IF(SMALL(CALCULATIONS!D45:D59,5)=2,CALCULATIONS!C46,IF(SMALL(CALCULATIONS!D45:D59,5)=3,CALCULATIONS!C47,IF(SMALL(CALCULATIONS!D45:D59,5)=4,CALCULATIONS!C48,IF(SMALL(CALCULATIONS!D45:D59,5)=5,CALCULATIONS!C49,IF(SMALL(CALCULATIONS!D45:D59,5)=6,CALCULATIONS!C50,IF(SMALL(CALCULATIONS!D45:D59,5)=7,CALCULATIONS!C51,IF(SMALL(CALCULATIONS!D45:D59,5)=8,CALCULATIONS!C52,IF(SMALL(CALCULATIONS!D45:D59,5)=9,CALCULATIONS!C53,IF(SMALL(CALCULATIONS!D45:D59,5)=10,CALCULATIONS!C54,IF(SMALL(CALCULATIONS!D45:D59,5)=11,CALCULATIONS!C55,IF(SMALL(CALCULATIONS!D45:D59,5)=12,CALCULATIONS!C56,IF(SMALL(CALCULATIONS!D45:D59,5)=13,CALCULATIONS!C57,IF(SMALL(CALCULATIONS!D45:D59,5)=14,CALCULATIONS!C58,IF(SMALL(CALCULATIONS!D45:D59,5)=15,CALCULATIONS!C59))))))))))))))),""))</f>
        <v>3/4'' CONDUIT W/ 2-#6 THWN-2, 1-#10 THWN-2, 1-#10 THWN-2 GROUND</v>
      </c>
      <c r="C64" s="42" t="str">
        <f>IF(D64="","","K")</f>
        <v/>
      </c>
      <c r="D64" s="42" t="str">
        <f>(IF(COUNT(CALCULATIONS!D45:D59)&gt;=11,IF(SMALL(CALCULATIONS!D45:D59,11)=1,CALCULATIONS!C45,IF(SMALL(CALCULATIONS!D45:D59,11)=2,CALCULATIONS!C46,IF(SMALL(CALCULATIONS!D45:D59,11)=3,CALCULATIONS!C47,IF(SMALL(CALCULATIONS!D45:D59,11)=4,CALCULATIONS!C48,IF(SMALL(CALCULATIONS!D45:D59,11)=5,CALCULATIONS!C49,IF(SMALL(CALCULATIONS!D45:D59,11)=6,CALCULATIONS!C50,IF(SMALL(CALCULATIONS!D45:D59,11)=7,CALCULATIONS!C51,IF(SMALL(CALCULATIONS!D45:D59,11)=8,CALCULATIONS!C52,IF(SMALL(CALCULATIONS!D45:D59,11)=9,CALCULATIONS!C53,IF(SMALL(CALCULATIONS!D45:D59,11)=10,CALCULATIONS!C54,IF(SMALL(CALCULATIONS!D45:D59,11)=11,CALCULATIONS!C55,IF(SMALL(CALCULATIONS!D45:D59,11)=12,CALCULATIONS!C56,IF(SMALL(CALCULATIONS!D45:D59,11)=13,CALCULATIONS!C57,IF(SMALL(CALCULATIONS!D45:D59,11)=14,CALCULATIONS!C58,IF(SMALL(CALCULATIONS!D45:D59,11)=15,CALCULATIONS!C59))))))))))))))),""))</f>
        <v/>
      </c>
      <c r="F64" s="42" t="str">
        <f>IF(G64="","","E")</f>
        <v>E</v>
      </c>
      <c r="G64" s="42" t="str">
        <f t="shared" si="0"/>
        <v>3/4'' CONDUIT W/ 2-#6 THWN-2, 1-#10 THWN-2, 1-#10 THWN-2 GROUND</v>
      </c>
    </row>
    <row r="65" spans="1:7" x14ac:dyDescent="0.25">
      <c r="A65" s="42" t="str">
        <f>IF(B65="","","F")</f>
        <v>F</v>
      </c>
      <c r="B65" s="42" t="str">
        <f>(IF(COUNT(CALCULATIONS!D45:D59)&gt;=6,IF(SMALL(CALCULATIONS!D45:D59,6)=1,CALCULATIONS!C45,IF(SMALL(CALCULATIONS!D45:D59,6)=2,CALCULATIONS!C46,IF(SMALL(CALCULATIONS!D45:D59,6)=3,CALCULATIONS!C47,IF(SMALL(CALCULATIONS!D45:D59,6)=4,CALCULATIONS!C48,IF(SMALL(CALCULATIONS!D45:D59,6)=5,CALCULATIONS!C49,IF(SMALL(CALCULATIONS!D45:D59,6)=6,CALCULATIONS!C50,IF(SMALL(CALCULATIONS!D45:D59,6)=7,CALCULATIONS!C51,IF(SMALL(CALCULATIONS!D45:D59,6)=8,CALCULATIONS!C52,IF(SMALL(CALCULATIONS!D45:D59,6)=9,CALCULATIONS!C53,IF(SMALL(CALCULATIONS!D45:D59,6)=10,CALCULATIONS!C54,IF(SMALL(CALCULATIONS!D45:D59,6)=11,CALCULATIONS!C55,IF(SMALL(CALCULATIONS!D45:D59,6)=12,CALCULATIONS!C56,IF(SMALL(CALCULATIONS!D45:D59,6)=13,CALCULATIONS!C57,IF(SMALL(CALCULATIONS!D45:D59,6)=14,CALCULATIONS!C58,IF(SMALL(CALCULATIONS!D45:D59,6)=15,CALCULATIONS!C59))))))))))))))),""))</f>
        <v>#10 PV WIRE (FREE AIR) W/ #6 BARE COPPER BOND TO ARRAY</v>
      </c>
      <c r="C65" s="42" t="str">
        <f>IF(D65="","","L")</f>
        <v/>
      </c>
      <c r="D65" s="42" t="str">
        <f>(IF(COUNT(CALCULATIONS!D45:D59)&gt;=12,IF(SMALL(CALCULATIONS!D45:D59,12)=1,CALCULATIONS!C45,IF(SMALL(CALCULATIONS!D45:D59,12)=2,CALCULATIONS!C46,IF(SMALL(CALCULATIONS!D45:D59,12)=3,CALCULATIONS!C47,IF(SMALL(CALCULATIONS!D45:D59,12)=4,CALCULATIONS!C48,IF(SMALL(CALCULATIONS!D45:D59,12)=5,CALCULATIONS!C49,IF(SMALL(CALCULATIONS!D45:D59,12)=6,CALCULATIONS!C50,IF(SMALL(CALCULATIONS!D45:D59,12)=7,CALCULATIONS!C51,IF(SMALL(CALCULATIONS!D45:D59,12)=8,CALCULATIONS!C52,IF(SMALL(CALCULATIONS!D45:D59,12)=9,CALCULATIONS!C53,IF(SMALL(CALCULATIONS!D45:D59,12)=10,CALCULATIONS!C54,IF(SMALL(CALCULATIONS!D45:D59,12)=11,CALCULATIONS!C55,IF(SMALL(CALCULATIONS!D45:D59,12)=12,CALCULATIONS!C56,IF(SMALL(CALCULATIONS!D45:D59,12)=13,CALCULATIONS!C57,IF(SMALL(CALCULATIONS!D45:D59,12)=14,CALCULATIONS!C58,IF(SMALL(CALCULATIONS!D45:D59,12)=15,CALCULATIONS!C59))))))))))))))),""))</f>
        <v/>
      </c>
      <c r="F65" s="42" t="str">
        <f>IF(G65="","","F")</f>
        <v>F</v>
      </c>
      <c r="G65" s="42" t="str">
        <f t="shared" si="0"/>
        <v>#10 PV WIRE (FREE AIR) W/ #6 BARE COPPER BOND TO ARRAY</v>
      </c>
    </row>
    <row r="66" spans="1:7" x14ac:dyDescent="0.25">
      <c r="A66" s="26"/>
      <c r="B66" s="26"/>
      <c r="C66" s="26"/>
      <c r="D66" s="26"/>
      <c r="F66" s="42" t="str">
        <f>IF(G66="","","G")</f>
        <v>G</v>
      </c>
      <c r="G66" s="42" t="str">
        <f>D60</f>
        <v>3/4'' CONDUIT W/ 2-#6 THWN-2, 1-#6 THWN-2, 1-#8 THWN-2 GROUND</v>
      </c>
    </row>
    <row r="70" spans="1:7" ht="18" thickBot="1" x14ac:dyDescent="0.35">
      <c r="A70" s="244" t="s">
        <v>104</v>
      </c>
      <c r="B70" s="244"/>
      <c r="D70" s="69" t="s">
        <v>154</v>
      </c>
    </row>
    <row r="71" spans="1:7" ht="30.75" thickTop="1" x14ac:dyDescent="0.25">
      <c r="A71" s="250" t="str">
        <f>CALCULATIONS!B13</f>
        <v>KOMNINAKIS, JAMES</v>
      </c>
      <c r="B71" s="250"/>
      <c r="D71" s="76" t="str">
        <f ca="1">IF(AND(CALCULATIONS!A1&lt;TODAY(),OR(CALCULATIONS!B15="NODATE",CALCULATIONS!A1&lt;CALCULATIONS!B15)),"",IF(FORM!E19="GROUND MOUNT","INSTALLATION OF NEW"&amp;CHAR(10)&amp;" GROUND MOUNTED PV SOLAR SYSTEM","INSTALLATION OF NEW"&amp;CHAR(10)&amp;"ROOF MOUNTED PV SOLAR SYSTEM"))</f>
        <v>INSTALLATION OF NEW
ROOF MOUNTED PV SOLAR SYSTEM</v>
      </c>
    </row>
    <row r="72" spans="1:7" ht="44.25" customHeight="1" x14ac:dyDescent="0.25">
      <c r="D72" s="70" t="str">
        <f>UPPER(CALCULATIONS!B14)</f>
        <v>763 TALL OAKS DRIVE
BRICK, NJ 08724
40.116594,-74.105553</v>
      </c>
    </row>
    <row r="73" spans="1:7" ht="15.75" customHeight="1" x14ac:dyDescent="0.25">
      <c r="A73" s="251" t="str">
        <f>CALCULATIONS!B14</f>
        <v>763 Tall Oaks Drive
Brick, NJ 08724
40.116594,-74.105553</v>
      </c>
      <c r="B73" s="251"/>
    </row>
    <row r="75" spans="1:7" ht="18" thickBot="1" x14ac:dyDescent="0.35">
      <c r="A75" s="252" t="str">
        <f ca="1">IF(AND(CALCULATIONS!A1&lt;TODAY(),OR(CALCULATIONS!B15="NODATE",CALCULATIONS!A1&lt;CALCULATIONS!B15)),"",IF(OR(FORM!B29="A1",FORM!B29="A2",FORM!B29="A3"),"AS BUILT ","PROPOSED ")&amp;"PV SOLAR SYSTEM")</f>
        <v>AS BUILT PV SOLAR SYSTEM</v>
      </c>
      <c r="B75" s="252"/>
      <c r="D75" s="80" t="s">
        <v>177</v>
      </c>
    </row>
    <row r="76" spans="1:7" ht="15.75" thickTop="1" x14ac:dyDescent="0.25">
      <c r="D76" s="81" t="str">
        <f>IF(FORM!E19="GROUND MOUNT","DELETE!","GOOD")</f>
        <v>GOOD</v>
      </c>
    </row>
    <row r="77" spans="1:7" x14ac:dyDescent="0.25">
      <c r="B77" s="43">
        <f>CALCULATIONS!B15</f>
        <v>43599</v>
      </c>
    </row>
    <row r="78" spans="1:7" ht="18" thickBot="1" x14ac:dyDescent="0.35">
      <c r="B78" s="44" t="str">
        <f>CALCULATIONS!B22</f>
        <v>RF</v>
      </c>
      <c r="D78" s="80" t="s">
        <v>178</v>
      </c>
    </row>
    <row r="79" spans="1:7" ht="15.75" thickTop="1" x14ac:dyDescent="0.25">
      <c r="B79" s="44" t="str">
        <f>""</f>
        <v/>
      </c>
      <c r="D79" s="27" t="str">
        <f>IF(AND(COUNTA(FORM!B6:F6)=1,FORM!E14="NY"),"NO UTILITY DISCONNECT",IF(COUNTA(FORM!B6:F6)=1,"UTILITY DISCONNECT",IF(AND(COUNTA(FORM!B6:F6)&gt;1,OR(FORM!E14="CT",FORM!E14="MA",FORM!E14="MD",CALCULATIONS!B19="PPL",CALCULATIONS!B19="MET ED")),"UTILITY DISCONNECT",IF(COUNTA(FORM!B6:F6)&gt;1,"NO UTILITY DISCONNECT","NO UTILITY DISCONNECT"))))</f>
        <v>UTILITY DISCONNECT</v>
      </c>
    </row>
    <row r="80" spans="1:7" x14ac:dyDescent="0.25">
      <c r="B80" s="44" t="str">
        <f>IF(CALCULATIONS!B24=0,"",CALCULATIONS!B24)</f>
        <v>JMS</v>
      </c>
      <c r="D80" s="27" t="str">
        <f ca="1">IF(AND(CALCULATIONS!A1&lt;TODAY(),OR(CALCULATIONS!B15="NODATE",CALCULATIONS!A1&lt;CALCULATIONS!B15)),"",IF(FORM!F13="USE LINE TAPS","LINE TAPS",IF(FORM!E13="","",FORM!E13)))</f>
        <v>LINE TAPS</v>
      </c>
    </row>
    <row r="81" spans="1:5" x14ac:dyDescent="0.25">
      <c r="B81" s="44" t="str">
        <f>"N.T.S"</f>
        <v>N.T.S</v>
      </c>
      <c r="D81" s="27" t="str">
        <f ca="1">IF(AND(CALCULATIONS!A1&lt;TODAY(),OR(CALCULATIONS!B15="NODATE",CALCULATIONS!A1&lt;CALCULATIONS!B15)),"",IF(CALCULATIONS!I43="YES","MICROINVERTERS",IF(AND(CALCULATIONS!B37="YES",FORM!B7=3),"COMBINER",COUNTA(FORM!B6:F6)&amp;" INVERETER(S)")))</f>
        <v>1 INVERETER(S)</v>
      </c>
    </row>
    <row r="82" spans="1:5" x14ac:dyDescent="0.25">
      <c r="B82" s="44"/>
      <c r="D82" s="27" t="str">
        <f ca="1">IF(AND(CALCULATIONS!A1&lt;TODAY(),OR(CALCULATIONS!B15="NODATE",CALCULATIONS!A1&lt;CALCULATIONS!B15)),"",IF(D81="MICROINVERTERS",COUNT(FORM!I7:I12)&amp;" MICRO STRINGS",IF(D81="COMBINER",COUNTA(FORM!B6:C6)&amp;" INVERTER(S)"&amp;IF(AND(FORM!C7&lt;3,FORM!C7&gt;0)," 1 COMBINED",""),"")))</f>
        <v/>
      </c>
    </row>
    <row r="83" spans="1:5" x14ac:dyDescent="0.25">
      <c r="B83" s="44" t="str">
        <f>CALCULATIONS!D34&amp;"kW"</f>
        <v>10.71kW</v>
      </c>
      <c r="D83" s="27" t="str">
        <f ca="1">IF(AND(CALCULATIONS!A1&lt;TODAY(),OR(CALCULATIONS!B15="NODATE",CALCULATIONS!A1&lt;CALCULATIONS!B15)),"",IF((OR(FORM!E20="AC",FORM!E20="DC")),"T",IF(D79="UTILITY DISCONNECT","U","N")))</f>
        <v>U</v>
      </c>
    </row>
    <row r="84" spans="1:5" x14ac:dyDescent="0.25">
      <c r="B84" s="44">
        <f>CALCULATIONS!B12</f>
        <v>34</v>
      </c>
      <c r="D84" s="27" t="str">
        <f ca="1">IF(AND(CALCULATIONS!A1&lt;TODAY(),OR(CALCULATIONS!B15="NODATE",CALCULATIONS!A1&lt;CALCULATIONS!B15)),"",IF(FORM!E13="LINE TAPS","L","B"))</f>
        <v>L</v>
      </c>
    </row>
    <row r="85" spans="1:5" x14ac:dyDescent="0.25">
      <c r="B85" s="44" t="str">
        <f>CALCULATIONS!H7</f>
        <v>HANWHA 315</v>
      </c>
      <c r="D85" s="27" t="str">
        <f ca="1">IF(AND(D83="T",D81="MICROINVERTERS"),"M","")</f>
        <v/>
      </c>
    </row>
    <row r="86" spans="1:5" x14ac:dyDescent="0.25">
      <c r="B86" s="44" t="str">
        <f>CALCULATIONS!H8</f>
        <v>Q.PEAK DUO BLK-G5 315</v>
      </c>
      <c r="D86" s="27">
        <f ca="1">IF(AND(D83="T",FORM!B7=3),COUNTA(FORM!B6:F6)&amp;"C",IF(D83="T",COUNTA(FORM!B6:F6),IF(OR(D83="U",D83="N"),IF(D81="MICROINVERTERS","M",IF(D81="COMBINER","C",COUNTA(FORM!B6:F6))))))</f>
        <v>1</v>
      </c>
    </row>
    <row r="87" spans="1:5" x14ac:dyDescent="0.25">
      <c r="B87" s="44" t="str">
        <f>IF(CALCULATIONS!B19=0,"",CALCULATIONS!B19)</f>
        <v>JCP&amp;L</v>
      </c>
      <c r="D87" s="27" t="str">
        <f ca="1">IF(AND(D83="T",D81="MICROINVERTERS"),COUNTA(FORM!I7:I11),IF(D83="T",FORM!E20&amp;IF(FORM!E23="YES","SS",""),IF(OR(D83="U",D83="N"),IF(D86="C",IF(D82="2 INVERTER(S) 1 COMBINED","21C",COUNTA(FORM!B6:C6)),IF(D86="M",COUNT(FORM!I7:I12),"")))))</f>
        <v/>
      </c>
    </row>
    <row r="88" spans="1:5" x14ac:dyDescent="0.25">
      <c r="B88" s="45" t="str">
        <f>IF(CALCULATIONS!B20=0,"",CALCULATIONS!B20)</f>
        <v>100124808161</v>
      </c>
      <c r="D88" s="27" t="str">
        <f ca="1">(D83&amp;D84&amp;D85&amp;D86&amp;D87)</f>
        <v>UL1</v>
      </c>
      <c r="E88" s="27" t="s">
        <v>226</v>
      </c>
    </row>
    <row r="89" spans="1:5" ht="18" thickBot="1" x14ac:dyDescent="0.35">
      <c r="A89" s="244" t="s">
        <v>173</v>
      </c>
      <c r="B89" s="244"/>
      <c r="C89" s="244"/>
      <c r="D89" s="27" t="str">
        <f ca="1">IF(AND(CALCULATIONS!A1&lt;TODAY(),OR(CALCULATIONS!B15="NODATE",CALCULATIONS!A1&lt;CALCULATIONS!B15)),"",IF(AND(COUNTA(FORM!B6:F6)=1,SUM(FORM!B7:F7)=1),"1","0"))</f>
        <v>0</v>
      </c>
      <c r="E89" s="27" t="s">
        <v>269</v>
      </c>
    </row>
    <row r="90" spans="1:5" ht="15.75" thickTop="1" x14ac:dyDescent="0.25">
      <c r="A90" s="27" t="str">
        <f>FORM!I30</f>
        <v>INSIDE</v>
      </c>
      <c r="B90" s="44"/>
      <c r="C90" s="27" t="str">
        <f>IF(FORM!B18="SUNRUN","OUTSIDE",IF(FORM!F6="M215 MICROINVERTERS",FORM!I30,FORM!I32))&amp;"."</f>
        <v>OUTSIDE.</v>
      </c>
    </row>
    <row r="91" spans="1:5" x14ac:dyDescent="0.25">
      <c r="B91" s="44"/>
    </row>
    <row r="92" spans="1:5" x14ac:dyDescent="0.25">
      <c r="A92" s="27" t="str">
        <f>IF(FORM!I31="SAME AS ABOVE",FORM!I30,FORM!I31)</f>
        <v>INSIDE</v>
      </c>
      <c r="B92" s="44"/>
      <c r="C92" s="27" t="str">
        <f>IF(FORM!F6="M215 MICROINVERTERS","N/A",FORM!I32)&amp;"."</f>
        <v>OUTSIDE.</v>
      </c>
    </row>
    <row r="93" spans="1:5" x14ac:dyDescent="0.25">
      <c r="B93" s="44"/>
    </row>
    <row r="94" spans="1:5" x14ac:dyDescent="0.25">
      <c r="B94" s="44"/>
    </row>
    <row r="95" spans="1:5" x14ac:dyDescent="0.25">
      <c r="B95" s="44"/>
    </row>
    <row r="97" spans="1:2" ht="18" thickBot="1" x14ac:dyDescent="0.35">
      <c r="A97" s="36" t="s">
        <v>175</v>
      </c>
    </row>
    <row r="98" spans="1:2" ht="15.75" thickTop="1" x14ac:dyDescent="0.25">
      <c r="A98" s="78" t="str">
        <f ca="1">IF(AND(CALCULATIONS!A1&lt;TODAY(),OR(CALCULATIONS!B15="NODATE",CALCULATIONS!A1&lt;CALCULATIONS!B15)),"",IF(AND(NOT(FORM!I20=""),FORM!E19="GROUND MOUNT"),"ARRAY 1",IF(FORM!I20="","","R1")))</f>
        <v/>
      </c>
    </row>
    <row r="99" spans="1:2" x14ac:dyDescent="0.25">
      <c r="A99" s="40" t="str">
        <f ca="1">IF(AND(CALCULATIONS!A1&lt;TODAY(),OR(CALCULATIONS!B15="NODATE",CALCULATIONS!A1&lt;CALCULATIONS!B15)),"",IF(FORM!I20="","","ARRAY ORIENTATION = "&amp;FORM!I20&amp;"°"&amp;CHAR(10)&amp;"MODULE PITCH = "&amp;FORM!I21&amp;"°"))</f>
        <v/>
      </c>
      <c r="B99" s="77"/>
    </row>
    <row r="100" spans="1:2" x14ac:dyDescent="0.25">
      <c r="A100" s="78" t="str">
        <f ca="1">IF(AND(CALCULATIONS!A1&lt;TODAY(),OR(CALCULATIONS!B15="NODATE",CALCULATIONS!A1&lt;CALCULATIONS!B15)),"",IF(AND(NOT(FORM!I22=""),FORM!E19="GROUND MOUNT"),"ARRAY 2",IF(FORM!I22="","","R2")))</f>
        <v/>
      </c>
    </row>
    <row r="101" spans="1:2" x14ac:dyDescent="0.25">
      <c r="A101" s="40" t="str">
        <f ca="1">IF(AND(CALCULATIONS!A1&lt;TODAY(),OR(CALCULATIONS!B15="NODATE",CALCULATIONS!A1&lt;CALCULATIONS!B15)),"",IF(FORM!I22="","","ARRAY ORIENTATION = "&amp;FORM!I22&amp;"°"&amp;CHAR(10)&amp;"MODULE PITCH = "&amp;FORM!I23&amp;"°"))</f>
        <v/>
      </c>
    </row>
    <row r="102" spans="1:2" x14ac:dyDescent="0.25">
      <c r="A102" s="78" t="str">
        <f ca="1">IF(AND(CALCULATIONS!A1&lt;TODAY(),OR(CALCULATIONS!B15="NODATE",CALCULATIONS!A1&lt;CALCULATIONS!B15)),"",IF(AND(NOT(FORM!I24=""),FORM!E19="GROUND MOUNT"),"ARRAY 3",IF(FORM!I24="","","R3")))</f>
        <v/>
      </c>
    </row>
    <row r="103" spans="1:2" x14ac:dyDescent="0.25">
      <c r="A103" s="40" t="str">
        <f ca="1">IF(AND(CALCULATIONS!A1&lt;TODAY(),OR(CALCULATIONS!B15="NODATE",CALCULATIONS!A1&lt;CALCULATIONS!B15)),"",IF(FORM!I24="","","ARRAY ORIENTATION = "&amp;FORM!I24&amp;"°"&amp;CHAR(10)&amp;"MODULE PITCH = "&amp;FORM!I25&amp;"°"))</f>
        <v/>
      </c>
    </row>
    <row r="104" spans="1:2" x14ac:dyDescent="0.25">
      <c r="A104" s="79" t="str">
        <f ca="1">IF(AND(CALCULATIONS!A1&lt;TODAY(),OR(CALCULATIONS!B15="NODATE",CALCULATIONS!A1&lt;CALCULATIONS!B15)),"",IF(AND(NOT(FORM!I26=""),FORM!E19="GROUND MOUNT"),"ARRAY 4",IF(FORM!I26="","","R4")))</f>
        <v/>
      </c>
    </row>
    <row r="105" spans="1:2" x14ac:dyDescent="0.25">
      <c r="A105" s="40" t="str">
        <f ca="1">IF(AND(CALCULATIONS!A1&lt;TODAY(),OR(CALCULATIONS!B15="NODATE",CALCULATIONS!A1&lt;CALCULATIONS!B15)),"",IF(FORM!I26="","","ARRAY ORIENTATION = "&amp;FORM!I26&amp;"°"&amp;CHAR(10)&amp;"MODULE PITCH = "&amp;FORM!I27&amp;"°"))</f>
        <v/>
      </c>
    </row>
  </sheetData>
  <mergeCells count="77">
    <mergeCell ref="A89:C89"/>
    <mergeCell ref="Q1:R1"/>
    <mergeCell ref="O15:P15"/>
    <mergeCell ref="O16:P16"/>
    <mergeCell ref="O17:P17"/>
    <mergeCell ref="O26:P26"/>
    <mergeCell ref="O21:P21"/>
    <mergeCell ref="O22:P22"/>
    <mergeCell ref="O23:P23"/>
    <mergeCell ref="O24:P24"/>
    <mergeCell ref="O25:P25"/>
    <mergeCell ref="M10:P10"/>
    <mergeCell ref="M14:P14"/>
    <mergeCell ref="M18:P18"/>
    <mergeCell ref="O19:P19"/>
    <mergeCell ref="O20:P20"/>
    <mergeCell ref="A24:D24"/>
    <mergeCell ref="A39:D39"/>
    <mergeCell ref="A40:D40"/>
    <mergeCell ref="A23:D23"/>
    <mergeCell ref="M26:N26"/>
    <mergeCell ref="M25:N25"/>
    <mergeCell ref="M24:N24"/>
    <mergeCell ref="M23:N23"/>
    <mergeCell ref="A33:B33"/>
    <mergeCell ref="C33:D33"/>
    <mergeCell ref="M22:N22"/>
    <mergeCell ref="M21:N21"/>
    <mergeCell ref="M20:N20"/>
    <mergeCell ref="M19:N19"/>
    <mergeCell ref="M27:N27"/>
    <mergeCell ref="O27:P27"/>
    <mergeCell ref="A25:B25"/>
    <mergeCell ref="C25:D25"/>
    <mergeCell ref="A31:D31"/>
    <mergeCell ref="A32:D32"/>
    <mergeCell ref="M28:P28"/>
    <mergeCell ref="M1:P1"/>
    <mergeCell ref="N2:O2"/>
    <mergeCell ref="N3:O3"/>
    <mergeCell ref="N4:O4"/>
    <mergeCell ref="N5:O5"/>
    <mergeCell ref="N6:O6"/>
    <mergeCell ref="M7:P7"/>
    <mergeCell ref="M8:P8"/>
    <mergeCell ref="M9:P9"/>
    <mergeCell ref="M11:P11"/>
    <mergeCell ref="M12:P12"/>
    <mergeCell ref="M13:P13"/>
    <mergeCell ref="A16:D16"/>
    <mergeCell ref="A17:B17"/>
    <mergeCell ref="C17:D17"/>
    <mergeCell ref="M15:N15"/>
    <mergeCell ref="M17:N17"/>
    <mergeCell ref="M16:N16"/>
    <mergeCell ref="A7:D7"/>
    <mergeCell ref="A8:D8"/>
    <mergeCell ref="A9:B9"/>
    <mergeCell ref="C9:D9"/>
    <mergeCell ref="A15:D15"/>
    <mergeCell ref="A1:C1"/>
    <mergeCell ref="E1:G1"/>
    <mergeCell ref="E2:E4"/>
    <mergeCell ref="G3:G4"/>
    <mergeCell ref="F2:F4"/>
    <mergeCell ref="A73:B73"/>
    <mergeCell ref="A75:B75"/>
    <mergeCell ref="A59:D59"/>
    <mergeCell ref="A50:B50"/>
    <mergeCell ref="A70:B70"/>
    <mergeCell ref="A48:B48"/>
    <mergeCell ref="A49:B49"/>
    <mergeCell ref="O29:P29"/>
    <mergeCell ref="M29:N29"/>
    <mergeCell ref="A71:B71"/>
    <mergeCell ref="A41:B41"/>
    <mergeCell ref="C41:D4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30"/>
  <sheetViews>
    <sheetView workbookViewId="0">
      <selection activeCell="A29" sqref="A29"/>
    </sheetView>
  </sheetViews>
  <sheetFormatPr defaultRowHeight="15" x14ac:dyDescent="0.25"/>
  <cols>
    <col min="1" max="1" width="35.28515625" customWidth="1"/>
    <col min="2" max="2" width="19.140625" customWidth="1"/>
    <col min="3" max="3" width="20.140625" customWidth="1"/>
    <col min="4" max="4" width="11.85546875" customWidth="1"/>
    <col min="9" max="9" width="19.42578125" bestFit="1" customWidth="1"/>
  </cols>
  <sheetData>
    <row r="1" spans="1:9" ht="20.25" thickBot="1" x14ac:dyDescent="0.35">
      <c r="A1" s="1" t="s">
        <v>8</v>
      </c>
      <c r="B1" s="203" t="s">
        <v>2</v>
      </c>
      <c r="C1" s="203" t="s">
        <v>7</v>
      </c>
      <c r="D1" s="203" t="s">
        <v>1</v>
      </c>
      <c r="E1" s="203" t="s">
        <v>3</v>
      </c>
      <c r="F1" s="203" t="s">
        <v>4</v>
      </c>
      <c r="G1" s="203" t="s">
        <v>5</v>
      </c>
      <c r="H1" s="203" t="s">
        <v>6</v>
      </c>
      <c r="I1" s="204" t="s">
        <v>44</v>
      </c>
    </row>
    <row r="2" spans="1:9" s="198" customFormat="1" ht="15.75" thickTop="1" x14ac:dyDescent="0.25">
      <c r="A2" s="29" t="str">
        <f t="shared" ref="A2:A27" si="0">IF(B2="","N/A",B2&amp;" ("&amp;C2&amp;")")</f>
        <v>HANWHA 315 (Q.PEAK DUO BLK-G5 315)</v>
      </c>
      <c r="B2" s="200" t="str">
        <f t="shared" ref="B2:I2" si="1">IF($A$29="Hanwha - 285W Q.PEAK BLK G4.1",B6,IF($A$29="Hanwha - 290W Q.PEAK BLK G4.1",B5,IF($A$29="Hanwha - 295W Q.PEAK BLK G4.1",B4,IF($A$29="Trina - TSM-290DD05A.05",B7,IF($A$29="Trina - TSM-295DD05A.05",B8,IF($A$29="Trina - TSM-300DD05A.05",B9,IF($A$29="LG - LG310N1C-G4",B10,IF($A$29="LG - LG325N1C-A5",B11,IF($A$29="LG - LG330N1C-A5",B12,IF($A$29="LG - LG330N1C-A5",B13,IF($A$29="Recom RCM-290-6MB",B23,IF($A$29="Jinko - JKM280M-60",B24,IF($A$29="Jinko - JKM285M-60",B25,IF($A$29="Jinko - JKM290M-60",B26,IF($A$29="Silfab - SLA285M",B27,IF($A$29="Hanwha - Q.PEAK DUO BLK-G5 315",B14,IF($A$29="HANWHA 300 (HLS72P6-PB-1-300)",B3,IF($A$29="Hanwha - Q.PEAK DUO BLK-G5 310",B15,""))))))))))))))))))</f>
        <v>HANWHA 315</v>
      </c>
      <c r="C2" s="200" t="str">
        <f t="shared" si="1"/>
        <v>Q.PEAK DUO BLK-G5 315</v>
      </c>
      <c r="D2" s="200">
        <f t="shared" si="1"/>
        <v>315</v>
      </c>
      <c r="E2" s="200">
        <f t="shared" si="1"/>
        <v>9.41</v>
      </c>
      <c r="F2" s="200">
        <f t="shared" si="1"/>
        <v>33.46</v>
      </c>
      <c r="G2" s="200">
        <f t="shared" si="1"/>
        <v>40.29</v>
      </c>
      <c r="H2" s="200">
        <f t="shared" si="1"/>
        <v>9.89</v>
      </c>
      <c r="I2" s="200">
        <f t="shared" si="1"/>
        <v>45.93</v>
      </c>
    </row>
    <row r="3" spans="1:9" x14ac:dyDescent="0.25">
      <c r="A3" s="29" t="str">
        <f t="shared" si="0"/>
        <v>HANWHA 300 (HLS72P6-PB-1-300)</v>
      </c>
      <c r="B3" s="201" t="s">
        <v>357</v>
      </c>
      <c r="C3" s="202" t="s">
        <v>358</v>
      </c>
      <c r="D3" s="202">
        <v>300</v>
      </c>
      <c r="E3" s="202">
        <v>8.32</v>
      </c>
      <c r="F3" s="202">
        <v>36.1</v>
      </c>
      <c r="G3" s="202">
        <v>44.9</v>
      </c>
      <c r="H3" s="202">
        <v>8.7799999999999994</v>
      </c>
      <c r="I3" s="202">
        <v>48.279000000000003</v>
      </c>
    </row>
    <row r="4" spans="1:9" x14ac:dyDescent="0.25">
      <c r="A4" s="29" t="str">
        <f t="shared" si="0"/>
        <v>HANWHA 295 (Q.PEAK-BLK G4.1 295)</v>
      </c>
      <c r="B4" s="25" t="s">
        <v>338</v>
      </c>
      <c r="C4" s="25" t="s">
        <v>339</v>
      </c>
      <c r="D4" s="25">
        <v>295</v>
      </c>
      <c r="E4" s="25">
        <v>9.17</v>
      </c>
      <c r="F4" s="25">
        <v>32.19</v>
      </c>
      <c r="G4" s="25">
        <v>39.479999999999997</v>
      </c>
      <c r="H4" s="25">
        <v>9.6999999999999993</v>
      </c>
      <c r="I4" s="25">
        <v>45.007199999999997</v>
      </c>
    </row>
    <row r="5" spans="1:9" x14ac:dyDescent="0.25">
      <c r="A5" s="29" t="str">
        <f t="shared" si="0"/>
        <v>HANWHA 290 (Q.PEAK-BLK G4.1 290)</v>
      </c>
      <c r="B5" s="25" t="s">
        <v>323</v>
      </c>
      <c r="C5" s="25" t="s">
        <v>324</v>
      </c>
      <c r="D5" s="25">
        <v>290</v>
      </c>
      <c r="E5" s="25">
        <v>9.07</v>
      </c>
      <c r="F5" s="25">
        <v>31.96</v>
      </c>
      <c r="G5" s="25">
        <v>39.19</v>
      </c>
      <c r="H5" s="25">
        <v>9.6300000000000008</v>
      </c>
      <c r="I5" s="25">
        <v>44.676600000000001</v>
      </c>
    </row>
    <row r="6" spans="1:9" x14ac:dyDescent="0.25">
      <c r="A6" s="29" t="str">
        <f t="shared" si="0"/>
        <v>HANWHA 285 (Q.PEAK-BLK G4.1 285)</v>
      </c>
      <c r="B6" s="25" t="s">
        <v>325</v>
      </c>
      <c r="C6" s="25" t="s">
        <v>319</v>
      </c>
      <c r="D6" s="25">
        <v>285</v>
      </c>
      <c r="E6" s="25">
        <v>8.98</v>
      </c>
      <c r="F6" s="25">
        <v>31.73</v>
      </c>
      <c r="G6" s="25">
        <v>38.909999999999997</v>
      </c>
      <c r="H6" s="25">
        <v>9.56</v>
      </c>
      <c r="I6" s="25">
        <v>44.36</v>
      </c>
    </row>
    <row r="7" spans="1:9" x14ac:dyDescent="0.25">
      <c r="A7" s="29" t="str">
        <f t="shared" si="0"/>
        <v>TRINA 290 (TSM-290 DD05A.05)</v>
      </c>
      <c r="B7" s="25" t="s">
        <v>340</v>
      </c>
      <c r="C7" s="25" t="s">
        <v>341</v>
      </c>
      <c r="D7" s="25">
        <v>290</v>
      </c>
      <c r="E7" s="25">
        <v>9.01</v>
      </c>
      <c r="F7" s="25">
        <v>32.200000000000003</v>
      </c>
      <c r="G7" s="25">
        <v>39.5</v>
      </c>
      <c r="H7" s="25">
        <v>9.5</v>
      </c>
      <c r="I7" s="25">
        <v>45.227499999999999</v>
      </c>
    </row>
    <row r="8" spans="1:9" x14ac:dyDescent="0.25">
      <c r="A8" s="29" t="str">
        <f t="shared" si="0"/>
        <v>TRINA 295 (TSM-295 DD05A.05)</v>
      </c>
      <c r="B8" s="25" t="s">
        <v>342</v>
      </c>
      <c r="C8" s="25" t="s">
        <v>343</v>
      </c>
      <c r="D8" s="25">
        <v>295</v>
      </c>
      <c r="E8" s="25">
        <v>9.08</v>
      </c>
      <c r="F8" s="25">
        <v>32.5</v>
      </c>
      <c r="G8" s="25">
        <v>39.700000000000003</v>
      </c>
      <c r="H8" s="25">
        <v>9.5500000000000007</v>
      </c>
      <c r="I8" s="25">
        <v>45.456499999999998</v>
      </c>
    </row>
    <row r="9" spans="1:9" x14ac:dyDescent="0.25">
      <c r="A9" s="29" t="str">
        <f t="shared" si="0"/>
        <v>TRINA 300 (TSM-300 DD05A.05)</v>
      </c>
      <c r="B9" s="25" t="s">
        <v>416</v>
      </c>
      <c r="C9" s="25" t="s">
        <v>417</v>
      </c>
      <c r="D9" s="25">
        <v>300</v>
      </c>
      <c r="E9" s="25">
        <v>9.19</v>
      </c>
      <c r="F9" s="25">
        <v>32.6</v>
      </c>
      <c r="G9" s="25">
        <v>39.799999999999997</v>
      </c>
      <c r="H9" s="25">
        <v>9.77</v>
      </c>
      <c r="I9" s="25">
        <v>45.570999999999998</v>
      </c>
    </row>
    <row r="10" spans="1:9" x14ac:dyDescent="0.25">
      <c r="A10" s="29" t="str">
        <f t="shared" si="0"/>
        <v>LG 310 (LG310N1C-G4)</v>
      </c>
      <c r="B10" s="25" t="s">
        <v>344</v>
      </c>
      <c r="C10" s="25" t="s">
        <v>345</v>
      </c>
      <c r="D10" s="25">
        <v>310</v>
      </c>
      <c r="E10" s="25">
        <v>9.4499999999999993</v>
      </c>
      <c r="F10" s="25">
        <v>32.799999999999997</v>
      </c>
      <c r="G10" s="25">
        <v>40.4</v>
      </c>
      <c r="H10" s="25">
        <v>9.9600000000000009</v>
      </c>
      <c r="I10" s="25">
        <v>46.055999999999997</v>
      </c>
    </row>
    <row r="11" spans="1:9" x14ac:dyDescent="0.25">
      <c r="A11" s="29" t="str">
        <f t="shared" si="0"/>
        <v>LG 325 (LG325N1C-A5)</v>
      </c>
      <c r="B11" s="25" t="s">
        <v>346</v>
      </c>
      <c r="C11" s="25" t="s">
        <v>347</v>
      </c>
      <c r="D11" s="25">
        <v>325</v>
      </c>
      <c r="E11" s="25">
        <v>9.77</v>
      </c>
      <c r="F11" s="25">
        <v>33.299999999999997</v>
      </c>
      <c r="G11" s="25">
        <v>40.799999999999997</v>
      </c>
      <c r="H11" s="25">
        <v>10.41</v>
      </c>
      <c r="I11" s="25">
        <v>46.308</v>
      </c>
    </row>
    <row r="12" spans="1:9" x14ac:dyDescent="0.25">
      <c r="A12" s="29" t="str">
        <f t="shared" si="0"/>
        <v>LG 330 (LG330N1C-A5)</v>
      </c>
      <c r="B12" s="25" t="s">
        <v>348</v>
      </c>
      <c r="C12" s="25" t="s">
        <v>349</v>
      </c>
      <c r="D12" s="25">
        <v>330</v>
      </c>
      <c r="E12" s="25">
        <v>9.8000000000000007</v>
      </c>
      <c r="F12" s="25">
        <v>33.700000000000003</v>
      </c>
      <c r="G12" s="25">
        <v>40.9</v>
      </c>
      <c r="H12" s="25">
        <v>10.45</v>
      </c>
      <c r="I12" s="25">
        <v>46.42</v>
      </c>
    </row>
    <row r="13" spans="1:9" x14ac:dyDescent="0.25">
      <c r="A13" s="29" t="str">
        <f t="shared" si="0"/>
        <v>LG 335 (LG335N1C-A5)</v>
      </c>
      <c r="B13" s="25" t="s">
        <v>350</v>
      </c>
      <c r="C13" s="25" t="s">
        <v>351</v>
      </c>
      <c r="D13" s="25">
        <v>335</v>
      </c>
      <c r="E13" s="25">
        <v>9.83</v>
      </c>
      <c r="F13" s="25">
        <v>34.1</v>
      </c>
      <c r="G13" s="25">
        <v>41</v>
      </c>
      <c r="H13" s="25">
        <v>10.49</v>
      </c>
      <c r="I13" s="25">
        <v>46.534999999999997</v>
      </c>
    </row>
    <row r="14" spans="1:9" x14ac:dyDescent="0.25">
      <c r="A14" s="29" t="str">
        <f t="shared" si="0"/>
        <v>HANWHA 315 (Q.PEAK DUO BLK-G5 315)</v>
      </c>
      <c r="B14" s="25" t="s">
        <v>438</v>
      </c>
      <c r="C14" s="25" t="s">
        <v>439</v>
      </c>
      <c r="D14" s="25">
        <v>315</v>
      </c>
      <c r="E14" s="25">
        <v>9.41</v>
      </c>
      <c r="F14" s="25">
        <v>33.46</v>
      </c>
      <c r="G14" s="25">
        <v>40.29</v>
      </c>
      <c r="H14" s="25">
        <v>9.89</v>
      </c>
      <c r="I14" s="25">
        <v>45.93</v>
      </c>
    </row>
    <row r="15" spans="1:9" x14ac:dyDescent="0.25">
      <c r="A15" s="29" t="str">
        <f t="shared" si="0"/>
        <v>HANWHA 310 (Q.PEAK DUO BLK-G5 310)</v>
      </c>
      <c r="B15" s="25" t="s">
        <v>441</v>
      </c>
      <c r="C15" s="25" t="s">
        <v>442</v>
      </c>
      <c r="D15" s="25">
        <v>310</v>
      </c>
      <c r="E15" s="25">
        <v>9.36</v>
      </c>
      <c r="F15" s="25">
        <v>33.119999999999997</v>
      </c>
      <c r="G15" s="25">
        <v>40.020000000000003</v>
      </c>
      <c r="H15" s="25">
        <v>9.83</v>
      </c>
      <c r="I15" s="25">
        <v>45.622799999999998</v>
      </c>
    </row>
    <row r="16" spans="1:9" x14ac:dyDescent="0.25">
      <c r="A16" s="29" t="str">
        <f t="shared" si="0"/>
        <v>N/A</v>
      </c>
      <c r="B16" s="25"/>
      <c r="C16" s="25"/>
      <c r="D16" s="25"/>
      <c r="E16" s="25"/>
      <c r="F16" s="25"/>
      <c r="G16" s="25"/>
      <c r="H16" s="25"/>
      <c r="I16" s="25"/>
    </row>
    <row r="17" spans="1:9" x14ac:dyDescent="0.25">
      <c r="A17" s="29" t="str">
        <f t="shared" si="0"/>
        <v>N/A</v>
      </c>
      <c r="B17" s="25"/>
      <c r="C17" s="25"/>
      <c r="D17" s="25"/>
      <c r="E17" s="25"/>
      <c r="F17" s="25"/>
      <c r="G17" s="25"/>
      <c r="H17" s="25"/>
      <c r="I17" s="25"/>
    </row>
    <row r="18" spans="1:9" x14ac:dyDescent="0.25">
      <c r="A18" s="29" t="str">
        <f t="shared" si="0"/>
        <v>N/A</v>
      </c>
      <c r="B18" s="25"/>
      <c r="C18" s="25"/>
      <c r="D18" s="25"/>
      <c r="E18" s="25"/>
      <c r="F18" s="25"/>
      <c r="G18" s="25"/>
      <c r="H18" s="25"/>
      <c r="I18" s="25"/>
    </row>
    <row r="19" spans="1:9" x14ac:dyDescent="0.25">
      <c r="A19" s="29" t="str">
        <f t="shared" si="0"/>
        <v>N/A</v>
      </c>
      <c r="B19" s="25"/>
      <c r="C19" s="25"/>
      <c r="D19" s="25"/>
      <c r="E19" s="25"/>
      <c r="F19" s="25"/>
      <c r="G19" s="25"/>
      <c r="H19" s="25"/>
      <c r="I19" s="25"/>
    </row>
    <row r="20" spans="1:9" x14ac:dyDescent="0.25">
      <c r="A20" s="29" t="str">
        <f t="shared" si="0"/>
        <v>N/A</v>
      </c>
      <c r="B20" s="25"/>
      <c r="C20" s="25"/>
      <c r="D20" s="25"/>
      <c r="E20" s="25"/>
      <c r="F20" s="25"/>
      <c r="G20" s="25"/>
      <c r="H20" s="25"/>
      <c r="I20" s="25"/>
    </row>
    <row r="21" spans="1:9" x14ac:dyDescent="0.25">
      <c r="A21" s="29" t="str">
        <f t="shared" si="0"/>
        <v>N/A</v>
      </c>
      <c r="B21" s="25"/>
      <c r="C21" s="25"/>
      <c r="D21" s="25"/>
      <c r="E21" s="25"/>
      <c r="F21" s="25"/>
      <c r="G21" s="25"/>
      <c r="H21" s="25"/>
      <c r="I21" s="25"/>
    </row>
    <row r="22" spans="1:9" x14ac:dyDescent="0.25">
      <c r="A22" s="29" t="str">
        <f t="shared" si="0"/>
        <v>N/A</v>
      </c>
      <c r="B22" s="25"/>
      <c r="C22" s="25"/>
      <c r="D22" s="25"/>
      <c r="E22" s="25"/>
      <c r="F22" s="25"/>
      <c r="G22" s="25"/>
      <c r="H22" s="25"/>
      <c r="I22" s="25"/>
    </row>
    <row r="23" spans="1:9" x14ac:dyDescent="0.25">
      <c r="A23" s="29" t="str">
        <f t="shared" si="0"/>
        <v>RECOM 290 (RCM-290-6MB)</v>
      </c>
      <c r="B23" s="174" t="s">
        <v>352</v>
      </c>
      <c r="C23" s="174" t="s">
        <v>353</v>
      </c>
      <c r="D23" s="174">
        <v>290</v>
      </c>
      <c r="E23" s="174">
        <v>8.86</v>
      </c>
      <c r="F23" s="174">
        <v>32.700000000000003</v>
      </c>
      <c r="G23" s="174">
        <v>39.9</v>
      </c>
      <c r="H23" s="174">
        <v>9.75</v>
      </c>
      <c r="I23" s="174">
        <v>46.283999999999999</v>
      </c>
    </row>
    <row r="24" spans="1:9" x14ac:dyDescent="0.25">
      <c r="A24" s="29" t="str">
        <f t="shared" si="0"/>
        <v>JINKO 280 (JKM280M-60B)</v>
      </c>
      <c r="B24" s="25" t="s">
        <v>334</v>
      </c>
      <c r="C24" s="25" t="s">
        <v>335</v>
      </c>
      <c r="D24" s="25">
        <v>280</v>
      </c>
      <c r="E24" s="25">
        <v>8.81</v>
      </c>
      <c r="F24" s="25">
        <v>31.8</v>
      </c>
      <c r="G24" s="25">
        <v>38.6</v>
      </c>
      <c r="H24" s="25">
        <v>9.49</v>
      </c>
      <c r="I24" s="25">
        <v>44.197000000000003</v>
      </c>
    </row>
    <row r="25" spans="1:9" x14ac:dyDescent="0.25">
      <c r="A25" s="29" t="str">
        <f t="shared" si="0"/>
        <v>JINKO 285 (JKM285M-60B)</v>
      </c>
      <c r="B25" s="25" t="s">
        <v>336</v>
      </c>
      <c r="C25" s="25" t="s">
        <v>337</v>
      </c>
      <c r="D25" s="25">
        <v>285</v>
      </c>
      <c r="E25" s="25">
        <v>8.9</v>
      </c>
      <c r="F25" s="25">
        <v>32</v>
      </c>
      <c r="G25" s="25">
        <v>38.700000000000003</v>
      </c>
      <c r="H25" s="25">
        <v>9.51</v>
      </c>
      <c r="I25" s="25">
        <v>44.331499999999998</v>
      </c>
    </row>
    <row r="26" spans="1:9" x14ac:dyDescent="0.25">
      <c r="A26" s="29" t="str">
        <f t="shared" si="0"/>
        <v>JINKO 290 (JKM290M-60B)</v>
      </c>
      <c r="B26" s="25" t="s">
        <v>354</v>
      </c>
      <c r="C26" s="25" t="s">
        <v>355</v>
      </c>
      <c r="D26" s="25">
        <v>290</v>
      </c>
      <c r="E26" s="25">
        <v>9.02</v>
      </c>
      <c r="F26" s="25">
        <v>32.200000000000003</v>
      </c>
      <c r="G26" s="25">
        <v>39.5</v>
      </c>
      <c r="H26" s="25">
        <v>9.61</v>
      </c>
      <c r="I26" s="25">
        <v>45.227499999999999</v>
      </c>
    </row>
    <row r="27" spans="1:9" x14ac:dyDescent="0.25">
      <c r="A27" s="29" t="str">
        <f t="shared" si="0"/>
        <v>SILFAB SOLAR (SLA285M)</v>
      </c>
      <c r="B27" s="25" t="s">
        <v>271</v>
      </c>
      <c r="C27" s="25" t="s">
        <v>356</v>
      </c>
      <c r="D27" s="25">
        <v>285</v>
      </c>
      <c r="E27" s="25">
        <v>8.91</v>
      </c>
      <c r="F27" s="25">
        <v>32</v>
      </c>
      <c r="G27" s="25">
        <v>39.1</v>
      </c>
      <c r="H27" s="25">
        <v>9.4700000000000006</v>
      </c>
      <c r="I27" s="25">
        <v>44.965000000000003</v>
      </c>
    </row>
    <row r="28" spans="1:9" ht="15.75" thickBot="1" x14ac:dyDescent="0.3">
      <c r="A28" s="199" t="s">
        <v>388</v>
      </c>
    </row>
    <row r="29" spans="1:9" ht="15.75" thickTop="1" x14ac:dyDescent="0.25">
      <c r="A29" s="205" t="s">
        <v>449</v>
      </c>
    </row>
    <row r="30" spans="1:9" x14ac:dyDescent="0.25">
      <c r="A30" s="205"/>
      <c r="B30" s="198" t="str">
        <f t="shared" ref="B30:I30" si="2">IF($A$29="Hanwha - 285W Q.PEAK BLK G4.1",B6,IF($A$29="Hanwha - 290W Q.PEAK BLK G4.1",B5,IF($A$29="Hanwha - 295W Q.PEAK BLK G4.1",B4,IF($A$29="Trina - TSM-290DD05A.05",B7,IF($A$29="Trina - TSM-295DD05A.05",B8,IF($A$29="LG - LG310N1C-G4",B9,IF($A$29="LG - LG325N1C-A5",B10,IF($A$29="LG - LG330N1C-A5",B11,IF($A$29="LG - LG330N1C-A5",B12,IF($A$29="Recom RCM-290-6MB",B23,IF($A$29="Jinko - JKM280M-60",B24,IF($A$29="Jinko - JKM285M-60",B25,IF($A$29="Jinko - JKM290M-60",B26,IF($A$29="Silfab - SLA285M",B27,""))))))))))))))</f>
        <v/>
      </c>
      <c r="C30" s="198" t="str">
        <f t="shared" si="2"/>
        <v/>
      </c>
      <c r="D30" s="198" t="str">
        <f t="shared" si="2"/>
        <v/>
      </c>
      <c r="E30" s="198" t="str">
        <f t="shared" si="2"/>
        <v/>
      </c>
      <c r="F30" s="198" t="str">
        <f t="shared" si="2"/>
        <v/>
      </c>
      <c r="G30" s="198" t="str">
        <f t="shared" si="2"/>
        <v/>
      </c>
      <c r="H30" s="198" t="str">
        <f t="shared" si="2"/>
        <v/>
      </c>
      <c r="I30" s="198" t="str">
        <f t="shared" si="2"/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9"/>
  <sheetViews>
    <sheetView topLeftCell="A3" workbookViewId="0">
      <selection activeCell="C21" sqref="C21"/>
    </sheetView>
  </sheetViews>
  <sheetFormatPr defaultRowHeight="15" x14ac:dyDescent="0.25"/>
  <cols>
    <col min="1" max="1" width="26.28515625" customWidth="1"/>
    <col min="2" max="2" width="6" bestFit="1" customWidth="1"/>
    <col min="3" max="3" width="6.5703125" bestFit="1" customWidth="1"/>
    <col min="4" max="5" width="63.5703125" customWidth="1"/>
  </cols>
  <sheetData>
    <row r="1" spans="1:5" ht="20.25" thickBot="1" x14ac:dyDescent="0.35">
      <c r="A1" s="1" t="s">
        <v>0</v>
      </c>
      <c r="B1" s="2" t="s">
        <v>66</v>
      </c>
      <c r="C1" s="14" t="s">
        <v>51</v>
      </c>
      <c r="D1" s="15" t="s">
        <v>304</v>
      </c>
      <c r="E1" s="15" t="s">
        <v>303</v>
      </c>
    </row>
    <row r="2" spans="1:5" ht="15.75" thickTop="1" x14ac:dyDescent="0.25">
      <c r="A2" s="49" t="s">
        <v>320</v>
      </c>
      <c r="B2" s="50">
        <v>3000</v>
      </c>
      <c r="C2" s="51">
        <v>12.5</v>
      </c>
      <c r="D2" s="169" t="str">
        <f>IF(FORM!$E$14="PA",SUBSTITUTE(E2,"#10","#8",3),INVERTERS!E2)</f>
        <v>3/4'' CONDUIT W/ 2-#10 THWN-2, 1-#10 THWN-2, 1-#10 THWN-2 GROUND</v>
      </c>
      <c r="E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3" spans="1:5" x14ac:dyDescent="0.25">
      <c r="A3" s="49" t="s">
        <v>321</v>
      </c>
      <c r="B3" s="50">
        <v>3800</v>
      </c>
      <c r="C3" s="51">
        <v>16</v>
      </c>
      <c r="D3" s="169" t="str">
        <f>IF(FORM!$E$14="PA",SUBSTITUTE(E3,"#10","#8",3),INVERTERS!E3)</f>
        <v>3/4'' CONDUIT W/ 2-#10 THWN-2, 1-#10 THWN-2, 1-#10 THWN-2 GROUND</v>
      </c>
      <c r="E3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4" spans="1:5" x14ac:dyDescent="0.25">
      <c r="A4" s="49" t="s">
        <v>326</v>
      </c>
      <c r="B4" s="50">
        <v>5000</v>
      </c>
      <c r="C4" s="51">
        <v>21</v>
      </c>
      <c r="D4" s="169" t="str">
        <f>IF(FORM!$E$14="PA",SUBSTITUTE(E4,"#10","#8",3),INVERTERS!E4)</f>
        <v>3/4'' CONDUIT W/ 2-#10 THWN-2, 1-#10 THWN-2, 1-#10 THWN-2 GROUND</v>
      </c>
      <c r="E4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5" spans="1:5" s="171" customFormat="1" x14ac:dyDescent="0.25">
      <c r="A5" s="49" t="s">
        <v>328</v>
      </c>
      <c r="B5" s="50">
        <v>6000</v>
      </c>
      <c r="C5" s="51">
        <v>25</v>
      </c>
      <c r="D5" s="169" t="str">
        <f>IF(FORM!$E$14="PA",SUBSTITUTE(E5,"#10","#8",2),INVERTERS!E5)</f>
        <v>3/4'' CONDUIT W/ 2-#8 THWN-2, 1-#10 THWN-2, 1-#10 THWN-2 GROUND</v>
      </c>
      <c r="E5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6" spans="1:5" x14ac:dyDescent="0.25">
      <c r="A6" s="49" t="s">
        <v>327</v>
      </c>
      <c r="B6" s="50">
        <v>7600</v>
      </c>
      <c r="C6" s="51">
        <v>32</v>
      </c>
      <c r="D6" s="169" t="str">
        <f>IF(FORM!$E$14="PA",SUBSTITUTE(E6,"#10","#8",2),INVERTERS!E6)</f>
        <v>3/4'' CONDUIT W/ 2-#8 THWN-2, 1-#10 THWN-2, 1-#10 THWN-2 GROUND</v>
      </c>
      <c r="E6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7" spans="1:5" s="225" customFormat="1" x14ac:dyDescent="0.25">
      <c r="A7" s="49" t="s">
        <v>418</v>
      </c>
      <c r="B7" s="50">
        <v>10000</v>
      </c>
      <c r="C7" s="51">
        <v>42</v>
      </c>
      <c r="D7" s="169" t="str">
        <f>IF(FORM!$E$14="PA",SUBSTITUTE(E7,"#10","#8",2),INVERTERS!E7)</f>
        <v>3/4'' CONDUIT W/ 2-#6 THWN-2, 1-#10 THWN-2, 1-#10 THWN-2 GROUND</v>
      </c>
      <c r="E7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8" spans="1:5" s="239" customFormat="1" x14ac:dyDescent="0.25">
      <c r="A8" s="49" t="s">
        <v>448</v>
      </c>
      <c r="B8" s="50">
        <v>11400</v>
      </c>
      <c r="C8" s="51">
        <v>47.5</v>
      </c>
      <c r="D8" s="169" t="str">
        <f>IF(FORM!$E$14="PA",SUBSTITUTE(E8,"#10","#8",2),INVERTERS!E8)</f>
        <v>3/4'' CONDUIT W/ 2-#6 THWN-2, 1-#10 THWN-2, 1-#10 THWN-2 GROUND</v>
      </c>
      <c r="E8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9" spans="1:5" x14ac:dyDescent="0.25">
      <c r="A9" s="49" t="s">
        <v>33</v>
      </c>
      <c r="B9" s="25"/>
      <c r="C9" s="51"/>
      <c r="D9" s="169"/>
      <c r="E9" s="25"/>
    </row>
    <row r="10" spans="1:5" x14ac:dyDescent="0.25">
      <c r="A10" s="49" t="s">
        <v>152</v>
      </c>
      <c r="B10" s="50">
        <v>3000</v>
      </c>
      <c r="C10" s="51">
        <v>12.5</v>
      </c>
      <c r="D10" s="169" t="str">
        <f>IF(FORM!$E$14="PA",SUBSTITUTE(E10,"#10","#8",3),INVERTERS!E10)</f>
        <v>3/4'' CONDUIT W/ 2-#10 THWN-2, 1-#10 THWN-2, 1-#10 THWN-2 GROUND</v>
      </c>
      <c r="E10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1" spans="1:5" x14ac:dyDescent="0.25">
      <c r="A11" s="49" t="s">
        <v>115</v>
      </c>
      <c r="B11" s="50">
        <v>3800</v>
      </c>
      <c r="C11" s="51">
        <v>16</v>
      </c>
      <c r="D11" s="169" t="str">
        <f>IF(FORM!$E$14="PA",SUBSTITUTE(E11,"#10","#8",3),INVERTERS!E11)</f>
        <v>3/4'' CONDUIT W/ 2-#10 THWN-2, 1-#10 THWN-2, 1-#10 THWN-2 GROUND</v>
      </c>
      <c r="E11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2" spans="1:5" x14ac:dyDescent="0.25">
      <c r="A12" s="49" t="s">
        <v>116</v>
      </c>
      <c r="B12" s="50">
        <v>5000</v>
      </c>
      <c r="C12" s="51">
        <v>21</v>
      </c>
      <c r="D12" s="169" t="str">
        <f>IF(FORM!$E$14="PA",SUBSTITUTE(E12,"#10","#8",3),INVERTERS!E12)</f>
        <v>3/4'' CONDUIT W/ 2-#10 THWN-2, 1-#10 THWN-2, 1-#10 THWN-2 GROUND</v>
      </c>
      <c r="E12" s="25" t="str">
        <f>IF(FORM!$I$28="1 INCH","1'' CONDUIT W/ 2-#10 THWN-2, 1-#10 THWN-2, 1-#10 THWN-2 GROUND","3/4'' CONDUIT W/ 2-#10 THWN-2, 1-#10 THWN-2, 1-#10 THWN-2 GROUND")</f>
        <v>3/4'' CONDUIT W/ 2-#10 THWN-2, 1-#10 THWN-2, 1-#10 THWN-2 GROUND</v>
      </c>
    </row>
    <row r="13" spans="1:5" x14ac:dyDescent="0.25">
      <c r="A13" s="49" t="s">
        <v>117</v>
      </c>
      <c r="B13" s="50">
        <v>6000</v>
      </c>
      <c r="C13" s="51">
        <v>25</v>
      </c>
      <c r="D13" s="169" t="str">
        <f>IF(FORM!$E$14="PA",SUBSTITUTE(E13,"#10","#8",2),INVERTERS!E13)</f>
        <v>3/4'' CONDUIT W/ 2-#8 THWN-2, 1-#10 THWN-2, 1-#10 THWN-2 GROUND</v>
      </c>
      <c r="E13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4" spans="1:5" x14ac:dyDescent="0.25">
      <c r="A14" s="49" t="s">
        <v>118</v>
      </c>
      <c r="B14" s="50">
        <v>7600</v>
      </c>
      <c r="C14" s="51">
        <v>32</v>
      </c>
      <c r="D14" s="169" t="str">
        <f>IF(FORM!$E$14="PA",SUBSTITUTE(E14,"#10","#8",2),INVERTERS!E14)</f>
        <v>3/4'' CONDUIT W/ 2-#8 THWN-2, 1-#10 THWN-2, 1-#10 THWN-2 GROUND</v>
      </c>
      <c r="E14" s="25" t="str">
        <f>IF(FORM!$I$28="1 INCH","1'' CONDUIT W/ 2-#8 THWN-2, 1-#10 THWN-2, 1-#10 THWN-2 GROUND","3/4'' CONDUIT W/ 2-#8 THWN-2, 1-#10 THWN-2, 1-#10 THWN-2 GROUND")</f>
        <v>3/4'' CONDUIT W/ 2-#8 THWN-2, 1-#10 THWN-2, 1-#10 THWN-2 GROUND</v>
      </c>
    </row>
    <row r="15" spans="1:5" x14ac:dyDescent="0.25">
      <c r="A15" s="49" t="s">
        <v>119</v>
      </c>
      <c r="B15" s="50">
        <v>10000</v>
      </c>
      <c r="C15" s="51">
        <v>42</v>
      </c>
      <c r="D15" s="169" t="str">
        <f>IF(FORM!$E$14="PA",SUBSTITUTE(E15,"#10","#8",2),INVERTERS!E15)</f>
        <v>3/4'' CONDUIT W/ 2-#6 THWN-2, 1-#10 THWN-2, 1-#10 THWN-2 GROUND</v>
      </c>
      <c r="E15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6" spans="1:5" x14ac:dyDescent="0.25">
      <c r="A16" s="49" t="s">
        <v>120</v>
      </c>
      <c r="B16" s="50">
        <v>11400</v>
      </c>
      <c r="C16" s="51">
        <v>47.5</v>
      </c>
      <c r="D16" s="169" t="str">
        <f>IF(FORM!$E$14="PA",SUBSTITUTE(E16,"#10","#8",2),INVERTERS!E16)</f>
        <v>3/4'' CONDUIT W/ 2-#6 THWN-2, 1-#10 THWN-2, 1-#10 THWN-2 GROUND</v>
      </c>
      <c r="E16" s="25" t="str">
        <f>IF(FORM!$I$28="1 INCH","1'' CONDUIT W/ 2-#6 THWN-2, 1-#10 THWN-2, 1-#10 THWN-2 GROUND","3/4'' CONDUIT W/ 2-#6 THWN-2, 1-#10 THWN-2, 1-#10 THWN-2 GROUND")</f>
        <v>3/4'' CONDUIT W/ 2-#6 THWN-2, 1-#10 THWN-2, 1-#10 THWN-2 GROUND</v>
      </c>
    </row>
    <row r="17" spans="1:5" x14ac:dyDescent="0.25">
      <c r="A17" s="49" t="s">
        <v>45</v>
      </c>
      <c r="B17" s="50">
        <v>215</v>
      </c>
      <c r="C17" s="82">
        <v>0.89590000000000003</v>
      </c>
      <c r="D17" s="169">
        <f>IF(FORM!$I$28="1 INCH",REPLACE(E17,1,4,"1"""),INVERTERS!E17)</f>
        <v>0</v>
      </c>
      <c r="E17" s="25"/>
    </row>
    <row r="18" spans="1:5" x14ac:dyDescent="0.25">
      <c r="A18" s="49" t="s">
        <v>179</v>
      </c>
      <c r="B18" s="50">
        <v>250</v>
      </c>
      <c r="C18" s="82">
        <v>1.0417000000000001</v>
      </c>
      <c r="D18" s="169">
        <f>IF(FORM!$I$28="1 INCH",REPLACE(E18,1,4,"1"""),INVERTERS!E18)</f>
        <v>0</v>
      </c>
      <c r="E18" s="25"/>
    </row>
    <row r="19" spans="1:5" x14ac:dyDescent="0.25">
      <c r="A19" s="49" t="s">
        <v>332</v>
      </c>
      <c r="B19" s="50">
        <v>230</v>
      </c>
      <c r="C19" s="82">
        <v>0.95830000000000004</v>
      </c>
      <c r="D19" s="169">
        <f>IF(FORM!$I$28="1 INCH",REPLACE(E19,1,4,"1"""),INVERTERS!E19)</f>
        <v>0</v>
      </c>
      <c r="E19" s="25"/>
    </row>
    <row r="20" spans="1:5" x14ac:dyDescent="0.25">
      <c r="A20" s="49" t="s">
        <v>333</v>
      </c>
      <c r="B20" s="50">
        <v>280</v>
      </c>
      <c r="C20" s="82">
        <v>1.1667000000000001</v>
      </c>
      <c r="D20" s="169">
        <f>IF(FORM!$I$28="1 INCH",REPLACE(E20,1,4,"1"""),INVERTERS!E20)</f>
        <v>0</v>
      </c>
      <c r="E20" s="25"/>
    </row>
    <row r="21" spans="1:5" x14ac:dyDescent="0.25">
      <c r="A21" s="49" t="s">
        <v>458</v>
      </c>
      <c r="B21" s="50">
        <v>240</v>
      </c>
      <c r="C21" s="82">
        <v>0.95830000000000004</v>
      </c>
      <c r="D21" s="169">
        <f>IF(FORM!$I$28="1 INCH",REPLACE(E21,1,4,"1"""),INVERTERS!E21)</f>
        <v>0</v>
      </c>
      <c r="E21" s="25"/>
    </row>
    <row r="22" spans="1:5" x14ac:dyDescent="0.25">
      <c r="A22" s="49" t="s">
        <v>459</v>
      </c>
      <c r="B22" s="50">
        <v>290</v>
      </c>
      <c r="C22" s="82">
        <v>1.1667000000000001</v>
      </c>
      <c r="D22" s="169">
        <f>IF(FORM!$I$28="1 INCH",REPLACE(E22,1,4,"1"""),INVERTERS!E22)</f>
        <v>0</v>
      </c>
      <c r="E22" s="25"/>
    </row>
    <row r="23" spans="1:5" x14ac:dyDescent="0.25">
      <c r="A23" s="49" t="s">
        <v>33</v>
      </c>
      <c r="B23" s="50"/>
      <c r="C23" s="51"/>
      <c r="D23" s="169">
        <f>IF(FORM!$I$28="1 INCH",REPLACE(E23,1,4,"1"""),INVERTERS!E23)</f>
        <v>0</v>
      </c>
      <c r="E23" s="25"/>
    </row>
    <row r="24" spans="1:5" x14ac:dyDescent="0.25">
      <c r="A24" s="49" t="s">
        <v>33</v>
      </c>
      <c r="B24" s="50"/>
      <c r="C24" s="51"/>
      <c r="D24" s="169">
        <f>IF(FORM!$I$28="1 INCH",REPLACE(E24,1,4,"1"""),INVERTERS!E24)</f>
        <v>0</v>
      </c>
      <c r="E24" s="25"/>
    </row>
    <row r="25" spans="1:5" x14ac:dyDescent="0.25">
      <c r="A25" s="49" t="s">
        <v>33</v>
      </c>
      <c r="B25" s="50"/>
      <c r="C25" s="51"/>
      <c r="D25" s="169">
        <f>IF(FORM!$I$28="1 INCH",REPLACE(E25,1,4,"1"""),INVERTERS!E25)</f>
        <v>0</v>
      </c>
      <c r="E25" s="25"/>
    </row>
    <row r="26" spans="1:5" x14ac:dyDescent="0.25">
      <c r="A26" s="49" t="s">
        <v>33</v>
      </c>
      <c r="B26" s="25"/>
      <c r="C26" s="51"/>
      <c r="D26" s="169">
        <f>IF(FORM!$I$28="1 INCH",REPLACE(E26,1,4,"1"""),INVERTERS!E26)</f>
        <v>0</v>
      </c>
      <c r="E26" s="25"/>
    </row>
    <row r="27" spans="1:5" x14ac:dyDescent="0.25">
      <c r="A27" s="49" t="s">
        <v>33</v>
      </c>
      <c r="B27" s="25"/>
      <c r="C27" s="51"/>
      <c r="D27" s="169">
        <f>IF(FORM!$I$28="1 INCH",REPLACE(E27,1,4,"1"""),INVERTERS!E27)</f>
        <v>0</v>
      </c>
      <c r="E27" s="25"/>
    </row>
    <row r="28" spans="1:5" x14ac:dyDescent="0.25">
      <c r="A28" s="49" t="s">
        <v>33</v>
      </c>
      <c r="B28" s="50"/>
      <c r="C28" s="82"/>
      <c r="D28" s="169">
        <f>IF(FORM!$I$28="1 INCH",REPLACE(E28,1,4,"1"""),INVERTERS!E28)</f>
        <v>0</v>
      </c>
      <c r="E28" s="25"/>
    </row>
    <row r="29" spans="1:5" x14ac:dyDescent="0.25">
      <c r="A29" s="49" t="s">
        <v>33</v>
      </c>
      <c r="B29" s="25"/>
      <c r="C29" s="82"/>
      <c r="D29" s="169">
        <f>IF(FORM!$I$28="1 INCH",REPLACE(E29,1,4,"1"""),INVERTERS!E29)</f>
        <v>0</v>
      </c>
      <c r="E29" s="2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52"/>
  <sheetViews>
    <sheetView workbookViewId="0">
      <selection activeCell="A3" sqref="A3"/>
    </sheetView>
  </sheetViews>
  <sheetFormatPr defaultRowHeight="15" x14ac:dyDescent="0.25"/>
  <cols>
    <col min="1" max="1" width="22" style="167" customWidth="1"/>
    <col min="2" max="2" width="9.140625" style="167"/>
    <col min="3" max="3" width="22" style="167" customWidth="1"/>
  </cols>
  <sheetData>
    <row r="1" spans="1:6" ht="18" thickBot="1" x14ac:dyDescent="0.35">
      <c r="A1" s="12" t="s">
        <v>272</v>
      </c>
      <c r="C1" s="12" t="s">
        <v>273</v>
      </c>
      <c r="F1" s="12" t="s">
        <v>364</v>
      </c>
    </row>
    <row r="2" spans="1:6" ht="15.75" thickTop="1" x14ac:dyDescent="0.25">
      <c r="A2" s="205" t="s">
        <v>285</v>
      </c>
      <c r="B2" s="27"/>
      <c r="C2" s="168" t="s">
        <v>360</v>
      </c>
      <c r="F2" s="25" t="s">
        <v>365</v>
      </c>
    </row>
    <row r="3" spans="1:6" x14ac:dyDescent="0.25">
      <c r="A3" s="25" t="str">
        <f>IF(A2="PPL Electric Utilities",A23,IF(A2="Eversource (Formerly CL&amp;P)",A4,IF(A2="Eversource (Formerly WMECO)",A4,IF(A2="Eversource (Formerly NSTAR)",A4,IF(A2="Eversource",A4,IF(A2="JCP&amp;L",A5,IF(A2="PSE&amp;G",A6,IF(A2="Atlantic City Electric (ACE)",A7,IF(A2="ConEdison",A9,IF(A2="United Illuminating",A10,IF(A2="PSE&amp;G - LI",A11,IF(A2="Orange &amp; Rockland (ORU)",A12,IF(A2="National Grid",A13,IF(A2="Unitil",A14,IF(A2="Central Hudson",A15,IF(A2="Baltimore Gas &amp; Electric (BG&amp;E)",A16,IF(A2="Southern Maryland Electric Company (SMECO)",A17,IF(A2="PEPCO",A18,IF(A2="Delmarva Power &amp; Light (DPL)",A19,IF(A2="NYSEG",A20,IF(A2="Boro - Milltown Electric",A21,IF(A2="Vineland Electric",A22,IF(A2="Met-Ed FirstEnery Corp",A24," ")))))))))))))))))))))))</f>
        <v>JCP&amp;L</v>
      </c>
      <c r="C3" s="25" t="str">
        <f>UPPER(C2)</f>
        <v>DIVIDEND SOLAR</v>
      </c>
      <c r="F3" s="25" t="str">
        <f>UPPER(F2)</f>
        <v>NJ</v>
      </c>
    </row>
    <row r="4" spans="1:6" x14ac:dyDescent="0.25">
      <c r="A4" s="25" t="s">
        <v>295</v>
      </c>
      <c r="C4" s="25" t="s">
        <v>305</v>
      </c>
      <c r="F4" s="25" t="s">
        <v>365</v>
      </c>
    </row>
    <row r="5" spans="1:6" x14ac:dyDescent="0.25">
      <c r="A5" s="25" t="s">
        <v>285</v>
      </c>
      <c r="C5" s="25" t="s">
        <v>274</v>
      </c>
      <c r="F5" s="25" t="s">
        <v>366</v>
      </c>
    </row>
    <row r="6" spans="1:6" x14ac:dyDescent="0.25">
      <c r="A6" s="25" t="s">
        <v>286</v>
      </c>
      <c r="C6" s="25" t="s">
        <v>275</v>
      </c>
      <c r="F6" s="25" t="s">
        <v>368</v>
      </c>
    </row>
    <row r="7" spans="1:6" x14ac:dyDescent="0.25">
      <c r="A7" s="25" t="s">
        <v>287</v>
      </c>
      <c r="C7" s="25" t="s">
        <v>276</v>
      </c>
      <c r="F7" s="25" t="s">
        <v>367</v>
      </c>
    </row>
    <row r="8" spans="1:6" x14ac:dyDescent="0.25">
      <c r="A8" s="25" t="s">
        <v>288</v>
      </c>
      <c r="C8" s="25" t="s">
        <v>277</v>
      </c>
      <c r="F8" s="25" t="s">
        <v>369</v>
      </c>
    </row>
    <row r="9" spans="1:6" x14ac:dyDescent="0.25">
      <c r="A9" s="25" t="s">
        <v>289</v>
      </c>
      <c r="C9" s="25" t="s">
        <v>278</v>
      </c>
      <c r="F9" s="25" t="s">
        <v>370</v>
      </c>
    </row>
    <row r="10" spans="1:6" x14ac:dyDescent="0.25">
      <c r="A10" s="25" t="s">
        <v>290</v>
      </c>
      <c r="C10" s="25" t="s">
        <v>279</v>
      </c>
      <c r="F10" s="25" t="s">
        <v>371</v>
      </c>
    </row>
    <row r="11" spans="1:6" x14ac:dyDescent="0.25">
      <c r="A11" s="25" t="s">
        <v>291</v>
      </c>
      <c r="C11" s="25" t="s">
        <v>280</v>
      </c>
      <c r="F11" s="25" t="s">
        <v>372</v>
      </c>
    </row>
    <row r="12" spans="1:6" x14ac:dyDescent="0.25">
      <c r="A12" s="25" t="s">
        <v>292</v>
      </c>
      <c r="C12" s="25" t="s">
        <v>282</v>
      </c>
      <c r="F12" s="25"/>
    </row>
    <row r="13" spans="1:6" x14ac:dyDescent="0.25">
      <c r="A13" s="25" t="s">
        <v>293</v>
      </c>
      <c r="C13" s="25" t="s">
        <v>283</v>
      </c>
      <c r="F13" s="25"/>
    </row>
    <row r="14" spans="1:6" x14ac:dyDescent="0.25">
      <c r="A14" s="25" t="s">
        <v>294</v>
      </c>
      <c r="C14" s="25" t="s">
        <v>281</v>
      </c>
      <c r="F14" s="25"/>
    </row>
    <row r="15" spans="1:6" x14ac:dyDescent="0.25">
      <c r="A15" s="25" t="s">
        <v>296</v>
      </c>
      <c r="C15" s="25" t="s">
        <v>284</v>
      </c>
      <c r="F15" s="25"/>
    </row>
    <row r="16" spans="1:6" x14ac:dyDescent="0.25">
      <c r="A16" s="25" t="s">
        <v>297</v>
      </c>
      <c r="C16" s="25"/>
      <c r="F16" s="25"/>
    </row>
    <row r="17" spans="1:6" x14ac:dyDescent="0.25">
      <c r="A17" s="25" t="s">
        <v>298</v>
      </c>
      <c r="C17" s="25"/>
      <c r="F17" s="25"/>
    </row>
    <row r="18" spans="1:6" x14ac:dyDescent="0.25">
      <c r="A18" s="25" t="s">
        <v>299</v>
      </c>
      <c r="C18" s="25"/>
      <c r="F18" s="25"/>
    </row>
    <row r="19" spans="1:6" x14ac:dyDescent="0.25">
      <c r="A19" s="25" t="s">
        <v>300</v>
      </c>
      <c r="C19" s="25"/>
    </row>
    <row r="20" spans="1:6" x14ac:dyDescent="0.25">
      <c r="A20" s="25" t="s">
        <v>301</v>
      </c>
      <c r="C20" s="25"/>
    </row>
    <row r="21" spans="1:6" x14ac:dyDescent="0.25">
      <c r="A21" s="25" t="s">
        <v>302</v>
      </c>
      <c r="C21" s="25"/>
    </row>
    <row r="22" spans="1:6" x14ac:dyDescent="0.25">
      <c r="A22" s="25" t="s">
        <v>322</v>
      </c>
      <c r="C22" s="25"/>
    </row>
    <row r="23" spans="1:6" x14ac:dyDescent="0.25">
      <c r="A23" s="25" t="s">
        <v>391</v>
      </c>
      <c r="C23" s="25"/>
    </row>
    <row r="24" spans="1:6" x14ac:dyDescent="0.25">
      <c r="A24" s="25" t="s">
        <v>392</v>
      </c>
      <c r="C24" s="25"/>
    </row>
    <row r="25" spans="1:6" x14ac:dyDescent="0.25">
      <c r="A25" s="25"/>
      <c r="C25" s="25"/>
    </row>
    <row r="26" spans="1:6" x14ac:dyDescent="0.25">
      <c r="A26" s="25"/>
      <c r="C26" s="25"/>
    </row>
    <row r="27" spans="1:6" x14ac:dyDescent="0.25">
      <c r="A27" s="25"/>
      <c r="C27" s="25"/>
    </row>
    <row r="28" spans="1:6" x14ac:dyDescent="0.25">
      <c r="A28" s="25"/>
      <c r="C28" s="25"/>
    </row>
    <row r="29" spans="1:6" x14ac:dyDescent="0.25">
      <c r="A29" s="25"/>
      <c r="C29" s="25"/>
    </row>
    <row r="30" spans="1:6" x14ac:dyDescent="0.25">
      <c r="A30" s="25"/>
      <c r="C30" s="25"/>
    </row>
    <row r="31" spans="1:6" x14ac:dyDescent="0.25">
      <c r="A31" s="25"/>
      <c r="C31" s="25"/>
    </row>
    <row r="32" spans="1:6" x14ac:dyDescent="0.25">
      <c r="A32" s="25"/>
      <c r="C32" s="25"/>
    </row>
    <row r="33" spans="1:3" x14ac:dyDescent="0.25">
      <c r="A33" s="25"/>
      <c r="C33" s="25"/>
    </row>
    <row r="34" spans="1:3" x14ac:dyDescent="0.25">
      <c r="A34" s="25"/>
      <c r="C34" s="25"/>
    </row>
    <row r="35" spans="1:3" x14ac:dyDescent="0.25">
      <c r="A35" s="25"/>
      <c r="C35" s="25"/>
    </row>
    <row r="36" spans="1:3" x14ac:dyDescent="0.25">
      <c r="A36" s="25"/>
      <c r="C36" s="25"/>
    </row>
    <row r="37" spans="1:3" x14ac:dyDescent="0.25">
      <c r="A37" s="25"/>
      <c r="C37" s="25"/>
    </row>
    <row r="38" spans="1:3" x14ac:dyDescent="0.25">
      <c r="A38" s="25"/>
      <c r="C38" s="25"/>
    </row>
    <row r="39" spans="1:3" x14ac:dyDescent="0.25">
      <c r="A39" s="25"/>
      <c r="C39" s="25"/>
    </row>
    <row r="40" spans="1:3" x14ac:dyDescent="0.25">
      <c r="A40" s="25"/>
      <c r="C40" s="25"/>
    </row>
    <row r="41" spans="1:3" x14ac:dyDescent="0.25">
      <c r="A41" s="25"/>
      <c r="C41" s="25"/>
    </row>
    <row r="42" spans="1:3" x14ac:dyDescent="0.25">
      <c r="A42" s="25"/>
      <c r="C42" s="25"/>
    </row>
    <row r="43" spans="1:3" x14ac:dyDescent="0.25">
      <c r="A43" s="25"/>
      <c r="C43" s="25"/>
    </row>
    <row r="44" spans="1:3" x14ac:dyDescent="0.25">
      <c r="A44" s="25"/>
      <c r="C44" s="25"/>
    </row>
    <row r="45" spans="1:3" x14ac:dyDescent="0.25">
      <c r="A45" s="25"/>
      <c r="C45" s="25"/>
    </row>
    <row r="46" spans="1:3" x14ac:dyDescent="0.25">
      <c r="A46" s="25"/>
      <c r="C46" s="25"/>
    </row>
    <row r="47" spans="1:3" x14ac:dyDescent="0.25">
      <c r="A47" s="25"/>
      <c r="C47" s="25"/>
    </row>
    <row r="48" spans="1:3" x14ac:dyDescent="0.25">
      <c r="A48" s="25"/>
      <c r="C48" s="25"/>
    </row>
    <row r="49" spans="1:3" x14ac:dyDescent="0.25">
      <c r="A49" s="25"/>
      <c r="C49" s="25"/>
    </row>
    <row r="50" spans="1:3" x14ac:dyDescent="0.25">
      <c r="A50" s="25"/>
      <c r="C50" s="25"/>
    </row>
    <row r="51" spans="1:3" x14ac:dyDescent="0.25">
      <c r="A51"/>
      <c r="B51"/>
      <c r="C51"/>
    </row>
    <row r="52" spans="1:3" x14ac:dyDescent="0.25">
      <c r="A52"/>
      <c r="B52"/>
      <c r="C52"/>
    </row>
  </sheetData>
  <sheetProtection password="A771" sheet="1" objects="1" scenarios="1" selectLockedCells="1"/>
  <protectedRanges>
    <protectedRange sqref="A4:A21 C4:C50 B2:B50 C2 A23:A50 A2" name="UPDATES"/>
  </protectedRange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1"/>
  <sheetViews>
    <sheetView view="pageLayout" topLeftCell="A10" workbookViewId="0">
      <selection activeCell="B19" sqref="B19"/>
    </sheetView>
  </sheetViews>
  <sheetFormatPr defaultRowHeight="15" x14ac:dyDescent="0.25"/>
  <cols>
    <col min="1" max="1" width="9.7109375" customWidth="1"/>
    <col min="2" max="2" width="27.5703125" customWidth="1"/>
    <col min="3" max="3" width="12.140625" customWidth="1"/>
    <col min="4" max="4" width="8.85546875" customWidth="1"/>
    <col min="9" max="9" width="6.85546875" customWidth="1"/>
  </cols>
  <sheetData>
    <row r="1" spans="1:8" x14ac:dyDescent="0.25">
      <c r="A1" s="46" t="s">
        <v>20</v>
      </c>
      <c r="B1" s="27" t="str">
        <f>CALCULATIONS!B13</f>
        <v>KOMNINAKIS, JAMES</v>
      </c>
      <c r="C1" s="27"/>
      <c r="D1" s="27"/>
      <c r="E1" s="27"/>
      <c r="F1" s="27"/>
      <c r="G1" s="27"/>
      <c r="H1" s="27"/>
    </row>
    <row r="2" spans="1:8" x14ac:dyDescent="0.25">
      <c r="A2" s="46" t="s">
        <v>21</v>
      </c>
      <c r="B2" s="27" t="str">
        <f>CALCULATIONS!B14</f>
        <v>763 Tall Oaks Drive
Brick, NJ 08724
40.116594,-74.105553</v>
      </c>
      <c r="C2" s="27"/>
      <c r="D2" s="27"/>
      <c r="E2" s="27"/>
      <c r="F2" s="27"/>
      <c r="G2" s="27"/>
      <c r="H2" s="27"/>
    </row>
    <row r="3" spans="1:8" x14ac:dyDescent="0.25">
      <c r="A3" s="27"/>
      <c r="B3" s="27"/>
      <c r="C3" s="27"/>
      <c r="D3" s="27"/>
      <c r="E3" s="27"/>
      <c r="F3" s="27"/>
      <c r="G3" s="27"/>
      <c r="H3" s="27"/>
    </row>
    <row r="4" spans="1:8" x14ac:dyDescent="0.25">
      <c r="B4" s="138" t="str">
        <f>Sheet1!D4&amp;" ESTIMATED MAN HOURS"</f>
        <v>57.692 ESTIMATED MAN HOURS</v>
      </c>
      <c r="C4" s="27"/>
      <c r="D4" s="27" t="str">
        <f>Sheet1!I6&amp;" DAYS (3 MEN)"</f>
        <v>2.4 DAYS (3 MEN)</v>
      </c>
      <c r="E4" s="27"/>
      <c r="F4" s="27" t="str">
        <f>Sheet1!I5&amp;" DAYS (4 MEN)"</f>
        <v>1.8 DAYS (4 MEN)</v>
      </c>
      <c r="G4" s="27"/>
      <c r="H4" s="27" t="str">
        <f>Sheet1!I4&amp;" DAYS (6 MEN)"</f>
        <v>1.2 DAYS (6 MEN)</v>
      </c>
    </row>
    <row r="5" spans="1:8" x14ac:dyDescent="0.25">
      <c r="A5" s="114" t="s">
        <v>216</v>
      </c>
      <c r="B5" t="str">
        <f>FORM!B11&amp;" "&amp;CALCULATIONS!H7&amp;"'s ("&amp;CALCULATIONS!D34&amp;"KW)"</f>
        <v>34 HANWHA 315's (10.71KW)</v>
      </c>
      <c r="C5" s="27"/>
      <c r="D5" s="27"/>
      <c r="E5" s="27"/>
      <c r="F5" s="27"/>
      <c r="G5" s="27"/>
      <c r="H5" s="27"/>
    </row>
    <row r="6" spans="1:8" x14ac:dyDescent="0.25">
      <c r="A6" s="114" t="str">
        <f>IF(B6="","","•")</f>
        <v>•</v>
      </c>
      <c r="B6" t="str">
        <f>IF(FORM!B27=1,"1 ARRAY",IF(FORM!B27="","",FORM!B27&amp;" SEPARATE ARRAYS"))</f>
        <v>1 ARRAY</v>
      </c>
      <c r="C6" s="27"/>
      <c r="D6" s="27"/>
      <c r="E6" s="27"/>
      <c r="F6" s="27"/>
      <c r="G6" s="27"/>
      <c r="H6" s="27"/>
    </row>
    <row r="7" spans="1:8" x14ac:dyDescent="0.25">
      <c r="A7" s="114" t="str">
        <f>IF(B7="","","•")</f>
        <v>•</v>
      </c>
      <c r="B7" t="str">
        <f>IF(FORM!I18="","",FORM!I18&amp;"' PEAK TO GROUND")</f>
        <v>29' PEAK TO GROUND</v>
      </c>
      <c r="C7" s="27"/>
      <c r="D7" s="27"/>
      <c r="E7" s="27"/>
      <c r="F7" s="27"/>
      <c r="G7" s="27"/>
      <c r="H7" s="27"/>
    </row>
    <row r="8" spans="1:8" x14ac:dyDescent="0.25">
      <c r="A8" s="114" t="str">
        <f>IF(B8="","","•")</f>
        <v>•</v>
      </c>
      <c r="B8" t="str">
        <f>IF(FORM!B11=0,"",(FORM!B11-FORM!E18)&amp;" PORTRAIT &amp; "&amp;IF(FORM!E18="",0,FORM!E18)&amp;" LANDSCAPED")</f>
        <v>0 PORTRAIT &amp; 34 LANDSCAPED</v>
      </c>
      <c r="C8" s="27"/>
      <c r="D8" s="27"/>
      <c r="E8" s="27"/>
      <c r="F8" s="27"/>
      <c r="G8" s="27"/>
      <c r="H8" s="27"/>
    </row>
    <row r="9" spans="1:8" x14ac:dyDescent="0.25">
      <c r="A9" s="114" t="s">
        <v>216</v>
      </c>
      <c r="B9" t="str">
        <f>IF(FORM!E23="","NO PIPES OR VENTS BEINGS RELOCATED OR REMOVED",FORM!E23&amp;" PIPES/VENTS BEINGS RELOCATED OR REMOVED")</f>
        <v>NO PIPES OR VENTS BEINGS RELOCATED OR REMOVED</v>
      </c>
      <c r="C9" s="27"/>
      <c r="D9" s="27"/>
      <c r="E9" s="27"/>
      <c r="F9" s="27"/>
      <c r="G9" s="27"/>
      <c r="H9" s="27"/>
    </row>
    <row r="10" spans="1:8" x14ac:dyDescent="0.25">
      <c r="A10" s="114" t="s">
        <v>216</v>
      </c>
      <c r="B10" t="str">
        <f>IF(OR(FORM!F6="M215 MICROINVERTERS",FORM!F6="M250 MICROINVERTERS"),"MICROINVERTERS",COUNTA(FORM!B6:E6)&amp;" INVERTERS INSTALLED "&amp;FORM!I32)</f>
        <v>1 INVERTERS INSTALLED OUTSIDE</v>
      </c>
      <c r="C10" s="27"/>
      <c r="D10" s="27"/>
      <c r="E10" s="27"/>
      <c r="F10" s="27"/>
      <c r="G10" s="27"/>
      <c r="H10" s="27"/>
    </row>
    <row r="11" spans="1:8" x14ac:dyDescent="0.25">
      <c r="A11" s="114" t="s">
        <v>216</v>
      </c>
      <c r="B11" t="str">
        <f>IF(OR(FORM!E20="AC",FORM!E20="DC"),FORM!E21&amp;"' TRENCH","NO TRENCH")</f>
        <v>NO TRENCH</v>
      </c>
      <c r="C11" s="27"/>
      <c r="D11" s="27"/>
      <c r="E11" s="27"/>
      <c r="F11" s="27"/>
      <c r="G11" s="27"/>
      <c r="H11" s="27"/>
    </row>
    <row r="12" spans="1:8" x14ac:dyDescent="0.25">
      <c r="A12" s="114" t="str">
        <f>IF(B12="","","•")</f>
        <v/>
      </c>
      <c r="B12" t="str">
        <f>IF(FORM!E25="YES","JOB NEAR SALT WATER","")</f>
        <v/>
      </c>
      <c r="C12" s="27"/>
      <c r="D12" s="27"/>
      <c r="E12" s="27"/>
      <c r="F12" s="27"/>
      <c r="G12" s="27"/>
      <c r="H12" s="27"/>
    </row>
    <row r="13" spans="1:8" x14ac:dyDescent="0.25">
      <c r="C13" s="27"/>
      <c r="D13" s="27"/>
      <c r="E13" s="27"/>
      <c r="F13" s="27"/>
      <c r="G13" s="27"/>
      <c r="H13" s="27"/>
    </row>
    <row r="14" spans="1:8" x14ac:dyDescent="0.25">
      <c r="C14" s="27"/>
      <c r="D14" s="116" t="s">
        <v>223</v>
      </c>
      <c r="E14" s="27"/>
      <c r="F14" s="116" t="s">
        <v>224</v>
      </c>
      <c r="G14" s="27"/>
      <c r="H14" s="116" t="s">
        <v>225</v>
      </c>
    </row>
    <row r="15" spans="1:8" x14ac:dyDescent="0.25">
      <c r="A15" s="68" t="str">
        <f t="shared" ref="A15:A58" si="0">IF(B15="","","□")</f>
        <v>□</v>
      </c>
      <c r="B15" s="27" t="str">
        <f>IF(COUNT(CALCULATIONS!D66:D107)&gt;=1,IF(SMALL(CALCULATIONS!D66:D107,1)=1,CALCULATIONS!C66,IF(SMALL(CALCULATIONS!D66:D107,1)=2,CALCULATIONS!C67,IF(SMALL(CALCULATIONS!D66:D107,1)=3,CALCULATIONS!C68,IF(SMALL(CALCULATIONS!D66:D107,1)=4,CALCULATIONS!C69,IF(SMALL(CALCULATIONS!D66:D107,1)=5,CALCULATIONS!C70,IF(SMALL(CALCULATIONS!D66:D107,1)=6,CALCULATIONS!C71,IF(SMALL(CALCULATIONS!D66:D107,1)=7,CALCULATIONS!C72,IF(SMALL(CALCULATIONS!D66:D107,1)=8,CALCULATIONS!C73,IF(SMALL(CALCULATIONS!D66:D107,1)=9,CALCULATIONS!C74,IF(SMALL(CALCULATIONS!D66:D107,1)=10,CALCULATIONS!C75,IF(SMALL(CALCULATIONS!D66:D107,1)=11,CALCULATIONS!C76,IF(SMALL(CALCULATIONS!D66:D107,1)=12,CALCULATIONS!C77,IF(SMALL(CALCULATIONS!D66:D107,1)=13,CALCULATIONS!C78,IF(SMALL(CALCULATIONS!D66:D107,1)=14,CALCULATIONS!C79,IF(SMALL(CALCULATIONS!D66:D107,1)=15,CALCULATIONS!C80,IF(SMALL(CALCULATIONS!D66:D107,1)=16,CALCULATIONS!C81,IF(SMALL(CALCULATIONS!D66:D107,1)=17,CALCULATIONS!C82,IF(SMALL(CALCULATIONS!D66:D107,1)=18,CALCULATIONS!C83,IF(SMALL(CALCULATIONS!D66:D107,1)=19,CALCULATIONS!C84,IF(SMALL(CALCULATIONS!D66:D107,1)=20,CALCULATIONS!C85,IF(SMALL(CALCULATIONS!D66:D107,1)=21,CALCULATIONS!C86,IF(SMALL(CALCULATIONS!D66:D107,1)=22,CALCULATIONS!C87,IF(SMALL(CALCULATIONS!D66:D107,1)=23,CALCULATIONS!C88,IF(SMALL(CALCULATIONS!D66:D107,1)=24,CALCULATIONS!C89,IF(SMALL(CALCULATIONS!D66:D107,1)=25,CALCULATIONS!C90,IF(SMALL(CALCULATIONS!D66:D107,1)=26,CALCULATIONS!C91,IF(SMALL(CALCULATIONS!D66:D107,1)=27,CALCULATIONS!C92,IF(SMALL(CALCULATIONS!D66:D107,1)=28,CALCULATIONS!C93,IF(SMALL(CALCULATIONS!D66:D107,1)=29,CALCULATIONS!C94,IF(SMALL(CALCULATIONS!D66:D107,1)=30,CALCULATIONS!C95,"")))))))))))))))))))))))))))))),"")</f>
        <v>HANWHA 315 (Q.PEAK DUO BLK-G5 315) --- P320 SE OPTIMIZERS</v>
      </c>
      <c r="C15" s="27"/>
      <c r="D15" s="27">
        <f>IF(COUNT(CALCULATIONS!D66:D107)&gt;=1,IF(SMALL(CALCULATIONS!D66:D107,1)=1,CALCULATIONS!E66,IF(SMALL(CALCULATIONS!D66:D107,1)=2,CALCULATIONS!E67,IF(SMALL(CALCULATIONS!D66:D107,1)=3,CALCULATIONS!E68,IF(SMALL(CALCULATIONS!D66:D107,1)=4,CALCULATIONS!E69,IF(SMALL(CALCULATIONS!D66:D107,1)=5,CALCULATIONS!E70,IF(SMALL(CALCULATIONS!D66:D107,1)=6,CALCULATIONS!E71,IF(SMALL(CALCULATIONS!D66:D107,1)=7,CALCULATIONS!E72,IF(SMALL(CALCULATIONS!D66:D107,1)=8,CALCULATIONS!E73,IF(SMALL(CALCULATIONS!D66:D107,1)=9,CALCULATIONS!E74,IF(SMALL(CALCULATIONS!D66:D107,1)=10,CALCULATIONS!E75,IF(SMALL(CALCULATIONS!D66:D107,1)=11,CALCULATIONS!E76,IF(SMALL(CALCULATIONS!D66:D107,1)=12,CALCULATIONS!E77,IF(SMALL(CALCULATIONS!D66:D107,1)=13,CALCULATIONS!E78,IF(SMALL(CALCULATIONS!D66:D107,1)=14,CALCULATIONS!E79,IF(SMALL(CALCULATIONS!D66:D107,1)=15,CALCULATIONS!E80,IF(SMALL(CALCULATIONS!D66:D107,1)=16,CALCULATIONS!E81,IF(SMALL(CALCULATIONS!D66:D107,1)=17,CALCULATIONS!E82,IF(SMALL(CALCULATIONS!D66:D107,1)=18,CALCULATIONS!E83,IF(SMALL(CALCULATIONS!D66:D107,1)=19,CALCULATIONS!E84,IF(SMALL(CALCULATIONS!D66:D107,1)=20,CALCULATIONS!E85,IF(SMALL(CALCULATIONS!D66:D107,1)=21,CALCULATIONS!E86,IF(SMALL(CALCULATIONS!D66:D107,1)=22,CALCULATIONS!E87,IF(SMALL(CALCULATIONS!D66:D107,1)=23,CALCULATIONS!E88,IF(SMALL(CALCULATIONS!D66:D107,1)=24,CALCULATIONS!E89,IF(SMALL(CALCULATIONS!D66:D107,1)=25,CALCULATIONS!E90,IF(SMALL(CALCULATIONS!D66:D107,1)=26,CALCULATIONS!E91,IF(SMALL(CALCULATIONS!D66:D107,1)=27,CALCULATIONS!E92,IF(SMALL(CALCULATIONS!D66:D107,1)=28,CALCULATIONS!E93,IF(SMALL(CALCULATIONS!D66:D107,1)=29,CALCULATIONS!E94,IF(SMALL(CALCULATIONS!D66:D107,1)=30,CALCULATIONS!E95,"")))))))))))))))))))))))))))))),"")</f>
        <v>34</v>
      </c>
      <c r="E15" s="27"/>
      <c r="F15" s="27" t="str">
        <f t="shared" ref="F15:F44" si="1">IF(B15="","","___")</f>
        <v>___</v>
      </c>
      <c r="G15" s="27"/>
      <c r="H15" s="27" t="str">
        <f t="shared" ref="H15:H44" si="2">IF(B15="","","___")</f>
        <v>___</v>
      </c>
    </row>
    <row r="16" spans="1:8" x14ac:dyDescent="0.25">
      <c r="A16" s="68" t="str">
        <f t="shared" si="0"/>
        <v>□</v>
      </c>
      <c r="B16" s="27" t="str">
        <f>IF(COUNT(CALCULATIONS!D66:D95)&gt;=2,IF(SMALL(CALCULATIONS!D66:D95,2)=1,CALCULATIONS!C66,IF(SMALL(CALCULATIONS!D66:D95,2)=2,CALCULATIONS!C67,IF(SMALL(CALCULATIONS!D66:D95,2)=3,CALCULATIONS!C68,IF(SMALL(CALCULATIONS!D66:D95,2)=4,CALCULATIONS!C69,IF(SMALL(CALCULATIONS!D66:D95,2)=5,CALCULATIONS!C70,IF(SMALL(CALCULATIONS!D66:D95,2)=6,CALCULATIONS!C71,IF(SMALL(CALCULATIONS!D66:D95,2)=7,CALCULATIONS!C72,IF(SMALL(CALCULATIONS!D66:D95,2)=8,CALCULATIONS!C73,IF(SMALL(CALCULATIONS!D66:D95,2)=9,CALCULATIONS!C74,IF(SMALL(CALCULATIONS!D66:D95,2)=10,CALCULATIONS!C75,IF(SMALL(CALCULATIONS!D66:D95,2)=11,CALCULATIONS!C76,IF(SMALL(CALCULATIONS!D66:D95,2)=12,CALCULATIONS!C77,IF(SMALL(CALCULATIONS!D66:D95,2)=13,CALCULATIONS!C78,IF(SMALL(CALCULATIONS!D66:D95,2)=14,CALCULATIONS!C79,IF(SMALL(CALCULATIONS!D66:D95,2)=15,CALCULATIONS!C80,IF(SMALL(CALCULATIONS!D66:D95,2)=16,CALCULATIONS!C81,IF(SMALL(CALCULATIONS!D66:D95,2)=17,CALCULATIONS!C82,IF(SMALL(CALCULATIONS!D66:D95,2)=18,CALCULATIONS!C83,IF(SMALL(CALCULATIONS!D66:D95,2)=19,CALCULATIONS!C84,IF(SMALL(CALCULATIONS!D66:D95,2)=20,CALCULATIONS!C85,IF(SMALL(CALCULATIONS!D66:D95,2)=21,CALCULATIONS!C86,IF(SMALL(CALCULATIONS!D66:D95,2)=22,CALCULATIONS!C87,IF(SMALL(CALCULATIONS!D66:D95,2)=23,CALCULATIONS!C88,IF(SMALL(CALCULATIONS!D66:D95,2)=24,CALCULATIONS!C89,IF(SMALL(CALCULATIONS!D66:D95,2)=25,CALCULATIONS!C90,IF(SMALL(CALCULATIONS!D66:D95,2)=26,CALCULATIONS!C91,IF(SMALL(CALCULATIONS!D66:D95,2)=27,CALCULATIONS!C92,IF(SMALL(CALCULATIONS!D66:D95,2)=28,CALCULATIONS!C93,IF(SMALL(CALCULATIONS!D66:D95,2)=29,CALCULATIONS!C94,IF(SMALL(CALCULATIONS!D66:D95,2)=30,CALCULATIONS!C95,"")))))))))))))))))))))))))))))),"")</f>
        <v>SE10000H-US000NNC2</v>
      </c>
      <c r="C16" s="27"/>
      <c r="D16" s="27">
        <f>IF(COUNT(CALCULATIONS!D66:D95)&gt;=2,IF(SMALL(CALCULATIONS!D66:D95,2)=1,CALCULATIONS!E66,IF(SMALL(CALCULATIONS!D66:D95,2)=2,CALCULATIONS!E67,IF(SMALL(CALCULATIONS!D66:D95,2)=3,CALCULATIONS!E68,IF(SMALL(CALCULATIONS!D66:D95,2)=4,CALCULATIONS!E69,IF(SMALL(CALCULATIONS!D66:D95,2)=5,CALCULATIONS!E70,IF(SMALL(CALCULATIONS!D66:D95,2)=6,CALCULATIONS!E71,IF(SMALL(CALCULATIONS!D66:D95,2)=7,CALCULATIONS!E72,IF(SMALL(CALCULATIONS!D66:D95,2)=8,CALCULATIONS!E73,IF(SMALL(CALCULATIONS!D66:D95,2)=9,CALCULATIONS!E74,IF(SMALL(CALCULATIONS!D66:D95,2)=10,CALCULATIONS!E75,IF(SMALL(CALCULATIONS!D66:D95,2)=11,CALCULATIONS!E76,IF(SMALL(CALCULATIONS!D66:D95,2)=12,CALCULATIONS!E77,IF(SMALL(CALCULATIONS!D66:D95,2)=13,CALCULATIONS!E78,IF(SMALL(CALCULATIONS!D66:D95,2)=14,CALCULATIONS!E79,IF(SMALL(CALCULATIONS!D66:D95,2)=15,CALCULATIONS!E80,IF(SMALL(CALCULATIONS!D66:D95,2)=16,CALCULATIONS!E81,IF(SMALL(CALCULATIONS!D66:D95,2)=17,CALCULATIONS!E82,IF(SMALL(CALCULATIONS!D66:D95,2)=18,CALCULATIONS!E83,IF(SMALL(CALCULATIONS!D66:D95,2)=19,CALCULATIONS!E84,IF(SMALL(CALCULATIONS!D66:D95,2)=20,CALCULATIONS!E85,IF(SMALL(CALCULATIONS!D66:D95,2)=21,CALCULATIONS!E86,IF(SMALL(CALCULATIONS!D66:D95,2)=22,CALCULATIONS!E87,IF(SMALL(CALCULATIONS!D66:D95,2)=23,CALCULATIONS!E88,IF(SMALL(CALCULATIONS!D66:D95,2)=24,CALCULATIONS!E89,IF(SMALL(CALCULATIONS!D66:D95,2)=25,CALCULATIONS!E90,IF(SMALL(CALCULATIONS!D66:D95,2)=26,CALCULATIONS!E91,IF(SMALL(CALCULATIONS!D66:D95,2)=27,CALCULATIONS!E92,IF(SMALL(CALCULATIONS!D66:D95,2)=28,CALCULATIONS!E93,IF(SMALL(CALCULATIONS!D66:D95,2)=29,CALCULATIONS!E94,IF(SMALL(CALCULATIONS!D66:D95,2)=30,CALCULATIONS!E95,"")))))))))))))))))))))))))))))),"")</f>
        <v>1</v>
      </c>
      <c r="E16" s="27"/>
      <c r="F16" s="27" t="str">
        <f t="shared" si="1"/>
        <v>___</v>
      </c>
      <c r="G16" s="27"/>
      <c r="H16" s="27" t="str">
        <f t="shared" si="2"/>
        <v>___</v>
      </c>
    </row>
    <row r="17" spans="1:8" x14ac:dyDescent="0.25">
      <c r="A17" s="68" t="str">
        <f t="shared" si="0"/>
        <v>□</v>
      </c>
      <c r="B17" s="27" t="str">
        <f>IF(COUNT(CALCULATIONS!D66:D107)&gt;=3,IF(SMALL(CALCULATIONS!D66:D107,3)=1,CALCULATIONS!C66,IF(SMALL(CALCULATIONS!D66:D107,3)=2,CALCULATIONS!C67,IF(SMALL(CALCULATIONS!D66:D107,3)=3,CALCULATIONS!C68,IF(SMALL(CALCULATIONS!D66:D107,3)=4,CALCULATIONS!C69,IF(SMALL(CALCULATIONS!D66:D107,3)=5,CALCULATIONS!C70,IF(SMALL(CALCULATIONS!D66:D107,3)=6,CALCULATIONS!C71,IF(SMALL(CALCULATIONS!D66:D107,3)=7,CALCULATIONS!C72,IF(SMALL(CALCULATIONS!D66:D107,3)=8,CALCULATIONS!C73,IF(SMALL(CALCULATIONS!D66:D107,3)=9,CALCULATIONS!C74,IF(SMALL(CALCULATIONS!D66:D107,3)=10,CALCULATIONS!C75,IF(SMALL(CALCULATIONS!D66:D107,3)=11,CALCULATIONS!C76,IF(SMALL(CALCULATIONS!D66:D107,3)=12,CALCULATIONS!C77,IF(SMALL(CALCULATIONS!D66:D107,3)=13,CALCULATIONS!C78,IF(SMALL(CALCULATIONS!D66:D107,3)=14,CALCULATIONS!C79,IF(SMALL(CALCULATIONS!D66:D107,3)=15,CALCULATIONS!C80,IF(SMALL(CALCULATIONS!D66:D107,3)=16,CALCULATIONS!C81,IF(SMALL(CALCULATIONS!D66:D107,3)=17,CALCULATIONS!C82,IF(SMALL(CALCULATIONS!D66:D107,3)=18,CALCULATIONS!C83,IF(SMALL(CALCULATIONS!D66:D107,3)=19,CALCULATIONS!C84,IF(SMALL(CALCULATIONS!D66:D107,3)=20,CALCULATIONS!C85,IF(SMALL(CALCULATIONS!D66:D107,3)=21,CALCULATIONS!C86,IF(SMALL(CALCULATIONS!D66:D107,3)=22,CALCULATIONS!C87,IF(SMALL(CALCULATIONS!D66:D107,3)=23,CALCULATIONS!C88,IF(SMALL(CALCULATIONS!D66:D107,3)=24,CALCULATIONS!C89,IF(SMALL(CALCULATIONS!D66:D107,3)=25,CALCULATIONS!C90,IF(SMALL(CALCULATIONS!D66:D107,3)=26,CALCULATIONS!C91,IF(SMALL(CALCULATIONS!D66:D107,3)=27,CALCULATIONS!C92,IF(SMALL(CALCULATIONS!D66:D107,3)=28,CALCULATIONS!C93,IF(SMALL(CALCULATIONS!D66:D107,3)=29,CALCULATIONS!C94,IF(SMALL(CALCULATIONS!D66:D107,3)=30,CALCULATIONS!C95,IF(SMALL(CALCULATIONS!D66:D107,3)=31,CALCULATIONS!C96,IF(SMALL(CALCULATIONS!D66:D107,3)=32,CALCULATIONS!C97,IF(SMALL(CALCULATIONS!D66:D107,3)=33,CALCULATIONS!C98,IF(SMALL(CALCULATIONS!D66:D107,3)=34,CALCULATIONS!C99,IF(SMALL(CALCULATIONS!D66:D107,3)=35,CALCULATIONS!C100,IF(SMALL(CALCULATIONS!D66:D107,3)=36,CALCULATIONS!C101,IF(SMALL(CALCULATIONS!D66:D107,3)=37,CALCULATIONS!C102,IF(SMALL(CALCULATIONS!D66:D107,3)=38,CALCULATIONS!C103,IF(SMALL(CALCULATIONS!D66:D107,3)=39,CALCULATIONS!C104,IF(SMALL(CALCULATIONS!D66:D107,3)=40,CALCULATIONS!C105,IF(SMALL(CALCULATIONS!D66:D107,3)=41,CALCULATIONS!C106,IF(SMALL(CALCULATIONS!D66:D107,3)=42,CALCULATIONS!C107,"")))))))))))))))))))))))))))))))))))))))))),"")</f>
        <v>60A INDOOR FUSED DISCONNECT W/ (2) 60A FUSES</v>
      </c>
      <c r="C17" s="27"/>
      <c r="D17" s="27">
        <f>IF(COUNT(CALCULATIONS!D66:D95)&gt;=3,IF(SMALL(CALCULATIONS!D66:D95,3)=1,CALCULATIONS!E66,IF(SMALL(CALCULATIONS!D66:D95,3)=2,CALCULATIONS!E67,IF(SMALL(CALCULATIONS!D66:D95,3)=3,CALCULATIONS!E68,IF(SMALL(CALCULATIONS!D66:D95,3)=4,CALCULATIONS!E69,IF(SMALL(CALCULATIONS!D66:D95,3)=5,CALCULATIONS!E70,IF(SMALL(CALCULATIONS!D66:D95,3)=6,CALCULATIONS!E71,IF(SMALL(CALCULATIONS!D66:D95,3)=7,CALCULATIONS!E72,IF(SMALL(CALCULATIONS!D66:D95,3)=8,CALCULATIONS!E73,IF(SMALL(CALCULATIONS!D66:D95,3)=9,CALCULATIONS!E74,IF(SMALL(CALCULATIONS!D66:D95,3)=10,CALCULATIONS!E75,IF(SMALL(CALCULATIONS!D66:D95,3)=11,CALCULATIONS!E76,IF(SMALL(CALCULATIONS!D66:D95,3)=12,CALCULATIONS!E77,IF(SMALL(CALCULATIONS!D66:D95,3)=13,CALCULATIONS!E78,IF(SMALL(CALCULATIONS!D66:D95,3)=14,CALCULATIONS!E79,IF(SMALL(CALCULATIONS!D66:D95,3)=15,CALCULATIONS!E80,IF(SMALL(CALCULATIONS!D66:D95,3)=16,CALCULATIONS!E81,IF(SMALL(CALCULATIONS!D66:D95,3)=17,CALCULATIONS!E82,IF(SMALL(CALCULATIONS!D66:D95,3)=18,CALCULATIONS!E83,IF(SMALL(CALCULATIONS!D66:D95,3)=19,CALCULATIONS!E84,IF(SMALL(CALCULATIONS!D66:D95,3)=20,CALCULATIONS!E85,IF(SMALL(CALCULATIONS!D66:D95,3)=21,CALCULATIONS!E86,IF(SMALL(CALCULATIONS!D66:D95,3)=22,CALCULATIONS!E87,IF(SMALL(CALCULATIONS!D66:D95,3)=23,CALCULATIONS!E88,IF(SMALL(CALCULATIONS!D66:D95,3)=24,CALCULATIONS!E89,IF(SMALL(CALCULATIONS!D66:D95,3)=25,CALCULATIONS!E90,IF(SMALL(CALCULATIONS!D66:D95,3)=26,CALCULATIONS!E91,IF(SMALL(CALCULATIONS!D66:D95,3)=27,CALCULATIONS!E92,IF(SMALL(CALCULATIONS!D66:D95,3)=28,CALCULATIONS!E93,IF(SMALL(CALCULATIONS!D66:D95,3)=29,CALCULATIONS!E94,IF(SMALL(CALCULATIONS!D66:D95,3)=30,CALCULATIONS!E95,"")))))))))))))))))))))))))))))),"")</f>
        <v>1</v>
      </c>
      <c r="E17" s="27"/>
      <c r="F17" s="27" t="str">
        <f t="shared" si="1"/>
        <v>___</v>
      </c>
      <c r="G17" s="27"/>
      <c r="H17" s="27" t="str">
        <f t="shared" si="2"/>
        <v>___</v>
      </c>
    </row>
    <row r="18" spans="1:8" x14ac:dyDescent="0.25">
      <c r="A18" s="68" t="str">
        <f t="shared" si="0"/>
        <v>□</v>
      </c>
      <c r="B18" s="27" t="str">
        <f>IF(COUNT(CALCULATIONS!D66:D107)&gt;=4,IF(SMALL(CALCULATIONS!D66:D107,4)=1,CALCULATIONS!C66,IF(SMALL(CALCULATIONS!D66:D107,4)=2,CALCULATIONS!C67,IF(SMALL(CALCULATIONS!D66:D107,4)=3,CALCULATIONS!C68,IF(SMALL(CALCULATIONS!D66:D107,4)=4,CALCULATIONS!C69,IF(SMALL(CALCULATIONS!D66:D107,4)=5,CALCULATIONS!C70,IF(SMALL(CALCULATIONS!D66:D107,4)=6,CALCULATIONS!C71,IF(SMALL(CALCULATIONS!D66:D107,4)=7,CALCULATIONS!C72,IF(SMALL(CALCULATIONS!D66:D107,4)=8,CALCULATIONS!C73,IF(SMALL(CALCULATIONS!D66:D107,4)=9,CALCULATIONS!C74,IF(SMALL(CALCULATIONS!D66:D107,4)=10,CALCULATIONS!C75,IF(SMALL(CALCULATIONS!D66:D107,4)=11,CALCULATIONS!C76,IF(SMALL(CALCULATIONS!D66:D107,4)=12,CALCULATIONS!C77,IF(SMALL(CALCULATIONS!D66:D107,4)=13,CALCULATIONS!C78,IF(SMALL(CALCULATIONS!D66:D107,4)=14,CALCULATIONS!C79,IF(SMALL(CALCULATIONS!D66:D107,4)=15,CALCULATIONS!C80,IF(SMALL(CALCULATIONS!D66:D107,4)=16,CALCULATIONS!C81,IF(SMALL(CALCULATIONS!D66:D107,4)=17,CALCULATIONS!C82,IF(SMALL(CALCULATIONS!D66:D107,4)=18,CALCULATIONS!C83,IF(SMALL(CALCULATIONS!D66:D107,4)=19,CALCULATIONS!C84,IF(SMALL(CALCULATIONS!D66:D107,4)=20,CALCULATIONS!C85,IF(SMALL(CALCULATIONS!D66:D107,4)=21,CALCULATIONS!C86,IF(SMALL(CALCULATIONS!D66:D107,4)=22,CALCULATIONS!C87,IF(SMALL(CALCULATIONS!D66:D107,4)=23,CALCULATIONS!C88,IF(SMALL(CALCULATIONS!D66:D107,4)=24,CALCULATIONS!C89,IF(SMALL(CALCULATIONS!D66:D107,4)=25,CALCULATIONS!C90,IF(SMALL(CALCULATIONS!D66:D107,4)=26,CALCULATIONS!C91,IF(SMALL(CALCULATIONS!D66:D107,4)=27,CALCULATIONS!C92,IF(SMALL(CALCULATIONS!D66:D107,4)=28,CALCULATIONS!C93,IF(SMALL(CALCULATIONS!D66:D107,4)=29,CALCULATIONS!C94,IF(SMALL(CALCULATIONS!D66:D107,4)=30,CALCULATIONS!C95,IF(SMALL(CALCULATIONS!D66:D107,4)=31,CALCULATIONS!C96,IF(SMALL(CALCULATIONS!D66:D107,4)=32,CALCULATIONS!C97,IF(SMALL(CALCULATIONS!D66:D107,4)=33,CALCULATIONS!C98,IF(SMALL(CALCULATIONS!D66:D107,4)=34,CALCULATIONS!C99,IF(SMALL(CALCULATIONS!D66:D107,4)=35,CALCULATIONS!C100,IF(SMALL(CALCULATIONS!D66:D107,4)=36,CALCULATIONS!C101,IF(SMALL(CALCULATIONS!D66:D107,4)=37,CALCULATIONS!C102,IF(SMALL(CALCULATIONS!D66:D107,4)=38,CALCULATIONS!C103,IF(SMALL(CALCULATIONS!D66:D107,4)=39,CALCULATIONS!C104,IF(SMALL(CALCULATIONS!D66:D107,4)=40,CALCULATIONS!C105,IF(SMALL(CALCULATIONS!D66:D107,4)=41,CALCULATIONS!C106,IF(SMALL(CALCULATIONS!D66:D107,4)=42,CALCULATIONS!C107,"")))))))))))))))))))))))))))))))))))))))))),"")</f>
        <v>SOLADECK BOX(ES) &amp; HAYCO CONNECTOR(S)</v>
      </c>
      <c r="C18" s="27"/>
      <c r="D18" s="27">
        <f>IF(COUNT(CALCULATIONS!D66:D95)&gt;=4,IF(SMALL(CALCULATIONS!D66:D95,4)=1,CALCULATIONS!E66,IF(SMALL(CALCULATIONS!D66:D95,4)=2,CALCULATIONS!E67,IF(SMALL(CALCULATIONS!D66:D95,4)=3,CALCULATIONS!E68,IF(SMALL(CALCULATIONS!D66:D95,4)=4,CALCULATIONS!E69,IF(SMALL(CALCULATIONS!D66:D95,4)=5,CALCULATIONS!E70,IF(SMALL(CALCULATIONS!D66:D95,4)=6,CALCULATIONS!E71,IF(SMALL(CALCULATIONS!D66:D95,4)=7,CALCULATIONS!E72,IF(SMALL(CALCULATIONS!D66:D95,4)=8,CALCULATIONS!E73,IF(SMALL(CALCULATIONS!D66:D95,4)=9,CALCULATIONS!E74,IF(SMALL(CALCULATIONS!D66:D95,4)=10,CALCULATIONS!E75,IF(SMALL(CALCULATIONS!D66:D95,4)=11,CALCULATIONS!E76,IF(SMALL(CALCULATIONS!D66:D95,4)=12,CALCULATIONS!E77,IF(SMALL(CALCULATIONS!D66:D95,4)=13,CALCULATIONS!E78,IF(SMALL(CALCULATIONS!D66:D95,4)=14,CALCULATIONS!E79,IF(SMALL(CALCULATIONS!D66:D95,4)=15,CALCULATIONS!E80,IF(SMALL(CALCULATIONS!D66:D95,4)=16,CALCULATIONS!E81,IF(SMALL(CALCULATIONS!D66:D95,4)=17,CALCULATIONS!E82,IF(SMALL(CALCULATIONS!D66:D95,4)=18,CALCULATIONS!E83,IF(SMALL(CALCULATIONS!D66:D95,4)=19,CALCULATIONS!E84,IF(SMALL(CALCULATIONS!D66:D95,4)=20,CALCULATIONS!E85,IF(SMALL(CALCULATIONS!D66:D95,4)=21,CALCULATIONS!E86,IF(SMALL(CALCULATIONS!D66:D95,4)=22,CALCULATIONS!E87,IF(SMALL(CALCULATIONS!D66:D95,4)=23,CALCULATIONS!E88,IF(SMALL(CALCULATIONS!D66:D95,4)=24,CALCULATIONS!E89,IF(SMALL(CALCULATIONS!D66:D95,4)=25,CALCULATIONS!E90,IF(SMALL(CALCULATIONS!D66:D95,4)=26,CALCULATIONS!E91,IF(SMALL(CALCULATIONS!D66:D95,4)=27,CALCULATIONS!E92,IF(SMALL(CALCULATIONS!D66:D95,4)=28,CALCULATIONS!E93,IF(SMALL(CALCULATIONS!D66:D95,4)=29,CALCULATIONS!E94,IF(SMALL(CALCULATIONS!D66:D95,4)=30,CALCULATIONS!E95,"")))))))))))))))))))))))))))))),"")</f>
        <v>1</v>
      </c>
      <c r="E18" s="27"/>
      <c r="F18" s="27" t="str">
        <f t="shared" si="1"/>
        <v>___</v>
      </c>
      <c r="G18" s="27"/>
      <c r="H18" s="27" t="str">
        <f t="shared" si="2"/>
        <v>___</v>
      </c>
    </row>
    <row r="19" spans="1:8" x14ac:dyDescent="0.25">
      <c r="A19" s="68" t="str">
        <f t="shared" si="0"/>
        <v>□</v>
      </c>
      <c r="B19" s="27" t="str">
        <f>IF(COUNT(CALCULATIONS!D66:D107)&gt;=5,IF(SMALL(CALCULATIONS!D66:D107,5)=1,CALCULATIONS!C66,IF(SMALL(CALCULATIONS!D66:D107,5)=2,CALCULATIONS!C67,IF(SMALL(CALCULATIONS!D66:D107,5)=3,CALCULATIONS!C68,IF(SMALL(CALCULATIONS!D66:D107,5)=4,CALCULATIONS!C69,IF(SMALL(CALCULATIONS!D66:D107,5)=5,CALCULATIONS!C70,IF(SMALL(CALCULATIONS!D66:D107,5)=6,CALCULATIONS!C71,IF(SMALL(CALCULATIONS!D66:D107,5)=7,CALCULATIONS!C72,IF(SMALL(CALCULATIONS!D66:D107,5)=8,CALCULATIONS!C73,IF(SMALL(CALCULATIONS!D66:D107,5)=9,CALCULATIONS!C74,IF(SMALL(CALCULATIONS!D66:D107,5)=10,CALCULATIONS!C75,IF(SMALL(CALCULATIONS!D66:D107,5)=11,CALCULATIONS!C76,IF(SMALL(CALCULATIONS!D66:D107,5)=12,CALCULATIONS!C77,IF(SMALL(CALCULATIONS!D66:D107,5)=13,CALCULATIONS!C78,IF(SMALL(CALCULATIONS!D66:D107,5)=14,CALCULATIONS!C79,IF(SMALL(CALCULATIONS!D66:D107,5)=15,CALCULATIONS!C80,IF(SMALL(CALCULATIONS!D66:D107,5)=16,CALCULATIONS!C81,IF(SMALL(CALCULATIONS!D66:D107,5)=17,CALCULATIONS!C82,IF(SMALL(CALCULATIONS!D66:D107,5)=18,CALCULATIONS!C83,IF(SMALL(CALCULATIONS!D66:D107,5)=19,CALCULATIONS!C84,IF(SMALL(CALCULATIONS!D66:D107,5)=20,CALCULATIONS!C85,IF(SMALL(CALCULATIONS!D66:D107,5)=21,CALCULATIONS!C86,IF(SMALL(CALCULATIONS!D66:D107,5)=22,CALCULATIONS!C87,IF(SMALL(CALCULATIONS!D66:D107,5)=23,CALCULATIONS!C88,IF(SMALL(CALCULATIONS!D66:D107,5)=24,CALCULATIONS!C89,IF(SMALL(CALCULATIONS!D66:D107,5)=25,CALCULATIONS!C90,IF(SMALL(CALCULATIONS!D66:D107,5)=26,CALCULATIONS!C91,IF(SMALL(CALCULATIONS!D66:D107,5)=27,CALCULATIONS!C92,IF(SMALL(CALCULATIONS!D66:D107,5)=28,CALCULATIONS!C93,IF(SMALL(CALCULATIONS!D66:D107,5)=29,CALCULATIONS!C94,IF(SMALL(CALCULATIONS!D66:D107,5)=30,CALCULATIONS!C95,IF(SMALL(CALCULATIONS!D66:D107,5)=31,CALCULATIONS!C96,IF(SMALL(CALCULATIONS!D66:D107,5)=32,CALCULATIONS!C97,IF(SMALL(CALCULATIONS!D66:D107,5)=33,CALCULATIONS!C98,IF(SMALL(CALCULATIONS!D66:D107,5)=34,CALCULATIONS!C99,IF(SMALL(CALCULATIONS!D66:D107,5)=35,CALCULATIONS!C100,IF(SMALL(CALCULATIONS!D66:D107,5)=36,CALCULATIONS!C101,IF(SMALL(CALCULATIONS!D66:D107,5)=37,CALCULATIONS!C102,IF(SMALL(CALCULATIONS!D66:D107,5)=38,CALCULATIONS!C103,IF(SMALL(CALCULATIONS!D66:D107,5)=39,CALCULATIONS!C104,IF(SMALL(CALCULATIONS!D66:D107,5)=40,CALCULATIONS!C105,IF(SMALL(CALCULATIONS!D66:D107,5)=41,CALCULATIONS!C106,IF(SMALL(CALCULATIONS!D66:D107,5)=42,CALCULATIONS!C107,"")))))))))))))))))))))))))))))))))))))))))),"")</f>
        <v>14' SECTIONS OF RAIL</v>
      </c>
      <c r="C19" s="27"/>
      <c r="D19" s="27">
        <f>IF(COUNT(CALCULATIONS!D66:D107)&gt;=5,IF(SMALL(CALCULATIONS!D66:D107,5)=1,CALCULATIONS!E66,IF(SMALL(CALCULATIONS!D66:D107,5)=2,CALCULATIONS!E67,IF(SMALL(CALCULATIONS!D66:D107,5)=3,CALCULATIONS!E68,IF(SMALL(CALCULATIONS!D66:D107,5)=4,CALCULATIONS!E69,IF(SMALL(CALCULATIONS!D66:D107,5)=5,CALCULATIONS!E70,IF(SMALL(CALCULATIONS!D66:D107,5)=6,CALCULATIONS!E71,IF(SMALL(CALCULATIONS!D66:D107,5)=7,CALCULATIONS!E72,IF(SMALL(CALCULATIONS!D66:D107,5)=8,CALCULATIONS!E73,IF(SMALL(CALCULATIONS!D66:D107,5)=9,CALCULATIONS!E74,IF(SMALL(CALCULATIONS!D66:D107,5)=10,CALCULATIONS!E75,IF(SMALL(CALCULATIONS!D66:D107,5)=11,CALCULATIONS!E76,IF(SMALL(CALCULATIONS!D66:D107,5)=12,CALCULATIONS!E77,IF(SMALL(CALCULATIONS!D66:D107,5)=13,CALCULATIONS!E78,IF(SMALL(CALCULATIONS!D66:D107,5)=14,CALCULATIONS!E79,IF(SMALL(CALCULATIONS!D66:D107,5)=15,CALCULATIONS!E80,IF(SMALL(CALCULATIONS!D66:D107,5)=16,CALCULATIONS!E81,IF(SMALL(CALCULATIONS!D66:D107,5)=17,CALCULATIONS!E82,IF(SMALL(CALCULATIONS!D66:D107,5)=18,CALCULATIONS!E83,IF(SMALL(CALCULATIONS!D66:D107,5)=19,CALCULATIONS!E84,IF(SMALL(CALCULATIONS!D66:D107,5)=20,CALCULATIONS!E85,IF(SMALL(CALCULATIONS!D66:D107,5)=21,CALCULATIONS!E86,IF(SMALL(CALCULATIONS!D66:D107,5)=22,CALCULATIONS!E87,IF(SMALL(CALCULATIONS!D66:D107,5)=23,CALCULATIONS!E88,IF(SMALL(CALCULATIONS!D66:D107,5)=24,CALCULATIONS!E89,IF(SMALL(CALCULATIONS!D66:D107,5)=25,CALCULATIONS!E90,IF(SMALL(CALCULATIONS!D66:D107,5)=26,CALCULATIONS!E91,IF(SMALL(CALCULATIONS!D66:D107,5)=27,CALCULATIONS!E92,IF(SMALL(CALCULATIONS!D66:D107,5)=28,CALCULATIONS!E93,IF(SMALL(CALCULATIONS!D66:D107,5)=29,CALCULATIONS!E94,IF(SMALL(CALCULATIONS!D66:D107,5)=30,CALCULATIONS!E95,IF(SMALL(CALCULATIONS!D66:D107,5)=31,CALCULATIONS!E96,IF(SMALL(CALCULATIONS!D66:D107,5)=32,CALCULATIONS!E97,IF(SMALL(CALCULATIONS!D66:D107,5)=33,CALCULATIONS!E98,IF(SMALL(CALCULATIONS!D66:D107,5)=34,CALCULATIONS!E99,IF(SMALL(CALCULATIONS!D66:D107,5)=35,CALCULATIONS!E100,IF(SMALL(CALCULATIONS!D66:D107,5)=36,CALCULATIONS!E101,IF(SMALL(CALCULATIONS!D66:D107,5)=37,CALCULATIONS!E102,IF(SMALL(CALCULATIONS!D66:D107,5)=38,CALCULATIONS!E103,IF(SMALL(CALCULATIONS!D66:D107,5)=39,CALCULATIONS!E104,IF(SMALL(CALCULATIONS!D66:D107,5)=40,CALCULATIONS!E105,IF(SMALL(CALCULATIONS!D66:D107,5)=41,CALCULATIONS!E106,IF(SMALL(CALCULATIONS!D66:D107,5)=42,CALCULATIONS!E107,"")))))))))))))))))))))))))))))))))))))))))),"")</f>
        <v>29</v>
      </c>
      <c r="E19" s="27"/>
      <c r="F19" s="27" t="str">
        <f t="shared" si="1"/>
        <v>___</v>
      </c>
      <c r="G19" s="27"/>
      <c r="H19" s="27" t="str">
        <f t="shared" si="2"/>
        <v>___</v>
      </c>
    </row>
    <row r="20" spans="1:8" x14ac:dyDescent="0.25">
      <c r="A20" s="68" t="str">
        <f t="shared" si="0"/>
        <v>□</v>
      </c>
      <c r="B20" s="27" t="str">
        <f>IF(COUNT(CALCULATIONS!D66:D107)&gt;=6,IF(SMALL(CALCULATIONS!D66:D107,6)=1,CALCULATIONS!C66,IF(SMALL(CALCULATIONS!D66:D107,6)=2,CALCULATIONS!C67,IF(SMALL(CALCULATIONS!D66:D107,6)=3,CALCULATIONS!C68,IF(SMALL(CALCULATIONS!D66:D107,6)=4,CALCULATIONS!C69,IF(SMALL(CALCULATIONS!D66:D107,6)=5,CALCULATIONS!C70,IF(SMALL(CALCULATIONS!D66:D107,6)=6,CALCULATIONS!C71,IF(SMALL(CALCULATIONS!D66:D107,6)=7,CALCULATIONS!C72,IF(SMALL(CALCULATIONS!D66:D107,6)=8,CALCULATIONS!C73,IF(SMALL(CALCULATIONS!D66:D107,6)=9,CALCULATIONS!C74,IF(SMALL(CALCULATIONS!D66:D107,6)=10,CALCULATIONS!C75,IF(SMALL(CALCULATIONS!D66:D107,6)=11,CALCULATIONS!C76,IF(SMALL(CALCULATIONS!D66:D107,6)=12,CALCULATIONS!C77,IF(SMALL(CALCULATIONS!D66:D107,6)=13,CALCULATIONS!C78,IF(SMALL(CALCULATIONS!D66:D107,6)=14,CALCULATIONS!C79,IF(SMALL(CALCULATIONS!D66:D107,6)=15,CALCULATIONS!C80,IF(SMALL(CALCULATIONS!D66:D107,6)=16,CALCULATIONS!C81,IF(SMALL(CALCULATIONS!D66:D107,6)=17,CALCULATIONS!C82,IF(SMALL(CALCULATIONS!D66:D107,6)=18,CALCULATIONS!C83,IF(SMALL(CALCULATIONS!D66:D107,6)=19,CALCULATIONS!C84,IF(SMALL(CALCULATIONS!D66:D107,6)=20,CALCULATIONS!C85,IF(SMALL(CALCULATIONS!D66:D107,6)=21,CALCULATIONS!C86,IF(SMALL(CALCULATIONS!D66:D107,6)=22,CALCULATIONS!C87,IF(SMALL(CALCULATIONS!D66:D107,6)=23,CALCULATIONS!C88,IF(SMALL(CALCULATIONS!D66:D107,6)=24,CALCULATIONS!C89,IF(SMALL(CALCULATIONS!D66:D107,6)=25,CALCULATIONS!C90,IF(SMALL(CALCULATIONS!D66:D107,6)=26,CALCULATIONS!C91,IF(SMALL(CALCULATIONS!D66:D107,6)=27,CALCULATIONS!C92,IF(SMALL(CALCULATIONS!D66:D107,6)=28,CALCULATIONS!C93,IF(SMALL(CALCULATIONS!D66:D107,6)=29,CALCULATIONS!C94,IF(SMALL(CALCULATIONS!D66:D107,6)=30,CALCULATIONS!C95,IF(SMALL(CALCULATIONS!D66:D107,6)=31,CALCULATIONS!C96,IF(SMALL(CALCULATIONS!D66:D107,6)=32,CALCULATIONS!C97,IF(SMALL(CALCULATIONS!D66:D107,6)=33,CALCULATIONS!C98,IF(SMALL(CALCULATIONS!D66:D107,6)=34,CALCULATIONS!C99,IF(SMALL(CALCULATIONS!D66:D107,6)=35,CALCULATIONS!C100,IF(SMALL(CALCULATIONS!D66:D107,6)=36,CALCULATIONS!C101,IF(SMALL(CALCULATIONS!D66:D107,6)=37,CALCULATIONS!C102,IF(SMALL(CALCULATIONS!D66:D107,6)=38,CALCULATIONS!C103,IF(SMALL(CALCULATIONS!D66:D107,6)=39,CALCULATIONS!C104,IF(SMALL(CALCULATIONS!D66:D107,6)=40,CALCULATIONS!C105,IF(SMALL(CALCULATIONS!D66:D107,6)=41,CALCULATIONS!C106,IF(SMALL(CALCULATIONS!D66:D107,6)=42,CALCULATIONS!C107,"")))))))))))))))))))))))))))))))))))))))))),"")</f>
        <v xml:space="preserve"> INSULATED BUG BITES (LINE TAPS)</v>
      </c>
      <c r="C20" s="27"/>
      <c r="D20" s="27">
        <f>IF(COUNT(CALCULATIONS!D66:D107)&gt;=6,IF(SMALL(CALCULATIONS!D66:D107,6)=1,CALCULATIONS!E66,IF(SMALL(CALCULATIONS!D66:D107,6)=2,CALCULATIONS!E67,IF(SMALL(CALCULATIONS!D66:D107,6)=3,CALCULATIONS!E68,IF(SMALL(CALCULATIONS!D66:D107,6)=4,CALCULATIONS!E69,IF(SMALL(CALCULATIONS!D66:D107,6)=5,CALCULATIONS!E70,IF(SMALL(CALCULATIONS!D66:D107,6)=6,CALCULATIONS!E71,IF(SMALL(CALCULATIONS!D66:D107,6)=7,CALCULATIONS!E72,IF(SMALL(CALCULATIONS!D66:D107,6)=8,CALCULATIONS!E73,IF(SMALL(CALCULATIONS!D66:D107,6)=9,CALCULATIONS!E74,IF(SMALL(CALCULATIONS!D66:D107,6)=10,CALCULATIONS!E75,IF(SMALL(CALCULATIONS!D66:D107,6)=11,CALCULATIONS!E76,IF(SMALL(CALCULATIONS!D66:D107,6)=12,CALCULATIONS!E77,IF(SMALL(CALCULATIONS!D66:D107,6)=13,CALCULATIONS!E78,IF(SMALL(CALCULATIONS!D66:D107,6)=14,CALCULATIONS!E79,IF(SMALL(CALCULATIONS!D66:D107,6)=15,CALCULATIONS!E80,IF(SMALL(CALCULATIONS!D66:D107,6)=16,CALCULATIONS!E81,IF(SMALL(CALCULATIONS!D66:D107,6)=17,CALCULATIONS!E82,IF(SMALL(CALCULATIONS!D66:D107,6)=18,CALCULATIONS!E83,IF(SMALL(CALCULATIONS!D66:D107,6)=19,CALCULATIONS!E84,IF(SMALL(CALCULATIONS!D66:D107,6)=20,CALCULATIONS!E85,IF(SMALL(CALCULATIONS!D66:D107,6)=21,CALCULATIONS!E86,IF(SMALL(CALCULATIONS!D66:D107,6)=22,CALCULATIONS!E87,IF(SMALL(CALCULATIONS!D66:D107,6)=23,CALCULATIONS!E88,IF(SMALL(CALCULATIONS!D66:D107,6)=24,CALCULATIONS!E89,IF(SMALL(CALCULATIONS!D66:D107,6)=25,CALCULATIONS!E90,IF(SMALL(CALCULATIONS!D66:D107,6)=26,CALCULATIONS!E91,IF(SMALL(CALCULATIONS!D66:D107,6)=27,CALCULATIONS!E92,IF(SMALL(CALCULATIONS!D66:D107,6)=28,CALCULATIONS!E93,IF(SMALL(CALCULATIONS!D66:D107,6)=29,CALCULATIONS!E94,IF(SMALL(CALCULATIONS!D66:D107,6)=30,CALCULATIONS!E95,IF(SMALL(CALCULATIONS!D66:D107,6)=31,CALCULATIONS!E96,IF(SMALL(CALCULATIONS!D66:D107,6)=32,CALCULATIONS!E97,IF(SMALL(CALCULATIONS!D66:D107,6)=33,CALCULATIONS!E98,IF(SMALL(CALCULATIONS!D66:D107,6)=34,CALCULATIONS!E99,IF(SMALL(CALCULATIONS!D66:D107,6)=35,CALCULATIONS!E100,IF(SMALL(CALCULATIONS!D66:D107,6)=36,CALCULATIONS!E101,IF(SMALL(CALCULATIONS!D66:D107,6)=37,CALCULATIONS!E102,IF(SMALL(CALCULATIONS!D66:D107,6)=38,CALCULATIONS!E103,IF(SMALL(CALCULATIONS!D66:D107,6)=39,CALCULATIONS!E104,IF(SMALL(CALCULATIONS!D66:D107,6)=40,CALCULATIONS!E105,IF(SMALL(CALCULATIONS!D66:D107,6)=41,CALCULATIONS!E106,IF(SMALL(CALCULATIONS!D66:D107,6)=42,CALCULATIONS!E107,"")))))))))))))))))))))))))))))))))))))))))),"")</f>
        <v>2</v>
      </c>
      <c r="E20" s="27"/>
      <c r="F20" s="27" t="str">
        <f t="shared" si="1"/>
        <v>___</v>
      </c>
      <c r="G20" s="27"/>
      <c r="H20" s="27" t="str">
        <f t="shared" si="2"/>
        <v>___</v>
      </c>
    </row>
    <row r="21" spans="1:8" x14ac:dyDescent="0.25">
      <c r="A21" s="68" t="str">
        <f t="shared" si="0"/>
        <v>□</v>
      </c>
      <c r="B21" s="27" t="str">
        <f>IF(COUNT(CALCULATIONS!D66:D107)&gt;=7,IF(SMALL(CALCULATIONS!D66:D107,7)=1,CALCULATIONS!C66,IF(SMALL(CALCULATIONS!D66:D107,7)=2,CALCULATIONS!C67,IF(SMALL(CALCULATIONS!D66:D107,7)=3,CALCULATIONS!C68,IF(SMALL(CALCULATIONS!D66:D107,7)=4,CALCULATIONS!C69,IF(SMALL(CALCULATIONS!D66:D107,7)=5,CALCULATIONS!C70,IF(SMALL(CALCULATIONS!D66:D107,7)=6,CALCULATIONS!C71,IF(SMALL(CALCULATIONS!D66:D107,7)=7,CALCULATIONS!C72,IF(SMALL(CALCULATIONS!D66:D107,7)=8,CALCULATIONS!C73,IF(SMALL(CALCULATIONS!D66:D107,7)=9,CALCULATIONS!C74,IF(SMALL(CALCULATIONS!D66:D107,7)=10,CALCULATIONS!C75,IF(SMALL(CALCULATIONS!D66:D107,7)=11,CALCULATIONS!C76,IF(SMALL(CALCULATIONS!D66:D107,7)=12,CALCULATIONS!C77,IF(SMALL(CALCULATIONS!D66:D107,7)=13,CALCULATIONS!C78,IF(SMALL(CALCULATIONS!D66:D107,7)=14,CALCULATIONS!C79,IF(SMALL(CALCULATIONS!D66:D107,7)=15,CALCULATIONS!C80,IF(SMALL(CALCULATIONS!D66:D107,7)=16,CALCULATIONS!C81,IF(SMALL(CALCULATIONS!D66:D107,7)=17,CALCULATIONS!C82,IF(SMALL(CALCULATIONS!D66:D107,7)=18,CALCULATIONS!C83,IF(SMALL(CALCULATIONS!D66:D107,7)=19,CALCULATIONS!C84,IF(SMALL(CALCULATIONS!D66:D107,7)=20,CALCULATIONS!C85,IF(SMALL(CALCULATIONS!D66:D107,7)=21,CALCULATIONS!C86,IF(SMALL(CALCULATIONS!D66:D107,7)=22,CALCULATIONS!C87,IF(SMALL(CALCULATIONS!D66:D107,7)=23,CALCULATIONS!C88,IF(SMALL(CALCULATIONS!D66:D107,7)=24,CALCULATIONS!C89,IF(SMALL(CALCULATIONS!D66:D107,7)=25,CALCULATIONS!C90,IF(SMALL(CALCULATIONS!D66:D107,7)=26,CALCULATIONS!C91,IF(SMALL(CALCULATIONS!D66:D107,7)=27,CALCULATIONS!C92,IF(SMALL(CALCULATIONS!D66:D107,7)=28,CALCULATIONS!C93,IF(SMALL(CALCULATIONS!D66:D107,7)=29,CALCULATIONS!C94,IF(SMALL(CALCULATIONS!D66:D107,7)=30,CALCULATIONS!C95,IF(SMALL(CALCULATIONS!D66:D107,7)=31,CALCULATIONS!C96,IF(SMALL(CALCULATIONS!D66:D107,7)=32,CALCULATIONS!C97,IF(SMALL(CALCULATIONS!D66:D107,7)=33,CALCULATIONS!C98,IF(SMALL(CALCULATIONS!D66:D107,7)=34,CALCULATIONS!C99,IF(SMALL(CALCULATIONS!D66:D107,7)=35,CALCULATIONS!C100,IF(SMALL(CALCULATIONS!D66:D107,7)=36,CALCULATIONS!C101,IF(SMALL(CALCULATIONS!D66:D107,7)=37,CALCULATIONS!C102,IF(SMALL(CALCULATIONS!D66:D107,7)=38,CALCULATIONS!C103,IF(SMALL(CALCULATIONS!D66:D107,7)=39,CALCULATIONS!C104,IF(SMALL(CALCULATIONS!D66:D107,7)=40,CALCULATIONS!C105,IF(SMALL(CALCULATIONS!D66:D107,7)=41,CALCULATIONS!C106,IF(SMALL(CALCULATIONS!D66:D107,7)=42,CALCULATIONS!C107,"")))))))))))))))))))))))))))))))))))))))))),"")</f>
        <v>FLASHINGS</v>
      </c>
      <c r="C21" s="27"/>
      <c r="D21" s="27">
        <f>IF(COUNT(CALCULATIONS!D66:D107)&gt;=7,IF(SMALL(CALCULATIONS!D66:D107,7)=1,CALCULATIONS!E66,IF(SMALL(CALCULATIONS!D66:D107,7)=2,CALCULATIONS!E67,IF(SMALL(CALCULATIONS!D66:D107,7)=3,CALCULATIONS!E68,IF(SMALL(CALCULATIONS!D66:D107,7)=4,CALCULATIONS!E69,IF(SMALL(CALCULATIONS!D66:D107,7)=5,CALCULATIONS!E70,IF(SMALL(CALCULATIONS!D66:D107,7)=6,CALCULATIONS!E71,IF(SMALL(CALCULATIONS!D66:D107,7)=7,CALCULATIONS!E72,IF(SMALL(CALCULATIONS!D66:D107,7)=8,CALCULATIONS!E73,IF(SMALL(CALCULATIONS!D66:D107,7)=9,CALCULATIONS!E74,IF(SMALL(CALCULATIONS!D66:D107,7)=10,CALCULATIONS!E75,IF(SMALL(CALCULATIONS!D66:D107,7)=11,CALCULATIONS!E76,IF(SMALL(CALCULATIONS!D66:D107,7)=12,CALCULATIONS!E77,IF(SMALL(CALCULATIONS!D66:D107,7)=13,CALCULATIONS!E78,IF(SMALL(CALCULATIONS!D66:D107,7)=14,CALCULATIONS!E79,IF(SMALL(CALCULATIONS!D66:D107,7)=15,CALCULATIONS!E80,IF(SMALL(CALCULATIONS!D66:D107,7)=16,CALCULATIONS!E81,IF(SMALL(CALCULATIONS!D66:D107,7)=17,CALCULATIONS!E82,IF(SMALL(CALCULATIONS!D66:D107,7)=18,CALCULATIONS!E83,IF(SMALL(CALCULATIONS!D66:D107,7)=19,CALCULATIONS!E84,IF(SMALL(CALCULATIONS!D66:D107,7)=20,CALCULATIONS!E85,IF(SMALL(CALCULATIONS!D66:D107,7)=21,CALCULATIONS!E86,IF(SMALL(CALCULATIONS!D66:D107,7)=22,CALCULATIONS!E87,IF(SMALL(CALCULATIONS!D66:D107,7)=23,CALCULATIONS!E88,IF(SMALL(CALCULATIONS!D66:D107,7)=24,CALCULATIONS!E89,IF(SMALL(CALCULATIONS!D66:D107,7)=25,CALCULATIONS!E90,IF(SMALL(CALCULATIONS!D66:D107,7)=26,CALCULATIONS!E91,IF(SMALL(CALCULATIONS!D66:D107,7)=27,CALCULATIONS!E92,IF(SMALL(CALCULATIONS!D66:D107,7)=28,CALCULATIONS!E93,IF(SMALL(CALCULATIONS!D66:D107,7)=29,CALCULATIONS!E94,IF(SMALL(CALCULATIONS!D66:D107,7)=30,CALCULATIONS!E95,IF(SMALL(CALCULATIONS!D66:D107,7)=31,CALCULATIONS!E96,IF(SMALL(CALCULATIONS!D66:D107,7)=32,CALCULATIONS!E97,IF(SMALL(CALCULATIONS!D66:D107,7)=33,CALCULATIONS!E98,IF(SMALL(CALCULATIONS!D66:D107,7)=34,CALCULATIONS!E99,IF(SMALL(CALCULATIONS!D66:D107,7)=35,CALCULATIONS!E100,IF(SMALL(CALCULATIONS!D66:D107,7)=36,CALCULATIONS!E101,IF(SMALL(CALCULATIONS!D66:D107,7)=37,CALCULATIONS!E102,IF(SMALL(CALCULATIONS!D66:D107,7)=38,CALCULATIONS!E103,IF(SMALL(CALCULATIONS!D66:D107,7)=39,CALCULATIONS!E104,IF(SMALL(CALCULATIONS!D66:D107,7)=40,CALCULATIONS!E105,IF(SMALL(CALCULATIONS!D66:D107,7)=41,CALCULATIONS!E106,IF(SMALL(CALCULATIONS!D66:D107,7)=42,CALCULATIONS!E107,"")))))))))))))))))))))))))))))))))))))))))),"")</f>
        <v>68</v>
      </c>
      <c r="E21" s="27"/>
      <c r="F21" s="27" t="str">
        <f t="shared" si="1"/>
        <v>___</v>
      </c>
      <c r="G21" s="27"/>
      <c r="H21" s="27" t="str">
        <f t="shared" si="2"/>
        <v>___</v>
      </c>
    </row>
    <row r="22" spans="1:8" x14ac:dyDescent="0.25">
      <c r="A22" s="68" t="str">
        <f t="shared" si="0"/>
        <v>□</v>
      </c>
      <c r="B22" s="27" t="str">
        <f>IF(COUNT(CALCULATIONS!D66:D107)&gt;=8,IF(SMALL(CALCULATIONS!D66:D107,8)=1,CALCULATIONS!C66,IF(SMALL(CALCULATIONS!D66:D107,8)=2,CALCULATIONS!C67,IF(SMALL(CALCULATIONS!D66:D107,8)=3,CALCULATIONS!C68,IF(SMALL(CALCULATIONS!D66:D107,8)=4,CALCULATIONS!C69,IF(SMALL(CALCULATIONS!D66:D107,8)=5,CALCULATIONS!C70,IF(SMALL(CALCULATIONS!D66:D107,8)=6,CALCULATIONS!C71,IF(SMALL(CALCULATIONS!D66:D107,8)=7,CALCULATIONS!C72,IF(SMALL(CALCULATIONS!D66:D107,8)=8,CALCULATIONS!C73,IF(SMALL(CALCULATIONS!D66:D107,8)=9,CALCULATIONS!C74,IF(SMALL(CALCULATIONS!D66:D107,8)=10,CALCULATIONS!C75,IF(SMALL(CALCULATIONS!D66:D107,8)=11,CALCULATIONS!C76,IF(SMALL(CALCULATIONS!D66:D107,8)=12,CALCULATIONS!C77,IF(SMALL(CALCULATIONS!D66:D107,8)=13,CALCULATIONS!C78,IF(SMALL(CALCULATIONS!D66:D107,8)=14,CALCULATIONS!C79,IF(SMALL(CALCULATIONS!D66:D107,8)=15,CALCULATIONS!C80,IF(SMALL(CALCULATIONS!D66:D107,8)=16,CALCULATIONS!C81,IF(SMALL(CALCULATIONS!D66:D107,8)=17,CALCULATIONS!C82,IF(SMALL(CALCULATIONS!D66:D107,8)=18,CALCULATIONS!C83,IF(SMALL(CALCULATIONS!D66:D107,8)=19,CALCULATIONS!C84,IF(SMALL(CALCULATIONS!D66:D107,8)=20,CALCULATIONS!C85,IF(SMALL(CALCULATIONS!D66:D107,8)=21,CALCULATIONS!C86,IF(SMALL(CALCULATIONS!D66:D107,8)=22,CALCULATIONS!C87,IF(SMALL(CALCULATIONS!D66:D107,8)=23,CALCULATIONS!C88,IF(SMALL(CALCULATIONS!D66:D107,8)=24,CALCULATIONS!C89,IF(SMALL(CALCULATIONS!D66:D107,8)=25,CALCULATIONS!C90,IF(SMALL(CALCULATIONS!D66:D107,8)=26,CALCULATIONS!C91,IF(SMALL(CALCULATIONS!D66:D107,8)=27,CALCULATIONS!C92,IF(SMALL(CALCULATIONS!D66:D107,8)=28,CALCULATIONS!C93,IF(SMALL(CALCULATIONS!D66:D107,8)=29,CALCULATIONS!C94,IF(SMALL(CALCULATIONS!D66:D107,8)=30,CALCULATIONS!C95,IF(SMALL(CALCULATIONS!D66:D107,8)=31,CALCULATIONS!C96,IF(SMALL(CALCULATIONS!D66:D107,8)=32,CALCULATIONS!C97,IF(SMALL(CALCULATIONS!D66:D107,8)=33,CALCULATIONS!C98,IF(SMALL(CALCULATIONS!D66:D107,8)=34,CALCULATIONS!C99,IF(SMALL(CALCULATIONS!D66:D107,8)=35,CALCULATIONS!C100,IF(SMALL(CALCULATIONS!D66:D107,8)=36,CALCULATIONS!C101,IF(SMALL(CALCULATIONS!D66:D107,8)=37,CALCULATIONS!C102,IF(SMALL(CALCULATIONS!D66:D107,8)=38,CALCULATIONS!C103,IF(SMALL(CALCULATIONS!D66:D107,8)=39,CALCULATIONS!C104,IF(SMALL(CALCULATIONS!D66:D107,8)=40,CALCULATIONS!C105,IF(SMALL(CALCULATIONS!D66:D107,8)=41,CALCULATIONS!C106,IF(SMALL(CALCULATIONS!D66:D107,8)=42,CALCULATIONS!C107,"")))))))))))))))))))))))))))))))))))))))))),"")</f>
        <v>CASE(S) OF BLACK SPRAY PAINT</v>
      </c>
      <c r="C22" s="27"/>
      <c r="D22" s="27">
        <f>IF(COUNT(CALCULATIONS!D66:D107)&gt;=8,IF(SMALL(CALCULATIONS!D66:D107,8)=1,CALCULATIONS!E66,IF(SMALL(CALCULATIONS!D66:D107,8)=2,CALCULATIONS!E67,IF(SMALL(CALCULATIONS!D66:D107,8)=3,CALCULATIONS!E68,IF(SMALL(CALCULATIONS!D66:D107,8)=4,CALCULATIONS!E69,IF(SMALL(CALCULATIONS!D66:D107,8)=5,CALCULATIONS!E70,IF(SMALL(CALCULATIONS!D66:D107,8)=6,CALCULATIONS!E71,IF(SMALL(CALCULATIONS!D66:D107,8)=7,CALCULATIONS!E72,IF(SMALL(CALCULATIONS!D66:D107,8)=8,CALCULATIONS!E73,IF(SMALL(CALCULATIONS!D66:D107,8)=9,CALCULATIONS!E74,IF(SMALL(CALCULATIONS!D66:D107,8)=10,CALCULATIONS!E75,IF(SMALL(CALCULATIONS!D66:D107,8)=11,CALCULATIONS!E76,IF(SMALL(CALCULATIONS!D66:D107,8)=12,CALCULATIONS!E77,IF(SMALL(CALCULATIONS!D66:D107,8)=13,CALCULATIONS!E78,IF(SMALL(CALCULATIONS!D66:D107,8)=14,CALCULATIONS!E79,IF(SMALL(CALCULATIONS!D66:D107,8)=15,CALCULATIONS!E80,IF(SMALL(CALCULATIONS!D66:D107,8)=16,CALCULATIONS!E81,IF(SMALL(CALCULATIONS!D66:D107,8)=17,CALCULATIONS!E82,IF(SMALL(CALCULATIONS!D66:D107,8)=18,CALCULATIONS!E83,IF(SMALL(CALCULATIONS!D66:D107,8)=19,CALCULATIONS!E84,IF(SMALL(CALCULATIONS!D66:D107,8)=20,CALCULATIONS!E85,IF(SMALL(CALCULATIONS!D66:D107,8)=21,CALCULATIONS!E86,IF(SMALL(CALCULATIONS!D66:D107,8)=22,CALCULATIONS!E87,IF(SMALL(CALCULATIONS!D66:D107,8)=23,CALCULATIONS!E88,IF(SMALL(CALCULATIONS!D66:D107,8)=24,CALCULATIONS!E89,IF(SMALL(CALCULATIONS!D66:D107,8)=25,CALCULATIONS!E90,IF(SMALL(CALCULATIONS!D66:D107,8)=26,CALCULATIONS!E91,IF(SMALL(CALCULATIONS!D66:D107,8)=27,CALCULATIONS!E92,IF(SMALL(CALCULATIONS!D66:D107,8)=28,CALCULATIONS!E93,IF(SMALL(CALCULATIONS!D66:D107,8)=29,CALCULATIONS!E94,IF(SMALL(CALCULATIONS!D66:D107,8)=30,CALCULATIONS!E95,IF(SMALL(CALCULATIONS!D66:D107,8)=31,CALCULATIONS!E96,IF(SMALL(CALCULATIONS!D66:D107,8)=32,CALCULATIONS!E97,IF(SMALL(CALCULATIONS!D66:D107,8)=33,CALCULATIONS!E98,IF(SMALL(CALCULATIONS!D66:D107,8)=34,CALCULATIONS!E99,IF(SMALL(CALCULATIONS!D66:D107,8)=35,CALCULATIONS!E100,IF(SMALL(CALCULATIONS!D66:D107,8)=36,CALCULATIONS!E101,IF(SMALL(CALCULATIONS!D66:D107,8)=37,CALCULATIONS!E102,IF(SMALL(CALCULATIONS!D66:D107,8)=38,CALCULATIONS!E103,IF(SMALL(CALCULATIONS!D66:D107,8)=39,CALCULATIONS!E104,IF(SMALL(CALCULATIONS!D66:D107,8)=40,CALCULATIONS!E105,IF(SMALL(CALCULATIONS!D66:D107,8)=41,CALCULATIONS!E106,IF(SMALL(CALCULATIONS!D66:D107,8)=42,CALCULATIONS!E107,"")))))))))))))))))))))))))))))))))))))))))),"")</f>
        <v>1</v>
      </c>
      <c r="E22" s="27"/>
      <c r="F22" s="27" t="str">
        <f t="shared" si="1"/>
        <v>___</v>
      </c>
      <c r="G22" s="27"/>
      <c r="H22" s="27" t="str">
        <f t="shared" si="2"/>
        <v>___</v>
      </c>
    </row>
    <row r="23" spans="1:8" x14ac:dyDescent="0.25">
      <c r="A23" s="68" t="str">
        <f t="shared" si="0"/>
        <v>□</v>
      </c>
      <c r="B23" s="27" t="str">
        <f>IF(COUNT(CALCULATIONS!D66:D107)&gt;=9,IF(SMALL(CALCULATIONS!D66:D107,9)=1,CALCULATIONS!C66,IF(SMALL(CALCULATIONS!D66:D107,9)=2,CALCULATIONS!C67,IF(SMALL(CALCULATIONS!D66:D107,9)=3,CALCULATIONS!C68,IF(SMALL(CALCULATIONS!D66:D107,9)=4,CALCULATIONS!C69,IF(SMALL(CALCULATIONS!D66:D107,9)=5,CALCULATIONS!C70,IF(SMALL(CALCULATIONS!D66:D107,9)=6,CALCULATIONS!C71,IF(SMALL(CALCULATIONS!D66:D107,9)=7,CALCULATIONS!C72,IF(SMALL(CALCULATIONS!D66:D107,9)=8,CALCULATIONS!C73,IF(SMALL(CALCULATIONS!D66:D107,9)=9,CALCULATIONS!C74,IF(SMALL(CALCULATIONS!D66:D107,9)=10,CALCULATIONS!C75,IF(SMALL(CALCULATIONS!D66:D107,9)=11,CALCULATIONS!C76,IF(SMALL(CALCULATIONS!D66:D107,9)=12,CALCULATIONS!C77,IF(SMALL(CALCULATIONS!D66:D107,9)=13,CALCULATIONS!C78,IF(SMALL(CALCULATIONS!D66:D107,9)=14,CALCULATIONS!C79,IF(SMALL(CALCULATIONS!D66:D107,9)=15,CALCULATIONS!C80,IF(SMALL(CALCULATIONS!D66:D107,9)=16,CALCULATIONS!C81,IF(SMALL(CALCULATIONS!D66:D107,9)=17,CALCULATIONS!C82,IF(SMALL(CALCULATIONS!D66:D107,9)=18,CALCULATIONS!C83,IF(SMALL(CALCULATIONS!D66:D107,9)=19,CALCULATIONS!C84,IF(SMALL(CALCULATIONS!D66:D107,9)=20,CALCULATIONS!C85,IF(SMALL(CALCULATIONS!D66:D107,9)=21,CALCULATIONS!C86,IF(SMALL(CALCULATIONS!D66:D107,9)=22,CALCULATIONS!C87,IF(SMALL(CALCULATIONS!D66:D107,9)=23,CALCULATIONS!C88,IF(SMALL(CALCULATIONS!D66:D107,9)=24,CALCULATIONS!C89,IF(SMALL(CALCULATIONS!D66:D107,9)=25,CALCULATIONS!C90,IF(SMALL(CALCULATIONS!D66:D107,9)=26,CALCULATIONS!C91,IF(SMALL(CALCULATIONS!D66:D107,9)=27,CALCULATIONS!C92,IF(SMALL(CALCULATIONS!D66:D107,9)=28,CALCULATIONS!C93,IF(SMALL(CALCULATIONS!D66:D107,9)=29,CALCULATIONS!C94,IF(SMALL(CALCULATIONS!D66:D107,9)=30,CALCULATIONS!C95,IF(SMALL(CALCULATIONS!D66:D107,9)=31,CALCULATIONS!C96,IF(SMALL(CALCULATIONS!D66:D107,9)=32,CALCULATIONS!C97,IF(SMALL(CALCULATIONS!D66:D107,9)=33,CALCULATIONS!C98,IF(SMALL(CALCULATIONS!D66:D107,9)=34,CALCULATIONS!C99,IF(SMALL(CALCULATIONS!D66:D107,9)=35,CALCULATIONS!C100,IF(SMALL(CALCULATIONS!D66:D107,9)=36,CALCULATIONS!C101,IF(SMALL(CALCULATIONS!D66:D107,9)=37,CALCULATIONS!C102,IF(SMALL(CALCULATIONS!D66:D107,9)=38,CALCULATIONS!C103,IF(SMALL(CALCULATIONS!D66:D107,9)=39,CALCULATIONS!C104,IF(SMALL(CALCULATIONS!D66:D107,9)=40,CALCULATIONS!C105,IF(SMALL(CALCULATIONS!D66:D107,9)=41,CALCULATIONS!C106,IF(SMALL(CALCULATIONS!D66:D107,9)=42,CALCULATIONS!C107,"")))))))))))))))))))))))))))))))))))))))))),"")</f>
        <v>CASE(S) OF TAR</v>
      </c>
      <c r="C23" s="27"/>
      <c r="D23" s="27">
        <f>IF(COUNT(CALCULATIONS!D66:D107)&gt;=9,IF(SMALL(CALCULATIONS!D66:D107,9)=1,CALCULATIONS!E66,IF(SMALL(CALCULATIONS!D66:D107,9)=2,CALCULATIONS!E67,IF(SMALL(CALCULATIONS!D66:D107,9)=3,CALCULATIONS!E68,IF(SMALL(CALCULATIONS!D66:D107,9)=4,CALCULATIONS!E69,IF(SMALL(CALCULATIONS!D66:D107,9)=5,CALCULATIONS!E70,IF(SMALL(CALCULATIONS!D66:D107,9)=6,CALCULATIONS!E71,IF(SMALL(CALCULATIONS!D66:D107,9)=7,CALCULATIONS!E72,IF(SMALL(CALCULATIONS!D66:D107,9)=8,CALCULATIONS!E73,IF(SMALL(CALCULATIONS!D66:D107,9)=9,CALCULATIONS!E74,IF(SMALL(CALCULATIONS!D66:D107,9)=10,CALCULATIONS!E75,IF(SMALL(CALCULATIONS!D66:D107,9)=11,CALCULATIONS!E76,IF(SMALL(CALCULATIONS!D66:D107,9)=12,CALCULATIONS!E77,IF(SMALL(CALCULATIONS!D66:D107,9)=13,CALCULATIONS!E78,IF(SMALL(CALCULATIONS!D66:D107,9)=14,CALCULATIONS!E79,IF(SMALL(CALCULATIONS!D66:D107,9)=15,CALCULATIONS!E80,IF(SMALL(CALCULATIONS!D66:D107,9)=16,CALCULATIONS!E81,IF(SMALL(CALCULATIONS!D66:D107,9)=17,CALCULATIONS!E82,IF(SMALL(CALCULATIONS!D66:D107,9)=18,CALCULATIONS!E83,IF(SMALL(CALCULATIONS!D66:D107,9)=19,CALCULATIONS!E84,IF(SMALL(CALCULATIONS!D66:D107,9)=20,CALCULATIONS!E85,IF(SMALL(CALCULATIONS!D66:D107,9)=21,CALCULATIONS!E86,IF(SMALL(CALCULATIONS!D66:D107,9)=22,CALCULATIONS!E87,IF(SMALL(CALCULATIONS!D66:D107,9)=23,CALCULATIONS!E88,IF(SMALL(CALCULATIONS!D66:D107,9)=24,CALCULATIONS!E89,IF(SMALL(CALCULATIONS!D66:D107,9)=25,CALCULATIONS!E90,IF(SMALL(CALCULATIONS!D66:D107,9)=26,CALCULATIONS!E91,IF(SMALL(CALCULATIONS!D66:D107,9)=27,CALCULATIONS!E92,IF(SMALL(CALCULATIONS!D66:D107,9)=28,CALCULATIONS!E93,IF(SMALL(CALCULATIONS!D66:D107,9)=29,CALCULATIONS!E94,IF(SMALL(CALCULATIONS!D66:D107,9)=30,CALCULATIONS!E95,IF(SMALL(CALCULATIONS!D66:D107,9)=31,CALCULATIONS!E96,IF(SMALL(CALCULATIONS!D66:D107,9)=32,CALCULATIONS!E97,IF(SMALL(CALCULATIONS!D66:D107,9)=33,CALCULATIONS!E98,IF(SMALL(CALCULATIONS!D66:D107,9)=34,CALCULATIONS!E99,IF(SMALL(CALCULATIONS!D66:D107,9)=35,CALCULATIONS!E100,IF(SMALL(CALCULATIONS!D66:D107,9)=36,CALCULATIONS!E101,IF(SMALL(CALCULATIONS!D66:D107,9)=37,CALCULATIONS!E102,IF(SMALL(CALCULATIONS!D66:D107,9)=38,CALCULATIONS!E103,IF(SMALL(CALCULATIONS!D66:D107,9)=39,CALCULATIONS!E104,IF(SMALL(CALCULATIONS!D66:D107,9)=40,CALCULATIONS!E105,IF(SMALL(CALCULATIONS!D66:D107,9)=41,CALCULATIONS!E106,IF(SMALL(CALCULATIONS!D66:D107,9)=42,CALCULATIONS!E107,"")))))))))))))))))))))))))))))))))))))))))),"")</f>
        <v>1</v>
      </c>
      <c r="E23" s="27"/>
      <c r="F23" s="27" t="str">
        <f t="shared" si="1"/>
        <v>___</v>
      </c>
      <c r="G23" s="27"/>
      <c r="H23" s="27" t="str">
        <f t="shared" si="2"/>
        <v>___</v>
      </c>
    </row>
    <row r="24" spans="1:8" x14ac:dyDescent="0.25">
      <c r="A24" s="68" t="str">
        <f t="shared" si="0"/>
        <v>□</v>
      </c>
      <c r="B24" s="27" t="str">
        <f>IF(COUNT(CALCULATIONS!D66:D107)&gt;=10,IF(SMALL(CALCULATIONS!D66:D107,10)=1,CALCULATIONS!C66,IF(SMALL(CALCULATIONS!D66:D107,10)=2,CALCULATIONS!C67,IF(SMALL(CALCULATIONS!D66:D107,10)=3,CALCULATIONS!C68,IF(SMALL(CALCULATIONS!D66:D107,10)=4,CALCULATIONS!C69,IF(SMALL(CALCULATIONS!D66:D107,10)=5,CALCULATIONS!C70,IF(SMALL(CALCULATIONS!D66:D107,10)=6,CALCULATIONS!C71,IF(SMALL(CALCULATIONS!D66:D107,10)=7,CALCULATIONS!C72,IF(SMALL(CALCULATIONS!D66:D107,10)=8,CALCULATIONS!C73,IF(SMALL(CALCULATIONS!D66:D107,10)=9,CALCULATIONS!C74,IF(SMALL(CALCULATIONS!D66:D107,10)=10,CALCULATIONS!C75,IF(SMALL(CALCULATIONS!D66:D107,10)=11,CALCULATIONS!C76,IF(SMALL(CALCULATIONS!D66:D107,10)=12,CALCULATIONS!C77,IF(SMALL(CALCULATIONS!D66:D107,10)=13,CALCULATIONS!C78,IF(SMALL(CALCULATIONS!D66:D107,10)=14,CALCULATIONS!C79,IF(SMALL(CALCULATIONS!D66:D107,10)=15,CALCULATIONS!C80,IF(SMALL(CALCULATIONS!D66:D107,10)=16,CALCULATIONS!C81,IF(SMALL(CALCULATIONS!D66:D107,10)=17,CALCULATIONS!C82,IF(SMALL(CALCULATIONS!D66:D107,10)=18,CALCULATIONS!C83,IF(SMALL(CALCULATIONS!D66:D107,10)=19,CALCULATIONS!C84,IF(SMALL(CALCULATIONS!D66:D107,10)=20,CALCULATIONS!C85,IF(SMALL(CALCULATIONS!D66:D107,10)=21,CALCULATIONS!C86,IF(SMALL(CALCULATIONS!D66:D107,10)=22,CALCULATIONS!C87,IF(SMALL(CALCULATIONS!D66:D107,10)=23,CALCULATIONS!C88,IF(SMALL(CALCULATIONS!D66:D107,10)=24,CALCULATIONS!C89,IF(SMALL(CALCULATIONS!D66:D107,10)=25,CALCULATIONS!C90,IF(SMALL(CALCULATIONS!D66:D107,10)=26,CALCULATIONS!C91,IF(SMALL(CALCULATIONS!D66:D107,10)=27,CALCULATIONS!C92,IF(SMALL(CALCULATIONS!D66:D107,10)=28,CALCULATIONS!C93,IF(SMALL(CALCULATIONS!D66:D107,10)=29,CALCULATIONS!C94,IF(SMALL(CALCULATIONS!D66:D107,10)=30,CALCULATIONS!C95,IF(SMALL(CALCULATIONS!D66:D107,10)=31,CALCULATIONS!C96,IF(SMALL(CALCULATIONS!D66:D107,10)=32,CALCULATIONS!C97,IF(SMALL(CALCULATIONS!D66:D107,10)=33,CALCULATIONS!C98,IF(SMALL(CALCULATIONS!D66:D107,10)=34,CALCULATIONS!C99,IF(SMALL(CALCULATIONS!D66:D107,10)=35,CALCULATIONS!C100,IF(SMALL(CALCULATIONS!D66:D107,10)=36,CALCULATIONS!C101,IF(SMALL(CALCULATIONS!D66:D107,10)=37,CALCULATIONS!C102,IF(SMALL(CALCULATIONS!D66:D107,10)=38,CALCULATIONS!C103,IF(SMALL(CALCULATIONS!D66:D107,10)=39,CALCULATIONS!C104,IF(SMALL(CALCULATIONS!D66:D107,10)=40,CALCULATIONS!C105,IF(SMALL(CALCULATIONS!D66:D107,10)=41,CALCULATIONS!C106,IF(SMALL(CALCULATIONS!D66:D107,10)=42,CALCULATIONS!C107,"")))))))))))))))))))))))))))))))))))))))))),"")</f>
        <v>PV LEAD WIRE</v>
      </c>
      <c r="C24" s="27"/>
      <c r="D24" s="27" t="str">
        <f>IF(COUNT(CALCULATIONS!D66:D107)&gt;=10,IF(SMALL(CALCULATIONS!D66:D107,10)=1,CALCULATIONS!E66,IF(SMALL(CALCULATIONS!D66:D107,10)=2,CALCULATIONS!E67,IF(SMALL(CALCULATIONS!D66:D107,10)=3,CALCULATIONS!E68,IF(SMALL(CALCULATIONS!D66:D107,10)=4,CALCULATIONS!E69,IF(SMALL(CALCULATIONS!D66:D107,10)=5,CALCULATIONS!E70,IF(SMALL(CALCULATIONS!D66:D107,10)=6,CALCULATIONS!E71,IF(SMALL(CALCULATIONS!D66:D107,10)=7,CALCULATIONS!E72,IF(SMALL(CALCULATIONS!D66:D107,10)=8,CALCULATIONS!E73,IF(SMALL(CALCULATIONS!D66:D107,10)=9,CALCULATIONS!E74,IF(SMALL(CALCULATIONS!D66:D107,10)=10,CALCULATIONS!E75,IF(SMALL(CALCULATIONS!D66:D107,10)=11,CALCULATIONS!E76,IF(SMALL(CALCULATIONS!D66:D107,10)=12,CALCULATIONS!E77,IF(SMALL(CALCULATIONS!D66:D107,10)=13,CALCULATIONS!E78,IF(SMALL(CALCULATIONS!D66:D107,10)=14,CALCULATIONS!E79,IF(SMALL(CALCULATIONS!D66:D107,10)=15,CALCULATIONS!E80,IF(SMALL(CALCULATIONS!D66:D107,10)=16,CALCULATIONS!E81,IF(SMALL(CALCULATIONS!D66:D107,10)=17,CALCULATIONS!E82,IF(SMALL(CALCULATIONS!D66:D107,10)=18,CALCULATIONS!E83,IF(SMALL(CALCULATIONS!D66:D107,10)=19,CALCULATIONS!E84,IF(SMALL(CALCULATIONS!D66:D107,10)=20,CALCULATIONS!E85,IF(SMALL(CALCULATIONS!D66:D107,10)=21,CALCULATIONS!E86,IF(SMALL(CALCULATIONS!D66:D107,10)=22,CALCULATIONS!E87,IF(SMALL(CALCULATIONS!D66:D107,10)=23,CALCULATIONS!E88,IF(SMALL(CALCULATIONS!D66:D107,10)=24,CALCULATIONS!E89,IF(SMALL(CALCULATIONS!D66:D107,10)=25,CALCULATIONS!E90,IF(SMALL(CALCULATIONS!D66:D107,10)=26,CALCULATIONS!E91,IF(SMALL(CALCULATIONS!D66:D107,10)=27,CALCULATIONS!E92,IF(SMALL(CALCULATIONS!D66:D107,10)=28,CALCULATIONS!E93,IF(SMALL(CALCULATIONS!D66:D107,10)=29,CALCULATIONS!E94,IF(SMALL(CALCULATIONS!D66:D107,10)=30,CALCULATIONS!E95,IF(SMALL(CALCULATIONS!D66:D107,10)=31,CALCULATIONS!E96,IF(SMALL(CALCULATIONS!D66:D107,10)=32,CALCULATIONS!E97,IF(SMALL(CALCULATIONS!D66:D107,10)=33,CALCULATIONS!E98,IF(SMALL(CALCULATIONS!D66:D107,10)=34,CALCULATIONS!E99,IF(SMALL(CALCULATIONS!D66:D107,10)=35,CALCULATIONS!E100,IF(SMALL(CALCULATIONS!D66:D107,10)=36,CALCULATIONS!E101,IF(SMALL(CALCULATIONS!D66:D107,10)=37,CALCULATIONS!E102,IF(SMALL(CALCULATIONS!D66:D107,10)=38,CALCULATIONS!E103,IF(SMALL(CALCULATIONS!D66:D107,10)=39,CALCULATIONS!E104,IF(SMALL(CALCULATIONS!D66:D107,10)=40,CALCULATIONS!E105,IF(SMALL(CALCULATIONS!D66:D107,10)=41,CALCULATIONS!E106,IF(SMALL(CALCULATIONS!D66:D107,10)=42,CALCULATIONS!E107,"")))))))))))))))))))))))))))))))))))))))))),"")</f>
        <v>100'</v>
      </c>
      <c r="E24" s="27"/>
      <c r="F24" s="27" t="str">
        <f t="shared" si="1"/>
        <v>___</v>
      </c>
      <c r="G24" s="27"/>
      <c r="H24" s="27" t="str">
        <f t="shared" si="2"/>
        <v>___</v>
      </c>
    </row>
    <row r="25" spans="1:8" x14ac:dyDescent="0.25">
      <c r="A25" s="68" t="str">
        <f t="shared" si="0"/>
        <v>□</v>
      </c>
      <c r="B25" s="27" t="str">
        <f>IF(COUNT(CALCULATIONS!D66:D107)&gt;=11,IF(SMALL(CALCULATIONS!D66:D107,11)=1,CALCULATIONS!C66,IF(SMALL(CALCULATIONS!D66:D107,11)=2,CALCULATIONS!C67,IF(SMALL(CALCULATIONS!D66:D107,11)=3,CALCULATIONS!C68,IF(SMALL(CALCULATIONS!D66:D107,11)=4,CALCULATIONS!C69,IF(SMALL(CALCULATIONS!D66:D107,11)=5,CALCULATIONS!C70,IF(SMALL(CALCULATIONS!D66:D107,11)=6,CALCULATIONS!C71,IF(SMALL(CALCULATIONS!D66:D107,11)=7,CALCULATIONS!C72,IF(SMALL(CALCULATIONS!D66:D107,11)=8,CALCULATIONS!C73,IF(SMALL(CALCULATIONS!D66:D107,11)=9,CALCULATIONS!C74,IF(SMALL(CALCULATIONS!D66:D107,11)=10,CALCULATIONS!C75,IF(SMALL(CALCULATIONS!D66:D107,11)=11,CALCULATIONS!C76,IF(SMALL(CALCULATIONS!D66:D107,11)=12,CALCULATIONS!C77,IF(SMALL(CALCULATIONS!D66:D107,11)=13,CALCULATIONS!C78,IF(SMALL(CALCULATIONS!D66:D107,11)=14,CALCULATIONS!C79,IF(SMALL(CALCULATIONS!D66:D107,11)=15,CALCULATIONS!C80,IF(SMALL(CALCULATIONS!D66:D107,11)=16,CALCULATIONS!C81,IF(SMALL(CALCULATIONS!D66:D107,11)=17,CALCULATIONS!C82,IF(SMALL(CALCULATIONS!D66:D107,11)=18,CALCULATIONS!C83,IF(SMALL(CALCULATIONS!D66:D107,11)=19,CALCULATIONS!C84,IF(SMALL(CALCULATIONS!D66:D107,11)=20,CALCULATIONS!C85,IF(SMALL(CALCULATIONS!D66:D107,11)=21,CALCULATIONS!C86,IF(SMALL(CALCULATIONS!D66:D107,11)=22,CALCULATIONS!C87,IF(SMALL(CALCULATIONS!D66:D107,11)=23,CALCULATIONS!C88,IF(SMALL(CALCULATIONS!D66:D107,11)=24,CALCULATIONS!C89,IF(SMALL(CALCULATIONS!D66:D107,11)=25,CALCULATIONS!C90,IF(SMALL(CALCULATIONS!D66:D107,11)=26,CALCULATIONS!C91,IF(SMALL(CALCULATIONS!D66:D107,11)=27,CALCULATIONS!C92,IF(SMALL(CALCULATIONS!D66:D107,11)=28,CALCULATIONS!C93,IF(SMALL(CALCULATIONS!D66:D107,11)=29,CALCULATIONS!C94,IF(SMALL(CALCULATIONS!D66:D107,11)=30,CALCULATIONS!C95,IF(SMALL(CALCULATIONS!D66:D107,11)=31,CALCULATIONS!C96,IF(SMALL(CALCULATIONS!D66:D107,11)=32,CALCULATIONS!C97,IF(SMALL(CALCULATIONS!D66:D107,11)=33,CALCULATIONS!C98,IF(SMALL(CALCULATIONS!D66:D107,11)=34,CALCULATIONS!C99,IF(SMALL(CALCULATIONS!D66:D107,11)=35,CALCULATIONS!C100,IF(SMALL(CALCULATIONS!D66:D107,11)=36,CALCULATIONS!C101,IF(SMALL(CALCULATIONS!D66:D107,11)=37,CALCULATIONS!C102,IF(SMALL(CALCULATIONS!D66:D107,11)=38,CALCULATIONS!C103,IF(SMALL(CALCULATIONS!D66:D107,11)=39,CALCULATIONS!C104,IF(SMALL(CALCULATIONS!D66:D107,11)=40,CALCULATIONS!C105,IF(SMALL(CALCULATIONS!D66:D107,11)=41,CALCULATIONS!C106,IF(SMALL(CALCULATIONS!D66:D107,11)=42,CALCULATIONS!C107,"")))))))))))))))))))))))))))))))))))))))))),"")</f>
        <v>T-BOLTS</v>
      </c>
      <c r="C25" s="27"/>
      <c r="D25" s="27" t="str">
        <f>IF(COUNT(CALCULATIONS!D66:D107)&gt;=11,IF(SMALL(CALCULATIONS!D66:D107,11)=1,CALCULATIONS!E66,IF(SMALL(CALCULATIONS!D66:D107,11)=2,CALCULATIONS!E67,IF(SMALL(CALCULATIONS!D66:D107,11)=3,CALCULATIONS!E68,IF(SMALL(CALCULATIONS!D66:D107,11)=4,CALCULATIONS!E69,IF(SMALL(CALCULATIONS!D66:D107,11)=5,CALCULATIONS!E70,IF(SMALL(CALCULATIONS!D66:D107,11)=6,CALCULATIONS!E71,IF(SMALL(CALCULATIONS!D66:D107,11)=7,CALCULATIONS!E72,IF(SMALL(CALCULATIONS!D66:D107,11)=8,CALCULATIONS!E73,IF(SMALL(CALCULATIONS!D66:D107,11)=9,CALCULATIONS!E74,IF(SMALL(CALCULATIONS!D66:D107,11)=10,CALCULATIONS!E75,IF(SMALL(CALCULATIONS!D66:D107,11)=11,CALCULATIONS!E76,IF(SMALL(CALCULATIONS!D66:D107,11)=12,CALCULATIONS!E77,IF(SMALL(CALCULATIONS!D66:D107,11)=13,CALCULATIONS!E78,IF(SMALL(CALCULATIONS!D66:D107,11)=14,CALCULATIONS!E79,IF(SMALL(CALCULATIONS!D66:D107,11)=15,CALCULATIONS!E80,IF(SMALL(CALCULATIONS!D66:D107,11)=16,CALCULATIONS!E81,IF(SMALL(CALCULATIONS!D66:D107,11)=17,CALCULATIONS!E82,IF(SMALL(CALCULATIONS!D66:D107,11)=18,CALCULATIONS!E83,IF(SMALL(CALCULATIONS!D66:D107,11)=19,CALCULATIONS!E84,IF(SMALL(CALCULATIONS!D66:D107,11)=20,CALCULATIONS!E85,IF(SMALL(CALCULATIONS!D66:D107,11)=21,CALCULATIONS!E86,IF(SMALL(CALCULATIONS!D66:D107,11)=22,CALCULATIONS!E87,IF(SMALL(CALCULATIONS!D66:D107,11)=23,CALCULATIONS!E88,IF(SMALL(CALCULATIONS!D66:D107,11)=24,CALCULATIONS!E89,IF(SMALL(CALCULATIONS!D66:D107,11)=25,CALCULATIONS!E90,IF(SMALL(CALCULATIONS!D66:D107,11)=26,CALCULATIONS!E91,IF(SMALL(CALCULATIONS!D66:D107,11)=27,CALCULATIONS!E92,IF(SMALL(CALCULATIONS!D66:D107,11)=28,CALCULATIONS!E93,IF(SMALL(CALCULATIONS!D66:D107,11)=29,CALCULATIONS!E94,IF(SMALL(CALCULATIONS!D66:D107,11)=30,CALCULATIONS!E95,IF(SMALL(CALCULATIONS!D66:D107,11)=31,CALCULATIONS!E96,IF(SMALL(CALCULATIONS!D66:D107,11)=32,CALCULATIONS!E97,IF(SMALL(CALCULATIONS!D66:D107,11)=33,CALCULATIONS!E98,IF(SMALL(CALCULATIONS!D66:D107,11)=34,CALCULATIONS!E99,IF(SMALL(CALCULATIONS!D66:D107,11)=35,CALCULATIONS!E100,IF(SMALL(CALCULATIONS!D66:D107,11)=36,CALCULATIONS!E101,IF(SMALL(CALCULATIONS!D66:D107,11)=37,CALCULATIONS!E102,IF(SMALL(CALCULATIONS!D66:D107,11)=38,CALCULATIONS!E103,IF(SMALL(CALCULATIONS!D66:D107,11)=39,CALCULATIONS!E104,IF(SMALL(CALCULATIONS!D66:D107,11)=40,CALCULATIONS!E105,IF(SMALL(CALCULATIONS!D66:D107,11)=41,CALCULATIONS!E106,IF(SMALL(CALCULATIONS!D66:D107,11)=42,CALCULATIONS!E107,"")))))))))))))))))))))))))))))))))))))))))),"")</f>
        <v>___</v>
      </c>
      <c r="E25" s="27"/>
      <c r="F25" s="27" t="str">
        <f t="shared" si="1"/>
        <v>___</v>
      </c>
      <c r="G25" s="27"/>
      <c r="H25" s="27" t="str">
        <f t="shared" si="2"/>
        <v>___</v>
      </c>
    </row>
    <row r="26" spans="1:8" x14ac:dyDescent="0.25">
      <c r="A26" s="68" t="str">
        <f t="shared" si="0"/>
        <v>□</v>
      </c>
      <c r="B26" s="27" t="str">
        <f>IF(COUNT(CALCULATIONS!D66:D107)&gt;=12,IF(SMALL(CALCULATIONS!D66:D107,12)=1,CALCULATIONS!C66,IF(SMALL(CALCULATIONS!D66:D107,12)=2,CALCULATIONS!C67,IF(SMALL(CALCULATIONS!D66:D107,12)=3,CALCULATIONS!C68,IF(SMALL(CALCULATIONS!D66:D107,12)=4,CALCULATIONS!C69,IF(SMALL(CALCULATIONS!D66:D107,12)=5,CALCULATIONS!C70,IF(SMALL(CALCULATIONS!D66:D107,12)=6,CALCULATIONS!C71,IF(SMALL(CALCULATIONS!D66:D107,12)=7,CALCULATIONS!C72,IF(SMALL(CALCULATIONS!D66:D107,12)=8,CALCULATIONS!C73,IF(SMALL(CALCULATIONS!D66:D107,12)=9,CALCULATIONS!C74,IF(SMALL(CALCULATIONS!D66:D107,12)=10,CALCULATIONS!C75,IF(SMALL(CALCULATIONS!D66:D107,12)=11,CALCULATIONS!C76,IF(SMALL(CALCULATIONS!D66:D107,12)=12,CALCULATIONS!C77,IF(SMALL(CALCULATIONS!D66:D107,12)=13,CALCULATIONS!C78,IF(SMALL(CALCULATIONS!D66:D107,12)=14,CALCULATIONS!C79,IF(SMALL(CALCULATIONS!D66:D107,12)=15,CALCULATIONS!C80,IF(SMALL(CALCULATIONS!D66:D107,12)=16,CALCULATIONS!C81,IF(SMALL(CALCULATIONS!D66:D107,12)=17,CALCULATIONS!C82,IF(SMALL(CALCULATIONS!D66:D107,12)=18,CALCULATIONS!C83,IF(SMALL(CALCULATIONS!D66:D107,12)=19,CALCULATIONS!C84,IF(SMALL(CALCULATIONS!D66:D107,12)=20,CALCULATIONS!C85,IF(SMALL(CALCULATIONS!D66:D107,12)=21,CALCULATIONS!C86,IF(SMALL(CALCULATIONS!D66:D107,12)=22,CALCULATIONS!C87,IF(SMALL(CALCULATIONS!D66:D107,12)=23,CALCULATIONS!C88,IF(SMALL(CALCULATIONS!D66:D107,12)=24,CALCULATIONS!C89,IF(SMALL(CALCULATIONS!D66:D107,12)=25,CALCULATIONS!C90,IF(SMALL(CALCULATIONS!D66:D107,12)=26,CALCULATIONS!C91,IF(SMALL(CALCULATIONS!D66:D107,12)=27,CALCULATIONS!C92,IF(SMALL(CALCULATIONS!D66:D107,12)=28,CALCULATIONS!C93,IF(SMALL(CALCULATIONS!D66:D107,12)=29,CALCULATIONS!C94,IF(SMALL(CALCULATIONS!D66:D107,12)=30,CALCULATIONS!C95,IF(SMALL(CALCULATIONS!D66:D107,12)=31,CALCULATIONS!C96,IF(SMALL(CALCULATIONS!D66:D107,12)=32,CALCULATIONS!C97,IF(SMALL(CALCULATIONS!D66:D107,12)=33,CALCULATIONS!C98,IF(SMALL(CALCULATIONS!D66:D107,12)=34,CALCULATIONS!C99,IF(SMALL(CALCULATIONS!D66:D107,12)=35,CALCULATIONS!C100,IF(SMALL(CALCULATIONS!D66:D107,12)=36,CALCULATIONS!C101,IF(SMALL(CALCULATIONS!D66:D107,12)=37,CALCULATIONS!C102,IF(SMALL(CALCULATIONS!D66:D107,12)=38,CALCULATIONS!C103,IF(SMALL(CALCULATIONS!D66:D107,12)=39,CALCULATIONS!C104,IF(SMALL(CALCULATIONS!D66:D107,12)=40,CALCULATIONS!C105,IF(SMALL(CALCULATIONS!D66:D107,12)=41,CALCULATIONS!C106,IF(SMALL(CALCULATIONS!D66:D107,12)=42,CALCULATIONS!C107,"")))))))))))))))))))))))))))))))))))))))))),"")</f>
        <v>MID CLIPS</v>
      </c>
      <c r="C26" s="27"/>
      <c r="D26" s="27" t="str">
        <f>IF(COUNT(CALCULATIONS!D66:D107)&gt;=12,IF(SMALL(CALCULATIONS!D66:D107,12)=1,CALCULATIONS!E66,IF(SMALL(CALCULATIONS!D66:D107,12)=2,CALCULATIONS!E67,IF(SMALL(CALCULATIONS!D66:D107,12)=3,CALCULATIONS!E68,IF(SMALL(CALCULATIONS!D66:D107,12)=4,CALCULATIONS!E69,IF(SMALL(CALCULATIONS!D66:D107,12)=5,CALCULATIONS!E70,IF(SMALL(CALCULATIONS!D66:D107,12)=6,CALCULATIONS!E71,IF(SMALL(CALCULATIONS!D66:D107,12)=7,CALCULATIONS!E72,IF(SMALL(CALCULATIONS!D66:D107,12)=8,CALCULATIONS!E73,IF(SMALL(CALCULATIONS!D66:D107,12)=9,CALCULATIONS!E74,IF(SMALL(CALCULATIONS!D66:D107,12)=10,CALCULATIONS!E75,IF(SMALL(CALCULATIONS!D66:D107,12)=11,CALCULATIONS!E76,IF(SMALL(CALCULATIONS!D66:D107,12)=12,CALCULATIONS!E77,IF(SMALL(CALCULATIONS!D66:D107,12)=13,CALCULATIONS!E78,IF(SMALL(CALCULATIONS!D66:D107,12)=14,CALCULATIONS!E79,IF(SMALL(CALCULATIONS!D66:D107,12)=15,CALCULATIONS!E80,IF(SMALL(CALCULATIONS!D66:D107,12)=16,CALCULATIONS!E81,IF(SMALL(CALCULATIONS!D66:D107,12)=17,CALCULATIONS!E82,IF(SMALL(CALCULATIONS!D66:D107,12)=18,CALCULATIONS!E83,IF(SMALL(CALCULATIONS!D66:D107,12)=19,CALCULATIONS!E84,IF(SMALL(CALCULATIONS!D66:D107,12)=20,CALCULATIONS!E85,IF(SMALL(CALCULATIONS!D66:D107,12)=21,CALCULATIONS!E86,IF(SMALL(CALCULATIONS!D66:D107,12)=22,CALCULATIONS!E87,IF(SMALL(CALCULATIONS!D66:D107,12)=23,CALCULATIONS!E88,IF(SMALL(CALCULATIONS!D66:D107,12)=24,CALCULATIONS!E89,IF(SMALL(CALCULATIONS!D66:D107,12)=25,CALCULATIONS!E90,IF(SMALL(CALCULATIONS!D66:D107,12)=26,CALCULATIONS!E91,IF(SMALL(CALCULATIONS!D66:D107,12)=27,CALCULATIONS!E92,IF(SMALL(CALCULATIONS!D66:D107,12)=28,CALCULATIONS!E93,IF(SMALL(CALCULATIONS!D66:D107,12)=29,CALCULATIONS!E94,IF(SMALL(CALCULATIONS!D66:D107,12)=30,CALCULATIONS!E95,IF(SMALL(CALCULATIONS!D66:D107,12)=31,CALCULATIONS!E96,IF(SMALL(CALCULATIONS!D66:D107,12)=32,CALCULATIONS!E97,IF(SMALL(CALCULATIONS!D66:D107,12)=33,CALCULATIONS!E98,IF(SMALL(CALCULATIONS!D66:D107,12)=34,CALCULATIONS!E99,IF(SMALL(CALCULATIONS!D66:D107,12)=35,CALCULATIONS!E100,IF(SMALL(CALCULATIONS!D66:D107,12)=36,CALCULATIONS!E101,IF(SMALL(CALCULATIONS!D66:D107,12)=37,CALCULATIONS!E102,IF(SMALL(CALCULATIONS!D66:D107,12)=38,CALCULATIONS!E103,IF(SMALL(CALCULATIONS!D66:D107,12)=39,CALCULATIONS!E104,IF(SMALL(CALCULATIONS!D66:D107,12)=40,CALCULATIONS!E105,IF(SMALL(CALCULATIONS!D66:D107,12)=41,CALCULATIONS!E106,IF(SMALL(CALCULATIONS!D66:D107,12)=42,CALCULATIONS!E107,"")))))))))))))))))))))))))))))))))))))))))),"")</f>
        <v>___</v>
      </c>
      <c r="E26" s="27"/>
      <c r="F26" s="27" t="str">
        <f t="shared" si="1"/>
        <v>___</v>
      </c>
      <c r="G26" s="27"/>
      <c r="H26" s="27" t="str">
        <f t="shared" si="2"/>
        <v>___</v>
      </c>
    </row>
    <row r="27" spans="1:8" x14ac:dyDescent="0.25">
      <c r="A27" s="68" t="str">
        <f t="shared" si="0"/>
        <v>□</v>
      </c>
      <c r="B27" s="27" t="str">
        <f>IF(COUNT(CALCULATIONS!D66:D107)&gt;=13,IF(SMALL(CALCULATIONS!D66:D107,13)=1,CALCULATIONS!C66,IF(SMALL(CALCULATIONS!D66:D107,13)=2,CALCULATIONS!C67,IF(SMALL(CALCULATIONS!D66:D107,13)=3,CALCULATIONS!C68,IF(SMALL(CALCULATIONS!D66:D107,13)=4,CALCULATIONS!C69,IF(SMALL(CALCULATIONS!D66:D107,13)=5,CALCULATIONS!C70,IF(SMALL(CALCULATIONS!D66:D107,13)=6,CALCULATIONS!C71,IF(SMALL(CALCULATIONS!D66:D107,13)=7,CALCULATIONS!C72,IF(SMALL(CALCULATIONS!D66:D107,13)=8,CALCULATIONS!C73,IF(SMALL(CALCULATIONS!D66:D107,13)=9,CALCULATIONS!C74,IF(SMALL(CALCULATIONS!D66:D107,13)=10,CALCULATIONS!C75,IF(SMALL(CALCULATIONS!D66:D107,13)=11,CALCULATIONS!C76,IF(SMALL(CALCULATIONS!D66:D107,13)=12,CALCULATIONS!C77,IF(SMALL(CALCULATIONS!D66:D107,13)=13,CALCULATIONS!C78,IF(SMALL(CALCULATIONS!D66:D107,13)=14,CALCULATIONS!C79,IF(SMALL(CALCULATIONS!D66:D107,13)=15,CALCULATIONS!C80,IF(SMALL(CALCULATIONS!D66:D107,13)=16,CALCULATIONS!C81,IF(SMALL(CALCULATIONS!D66:D107,13)=17,CALCULATIONS!C82,IF(SMALL(CALCULATIONS!D66:D107,13)=18,CALCULATIONS!C83,IF(SMALL(CALCULATIONS!D66:D107,13)=19,CALCULATIONS!C84,IF(SMALL(CALCULATIONS!D66:D107,13)=20,CALCULATIONS!C85,IF(SMALL(CALCULATIONS!D66:D107,13)=21,CALCULATIONS!C86,IF(SMALL(CALCULATIONS!D66:D107,13)=22,CALCULATIONS!C87,IF(SMALL(CALCULATIONS!D66:D107,13)=23,CALCULATIONS!C88,IF(SMALL(CALCULATIONS!D66:D107,13)=24,CALCULATIONS!C89,IF(SMALL(CALCULATIONS!D66:D107,13)=25,CALCULATIONS!C90,IF(SMALL(CALCULATIONS!D66:D107,13)=26,CALCULATIONS!C91,IF(SMALL(CALCULATIONS!D66:D107,13)=27,CALCULATIONS!C92,IF(SMALL(CALCULATIONS!D66:D107,13)=28,CALCULATIONS!C93,IF(SMALL(CALCULATIONS!D66:D107,13)=29,CALCULATIONS!C94,IF(SMALL(CALCULATIONS!D66:D107,13)=30,CALCULATIONS!C95,IF(SMALL(CALCULATIONS!D66:D107,13)=31,CALCULATIONS!C96,IF(SMALL(CALCULATIONS!D66:D107,13)=32,CALCULATIONS!C97,IF(SMALL(CALCULATIONS!D66:D107,13)=33,CALCULATIONS!C98,IF(SMALL(CALCULATIONS!D66:D107,13)=34,CALCULATIONS!C99,IF(SMALL(CALCULATIONS!D66:D107,13)=35,CALCULATIONS!C100,IF(SMALL(CALCULATIONS!D66:D107,13)=36,CALCULATIONS!C101,IF(SMALL(CALCULATIONS!D66:D107,13)=37,CALCULATIONS!C102,IF(SMALL(CALCULATIONS!D66:D107,13)=38,CALCULATIONS!C103,IF(SMALL(CALCULATIONS!D66:D107,13)=39,CALCULATIONS!C104,IF(SMALL(CALCULATIONS!D66:D107,13)=40,CALCULATIONS!C105,IF(SMALL(CALCULATIONS!D66:D107,13)=41,CALCULATIONS!C106,IF(SMALL(CALCULATIONS!D66:D107,13)=42,CALCULATIONS!C107,"")))))))))))))))))))))))))))))))))))))))))),"")</f>
        <v>END CLIPS</v>
      </c>
      <c r="C27" s="27"/>
      <c r="D27" s="27" t="str">
        <f>IF(COUNT(CALCULATIONS!D66:D107)&gt;=13,IF(SMALL(CALCULATIONS!D66:D107,13)=1,CALCULATIONS!E66,IF(SMALL(CALCULATIONS!D66:D107,13)=2,CALCULATIONS!E67,IF(SMALL(CALCULATIONS!D66:D107,13)=3,CALCULATIONS!E68,IF(SMALL(CALCULATIONS!D66:D107,13)=4,CALCULATIONS!E69,IF(SMALL(CALCULATIONS!D66:D107,13)=5,CALCULATIONS!E70,IF(SMALL(CALCULATIONS!D66:D107,13)=6,CALCULATIONS!E71,IF(SMALL(CALCULATIONS!D66:D107,13)=7,CALCULATIONS!E72,IF(SMALL(CALCULATIONS!D66:D107,13)=8,CALCULATIONS!E73,IF(SMALL(CALCULATIONS!D66:D107,13)=9,CALCULATIONS!E74,IF(SMALL(CALCULATIONS!D66:D107,13)=10,CALCULATIONS!E75,IF(SMALL(CALCULATIONS!D66:D107,13)=11,CALCULATIONS!E76,IF(SMALL(CALCULATIONS!D66:D107,13)=12,CALCULATIONS!E77,IF(SMALL(CALCULATIONS!D66:D107,13)=13,CALCULATIONS!E78,IF(SMALL(CALCULATIONS!D66:D107,13)=14,CALCULATIONS!E79,IF(SMALL(CALCULATIONS!D66:D107,13)=15,CALCULATIONS!E80,IF(SMALL(CALCULATIONS!D66:D107,13)=16,CALCULATIONS!E81,IF(SMALL(CALCULATIONS!D66:D107,13)=17,CALCULATIONS!E82,IF(SMALL(CALCULATIONS!D66:D107,13)=18,CALCULATIONS!E83,IF(SMALL(CALCULATIONS!D66:D107,13)=19,CALCULATIONS!E84,IF(SMALL(CALCULATIONS!D66:D107,13)=20,CALCULATIONS!E85,IF(SMALL(CALCULATIONS!D66:D107,13)=21,CALCULATIONS!E86,IF(SMALL(CALCULATIONS!D66:D107,13)=22,CALCULATIONS!E87,IF(SMALL(CALCULATIONS!D66:D107,13)=23,CALCULATIONS!E88,IF(SMALL(CALCULATIONS!D66:D107,13)=24,CALCULATIONS!E89,IF(SMALL(CALCULATIONS!D66:D107,13)=25,CALCULATIONS!E90,IF(SMALL(CALCULATIONS!D66:D107,13)=26,CALCULATIONS!E91,IF(SMALL(CALCULATIONS!D66:D107,13)=27,CALCULATIONS!E92,IF(SMALL(CALCULATIONS!D66:D107,13)=28,CALCULATIONS!E93,IF(SMALL(CALCULATIONS!D66:D107,13)=29,CALCULATIONS!E94,IF(SMALL(CALCULATIONS!D66:D107,13)=30,CALCULATIONS!E95,IF(SMALL(CALCULATIONS!D66:D107,13)=31,CALCULATIONS!E96,IF(SMALL(CALCULATIONS!D66:D107,13)=32,CALCULATIONS!E97,IF(SMALL(CALCULATIONS!D66:D107,13)=33,CALCULATIONS!E98,IF(SMALL(CALCULATIONS!D66:D107,13)=34,CALCULATIONS!E99,IF(SMALL(CALCULATIONS!D66:D107,13)=35,CALCULATIONS!E100,IF(SMALL(CALCULATIONS!D66:D107,13)=36,CALCULATIONS!E101,IF(SMALL(CALCULATIONS!D66:D107,13)=37,CALCULATIONS!E102,IF(SMALL(CALCULATIONS!D66:D107,13)=38,CALCULATIONS!E103,IF(SMALL(CALCULATIONS!D66:D107,13)=39,CALCULATIONS!E104,IF(SMALL(CALCULATIONS!D66:D107,13)=40,CALCULATIONS!E105,IF(SMALL(CALCULATIONS!D66:D107,13)=41,CALCULATIONS!E106,IF(SMALL(CALCULATIONS!D66:D107,13)=42,CALCULATIONS!E107,"")))))))))))))))))))))))))))))))))))))))))),"")</f>
        <v>___</v>
      </c>
      <c r="E27" s="27"/>
      <c r="F27" s="27" t="str">
        <f t="shared" si="1"/>
        <v>___</v>
      </c>
      <c r="G27" s="27"/>
      <c r="H27" s="27" t="str">
        <f t="shared" si="2"/>
        <v>___</v>
      </c>
    </row>
    <row r="28" spans="1:8" x14ac:dyDescent="0.25">
      <c r="A28" s="68" t="str">
        <f t="shared" si="0"/>
        <v>□</v>
      </c>
      <c r="B28" s="27" t="str">
        <f>IF(COUNT(CALCULATIONS!D66:D107)&gt;=14,IF(SMALL(CALCULATIONS!D66:D107,14)=1,CALCULATIONS!C66,IF(SMALL(CALCULATIONS!D66:D107,14)=2,CALCULATIONS!C67,IF(SMALL(CALCULATIONS!D66:D107,14)=3,CALCULATIONS!C68,IF(SMALL(CALCULATIONS!D66:D107,14)=4,CALCULATIONS!C69,IF(SMALL(CALCULATIONS!D66:D107,14)=5,CALCULATIONS!C70,IF(SMALL(CALCULATIONS!D66:D107,14)=6,CALCULATIONS!C71,IF(SMALL(CALCULATIONS!D66:D107,14)=7,CALCULATIONS!C72,IF(SMALL(CALCULATIONS!D66:D107,14)=8,CALCULATIONS!C73,IF(SMALL(CALCULATIONS!D66:D107,14)=9,CALCULATIONS!C74,IF(SMALL(CALCULATIONS!D66:D107,14)=10,CALCULATIONS!C75,IF(SMALL(CALCULATIONS!D66:D107,14)=11,CALCULATIONS!C76,IF(SMALL(CALCULATIONS!D66:D107,14)=12,CALCULATIONS!C77,IF(SMALL(CALCULATIONS!D66:D107,14)=13,CALCULATIONS!C78,IF(SMALL(CALCULATIONS!D66:D107,14)=14,CALCULATIONS!C79,IF(SMALL(CALCULATIONS!D66:D107,14)=15,CALCULATIONS!C80,IF(SMALL(CALCULATIONS!D66:D107,14)=16,CALCULATIONS!C81,IF(SMALL(CALCULATIONS!D66:D107,14)=17,CALCULATIONS!C82,IF(SMALL(CALCULATIONS!D66:D107,14)=18,CALCULATIONS!C83,IF(SMALL(CALCULATIONS!D66:D107,14)=19,CALCULATIONS!C84,IF(SMALL(CALCULATIONS!D66:D107,14)=20,CALCULATIONS!C85,IF(SMALL(CALCULATIONS!D66:D107,14)=21,CALCULATIONS!C86,IF(SMALL(CALCULATIONS!D66:D107,14)=22,CALCULATIONS!C87,IF(SMALL(CALCULATIONS!D66:D107,14)=23,CALCULATIONS!C88,IF(SMALL(CALCULATIONS!D66:D107,14)=24,CALCULATIONS!C89,IF(SMALL(CALCULATIONS!D66:D107,14)=25,CALCULATIONS!C90,IF(SMALL(CALCULATIONS!D66:D107,14)=26,CALCULATIONS!C91,IF(SMALL(CALCULATIONS!D66:D107,14)=27,CALCULATIONS!C92,IF(SMALL(CALCULATIONS!D66:D107,14)=28,CALCULATIONS!C93,IF(SMALL(CALCULATIONS!D66:D107,14)=29,CALCULATIONS!C94,IF(SMALL(CALCULATIONS!D66:D107,14)=30,CALCULATIONS!C95,IF(SMALL(CALCULATIONS!D66:D107,14)=31,CALCULATIONS!C96,IF(SMALL(CALCULATIONS!D66:D107,14)=32,CALCULATIONS!C97,IF(SMALL(CALCULATIONS!D66:D107,14)=33,CALCULATIONS!C98,IF(SMALL(CALCULATIONS!D66:D107,14)=34,CALCULATIONS!C99,IF(SMALL(CALCULATIONS!D66:D107,14)=35,CALCULATIONS!C100,IF(SMALL(CALCULATIONS!D66:D107,14)=36,CALCULATIONS!C101,IF(SMALL(CALCULATIONS!D66:D107,14)=37,CALCULATIONS!C102,IF(SMALL(CALCULATIONS!D66:D107,14)=38,CALCULATIONS!C103,IF(SMALL(CALCULATIONS!D66:D107,14)=39,CALCULATIONS!C104,IF(SMALL(CALCULATIONS!D66:D107,14)=40,CALCULATIONS!C105,IF(SMALL(CALCULATIONS!D66:D107,14)=41,CALCULATIONS!C106,IF(SMALL(CALCULATIONS!D66:D107,14)=42,CALCULATIONS!C107,"")))))))))))))))))))))))))))))))))))))))))),"")</f>
        <v>SPLICE KITS</v>
      </c>
      <c r="C28" s="27"/>
      <c r="D28" s="46" t="str">
        <f>IF(COUNT(CALCULATIONS!D66:D107)&gt;=14,IF(SMALL(CALCULATIONS!D66:D107,14)=1,CALCULATIONS!E66,IF(SMALL(CALCULATIONS!D66:D107,14)=2,CALCULATIONS!E67,IF(SMALL(CALCULATIONS!D66:D107,14)=3,CALCULATIONS!E68,IF(SMALL(CALCULATIONS!D66:D107,14)=4,CALCULATIONS!E69,IF(SMALL(CALCULATIONS!D66:D107,14)=5,CALCULATIONS!E70,IF(SMALL(CALCULATIONS!D66:D107,14)=6,CALCULATIONS!E71,IF(SMALL(CALCULATIONS!D66:D107,14)=7,CALCULATIONS!E72,IF(SMALL(CALCULATIONS!D66:D107,14)=8,CALCULATIONS!E73,IF(SMALL(CALCULATIONS!D66:D107,14)=9,CALCULATIONS!E74,IF(SMALL(CALCULATIONS!D66:D107,14)=10,CALCULATIONS!E75,IF(SMALL(CALCULATIONS!D66:D107,14)=11,CALCULATIONS!E76,IF(SMALL(CALCULATIONS!D66:D107,14)=12,CALCULATIONS!E77,IF(SMALL(CALCULATIONS!D66:D107,14)=13,CALCULATIONS!E78,IF(SMALL(CALCULATIONS!D66:D107,14)=14,CALCULATIONS!E79,IF(SMALL(CALCULATIONS!D66:D107,14)=15,CALCULATIONS!E80,IF(SMALL(CALCULATIONS!D66:D107,14)=16,CALCULATIONS!E81,IF(SMALL(CALCULATIONS!D66:D107,14)=17,CALCULATIONS!E82,IF(SMALL(CALCULATIONS!D66:D107,14)=18,CALCULATIONS!E83,IF(SMALL(CALCULATIONS!D66:D107,14)=19,CALCULATIONS!E84,IF(SMALL(CALCULATIONS!D66:D107,14)=20,CALCULATIONS!E85,IF(SMALL(CALCULATIONS!D66:D107,14)=21,CALCULATIONS!E86,IF(SMALL(CALCULATIONS!D66:D107,14)=22,CALCULATIONS!E87,IF(SMALL(CALCULATIONS!D66:D107,14)=23,CALCULATIONS!E88,IF(SMALL(CALCULATIONS!D66:D107,14)=24,CALCULATIONS!E89,IF(SMALL(CALCULATIONS!D66:D107,14)=25,CALCULATIONS!E90,IF(SMALL(CALCULATIONS!D66:D107,14)=26,CALCULATIONS!E91,IF(SMALL(CALCULATIONS!D66:D107,14)=27,CALCULATIONS!E92,IF(SMALL(CALCULATIONS!D66:D107,14)=28,CALCULATIONS!E93,IF(SMALL(CALCULATIONS!D66:D107,14)=29,CALCULATIONS!E94,IF(SMALL(CALCULATIONS!D66:D107,14)=30,CALCULATIONS!E95,IF(SMALL(CALCULATIONS!D66:D107,14)=31,CALCULATIONS!E96,IF(SMALL(CALCULATIONS!D66:D107,14)=32,CALCULATIONS!E97,IF(SMALL(CALCULATIONS!D66:D107,14)=33,CALCULATIONS!E98,IF(SMALL(CALCULATIONS!D66:D107,14)=34,CALCULATIONS!E99,IF(SMALL(CALCULATIONS!D66:D107,14)=35,CALCULATIONS!E100,IF(SMALL(CALCULATIONS!D66:D107,14)=36,CALCULATIONS!E101,IF(SMALL(CALCULATIONS!D66:D107,14)=37,CALCULATIONS!E102,IF(SMALL(CALCULATIONS!D66:D107,14)=38,CALCULATIONS!E103,IF(SMALL(CALCULATIONS!D66:D107,14)=39,CALCULATIONS!E104,IF(SMALL(CALCULATIONS!D66:D107,14)=40,CALCULATIONS!E105,IF(SMALL(CALCULATIONS!D66:D107,14)=41,CALCULATIONS!E106,IF(SMALL(CALCULATIONS!D66:D107,14)=42,CALCULATIONS!E107,"")))))))))))))))))))))))))))))))))))))))))),"")</f>
        <v>___</v>
      </c>
      <c r="E28" s="27"/>
      <c r="F28" s="27" t="str">
        <f t="shared" si="1"/>
        <v>___</v>
      </c>
      <c r="G28" s="27"/>
      <c r="H28" s="27" t="str">
        <f t="shared" si="2"/>
        <v>___</v>
      </c>
    </row>
    <row r="29" spans="1:8" x14ac:dyDescent="0.25">
      <c r="A29" s="68" t="str">
        <f t="shared" si="0"/>
        <v>□</v>
      </c>
      <c r="B29" s="27" t="str">
        <f>IF(COUNT(CALCULATIONS!D66:D107)&gt;=15,IF(SMALL(CALCULATIONS!D66:D107,15)=1,CALCULATIONS!C66,IF(SMALL(CALCULATIONS!D66:D107,15)=2,CALCULATIONS!C67,IF(SMALL(CALCULATIONS!D66:D107,15)=3,CALCULATIONS!C68,IF(SMALL(CALCULATIONS!D66:D107,15)=4,CALCULATIONS!C69,IF(SMALL(CALCULATIONS!D66:D107,15)=5,CALCULATIONS!C70,IF(SMALL(CALCULATIONS!D66:D107,15)=6,CALCULATIONS!C71,IF(SMALL(CALCULATIONS!D66:D107,15)=7,CALCULATIONS!C72,IF(SMALL(CALCULATIONS!D66:D107,15)=8,CALCULATIONS!C73,IF(SMALL(CALCULATIONS!D66:D107,15)=9,CALCULATIONS!C74,IF(SMALL(CALCULATIONS!D66:D107,15)=10,CALCULATIONS!C75,IF(SMALL(CALCULATIONS!D66:D107,15)=11,CALCULATIONS!C76,IF(SMALL(CALCULATIONS!D66:D107,15)=12,CALCULATIONS!C77,IF(SMALL(CALCULATIONS!D66:D107,15)=13,CALCULATIONS!C78,IF(SMALL(CALCULATIONS!D66:D107,15)=14,CALCULATIONS!C79,IF(SMALL(CALCULATIONS!D66:D107,15)=15,CALCULATIONS!C80,IF(SMALL(CALCULATIONS!D66:D107,15)=16,CALCULATIONS!C81,IF(SMALL(CALCULATIONS!D66:D107,15)=17,CALCULATIONS!C82,IF(SMALL(CALCULATIONS!D66:D107,15)=18,CALCULATIONS!C83,IF(SMALL(CALCULATIONS!D66:D107,15)=19,CALCULATIONS!C84,IF(SMALL(CALCULATIONS!D66:D107,15)=20,CALCULATIONS!C85,IF(SMALL(CALCULATIONS!D66:D107,15)=21,CALCULATIONS!C86,IF(SMALL(CALCULATIONS!D66:D107,15)=22,CALCULATIONS!C87,IF(SMALL(CALCULATIONS!D66:D107,15)=23,CALCULATIONS!C88,IF(SMALL(CALCULATIONS!D66:D107,15)=24,CALCULATIONS!C89,IF(SMALL(CALCULATIONS!D66:D107,15)=25,CALCULATIONS!C90,IF(SMALL(CALCULATIONS!D66:D107,15)=26,CALCULATIONS!C91,IF(SMALL(CALCULATIONS!D66:D107,15)=27,CALCULATIONS!C92,IF(SMALL(CALCULATIONS!D66:D107,15)=28,CALCULATIONS!C93,IF(SMALL(CALCULATIONS!D66:D107,15)=29,CALCULATIONS!C94,IF(SMALL(CALCULATIONS!D66:D107,15)=30,CALCULATIONS!C95,IF(SMALL(CALCULATIONS!D66:D107,15)=31,CALCULATIONS!C96,IF(SMALL(CALCULATIONS!D66:D107,15)=32,CALCULATIONS!C97,IF(SMALL(CALCULATIONS!D66:D107,15)=33,CALCULATIONS!C98,IF(SMALL(CALCULATIONS!D66:D107,15)=34,CALCULATIONS!C99,IF(SMALL(CALCULATIONS!D66:D107,15)=35,CALCULATIONS!C100,IF(SMALL(CALCULATIONS!D66:D107,15)=36,CALCULATIONS!C101,IF(SMALL(CALCULATIONS!D66:D107,15)=37,CALCULATIONS!C102,IF(SMALL(CALCULATIONS!D66:D107,15)=38,CALCULATIONS!C103,IF(SMALL(CALCULATIONS!D66:D107,15)=39,CALCULATIONS!C104,IF(SMALL(CALCULATIONS!D66:D107,15)=40,CALCULATIONS!C105,IF(SMALL(CALCULATIONS!D66:D107,15)=41,CALCULATIONS!C106,IF(SMALL(CALCULATIONS!D66:D107,15)=42,CALCULATIONS!C107,"")))))))))))))))))))))))))))))))))))))))))),"")</f>
        <v>GROUND LUGS</v>
      </c>
      <c r="C29" s="27"/>
      <c r="D29" s="27" t="str">
        <f>IF(COUNT(CALCULATIONS!D66:D107)&gt;=15,IF(SMALL(CALCULATIONS!D66:D107,15)=1,CALCULATIONS!E66,IF(SMALL(CALCULATIONS!D66:D107,15)=2,CALCULATIONS!E67,IF(SMALL(CALCULATIONS!D66:D107,15)=3,CALCULATIONS!E68,IF(SMALL(CALCULATIONS!D66:D107,15)=4,CALCULATIONS!E69,IF(SMALL(CALCULATIONS!D66:D107,15)=5,CALCULATIONS!E70,IF(SMALL(CALCULATIONS!D66:D107,15)=6,CALCULATIONS!E71,IF(SMALL(CALCULATIONS!D66:D107,15)=7,CALCULATIONS!E72,IF(SMALL(CALCULATIONS!D66:D107,15)=8,CALCULATIONS!E73,IF(SMALL(CALCULATIONS!D66:D107,15)=9,CALCULATIONS!E74,IF(SMALL(CALCULATIONS!D66:D107,15)=10,CALCULATIONS!E75,IF(SMALL(CALCULATIONS!D66:D107,15)=11,CALCULATIONS!E76,IF(SMALL(CALCULATIONS!D66:D107,15)=12,CALCULATIONS!E77,IF(SMALL(CALCULATIONS!D66:D107,15)=13,CALCULATIONS!E78,IF(SMALL(CALCULATIONS!D66:D107,15)=14,CALCULATIONS!E79,IF(SMALL(CALCULATIONS!D66:D107,15)=15,CALCULATIONS!E80,IF(SMALL(CALCULATIONS!D66:D107,15)=16,CALCULATIONS!E81,IF(SMALL(CALCULATIONS!D66:D107,15)=17,CALCULATIONS!E82,IF(SMALL(CALCULATIONS!D66:D107,15)=18,CALCULATIONS!E83,IF(SMALL(CALCULATIONS!D66:D107,15)=19,CALCULATIONS!E84,IF(SMALL(CALCULATIONS!D66:D107,15)=20,CALCULATIONS!E85,IF(SMALL(CALCULATIONS!D66:D107,15)=21,CALCULATIONS!E86,IF(SMALL(CALCULATIONS!D66:D107,15)=22,CALCULATIONS!E87,IF(SMALL(CALCULATIONS!D66:D107,15)=23,CALCULATIONS!E88,IF(SMALL(CALCULATIONS!D66:D107,15)=24,CALCULATIONS!E89,IF(SMALL(CALCULATIONS!D66:D107,15)=25,CALCULATIONS!E90,IF(SMALL(CALCULATIONS!D66:D107,15)=26,CALCULATIONS!E91,IF(SMALL(CALCULATIONS!D66:D107,15)=27,CALCULATIONS!E92,IF(SMALL(CALCULATIONS!D66:D107,15)=28,CALCULATIONS!E93,IF(SMALL(CALCULATIONS!D66:D107,15)=29,CALCULATIONS!E94,IF(SMALL(CALCULATIONS!D66:D107,15)=30,CALCULATIONS!E95,IF(SMALL(CALCULATIONS!D66:D107,15)=31,CALCULATIONS!E96,IF(SMALL(CALCULATIONS!D66:D107,15)=32,CALCULATIONS!E97,IF(SMALL(CALCULATIONS!D66:D107,15)=33,CALCULATIONS!E98,IF(SMALL(CALCULATIONS!D66:D107,15)=34,CALCULATIONS!E99,IF(SMALL(CALCULATIONS!D66:D107,15)=35,CALCULATIONS!E100,IF(SMALL(CALCULATIONS!D66:D107,15)=36,CALCULATIONS!E101,IF(SMALL(CALCULATIONS!D66:D107,15)=37,CALCULATIONS!E102,IF(SMALL(CALCULATIONS!D66:D107,15)=38,CALCULATIONS!E103,IF(SMALL(CALCULATIONS!D66:D107,15)=39,CALCULATIONS!E104,IF(SMALL(CALCULATIONS!D66:D107,15)=40,CALCULATIONS!E105,IF(SMALL(CALCULATIONS!D66:D107,15)=41,CALCULATIONS!E106,IF(SMALL(CALCULATIONS!D66:D107,15)=42,CALCULATIONS!E107,"")))))))))))))))))))))))))))))))))))))))))),"")</f>
        <v>___</v>
      </c>
      <c r="E29" s="27"/>
      <c r="F29" s="27" t="str">
        <f t="shared" si="1"/>
        <v>___</v>
      </c>
      <c r="G29" s="27"/>
      <c r="H29" s="27" t="str">
        <f t="shared" si="2"/>
        <v>___</v>
      </c>
    </row>
    <row r="30" spans="1:8" x14ac:dyDescent="0.25">
      <c r="A30" s="68" t="str">
        <f t="shared" si="0"/>
        <v/>
      </c>
      <c r="B30" s="27" t="str">
        <f>IF(COUNT(CALCULATIONS!D66:D107)&gt;=16,IF(SMALL(CALCULATIONS!D66:D107,16)=1,CALCULATIONS!C66,IF(SMALL(CALCULATIONS!D66:D107,16)=2,CALCULATIONS!C67,IF(SMALL(CALCULATIONS!D66:D107,16)=3,CALCULATIONS!C68,IF(SMALL(CALCULATIONS!D66:D107,16)=4,CALCULATIONS!C69,IF(SMALL(CALCULATIONS!D66:D107,16)=5,CALCULATIONS!C70,IF(SMALL(CALCULATIONS!D66:D107,16)=6,CALCULATIONS!C71,IF(SMALL(CALCULATIONS!D66:D107,16)=7,CALCULATIONS!C72,IF(SMALL(CALCULATIONS!D66:D107,16)=8,CALCULATIONS!C73,IF(SMALL(CALCULATIONS!D66:D107,16)=9,CALCULATIONS!C74,IF(SMALL(CALCULATIONS!D66:D107,16)=10,CALCULATIONS!C75,IF(SMALL(CALCULATIONS!D66:D107,16)=11,CALCULATIONS!C76,IF(SMALL(CALCULATIONS!D66:D107,16)=12,CALCULATIONS!C77,IF(SMALL(CALCULATIONS!D66:D107,16)=13,CALCULATIONS!C78,IF(SMALL(CALCULATIONS!D66:D107,16)=14,CALCULATIONS!C79,IF(SMALL(CALCULATIONS!D66:D107,16)=15,CALCULATIONS!C80,IF(SMALL(CALCULATIONS!D66:D107,16)=16,CALCULATIONS!C81,IF(SMALL(CALCULATIONS!D66:D107,16)=17,CALCULATIONS!C82,IF(SMALL(CALCULATIONS!D66:D107,16)=18,CALCULATIONS!C83,IF(SMALL(CALCULATIONS!D66:D107,16)=19,CALCULATIONS!C84,IF(SMALL(CALCULATIONS!D66:D107,16)=20,CALCULATIONS!C85,IF(SMALL(CALCULATIONS!D66:D107,16)=21,CALCULATIONS!C86,IF(SMALL(CALCULATIONS!D66:D107,16)=22,CALCULATIONS!C87,IF(SMALL(CALCULATIONS!D66:D107,16)=23,CALCULATIONS!C88,IF(SMALL(CALCULATIONS!D66:D107,16)=24,CALCULATIONS!C89,IF(SMALL(CALCULATIONS!D66:D107,16)=25,CALCULATIONS!C90,IF(SMALL(CALCULATIONS!D66:D107,16)=26,CALCULATIONS!C91,IF(SMALL(CALCULATIONS!D66:D107,16)=27,CALCULATIONS!C92,IF(SMALL(CALCULATIONS!D66:D107,16)=28,CALCULATIONS!C93,IF(SMALL(CALCULATIONS!D66:D107,16)=29,CALCULATIONS!C94,IF(SMALL(CALCULATIONS!D66:D107,16)=30,CALCULATIONS!C95,IF(SMALL(CALCULATIONS!D66:D107,16)=31,CALCULATIONS!C96,IF(SMALL(CALCULATIONS!D66:D107,16)=32,CALCULATIONS!C97,IF(SMALL(CALCULATIONS!D66:D107,16)=33,CALCULATIONS!C98,IF(SMALL(CALCULATIONS!D66:D107,16)=34,CALCULATIONS!C99,IF(SMALL(CALCULATIONS!D66:D107,16)=35,CALCULATIONS!C100,IF(SMALL(CALCULATIONS!D66:D107,16)=36,CALCULATIONS!C101,IF(SMALL(CALCULATIONS!D66:D107,16)=37,CALCULATIONS!C102,IF(SMALL(CALCULATIONS!D66:D107,16)=38,CALCULATIONS!C103,IF(SMALL(CALCULATIONS!D66:D107,16)=39,CALCULATIONS!C104,IF(SMALL(CALCULATIONS!D66:D107,16)=40,CALCULATIONS!C105,IF(SMALL(CALCULATIONS!D66:D107,16)=41,CALCULATIONS!C106,IF(SMALL(CALCULATIONS!D66:D107,16)=42,CALCULATIONS!C107,"")))))))))))))))))))))))))))))))))))))))))),"")</f>
        <v/>
      </c>
      <c r="C30" s="27"/>
      <c r="D30" s="27" t="str">
        <f>IF(COUNT(CALCULATIONS!D66:D107)&gt;=16,IF(SMALL(CALCULATIONS!D66:D107,16)=1,CALCULATIONS!E66,IF(SMALL(CALCULATIONS!D66:D107,16)=2,CALCULATIONS!E67,IF(SMALL(CALCULATIONS!D66:D107,16)=3,CALCULATIONS!E68,IF(SMALL(CALCULATIONS!D66:D107,16)=4,CALCULATIONS!E69,IF(SMALL(CALCULATIONS!D66:D107,16)=5,CALCULATIONS!E70,IF(SMALL(CALCULATIONS!D66:D107,16)=6,CALCULATIONS!E71,IF(SMALL(CALCULATIONS!D66:D107,16)=7,CALCULATIONS!E72,IF(SMALL(CALCULATIONS!D66:D107,16)=8,CALCULATIONS!E73,IF(SMALL(CALCULATIONS!D66:D107,16)=9,CALCULATIONS!E74,IF(SMALL(CALCULATIONS!D66:D107,16)=10,CALCULATIONS!E75,IF(SMALL(CALCULATIONS!D66:D107,16)=11,CALCULATIONS!E76,IF(SMALL(CALCULATIONS!D66:D107,16)=12,CALCULATIONS!E77,IF(SMALL(CALCULATIONS!D66:D107,16)=13,CALCULATIONS!E78,IF(SMALL(CALCULATIONS!D66:D107,16)=14,CALCULATIONS!E79,IF(SMALL(CALCULATIONS!D66:D107,16)=15,CALCULATIONS!E80,IF(SMALL(CALCULATIONS!D66:D107,16)=16,CALCULATIONS!E81,IF(SMALL(CALCULATIONS!D66:D107,16)=17,CALCULATIONS!E82,IF(SMALL(CALCULATIONS!D66:D107,16)=18,CALCULATIONS!E83,IF(SMALL(CALCULATIONS!D66:D107,16)=19,CALCULATIONS!E84,IF(SMALL(CALCULATIONS!D66:D107,16)=20,CALCULATIONS!E85,IF(SMALL(CALCULATIONS!D66:D107,16)=21,CALCULATIONS!E86,IF(SMALL(CALCULATIONS!D66:D107,16)=22,CALCULATIONS!E87,IF(SMALL(CALCULATIONS!D66:D107,16)=23,CALCULATIONS!E88,IF(SMALL(CALCULATIONS!D66:D107,16)=24,CALCULATIONS!E89,IF(SMALL(CALCULATIONS!D66:D107,16)=25,CALCULATIONS!E90,IF(SMALL(CALCULATIONS!D66:D107,16)=26,CALCULATIONS!E91,IF(SMALL(CALCULATIONS!D66:D107,16)=27,CALCULATIONS!E92,IF(SMALL(CALCULATIONS!D66:D107,16)=28,CALCULATIONS!E93,IF(SMALL(CALCULATIONS!D66:D107,16)=29,CALCULATIONS!E94,IF(SMALL(CALCULATIONS!D66:D107,16)=30,CALCULATIONS!E95,IF(SMALL(CALCULATIONS!D66:D107,16)=31,CALCULATIONS!E96,IF(SMALL(CALCULATIONS!D66:D107,16)=32,CALCULATIONS!E97,IF(SMALL(CALCULATIONS!D66:D107,16)=33,CALCULATIONS!E98,IF(SMALL(CALCULATIONS!D66:D107,16)=34,CALCULATIONS!E99,IF(SMALL(CALCULATIONS!D66:D107,16)=35,CALCULATIONS!E100,IF(SMALL(CALCULATIONS!D66:D107,16)=36,CALCULATIONS!E101,IF(SMALL(CALCULATIONS!D66:D107,16)=37,CALCULATIONS!E102,IF(SMALL(CALCULATIONS!D66:D107,16)=38,CALCULATIONS!E103,IF(SMALL(CALCULATIONS!D66:D107,16)=39,CALCULATIONS!E104,IF(SMALL(CALCULATIONS!D66:D107,16)=40,CALCULATIONS!E105,IF(SMALL(CALCULATIONS!D66:D107,16)=41,CALCULATIONS!E106,IF(SMALL(CALCULATIONS!D66:D107,16)=42,CALCULATIONS!E107,"")))))))))))))))))))))))))))))))))))))))))),"")</f>
        <v/>
      </c>
      <c r="E30" s="27"/>
      <c r="F30" s="27" t="str">
        <f t="shared" si="1"/>
        <v/>
      </c>
      <c r="G30" s="27"/>
      <c r="H30" s="27" t="str">
        <f t="shared" si="2"/>
        <v/>
      </c>
    </row>
    <row r="31" spans="1:8" x14ac:dyDescent="0.25">
      <c r="A31" s="68" t="str">
        <f t="shared" si="0"/>
        <v/>
      </c>
      <c r="B31" s="27" t="str">
        <f>IF(COUNT(CALCULATIONS!D66:D107)&gt;=17,IF(SMALL(CALCULATIONS!D66:D107,17)=1,CALCULATIONS!C66,IF(SMALL(CALCULATIONS!D66:D107,17)=2,CALCULATIONS!C67,IF(SMALL(CALCULATIONS!D66:D107,17)=3,CALCULATIONS!C68,IF(SMALL(CALCULATIONS!D66:D107,17)=4,CALCULATIONS!C69,IF(SMALL(CALCULATIONS!D66:D107,17)=5,CALCULATIONS!C70,IF(SMALL(CALCULATIONS!D66:D107,17)=6,CALCULATIONS!C71,IF(SMALL(CALCULATIONS!D66:D107,17)=7,CALCULATIONS!C72,IF(SMALL(CALCULATIONS!D66:D107,17)=8,CALCULATIONS!C73,IF(SMALL(CALCULATIONS!D66:D107,17)=9,CALCULATIONS!C74,IF(SMALL(CALCULATIONS!D66:D107,17)=10,CALCULATIONS!C75,IF(SMALL(CALCULATIONS!D66:D107,17)=11,CALCULATIONS!C76,IF(SMALL(CALCULATIONS!D66:D107,17)=12,CALCULATIONS!C77,IF(SMALL(CALCULATIONS!D66:D107,17)=13,CALCULATIONS!C78,IF(SMALL(CALCULATIONS!D66:D107,17)=14,CALCULATIONS!C79,IF(SMALL(CALCULATIONS!D66:D107,17)=15,CALCULATIONS!C80,IF(SMALL(CALCULATIONS!D66:D107,17)=16,CALCULATIONS!C81,IF(SMALL(CALCULATIONS!D66:D107,17)=17,CALCULATIONS!C82,IF(SMALL(CALCULATIONS!D66:D107,17)=18,CALCULATIONS!C83,IF(SMALL(CALCULATIONS!D66:D107,17)=19,CALCULATIONS!C84,IF(SMALL(CALCULATIONS!D66:D107,17)=20,CALCULATIONS!C85,IF(SMALL(CALCULATIONS!D66:D107,17)=21,CALCULATIONS!C86,IF(SMALL(CALCULATIONS!D66:D107,17)=22,CALCULATIONS!C87,IF(SMALL(CALCULATIONS!D66:D107,17)=23,CALCULATIONS!C88,IF(SMALL(CALCULATIONS!D66:D107,17)=24,CALCULATIONS!C89,IF(SMALL(CALCULATIONS!D66:D107,17)=25,CALCULATIONS!C90,IF(SMALL(CALCULATIONS!D66:D107,17)=26,CALCULATIONS!C91,IF(SMALL(CALCULATIONS!D66:D107,17)=27,CALCULATIONS!C92,IF(SMALL(CALCULATIONS!D66:D107,17)=28,CALCULATIONS!C93,IF(SMALL(CALCULATIONS!D66:D107,17)=29,CALCULATIONS!C94,IF(SMALL(CALCULATIONS!D66:D107,17)=30,CALCULATIONS!C95,IF(SMALL(CALCULATIONS!D66:D107,17)=31,CALCULATIONS!C96,IF(SMALL(CALCULATIONS!D66:D107,17)=32,CALCULATIONS!C97,IF(SMALL(CALCULATIONS!D66:D107,17)=33,CALCULATIONS!C98,IF(SMALL(CALCULATIONS!D66:D107,17)=34,CALCULATIONS!C99,IF(SMALL(CALCULATIONS!D66:D107,17)=35,CALCULATIONS!C100,IF(SMALL(CALCULATIONS!D66:D107,17)=36,CALCULATIONS!C101,IF(SMALL(CALCULATIONS!D66:D107,17)=37,CALCULATIONS!C102,IF(SMALL(CALCULATIONS!D66:D107,17)=38,CALCULATIONS!C103,IF(SMALL(CALCULATIONS!D66:D107,17)=39,CALCULATIONS!C104,IF(SMALL(CALCULATIONS!D66:D107,17)=40,CALCULATIONS!C105,IF(SMALL(CALCULATIONS!D66:D107,17)=41,CALCULATIONS!C106,IF(SMALL(CALCULATIONS!D66:D107,17)=42,CALCULATIONS!C107,"")))))))))))))))))))))))))))))))))))))))))),"")</f>
        <v/>
      </c>
      <c r="C31" s="27"/>
      <c r="D31" s="27" t="str">
        <f>IF(COUNT(CALCULATIONS!D66:D107)&gt;=17,IF(SMALL(CALCULATIONS!D66:D107,17)=1,CALCULATIONS!E66,IF(SMALL(CALCULATIONS!D66:D107,17)=2,CALCULATIONS!E67,IF(SMALL(CALCULATIONS!D66:D107,17)=3,CALCULATIONS!E68,IF(SMALL(CALCULATIONS!D66:D107,17)=4,CALCULATIONS!E69,IF(SMALL(CALCULATIONS!D66:D107,17)=5,CALCULATIONS!E70,IF(SMALL(CALCULATIONS!D66:D107,17)=6,CALCULATIONS!E71,IF(SMALL(CALCULATIONS!D66:D107,17)=7,CALCULATIONS!E72,IF(SMALL(CALCULATIONS!D66:D107,17)=8,CALCULATIONS!E73,IF(SMALL(CALCULATIONS!D66:D107,17)=9,CALCULATIONS!E74,IF(SMALL(CALCULATIONS!D66:D107,17)=10,CALCULATIONS!E75,IF(SMALL(CALCULATIONS!D66:D107,17)=11,CALCULATIONS!E76,IF(SMALL(CALCULATIONS!D66:D107,17)=12,CALCULATIONS!E77,IF(SMALL(CALCULATIONS!D66:D107,17)=13,CALCULATIONS!E78,IF(SMALL(CALCULATIONS!D66:D107,17)=14,CALCULATIONS!E79,IF(SMALL(CALCULATIONS!D66:D107,17)=15,CALCULATIONS!E80,IF(SMALL(CALCULATIONS!D66:D107,17)=16,CALCULATIONS!E81,IF(SMALL(CALCULATIONS!D66:D107,17)=17,CALCULATIONS!E82,IF(SMALL(CALCULATIONS!D66:D107,17)=18,CALCULATIONS!E83,IF(SMALL(CALCULATIONS!D66:D107,17)=19,CALCULATIONS!E84,IF(SMALL(CALCULATIONS!D66:D107,17)=20,CALCULATIONS!E85,IF(SMALL(CALCULATIONS!D66:D107,17)=21,CALCULATIONS!E86,IF(SMALL(CALCULATIONS!D66:D107,17)=22,CALCULATIONS!E87,IF(SMALL(CALCULATIONS!D66:D107,17)=23,CALCULATIONS!E88,IF(SMALL(CALCULATIONS!D66:D107,17)=24,CALCULATIONS!E89,IF(SMALL(CALCULATIONS!D66:D107,17)=25,CALCULATIONS!E90,IF(SMALL(CALCULATIONS!D66:D107,17)=26,CALCULATIONS!E91,IF(SMALL(CALCULATIONS!D66:D107,17)=27,CALCULATIONS!E92,IF(SMALL(CALCULATIONS!D66:D107,17)=28,CALCULATIONS!E93,IF(SMALL(CALCULATIONS!D66:D107,17)=29,CALCULATIONS!E94,IF(SMALL(CALCULATIONS!D66:D107,17)=30,CALCULATIONS!E95,IF(SMALL(CALCULATIONS!D66:D107,17)=31,CALCULATIONS!E96,IF(SMALL(CALCULATIONS!D66:D107,17)=32,CALCULATIONS!E97,IF(SMALL(CALCULATIONS!D66:D107,17)=33,CALCULATIONS!E98,IF(SMALL(CALCULATIONS!D66:D107,17)=34,CALCULATIONS!E99,IF(SMALL(CALCULATIONS!D66:D107,17)=35,CALCULATIONS!E100,IF(SMALL(CALCULATIONS!D66:D107,17)=36,CALCULATIONS!E101,IF(SMALL(CALCULATIONS!D66:D107,17)=37,CALCULATIONS!E102,IF(SMALL(CALCULATIONS!D66:D107,17)=38,CALCULATIONS!E103,IF(SMALL(CALCULATIONS!D66:D107,17)=39,CALCULATIONS!E104,IF(SMALL(CALCULATIONS!D66:D107,17)=40,CALCULATIONS!E105,IF(SMALL(CALCULATIONS!D66:D107,17)=41,CALCULATIONS!E106,IF(SMALL(CALCULATIONS!D66:D107,17)=42,CALCULATIONS!E107,"")))))))))))))))))))))))))))))))))))))))))),"")</f>
        <v/>
      </c>
      <c r="E31" s="27"/>
      <c r="F31" s="27" t="str">
        <f t="shared" si="1"/>
        <v/>
      </c>
      <c r="G31" s="27"/>
      <c r="H31" s="27" t="str">
        <f t="shared" si="2"/>
        <v/>
      </c>
    </row>
    <row r="32" spans="1:8" x14ac:dyDescent="0.25">
      <c r="A32" s="68" t="str">
        <f t="shared" si="0"/>
        <v/>
      </c>
      <c r="B32" s="27" t="str">
        <f>IF(COUNT(CALCULATIONS!D66:D107)&gt;=18,IF(SMALL(CALCULATIONS!D66:D107,18)=1,CALCULATIONS!C66,IF(SMALL(CALCULATIONS!D66:D107,18)=2,CALCULATIONS!C67,IF(SMALL(CALCULATIONS!D66:D107,18)=3,CALCULATIONS!C68,IF(SMALL(CALCULATIONS!D66:D107,18)=4,CALCULATIONS!C69,IF(SMALL(CALCULATIONS!D66:D107,18)=5,CALCULATIONS!C70,IF(SMALL(CALCULATIONS!D66:D107,18)=6,CALCULATIONS!C71,IF(SMALL(CALCULATIONS!D66:D107,18)=7,CALCULATIONS!C72,IF(SMALL(CALCULATIONS!D66:D107,18)=8,CALCULATIONS!C73,IF(SMALL(CALCULATIONS!D66:D107,18)=9,CALCULATIONS!C74,IF(SMALL(CALCULATIONS!D66:D107,18)=10,CALCULATIONS!C75,IF(SMALL(CALCULATIONS!D66:D107,18)=11,CALCULATIONS!C76,IF(SMALL(CALCULATIONS!D66:D107,18)=12,CALCULATIONS!C77,IF(SMALL(CALCULATIONS!D66:D107,18)=13,CALCULATIONS!C78,IF(SMALL(CALCULATIONS!D66:D107,18)=14,CALCULATIONS!C79,IF(SMALL(CALCULATIONS!D66:D107,18)=15,CALCULATIONS!C80,IF(SMALL(CALCULATIONS!D66:D107,18)=16,CALCULATIONS!C81,IF(SMALL(CALCULATIONS!D66:D107,18)=17,CALCULATIONS!C82,IF(SMALL(CALCULATIONS!D66:D107,18)=18,CALCULATIONS!C83,IF(SMALL(CALCULATIONS!D66:D107,18)=19,CALCULATIONS!C84,IF(SMALL(CALCULATIONS!D66:D107,18)=20,CALCULATIONS!C85,IF(SMALL(CALCULATIONS!D66:D107,18)=21,CALCULATIONS!C86,IF(SMALL(CALCULATIONS!D66:D107,18)=22,CALCULATIONS!C87,IF(SMALL(CALCULATIONS!D66:D107,18)=23,CALCULATIONS!C88,IF(SMALL(CALCULATIONS!D66:D107,18)=24,CALCULATIONS!C89,IF(SMALL(CALCULATIONS!D66:D107,18)=25,CALCULATIONS!C90,IF(SMALL(CALCULATIONS!D66:D107,18)=26,CALCULATIONS!C91,IF(SMALL(CALCULATIONS!D66:D107,18)=27,CALCULATIONS!C92,IF(SMALL(CALCULATIONS!D66:D107,18)=28,CALCULATIONS!C93,IF(SMALL(CALCULATIONS!D66:D107,18)=29,CALCULATIONS!C94,IF(SMALL(CALCULATIONS!D66:D107,18)=30,CALCULATIONS!C95,IF(SMALL(CALCULATIONS!D66:D107,18)=31,CALCULATIONS!C96,IF(SMALL(CALCULATIONS!D66:D107,18)=32,CALCULATIONS!C97,IF(SMALL(CALCULATIONS!D66:D107,18)=33,CALCULATIONS!C98,IF(SMALL(CALCULATIONS!D66:D107,18)=34,CALCULATIONS!C99,IF(SMALL(CALCULATIONS!D66:D107,18)=35,CALCULATIONS!C100,IF(SMALL(CALCULATIONS!D66:D107,18)=36,CALCULATIONS!C101,IF(SMALL(CALCULATIONS!D66:D107,18)=37,CALCULATIONS!C102,IF(SMALL(CALCULATIONS!D66:D107,18)=38,CALCULATIONS!C103,IF(SMALL(CALCULATIONS!D66:D107,18)=39,CALCULATIONS!C104,IF(SMALL(CALCULATIONS!D66:D107,18)=40,CALCULATIONS!C105,IF(SMALL(CALCULATIONS!D66:D107,18)=41,CALCULATIONS!C106,IF(SMALL(CALCULATIONS!D66:D107,18)=42,CALCULATIONS!C107,"")))))))))))))))))))))))))))))))))))))))))),"")</f>
        <v/>
      </c>
      <c r="C32" s="27"/>
      <c r="D32" s="27" t="str">
        <f>IF(COUNT(CALCULATIONS!D66:D107)&gt;=18,IF(SMALL(CALCULATIONS!D66:D107,18)=1,CALCULATIONS!E66,IF(SMALL(CALCULATIONS!D66:D107,18)=2,CALCULATIONS!E67,IF(SMALL(CALCULATIONS!D66:D107,18)=3,CALCULATIONS!E68,IF(SMALL(CALCULATIONS!D66:D107,18)=4,CALCULATIONS!E69,IF(SMALL(CALCULATIONS!D66:D107,18)=5,CALCULATIONS!E70,IF(SMALL(CALCULATIONS!D66:D107,18)=6,CALCULATIONS!E71,IF(SMALL(CALCULATIONS!D66:D107,18)=7,CALCULATIONS!E72,IF(SMALL(CALCULATIONS!D66:D107,18)=8,CALCULATIONS!E73,IF(SMALL(CALCULATIONS!D66:D107,18)=9,CALCULATIONS!E74,IF(SMALL(CALCULATIONS!D66:D107,18)=10,CALCULATIONS!E75,IF(SMALL(CALCULATIONS!D66:D107,18)=11,CALCULATIONS!E76,IF(SMALL(CALCULATIONS!D66:D107,18)=12,CALCULATIONS!E77,IF(SMALL(CALCULATIONS!D66:D107,18)=13,CALCULATIONS!E78,IF(SMALL(CALCULATIONS!D66:D107,18)=14,CALCULATIONS!E79,IF(SMALL(CALCULATIONS!D66:D107,18)=15,CALCULATIONS!E80,IF(SMALL(CALCULATIONS!D66:D107,18)=16,CALCULATIONS!E81,IF(SMALL(CALCULATIONS!D66:D107,18)=17,CALCULATIONS!E82,IF(SMALL(CALCULATIONS!D66:D107,18)=18,CALCULATIONS!E83,IF(SMALL(CALCULATIONS!D66:D107,18)=19,CALCULATIONS!E84,IF(SMALL(CALCULATIONS!D66:D107,18)=20,CALCULATIONS!E85,IF(SMALL(CALCULATIONS!D66:D107,18)=21,CALCULATIONS!E86,IF(SMALL(CALCULATIONS!D66:D107,18)=22,CALCULATIONS!E87,IF(SMALL(CALCULATIONS!D66:D107,18)=23,CALCULATIONS!E88,IF(SMALL(CALCULATIONS!D66:D107,18)=24,CALCULATIONS!E89,IF(SMALL(CALCULATIONS!D66:D107,18)=25,CALCULATIONS!E90,IF(SMALL(CALCULATIONS!D66:D107,18)=26,CALCULATIONS!E91,IF(SMALL(CALCULATIONS!D66:D107,18)=27,CALCULATIONS!E92,IF(SMALL(CALCULATIONS!D66:D107,18)=28,CALCULATIONS!E93,IF(SMALL(CALCULATIONS!D66:D107,18)=29,CALCULATIONS!E94,IF(SMALL(CALCULATIONS!D66:D107,18)=30,CALCULATIONS!E95,IF(SMALL(CALCULATIONS!D66:D107,18)=31,CALCULATIONS!E96,IF(SMALL(CALCULATIONS!D66:D107,18)=32,CALCULATIONS!E97,IF(SMALL(CALCULATIONS!D66:D107,18)=33,CALCULATIONS!E98,IF(SMALL(CALCULATIONS!D66:D107,18)=34,CALCULATIONS!E99,IF(SMALL(CALCULATIONS!D66:D107,18)=35,CALCULATIONS!E100,IF(SMALL(CALCULATIONS!D66:D107,18)=36,CALCULATIONS!E101,IF(SMALL(CALCULATIONS!D66:D107,18)=37,CALCULATIONS!E102,IF(SMALL(CALCULATIONS!D66:D107,18)=38,CALCULATIONS!E103,IF(SMALL(CALCULATIONS!D66:D107,18)=39,CALCULATIONS!E104,IF(SMALL(CALCULATIONS!D66:D107,18)=40,CALCULATIONS!E105,IF(SMALL(CALCULATIONS!D66:D107,18)=41,CALCULATIONS!E106,IF(SMALL(CALCULATIONS!D66:D107,18)=42,CALCULATIONS!E107,"")))))))))))))))))))))))))))))))))))))))))),"")</f>
        <v/>
      </c>
      <c r="E32" s="27"/>
      <c r="F32" s="27" t="str">
        <f t="shared" si="1"/>
        <v/>
      </c>
      <c r="G32" s="27"/>
      <c r="H32" s="27" t="str">
        <f t="shared" si="2"/>
        <v/>
      </c>
    </row>
    <row r="33" spans="1:8" x14ac:dyDescent="0.25">
      <c r="A33" s="68" t="str">
        <f t="shared" si="0"/>
        <v/>
      </c>
      <c r="B33" s="27" t="str">
        <f>IF(COUNT(CALCULATIONS!D66:D107)&gt;=19,IF(SMALL(CALCULATIONS!D66:D107,19)=1,CALCULATIONS!C66,IF(SMALL(CALCULATIONS!D66:D107,19)=2,CALCULATIONS!C67,IF(SMALL(CALCULATIONS!D66:D107,19)=3,CALCULATIONS!C68,IF(SMALL(CALCULATIONS!D66:D107,19)=4,CALCULATIONS!C69,IF(SMALL(CALCULATIONS!D66:D107,19)=5,CALCULATIONS!C70,IF(SMALL(CALCULATIONS!D66:D107,19)=6,CALCULATIONS!C71,IF(SMALL(CALCULATIONS!D66:D107,19)=7,CALCULATIONS!C72,IF(SMALL(CALCULATIONS!D66:D107,19)=8,CALCULATIONS!C73,IF(SMALL(CALCULATIONS!D66:D107,19)=9,CALCULATIONS!C74,IF(SMALL(CALCULATIONS!D66:D107,19)=10,CALCULATIONS!C75,IF(SMALL(CALCULATIONS!D66:D107,19)=11,CALCULATIONS!C76,IF(SMALL(CALCULATIONS!D66:D107,19)=12,CALCULATIONS!C77,IF(SMALL(CALCULATIONS!D66:D107,19)=13,CALCULATIONS!C78,IF(SMALL(CALCULATIONS!D66:D107,19)=14,CALCULATIONS!C79,IF(SMALL(CALCULATIONS!D66:D107,19)=15,CALCULATIONS!C80,IF(SMALL(CALCULATIONS!D66:D107,19)=16,CALCULATIONS!C81,IF(SMALL(CALCULATIONS!D66:D107,19)=17,CALCULATIONS!C82,IF(SMALL(CALCULATIONS!D66:D107,19)=18,CALCULATIONS!C83,IF(SMALL(CALCULATIONS!D66:D107,19)=19,CALCULATIONS!C84,IF(SMALL(CALCULATIONS!D66:D107,19)=20,CALCULATIONS!C85,IF(SMALL(CALCULATIONS!D66:D107,19)=21,CALCULATIONS!C86,IF(SMALL(CALCULATIONS!D66:D107,19)=22,CALCULATIONS!C87,IF(SMALL(CALCULATIONS!D66:D107,19)=23,CALCULATIONS!C88,IF(SMALL(CALCULATIONS!D66:D107,19)=24,CALCULATIONS!C89,IF(SMALL(CALCULATIONS!D66:D107,19)=25,CALCULATIONS!C90,IF(SMALL(CALCULATIONS!D66:D107,19)=26,CALCULATIONS!C91,IF(SMALL(CALCULATIONS!D66:D107,19)=27,CALCULATIONS!C92,IF(SMALL(CALCULATIONS!D66:D107,19)=28,CALCULATIONS!C93,IF(SMALL(CALCULATIONS!D66:D107,19)=29,CALCULATIONS!C94,IF(SMALL(CALCULATIONS!D66:D107,19)=30,CALCULATIONS!C95,IF(SMALL(CALCULATIONS!D66:D107,19)=31,CALCULATIONS!C96,IF(SMALL(CALCULATIONS!D66:D107,19)=32,CALCULATIONS!C97,IF(SMALL(CALCULATIONS!D66:D107,19)=33,CALCULATIONS!C98,IF(SMALL(CALCULATIONS!D66:D107,19)=34,CALCULATIONS!C99,IF(SMALL(CALCULATIONS!D66:D107,19)=35,CALCULATIONS!C100,IF(SMALL(CALCULATIONS!D66:D107,19)=36,CALCULATIONS!C101,IF(SMALL(CALCULATIONS!D66:D107,19)=37,CALCULATIONS!C102,IF(SMALL(CALCULATIONS!D66:D107,19)=38,CALCULATIONS!C103,IF(SMALL(CALCULATIONS!D66:D107,19)=39,CALCULATIONS!C104,IF(SMALL(CALCULATIONS!D66:D107,19)=40,CALCULATIONS!C105,IF(SMALL(CALCULATIONS!D66:D107,19)=41,CALCULATIONS!C106,IF(SMALL(CALCULATIONS!D66:D107,19)=42,CALCULATIONS!C107,"")))))))))))))))))))))))))))))))))))))))))),"")</f>
        <v/>
      </c>
      <c r="C33" s="27"/>
      <c r="D33" s="27" t="str">
        <f>IF(COUNT(CALCULATIONS!D66:D107)&gt;=19,IF(SMALL(CALCULATIONS!D66:D107,19)=1,CALCULATIONS!E66,IF(SMALL(CALCULATIONS!D66:D107,19)=2,CALCULATIONS!E67,IF(SMALL(CALCULATIONS!D66:D107,19)=3,CALCULATIONS!E68,IF(SMALL(CALCULATIONS!D66:D107,19)=4,CALCULATIONS!E69,IF(SMALL(CALCULATIONS!D66:D107,19)=5,CALCULATIONS!E70,IF(SMALL(CALCULATIONS!D66:D107,19)=6,CALCULATIONS!E71,IF(SMALL(CALCULATIONS!D66:D107,19)=7,CALCULATIONS!E72,IF(SMALL(CALCULATIONS!D66:D107,19)=8,CALCULATIONS!E73,IF(SMALL(CALCULATIONS!D66:D107,19)=9,CALCULATIONS!E74,IF(SMALL(CALCULATIONS!D66:D107,19)=10,CALCULATIONS!E75,IF(SMALL(CALCULATIONS!D66:D107,19)=11,CALCULATIONS!E76,IF(SMALL(CALCULATIONS!D66:D107,19)=12,CALCULATIONS!E77,IF(SMALL(CALCULATIONS!D66:D107,19)=13,CALCULATIONS!E78,IF(SMALL(CALCULATIONS!D66:D107,19)=14,CALCULATIONS!E79,IF(SMALL(CALCULATIONS!D66:D107,19)=15,CALCULATIONS!E80,IF(SMALL(CALCULATIONS!D66:D107,19)=16,CALCULATIONS!E81,IF(SMALL(CALCULATIONS!D66:D107,19)=17,CALCULATIONS!E82,IF(SMALL(CALCULATIONS!D66:D107,19)=18,CALCULATIONS!E83,IF(SMALL(CALCULATIONS!D66:D107,19)=19,CALCULATIONS!E84,IF(SMALL(CALCULATIONS!D66:D107,19)=20,CALCULATIONS!E85,IF(SMALL(CALCULATIONS!D66:D107,19)=21,CALCULATIONS!E86,IF(SMALL(CALCULATIONS!D66:D107,19)=22,CALCULATIONS!E87,IF(SMALL(CALCULATIONS!D66:D107,19)=23,CALCULATIONS!E88,IF(SMALL(CALCULATIONS!D66:D107,19)=24,CALCULATIONS!E89,IF(SMALL(CALCULATIONS!D66:D107,19)=25,CALCULATIONS!E90,IF(SMALL(CALCULATIONS!D66:D107,19)=26,CALCULATIONS!E91,IF(SMALL(CALCULATIONS!D66:D107,19)=27,CALCULATIONS!E92,IF(SMALL(CALCULATIONS!D66:D107,19)=28,CALCULATIONS!E93,IF(SMALL(CALCULATIONS!D66:D107,19)=29,CALCULATIONS!E94,IF(SMALL(CALCULATIONS!D66:D107,19)=30,CALCULATIONS!E95,IF(SMALL(CALCULATIONS!D66:D107,19)=31,CALCULATIONS!E96,IF(SMALL(CALCULATIONS!D66:D107,19)=32,CALCULATIONS!E97,IF(SMALL(CALCULATIONS!D66:D107,19)=33,CALCULATIONS!E98,IF(SMALL(CALCULATIONS!D66:D107,19)=34,CALCULATIONS!E99,IF(SMALL(CALCULATIONS!D66:D107,19)=35,CALCULATIONS!E100,IF(SMALL(CALCULATIONS!D66:D107,19)=36,CALCULATIONS!E101,IF(SMALL(CALCULATIONS!D66:D107,19)=37,CALCULATIONS!E102,IF(SMALL(CALCULATIONS!D66:D107,19)=38,CALCULATIONS!E103,IF(SMALL(CALCULATIONS!D66:D107,19)=39,CALCULATIONS!E104,IF(SMALL(CALCULATIONS!D66:D107,19)=40,CALCULATIONS!E105,IF(SMALL(CALCULATIONS!D66:D107,19)=41,CALCULATIONS!E106,IF(SMALL(CALCULATIONS!D66:D107,19)=42,CALCULATIONS!E107,"")))))))))))))))))))))))))))))))))))))))))),"")</f>
        <v/>
      </c>
      <c r="E33" s="27"/>
      <c r="F33" s="27" t="str">
        <f t="shared" si="1"/>
        <v/>
      </c>
      <c r="G33" s="27"/>
      <c r="H33" s="27" t="str">
        <f t="shared" si="2"/>
        <v/>
      </c>
    </row>
    <row r="34" spans="1:8" x14ac:dyDescent="0.25">
      <c r="A34" s="68" t="str">
        <f t="shared" si="0"/>
        <v/>
      </c>
      <c r="B34" s="27" t="str">
        <f>IF(COUNT(CALCULATIONS!D66:D107)&gt;=20,IF(SMALL(CALCULATIONS!D66:D107,20)=1,CALCULATIONS!C66,IF(SMALL(CALCULATIONS!D66:D107,20)=2,CALCULATIONS!C67,IF(SMALL(CALCULATIONS!D66:D107,20)=3,CALCULATIONS!C68,IF(SMALL(CALCULATIONS!D66:D107,20)=4,CALCULATIONS!C69,IF(SMALL(CALCULATIONS!D66:D107,20)=5,CALCULATIONS!C70,IF(SMALL(CALCULATIONS!D66:D107,20)=6,CALCULATIONS!C71,IF(SMALL(CALCULATIONS!D66:D107,20)=7,CALCULATIONS!C72,IF(SMALL(CALCULATIONS!D66:D107,20)=8,CALCULATIONS!C73,IF(SMALL(CALCULATIONS!D66:D107,20)=9,CALCULATIONS!C74,IF(SMALL(CALCULATIONS!D66:D107,20)=10,CALCULATIONS!C75,IF(SMALL(CALCULATIONS!D66:D107,20)=11,CALCULATIONS!C76,IF(SMALL(CALCULATIONS!D66:D107,20)=12,CALCULATIONS!C77,IF(SMALL(CALCULATIONS!D66:D107,20)=13,CALCULATIONS!C78,IF(SMALL(CALCULATIONS!D66:D107,20)=14,CALCULATIONS!C79,IF(SMALL(CALCULATIONS!D66:D107,20)=15,CALCULATIONS!C80,IF(SMALL(CALCULATIONS!D66:D107,20)=16,CALCULATIONS!C81,IF(SMALL(CALCULATIONS!D66:D107,20)=17,CALCULATIONS!C82,IF(SMALL(CALCULATIONS!D66:D107,20)=18,CALCULATIONS!C83,IF(SMALL(CALCULATIONS!D66:D107,20)=19,CALCULATIONS!C84,IF(SMALL(CALCULATIONS!D66:D107,20)=20,CALCULATIONS!C85,IF(SMALL(CALCULATIONS!D66:D107,20)=21,CALCULATIONS!C86,IF(SMALL(CALCULATIONS!D66:D107,20)=22,CALCULATIONS!C87,IF(SMALL(CALCULATIONS!D66:D107,20)=23,CALCULATIONS!C88,IF(SMALL(CALCULATIONS!D66:D107,20)=24,CALCULATIONS!C89,IF(SMALL(CALCULATIONS!D66:D107,20)=25,CALCULATIONS!C90,IF(SMALL(CALCULATIONS!D66:D107,20)=26,CALCULATIONS!C91,IF(SMALL(CALCULATIONS!D66:D107,20)=27,CALCULATIONS!C92,IF(SMALL(CALCULATIONS!D66:D107,20)=28,CALCULATIONS!C93,IF(SMALL(CALCULATIONS!D66:D107,20)=29,CALCULATIONS!C94,IF(SMALL(CALCULATIONS!D66:D107,20)=30,CALCULATIONS!C95,IF(SMALL(CALCULATIONS!D66:D107,20)=31,CALCULATIONS!C96,IF(SMALL(CALCULATIONS!D66:D107,20)=32,CALCULATIONS!C97,IF(SMALL(CALCULATIONS!D66:D107,20)=33,CALCULATIONS!C98,IF(SMALL(CALCULATIONS!D66:D107,20)=34,CALCULATIONS!C99,IF(SMALL(CALCULATIONS!D66:D107,20)=35,CALCULATIONS!C100,IF(SMALL(CALCULATIONS!D66:D107,20)=36,CALCULATIONS!C101,IF(SMALL(CALCULATIONS!D66:D107,20)=37,CALCULATIONS!C102,IF(SMALL(CALCULATIONS!D66:D107,20)=38,CALCULATIONS!C103,IF(SMALL(CALCULATIONS!D66:D107,20)=39,CALCULATIONS!C104,IF(SMALL(CALCULATIONS!D66:D107,20)=40,CALCULATIONS!C105,IF(SMALL(CALCULATIONS!D66:D107,20)=41,CALCULATIONS!C106,IF(SMALL(CALCULATIONS!D66:D107,20)=42,CALCULATIONS!C107,"")))))))))))))))))))))))))))))))))))))))))),"")</f>
        <v/>
      </c>
      <c r="C34" s="27"/>
      <c r="D34" s="27" t="str">
        <f>IF(COUNT(CALCULATIONS!D66:D107)&gt;=20,IF(SMALL(CALCULATIONS!D66:D107,20)=1,CALCULATIONS!E66,IF(SMALL(CALCULATIONS!D66:D107,20)=2,CALCULATIONS!E67,IF(SMALL(CALCULATIONS!D66:D107,20)=3,CALCULATIONS!E68,IF(SMALL(CALCULATIONS!D66:D107,20)=4,CALCULATIONS!E69,IF(SMALL(CALCULATIONS!D66:D107,20)=5,CALCULATIONS!E70,IF(SMALL(CALCULATIONS!D66:D107,20)=6,CALCULATIONS!E71,IF(SMALL(CALCULATIONS!D66:D107,20)=7,CALCULATIONS!E72,IF(SMALL(CALCULATIONS!D66:D107,20)=8,CALCULATIONS!E73,IF(SMALL(CALCULATIONS!D66:D107,20)=9,CALCULATIONS!E74,IF(SMALL(CALCULATIONS!D66:D107,20)=10,CALCULATIONS!E75,IF(SMALL(CALCULATIONS!D66:D107,20)=11,CALCULATIONS!E76,IF(SMALL(CALCULATIONS!D66:D107,20)=12,CALCULATIONS!E77,IF(SMALL(CALCULATIONS!D66:D107,20)=13,CALCULATIONS!E78,IF(SMALL(CALCULATIONS!D66:D107,20)=14,CALCULATIONS!E79,IF(SMALL(CALCULATIONS!D66:D107,20)=15,CALCULATIONS!E80,IF(SMALL(CALCULATIONS!D66:D107,20)=16,CALCULATIONS!E81,IF(SMALL(CALCULATIONS!D66:D107,20)=17,CALCULATIONS!E82,IF(SMALL(CALCULATIONS!D66:D107,20)=18,CALCULATIONS!E83,IF(SMALL(CALCULATIONS!D66:D107,20)=19,CALCULATIONS!E84,IF(SMALL(CALCULATIONS!D66:D107,20)=20,CALCULATIONS!E85,IF(SMALL(CALCULATIONS!D66:D107,20)=21,CALCULATIONS!E86,IF(SMALL(CALCULATIONS!D66:D107,20)=22,CALCULATIONS!E87,IF(SMALL(CALCULATIONS!D66:D107,20)=23,CALCULATIONS!E88,IF(SMALL(CALCULATIONS!D66:D107,20)=24,CALCULATIONS!E89,IF(SMALL(CALCULATIONS!D66:D107,20)=25,CALCULATIONS!E90,IF(SMALL(CALCULATIONS!D66:D107,20)=26,CALCULATIONS!E91,IF(SMALL(CALCULATIONS!D66:D107,20)=27,CALCULATIONS!E92,IF(SMALL(CALCULATIONS!D66:D107,20)=28,CALCULATIONS!E93,IF(SMALL(CALCULATIONS!D66:D107,20)=29,CALCULATIONS!E94,IF(SMALL(CALCULATIONS!D66:D107,20)=30,CALCULATIONS!E95,IF(SMALL(CALCULATIONS!D66:D107,20)=31,CALCULATIONS!E96,IF(SMALL(CALCULATIONS!D66:D107,20)=32,CALCULATIONS!E97,IF(SMALL(CALCULATIONS!D66:D107,20)=33,CALCULATIONS!E98,IF(SMALL(CALCULATIONS!D66:D107,20)=34,CALCULATIONS!E99,IF(SMALL(CALCULATIONS!D66:D107,20)=35,CALCULATIONS!E100,IF(SMALL(CALCULATIONS!D66:D107,20)=36,CALCULATIONS!E101,IF(SMALL(CALCULATIONS!D66:D107,20)=37,CALCULATIONS!E102,IF(SMALL(CALCULATIONS!D66:D107,20)=38,CALCULATIONS!E103,IF(SMALL(CALCULATIONS!D66:D107,20)=39,CALCULATIONS!E104,IF(SMALL(CALCULATIONS!D66:D107,20)=40,CALCULATIONS!E105,IF(SMALL(CALCULATIONS!D66:D107,20)=41,CALCULATIONS!E106,IF(SMALL(CALCULATIONS!D66:D107,20)=42,CALCULATIONS!E107,"")))))))))))))))))))))))))))))))))))))))))),"")</f>
        <v/>
      </c>
      <c r="E34" s="27"/>
      <c r="F34" s="27" t="str">
        <f t="shared" si="1"/>
        <v/>
      </c>
      <c r="G34" s="27"/>
      <c r="H34" s="27" t="str">
        <f t="shared" si="2"/>
        <v/>
      </c>
    </row>
    <row r="35" spans="1:8" x14ac:dyDescent="0.25">
      <c r="A35" s="68" t="str">
        <f t="shared" si="0"/>
        <v/>
      </c>
      <c r="B35" s="27" t="str">
        <f>IF(COUNT(CALCULATIONS!D66:D107)&gt;=21,IF(SMALL(CALCULATIONS!D66:D107,21)=1,CALCULATIONS!C66,IF(SMALL(CALCULATIONS!D66:D107,21)=2,CALCULATIONS!C67,IF(SMALL(CALCULATIONS!D66:D107,21)=3,CALCULATIONS!C68,IF(SMALL(CALCULATIONS!D66:D107,21)=4,CALCULATIONS!C69,IF(SMALL(CALCULATIONS!D66:D107,21)=5,CALCULATIONS!C70,IF(SMALL(CALCULATIONS!D66:D107,21)=6,CALCULATIONS!C71,IF(SMALL(CALCULATIONS!D66:D107,21)=7,CALCULATIONS!C72,IF(SMALL(CALCULATIONS!D66:D107,21)=8,CALCULATIONS!C73,IF(SMALL(CALCULATIONS!D66:D107,21)=9,CALCULATIONS!C74,IF(SMALL(CALCULATIONS!D66:D107,21)=10,CALCULATIONS!C75,IF(SMALL(CALCULATIONS!D66:D107,21)=11,CALCULATIONS!C76,IF(SMALL(CALCULATIONS!D66:D107,21)=12,CALCULATIONS!C77,IF(SMALL(CALCULATIONS!D66:D107,21)=13,CALCULATIONS!C78,IF(SMALL(CALCULATIONS!D66:D107,21)=14,CALCULATIONS!C79,IF(SMALL(CALCULATIONS!D66:D107,21)=15,CALCULATIONS!C80,IF(SMALL(CALCULATIONS!D66:D107,21)=16,CALCULATIONS!C81,IF(SMALL(CALCULATIONS!D66:D107,21)=17,CALCULATIONS!C82,IF(SMALL(CALCULATIONS!D66:D107,21)=18,CALCULATIONS!C83,IF(SMALL(CALCULATIONS!D66:D107,21)=19,CALCULATIONS!C84,IF(SMALL(CALCULATIONS!D66:D107,21)=20,CALCULATIONS!C85,IF(SMALL(CALCULATIONS!D66:D107,21)=21,CALCULATIONS!C86,IF(SMALL(CALCULATIONS!D66:D107,21)=22,CALCULATIONS!C87,IF(SMALL(CALCULATIONS!D66:D107,21)=23,CALCULATIONS!C88,IF(SMALL(CALCULATIONS!D66:D107,21)=24,CALCULATIONS!C89,IF(SMALL(CALCULATIONS!D66:D107,21)=25,CALCULATIONS!C90,IF(SMALL(CALCULATIONS!D66:D107,21)=26,CALCULATIONS!C91,IF(SMALL(CALCULATIONS!D66:D107,21)=27,CALCULATIONS!C92,IF(SMALL(CALCULATIONS!D66:D107,21)=28,CALCULATIONS!C93,IF(SMALL(CALCULATIONS!D66:D107,21)=29,CALCULATIONS!C94,IF(SMALL(CALCULATIONS!D66:D107,21)=30,CALCULATIONS!C95,IF(SMALL(CALCULATIONS!D66:D107,21)=31,CALCULATIONS!C96,IF(SMALL(CALCULATIONS!D66:D107,21)=32,CALCULATIONS!C97,IF(SMALL(CALCULATIONS!D66:D107,21)=33,CALCULATIONS!C98,IF(SMALL(CALCULATIONS!D66:D107,21)=34,CALCULATIONS!C99,IF(SMALL(CALCULATIONS!D66:D107,21)=35,CALCULATIONS!C100,IF(SMALL(CALCULATIONS!D66:D107,21)=36,CALCULATIONS!C101,IF(SMALL(CALCULATIONS!D66:D107,21)=37,CALCULATIONS!C102,IF(SMALL(CALCULATIONS!D66:D107,21)=38,CALCULATIONS!C103,IF(SMALL(CALCULATIONS!D66:D107,21)=39,CALCULATIONS!C104,IF(SMALL(CALCULATIONS!D66:D107,21)=40,CALCULATIONS!C105,IF(SMALL(CALCULATIONS!D66:D107,21)=41,CALCULATIONS!C106,IF(SMALL(CALCULATIONS!D66:D107,21)=42,CALCULATIONS!C107,"")))))))))))))))))))))))))))))))))))))))))),"")</f>
        <v/>
      </c>
      <c r="C35" s="27"/>
      <c r="D35" s="27" t="str">
        <f>IF(COUNT(CALCULATIONS!D66:D107)&gt;=21,IF(SMALL(CALCULATIONS!D66:D107,21)=1,CALCULATIONS!E66,IF(SMALL(CALCULATIONS!D66:D107,21)=2,CALCULATIONS!E67,IF(SMALL(CALCULATIONS!D66:D107,21)=3,CALCULATIONS!E68,IF(SMALL(CALCULATIONS!D66:D107,21)=4,CALCULATIONS!E69,IF(SMALL(CALCULATIONS!D66:D107,21)=5,CALCULATIONS!E70,IF(SMALL(CALCULATIONS!D66:D107,21)=6,CALCULATIONS!E71,IF(SMALL(CALCULATIONS!D66:D107,21)=7,CALCULATIONS!E72,IF(SMALL(CALCULATIONS!D66:D107,21)=8,CALCULATIONS!E73,IF(SMALL(CALCULATIONS!D66:D107,21)=9,CALCULATIONS!E74,IF(SMALL(CALCULATIONS!D66:D107,21)=10,CALCULATIONS!E75,IF(SMALL(CALCULATIONS!D66:D107,21)=11,CALCULATIONS!E76,IF(SMALL(CALCULATIONS!D66:D107,21)=12,CALCULATIONS!E77,IF(SMALL(CALCULATIONS!D66:D107,21)=13,CALCULATIONS!E78,IF(SMALL(CALCULATIONS!D66:D107,21)=14,CALCULATIONS!E79,IF(SMALL(CALCULATIONS!D66:D107,21)=15,CALCULATIONS!E80,IF(SMALL(CALCULATIONS!D66:D107,21)=16,CALCULATIONS!E81,IF(SMALL(CALCULATIONS!D66:D107,21)=17,CALCULATIONS!E82,IF(SMALL(CALCULATIONS!D66:D107,21)=18,CALCULATIONS!E83,IF(SMALL(CALCULATIONS!D66:D107,21)=19,CALCULATIONS!E84,IF(SMALL(CALCULATIONS!D66:D107,21)=20,CALCULATIONS!E85,IF(SMALL(CALCULATIONS!D66:D107,21)=21,CALCULATIONS!E86,IF(SMALL(CALCULATIONS!D66:D107,21)=22,CALCULATIONS!E87,IF(SMALL(CALCULATIONS!D66:D107,21)=23,CALCULATIONS!E88,IF(SMALL(CALCULATIONS!D66:D107,21)=24,CALCULATIONS!E89,IF(SMALL(CALCULATIONS!D66:D107,21)=25,CALCULATIONS!E90,IF(SMALL(CALCULATIONS!D66:D107,21)=26,CALCULATIONS!E91,IF(SMALL(CALCULATIONS!D66:D107,21)=27,CALCULATIONS!E92,IF(SMALL(CALCULATIONS!D66:D107,21)=28,CALCULATIONS!E93,IF(SMALL(CALCULATIONS!D66:D107,21)=29,CALCULATIONS!E94,IF(SMALL(CALCULATIONS!D66:D107,21)=30,CALCULATIONS!E95,IF(SMALL(CALCULATIONS!D66:D107,21)=31,CALCULATIONS!E96,IF(SMALL(CALCULATIONS!D66:D107,21)=32,CALCULATIONS!E97,IF(SMALL(CALCULATIONS!D66:D107,21)=33,CALCULATIONS!E98,IF(SMALL(CALCULATIONS!D66:D107,21)=34,CALCULATIONS!E99,IF(SMALL(CALCULATIONS!D66:D107,21)=35,CALCULATIONS!E100,IF(SMALL(CALCULATIONS!D66:D107,21)=36,CALCULATIONS!E101,IF(SMALL(CALCULATIONS!D66:D107,21)=37,CALCULATIONS!E102,IF(SMALL(CALCULATIONS!D66:D107,21)=38,CALCULATIONS!E103,IF(SMALL(CALCULATIONS!D66:D107,21)=39,CALCULATIONS!E104,IF(SMALL(CALCULATIONS!D66:D107,21)=40,CALCULATIONS!E105,IF(SMALL(CALCULATIONS!D66:D107,21)=41,CALCULATIONS!E106,IF(SMALL(CALCULATIONS!D66:D107,21)=42,CALCULATIONS!E107,"")))))))))))))))))))))))))))))))))))))))))),"")</f>
        <v/>
      </c>
      <c r="E35" s="27"/>
      <c r="F35" s="27" t="str">
        <f t="shared" si="1"/>
        <v/>
      </c>
      <c r="G35" s="27"/>
      <c r="H35" s="27" t="str">
        <f t="shared" si="2"/>
        <v/>
      </c>
    </row>
    <row r="36" spans="1:8" x14ac:dyDescent="0.25">
      <c r="A36" s="68" t="str">
        <f t="shared" si="0"/>
        <v/>
      </c>
      <c r="B36" s="27" t="str">
        <f>IF(COUNT(CALCULATIONS!D66:D107)&gt;=22,IF(SMALL(CALCULATIONS!D66:D107,22)=1,CALCULATIONS!C66,IF(SMALL(CALCULATIONS!D66:D107,22)=2,CALCULATIONS!C67,IF(SMALL(CALCULATIONS!D66:D107,22)=3,CALCULATIONS!C68,IF(SMALL(CALCULATIONS!D66:D107,22)=4,CALCULATIONS!C69,IF(SMALL(CALCULATIONS!D66:D107,22)=5,CALCULATIONS!C70,IF(SMALL(CALCULATIONS!D66:D107,22)=6,CALCULATIONS!C71,IF(SMALL(CALCULATIONS!D66:D107,22)=7,CALCULATIONS!C72,IF(SMALL(CALCULATIONS!D66:D107,22)=8,CALCULATIONS!C73,IF(SMALL(CALCULATIONS!D66:D107,22)=9,CALCULATIONS!C74,IF(SMALL(CALCULATIONS!D66:D107,22)=10,CALCULATIONS!C75,IF(SMALL(CALCULATIONS!D66:D107,22)=11,CALCULATIONS!C76,IF(SMALL(CALCULATIONS!D66:D107,22)=12,CALCULATIONS!C77,IF(SMALL(CALCULATIONS!D66:D107,22)=13,CALCULATIONS!C78,IF(SMALL(CALCULATIONS!D66:D107,22)=14,CALCULATIONS!C79,IF(SMALL(CALCULATIONS!D66:D107,22)=15,CALCULATIONS!C80,IF(SMALL(CALCULATIONS!D66:D107,22)=16,CALCULATIONS!C81,IF(SMALL(CALCULATIONS!D66:D107,22)=17,CALCULATIONS!C82,IF(SMALL(CALCULATIONS!D66:D107,22)=18,CALCULATIONS!C83,IF(SMALL(CALCULATIONS!D66:D107,22)=19,CALCULATIONS!C84,IF(SMALL(CALCULATIONS!D66:D107,22)=20,CALCULATIONS!C85,IF(SMALL(CALCULATIONS!D66:D107,22)=21,CALCULATIONS!C86,IF(SMALL(CALCULATIONS!D66:D107,22)=22,CALCULATIONS!C87,IF(SMALL(CALCULATIONS!D66:D107,22)=23,CALCULATIONS!C88,IF(SMALL(CALCULATIONS!D66:D107,22)=24,CALCULATIONS!C89,IF(SMALL(CALCULATIONS!D66:D107,22)=25,CALCULATIONS!C90,IF(SMALL(CALCULATIONS!D66:D107,22)=26,CALCULATIONS!C91,IF(SMALL(CALCULATIONS!D66:D107,22)=27,CALCULATIONS!C92,IF(SMALL(CALCULATIONS!D66:D107,22)=28,CALCULATIONS!C93,IF(SMALL(CALCULATIONS!D66:D107,22)=29,CALCULATIONS!C94,IF(SMALL(CALCULATIONS!D66:D107,22)=30,CALCULATIONS!C95,IF(SMALL(CALCULATIONS!D66:D107,22)=31,CALCULATIONS!C96,IF(SMALL(CALCULATIONS!D66:D107,22)=32,CALCULATIONS!C97,IF(SMALL(CALCULATIONS!D66:D107,22)=33,CALCULATIONS!C98,IF(SMALL(CALCULATIONS!D66:D107,22)=34,CALCULATIONS!C99,IF(SMALL(CALCULATIONS!D66:D107,22)=35,CALCULATIONS!C100,IF(SMALL(CALCULATIONS!D66:D107,22)=36,CALCULATIONS!C101,IF(SMALL(CALCULATIONS!D66:D107,22)=37,CALCULATIONS!C102,IF(SMALL(CALCULATIONS!D66:D107,22)=38,CALCULATIONS!C103,IF(SMALL(CALCULATIONS!D66:D107,22)=39,CALCULATIONS!C104,IF(SMALL(CALCULATIONS!D66:D107,22)=40,CALCULATIONS!C105,IF(SMALL(CALCULATIONS!D66:D107,22)=41,CALCULATIONS!C106,IF(SMALL(CALCULATIONS!D66:D107,22)=42,CALCULATIONS!C107,"")))))))))))))))))))))))))))))))))))))))))),"")</f>
        <v/>
      </c>
      <c r="C36" s="27"/>
      <c r="D36" s="27" t="str">
        <f>IF(COUNT(CALCULATIONS!D66:D107)&gt;=22,IF(SMALL(CALCULATIONS!D66:D107,22)=1,CALCULATIONS!E66,IF(SMALL(CALCULATIONS!D66:D107,22)=2,CALCULATIONS!E67,IF(SMALL(CALCULATIONS!D66:D107,22)=3,CALCULATIONS!E68,IF(SMALL(CALCULATIONS!D66:D107,22)=4,CALCULATIONS!E69,IF(SMALL(CALCULATIONS!D66:D107,22)=5,CALCULATIONS!E70,IF(SMALL(CALCULATIONS!D66:D107,22)=6,CALCULATIONS!E71,IF(SMALL(CALCULATIONS!D66:D107,22)=7,CALCULATIONS!E72,IF(SMALL(CALCULATIONS!D66:D107,22)=8,CALCULATIONS!E73,IF(SMALL(CALCULATIONS!D66:D107,22)=9,CALCULATIONS!E74,IF(SMALL(CALCULATIONS!D66:D107,22)=10,CALCULATIONS!E75,IF(SMALL(CALCULATIONS!D66:D107,22)=11,CALCULATIONS!E76,IF(SMALL(CALCULATIONS!D66:D107,22)=12,CALCULATIONS!E77,IF(SMALL(CALCULATIONS!D66:D107,22)=13,CALCULATIONS!E78,IF(SMALL(CALCULATIONS!D66:D107,22)=14,CALCULATIONS!E79,IF(SMALL(CALCULATIONS!D66:D107,22)=15,CALCULATIONS!E80,IF(SMALL(CALCULATIONS!D66:D107,22)=16,CALCULATIONS!E81,IF(SMALL(CALCULATIONS!D66:D107,22)=17,CALCULATIONS!E82,IF(SMALL(CALCULATIONS!D66:D107,22)=18,CALCULATIONS!E83,IF(SMALL(CALCULATIONS!D66:D107,22)=19,CALCULATIONS!E84,IF(SMALL(CALCULATIONS!D66:D107,22)=20,CALCULATIONS!E85,IF(SMALL(CALCULATIONS!D66:D107,22)=21,CALCULATIONS!E86,IF(SMALL(CALCULATIONS!D66:D107,22)=22,CALCULATIONS!E87,IF(SMALL(CALCULATIONS!D66:D107,22)=23,CALCULATIONS!E88,IF(SMALL(CALCULATIONS!D66:D107,22)=24,CALCULATIONS!E89,IF(SMALL(CALCULATIONS!D66:D107,22)=25,CALCULATIONS!E90,IF(SMALL(CALCULATIONS!D66:D107,22)=26,CALCULATIONS!E91,IF(SMALL(CALCULATIONS!D66:D107,22)=27,CALCULATIONS!E92,IF(SMALL(CALCULATIONS!D66:D107,22)=28,CALCULATIONS!E93,IF(SMALL(CALCULATIONS!D66:D107,22)=29,CALCULATIONS!E94,IF(SMALL(CALCULATIONS!D66:D107,22)=30,CALCULATIONS!E95,IF(SMALL(CALCULATIONS!D66:D107,22)=31,CALCULATIONS!E96,IF(SMALL(CALCULATIONS!D66:D107,22)=32,CALCULATIONS!E97,IF(SMALL(CALCULATIONS!D66:D107,22)=33,CALCULATIONS!E98,IF(SMALL(CALCULATIONS!D66:D107,22)=34,CALCULATIONS!E99,IF(SMALL(CALCULATIONS!D66:D107,22)=35,CALCULATIONS!E100,IF(SMALL(CALCULATIONS!D66:D107,22)=36,CALCULATIONS!E101,IF(SMALL(CALCULATIONS!D66:D107,22)=37,CALCULATIONS!E102,IF(SMALL(CALCULATIONS!D66:D107,22)=38,CALCULATIONS!E103,IF(SMALL(CALCULATIONS!D66:D107,22)=39,CALCULATIONS!E104,IF(SMALL(CALCULATIONS!D66:D107,22)=40,CALCULATIONS!E105,IF(SMALL(CALCULATIONS!D66:D107,22)=41,CALCULATIONS!E106,IF(SMALL(CALCULATIONS!D66:D107,22)=42,CALCULATIONS!E107,"")))))))))))))))))))))))))))))))))))))))))),"")</f>
        <v/>
      </c>
      <c r="E36" s="27"/>
      <c r="F36" s="27" t="str">
        <f t="shared" si="1"/>
        <v/>
      </c>
      <c r="G36" s="27"/>
      <c r="H36" s="27" t="str">
        <f t="shared" si="2"/>
        <v/>
      </c>
    </row>
    <row r="37" spans="1:8" x14ac:dyDescent="0.25">
      <c r="A37" s="68" t="str">
        <f t="shared" si="0"/>
        <v/>
      </c>
      <c r="B37" s="27" t="str">
        <f>IF(COUNT(CALCULATIONS!D66:D107)&gt;=23,IF(SMALL(CALCULATIONS!D66:D107,23)=1,CALCULATIONS!C66,IF(SMALL(CALCULATIONS!D66:D107,23)=2,CALCULATIONS!C67,IF(SMALL(CALCULATIONS!D66:D107,23)=3,CALCULATIONS!C68,IF(SMALL(CALCULATIONS!D66:D107,23)=4,CALCULATIONS!C69,IF(SMALL(CALCULATIONS!D66:D107,23)=5,CALCULATIONS!C70,IF(SMALL(CALCULATIONS!D66:D107,23)=6,CALCULATIONS!C71,IF(SMALL(CALCULATIONS!D66:D107,23)=7,CALCULATIONS!C72,IF(SMALL(CALCULATIONS!D66:D107,23)=8,CALCULATIONS!C73,IF(SMALL(CALCULATIONS!D66:D107,23)=9,CALCULATIONS!C74,IF(SMALL(CALCULATIONS!D66:D107,23)=10,CALCULATIONS!C75,IF(SMALL(CALCULATIONS!D66:D107,23)=11,CALCULATIONS!C76,IF(SMALL(CALCULATIONS!D66:D107,23)=12,CALCULATIONS!C77,IF(SMALL(CALCULATIONS!D66:D107,23)=13,CALCULATIONS!C78,IF(SMALL(CALCULATIONS!D66:D107,23)=14,CALCULATIONS!C79,IF(SMALL(CALCULATIONS!D66:D107,23)=15,CALCULATIONS!C80,IF(SMALL(CALCULATIONS!D66:D107,23)=16,CALCULATIONS!C81,IF(SMALL(CALCULATIONS!D66:D107,23)=17,CALCULATIONS!C82,IF(SMALL(CALCULATIONS!D66:D107,23)=18,CALCULATIONS!C83,IF(SMALL(CALCULATIONS!D66:D107,23)=19,CALCULATIONS!C84,IF(SMALL(CALCULATIONS!D66:D107,23)=20,CALCULATIONS!C85,IF(SMALL(CALCULATIONS!D66:D107,23)=21,CALCULATIONS!C86,IF(SMALL(CALCULATIONS!D66:D107,23)=22,CALCULATIONS!C87,IF(SMALL(CALCULATIONS!D66:D107,23)=23,CALCULATIONS!C88,IF(SMALL(CALCULATIONS!D66:D107,23)=24,CALCULATIONS!C89,IF(SMALL(CALCULATIONS!D66:D107,23)=25,CALCULATIONS!C90,IF(SMALL(CALCULATIONS!D66:D107,23)=26,CALCULATIONS!C91,IF(SMALL(CALCULATIONS!D66:D107,23)=27,CALCULATIONS!C92,IF(SMALL(CALCULATIONS!D66:D107,23)=28,CALCULATIONS!C93,IF(SMALL(CALCULATIONS!D66:D107,23)=29,CALCULATIONS!C94,IF(SMALL(CALCULATIONS!D66:D107,23)=30,CALCULATIONS!C95,IF(SMALL(CALCULATIONS!D66:D107,23)=31,CALCULATIONS!C96,IF(SMALL(CALCULATIONS!D66:D107,23)=32,CALCULATIONS!C97,IF(SMALL(CALCULATIONS!D66:D107,23)=33,CALCULATIONS!C98,IF(SMALL(CALCULATIONS!D66:D107,23)=34,CALCULATIONS!C99,IF(SMALL(CALCULATIONS!D66:D107,23)=35,CALCULATIONS!C100,IF(SMALL(CALCULATIONS!D66:D107,23)=36,CALCULATIONS!C101,IF(SMALL(CALCULATIONS!D66:D107,23)=37,CALCULATIONS!C102,IF(SMALL(CALCULATIONS!D66:D107,23)=38,CALCULATIONS!C103,IF(SMALL(CALCULATIONS!D66:D107,23)=39,CALCULATIONS!C104,IF(SMALL(CALCULATIONS!D66:D107,23)=40,CALCULATIONS!C105,IF(SMALL(CALCULATIONS!D66:D107,23)=41,CALCULATIONS!C106,IF(SMALL(CALCULATIONS!D66:D107,23)=42,CALCULATIONS!C107,"")))))))))))))))))))))))))))))))))))))))))),"")</f>
        <v/>
      </c>
      <c r="C37" s="27"/>
      <c r="D37" s="27" t="str">
        <f>IF(COUNT(CALCULATIONS!D66:D107)&gt;=23,IF(SMALL(CALCULATIONS!D66:D107,23)=1,CALCULATIONS!E66,IF(SMALL(CALCULATIONS!D66:D107,23)=2,CALCULATIONS!E67,IF(SMALL(CALCULATIONS!D66:D107,23)=3,CALCULATIONS!E68,IF(SMALL(CALCULATIONS!D66:D107,23)=4,CALCULATIONS!E69,IF(SMALL(CALCULATIONS!D66:D107,23)=5,CALCULATIONS!E70,IF(SMALL(CALCULATIONS!D66:D107,23)=6,CALCULATIONS!E71,IF(SMALL(CALCULATIONS!D66:D107,23)=7,CALCULATIONS!E72,IF(SMALL(CALCULATIONS!D66:D107,23)=8,CALCULATIONS!E73,IF(SMALL(CALCULATIONS!D66:D107,23)=9,CALCULATIONS!E74,IF(SMALL(CALCULATIONS!D66:D107,23)=10,CALCULATIONS!E75,IF(SMALL(CALCULATIONS!D66:D107,23)=11,CALCULATIONS!E76,IF(SMALL(CALCULATIONS!D66:D107,23)=12,CALCULATIONS!E77,IF(SMALL(CALCULATIONS!D66:D107,23)=13,CALCULATIONS!E78,IF(SMALL(CALCULATIONS!D66:D107,23)=14,CALCULATIONS!E79,IF(SMALL(CALCULATIONS!D66:D107,23)=15,CALCULATIONS!E80,IF(SMALL(CALCULATIONS!D66:D107,23)=16,CALCULATIONS!E81,IF(SMALL(CALCULATIONS!D66:D107,23)=17,CALCULATIONS!E82,IF(SMALL(CALCULATIONS!D66:D107,23)=18,CALCULATIONS!E83,IF(SMALL(CALCULATIONS!D66:D107,23)=19,CALCULATIONS!E84,IF(SMALL(CALCULATIONS!D66:D107,23)=20,CALCULATIONS!E85,IF(SMALL(CALCULATIONS!D66:D107,23)=21,CALCULATIONS!E86,IF(SMALL(CALCULATIONS!D66:D107,23)=22,CALCULATIONS!E87,IF(SMALL(CALCULATIONS!D66:D107,23)=23,CALCULATIONS!E88,IF(SMALL(CALCULATIONS!D66:D107,23)=24,CALCULATIONS!E89,IF(SMALL(CALCULATIONS!D66:D107,23)=25,CALCULATIONS!E90,IF(SMALL(CALCULATIONS!D66:D107,23)=26,CALCULATIONS!E91,IF(SMALL(CALCULATIONS!D66:D107,23)=27,CALCULATIONS!E92,IF(SMALL(CALCULATIONS!D66:D107,23)=28,CALCULATIONS!E93,IF(SMALL(CALCULATIONS!D66:D107,23)=29,CALCULATIONS!E94,IF(SMALL(CALCULATIONS!D66:D107,23)=30,CALCULATIONS!E95,IF(SMALL(CALCULATIONS!D66:D107,23)=31,CALCULATIONS!E96,IF(SMALL(CALCULATIONS!D66:D107,23)=32,CALCULATIONS!E97,IF(SMALL(CALCULATIONS!D66:D107,23)=33,CALCULATIONS!E98,IF(SMALL(CALCULATIONS!D66:D107,23)=34,CALCULATIONS!E99,IF(SMALL(CALCULATIONS!D66:D107,23)=35,CALCULATIONS!E100,IF(SMALL(CALCULATIONS!D66:D107,23)=36,CALCULATIONS!E101,IF(SMALL(CALCULATIONS!D66:D107,23)=37,CALCULATIONS!E102,IF(SMALL(CALCULATIONS!D66:D107,23)=38,CALCULATIONS!E103,IF(SMALL(CALCULATIONS!D66:D107,23)=39,CALCULATIONS!E104,IF(SMALL(CALCULATIONS!D66:D107,23)=40,CALCULATIONS!E105,IF(SMALL(CALCULATIONS!D66:D107,23)=41,CALCULATIONS!E106,IF(SMALL(CALCULATIONS!D66:D107,23)=42,CALCULATIONS!E107,"")))))))))))))))))))))))))))))))))))))))))),"")</f>
        <v/>
      </c>
      <c r="E37" s="27"/>
      <c r="F37" s="27" t="str">
        <f t="shared" si="1"/>
        <v/>
      </c>
      <c r="G37" s="27"/>
      <c r="H37" s="27" t="str">
        <f t="shared" si="2"/>
        <v/>
      </c>
    </row>
    <row r="38" spans="1:8" x14ac:dyDescent="0.25">
      <c r="A38" s="68" t="str">
        <f t="shared" si="0"/>
        <v/>
      </c>
      <c r="B38" s="27" t="str">
        <f>IF(COUNT(CALCULATIONS!D66:D107)&gt;=24,IF(SMALL(CALCULATIONS!D66:D107,24)=1,CALCULATIONS!C66,IF(SMALL(CALCULATIONS!D66:D107,24)=2,CALCULATIONS!C67,IF(SMALL(CALCULATIONS!D66:D107,24)=3,CALCULATIONS!C68,IF(SMALL(CALCULATIONS!D66:D107,24)=4,CALCULATIONS!C69,IF(SMALL(CALCULATIONS!D66:D107,24)=5,CALCULATIONS!C70,IF(SMALL(CALCULATIONS!D66:D107,24)=6,CALCULATIONS!C71,IF(SMALL(CALCULATIONS!D66:D107,24)=7,CALCULATIONS!C72,IF(SMALL(CALCULATIONS!D66:D107,24)=8,CALCULATIONS!C73,IF(SMALL(CALCULATIONS!D66:D107,24)=9,CALCULATIONS!C74,IF(SMALL(CALCULATIONS!D66:D107,24)=10,CALCULATIONS!C75,IF(SMALL(CALCULATIONS!D66:D107,24)=11,CALCULATIONS!C76,IF(SMALL(CALCULATIONS!D66:D107,24)=12,CALCULATIONS!C77,IF(SMALL(CALCULATIONS!D66:D107,24)=13,CALCULATIONS!C78,IF(SMALL(CALCULATIONS!D66:D107,24)=14,CALCULATIONS!C79,IF(SMALL(CALCULATIONS!D66:D107,24)=15,CALCULATIONS!C80,IF(SMALL(CALCULATIONS!D66:D107,24)=16,CALCULATIONS!C81,IF(SMALL(CALCULATIONS!D66:D107,24)=17,CALCULATIONS!C82,IF(SMALL(CALCULATIONS!D66:D107,24)=18,CALCULATIONS!C83,IF(SMALL(CALCULATIONS!D66:D107,24)=19,CALCULATIONS!C84,IF(SMALL(CALCULATIONS!D66:D107,24)=20,CALCULATIONS!C85,IF(SMALL(CALCULATIONS!D66:D107,24)=21,CALCULATIONS!C86,IF(SMALL(CALCULATIONS!D66:D107,24)=22,CALCULATIONS!C87,IF(SMALL(CALCULATIONS!D66:D107,24)=23,CALCULATIONS!C88,IF(SMALL(CALCULATIONS!D66:D107,24)=24,CALCULATIONS!C89,IF(SMALL(CALCULATIONS!D66:D107,24)=25,CALCULATIONS!C90,IF(SMALL(CALCULATIONS!D66:D107,24)=26,CALCULATIONS!C91,IF(SMALL(CALCULATIONS!D66:D107,24)=27,CALCULATIONS!C92,IF(SMALL(CALCULATIONS!D66:D107,24)=28,CALCULATIONS!C93,IF(SMALL(CALCULATIONS!D66:D107,24)=29,CALCULATIONS!C94,IF(SMALL(CALCULATIONS!D66:D107,24)=30,CALCULATIONS!C95,IF(SMALL(CALCULATIONS!D66:D107,24)=31,CALCULATIONS!C96,IF(SMALL(CALCULATIONS!D66:D107,24)=32,CALCULATIONS!C97,IF(SMALL(CALCULATIONS!D66:D107,24)=33,CALCULATIONS!C98,IF(SMALL(CALCULATIONS!D66:D107,24)=34,CALCULATIONS!C99,IF(SMALL(CALCULATIONS!D66:D107,24)=35,CALCULATIONS!C100,IF(SMALL(CALCULATIONS!D66:D107,24)=36,CALCULATIONS!C101,IF(SMALL(CALCULATIONS!D66:D107,24)=37,CALCULATIONS!C102,IF(SMALL(CALCULATIONS!D66:D107,24)=38,CALCULATIONS!C103,IF(SMALL(CALCULATIONS!D66:D107,24)=39,CALCULATIONS!C104,IF(SMALL(CALCULATIONS!D66:D107,24)=40,CALCULATIONS!C105,IF(SMALL(CALCULATIONS!D66:D107,24)=41,CALCULATIONS!C106,IF(SMALL(CALCULATIONS!D66:D107,24)=42,CALCULATIONS!C107,"")))))))))))))))))))))))))))))))))))))))))),"")</f>
        <v/>
      </c>
      <c r="C38" s="27"/>
      <c r="D38" s="27" t="str">
        <f>IF(COUNT(CALCULATIONS!D66:D107)&gt;=24,IF(SMALL(CALCULATIONS!D66:D107,24)=1,CALCULATIONS!E66,IF(SMALL(CALCULATIONS!D66:D107,24)=2,CALCULATIONS!E67,IF(SMALL(CALCULATIONS!D66:D107,24)=3,CALCULATIONS!E68,IF(SMALL(CALCULATIONS!D66:D107,24)=4,CALCULATIONS!E69,IF(SMALL(CALCULATIONS!D66:D107,24)=5,CALCULATIONS!E70,IF(SMALL(CALCULATIONS!D66:D107,24)=6,CALCULATIONS!E71,IF(SMALL(CALCULATIONS!D66:D107,24)=7,CALCULATIONS!E72,IF(SMALL(CALCULATIONS!D66:D107,24)=8,CALCULATIONS!E73,IF(SMALL(CALCULATIONS!D66:D107,24)=9,CALCULATIONS!E74,IF(SMALL(CALCULATIONS!D66:D107,24)=10,CALCULATIONS!E75,IF(SMALL(CALCULATIONS!D66:D107,24)=11,CALCULATIONS!E76,IF(SMALL(CALCULATIONS!D66:D107,24)=12,CALCULATIONS!E77,IF(SMALL(CALCULATIONS!D66:D107,24)=13,CALCULATIONS!E78,IF(SMALL(CALCULATIONS!D66:D107,24)=14,CALCULATIONS!E79,IF(SMALL(CALCULATIONS!D66:D107,24)=15,CALCULATIONS!E80,IF(SMALL(CALCULATIONS!D66:D107,24)=16,CALCULATIONS!E81,IF(SMALL(CALCULATIONS!D66:D107,24)=17,CALCULATIONS!E82,IF(SMALL(CALCULATIONS!D66:D107,24)=18,CALCULATIONS!E83,IF(SMALL(CALCULATIONS!D66:D107,24)=19,CALCULATIONS!E84,IF(SMALL(CALCULATIONS!D66:D107,24)=20,CALCULATIONS!E85,IF(SMALL(CALCULATIONS!D66:D107,24)=21,CALCULATIONS!E86,IF(SMALL(CALCULATIONS!D66:D107,24)=22,CALCULATIONS!E87,IF(SMALL(CALCULATIONS!D66:D107,24)=23,CALCULATIONS!E88,IF(SMALL(CALCULATIONS!D66:D107,24)=24,CALCULATIONS!E89,IF(SMALL(CALCULATIONS!D66:D107,24)=25,CALCULATIONS!E90,IF(SMALL(CALCULATIONS!D66:D107,24)=26,CALCULATIONS!E91,IF(SMALL(CALCULATIONS!D66:D107,24)=27,CALCULATIONS!E92,IF(SMALL(CALCULATIONS!D66:D107,24)=28,CALCULATIONS!E93,IF(SMALL(CALCULATIONS!D66:D107,24)=29,CALCULATIONS!E94,IF(SMALL(CALCULATIONS!D66:D107,24)=30,CALCULATIONS!E95,IF(SMALL(CALCULATIONS!D66:D107,24)=31,CALCULATIONS!E96,IF(SMALL(CALCULATIONS!D66:D107,24)=32,CALCULATIONS!E97,IF(SMALL(CALCULATIONS!D66:D107,24)=33,CALCULATIONS!E98,IF(SMALL(CALCULATIONS!D66:D107,24)=34,CALCULATIONS!E99,IF(SMALL(CALCULATIONS!D66:D107,24)=35,CALCULATIONS!E100,IF(SMALL(CALCULATIONS!D66:D107,24)=36,CALCULATIONS!E101,IF(SMALL(CALCULATIONS!D66:D107,24)=37,CALCULATIONS!E102,IF(SMALL(CALCULATIONS!D66:D107,24)=38,CALCULATIONS!E103,IF(SMALL(CALCULATIONS!D66:D107,24)=39,CALCULATIONS!E104,IF(SMALL(CALCULATIONS!D66:D107,24)=40,CALCULATIONS!E105,IF(SMALL(CALCULATIONS!D66:D107,24)=41,CALCULATIONS!E106,IF(SMALL(CALCULATIONS!D66:D107,24)=42,CALCULATIONS!E107,"")))))))))))))))))))))))))))))))))))))))))),"")</f>
        <v/>
      </c>
      <c r="E38" s="27"/>
      <c r="F38" s="27" t="str">
        <f t="shared" si="1"/>
        <v/>
      </c>
      <c r="G38" s="27"/>
      <c r="H38" s="27" t="str">
        <f t="shared" si="2"/>
        <v/>
      </c>
    </row>
    <row r="39" spans="1:8" x14ac:dyDescent="0.25">
      <c r="A39" s="68" t="str">
        <f t="shared" si="0"/>
        <v/>
      </c>
      <c r="B39" s="27" t="str">
        <f>IF(COUNT(CALCULATIONS!D66:D107)&gt;=25,IF(SMALL(CALCULATIONS!D66:D107,25)=1,CALCULATIONS!C66,IF(SMALL(CALCULATIONS!D66:D107,25)=2,CALCULATIONS!C67,IF(SMALL(CALCULATIONS!D66:D107,25)=3,CALCULATIONS!C68,IF(SMALL(CALCULATIONS!D66:D107,25)=4,CALCULATIONS!C69,IF(SMALL(CALCULATIONS!D66:D107,25)=5,CALCULATIONS!C70,IF(SMALL(CALCULATIONS!D66:D107,25)=6,CALCULATIONS!C71,IF(SMALL(CALCULATIONS!D66:D107,25)=7,CALCULATIONS!C72,IF(SMALL(CALCULATIONS!D66:D107,25)=8,CALCULATIONS!C73,IF(SMALL(CALCULATIONS!D66:D107,25)=9,CALCULATIONS!C74,IF(SMALL(CALCULATIONS!D66:D107,25)=10,CALCULATIONS!C75,IF(SMALL(CALCULATIONS!D66:D107,25)=11,CALCULATIONS!C76,IF(SMALL(CALCULATIONS!D66:D107,25)=12,CALCULATIONS!C77,IF(SMALL(CALCULATIONS!D66:D107,25)=13,CALCULATIONS!C78,IF(SMALL(CALCULATIONS!D66:D107,25)=14,CALCULATIONS!C79,IF(SMALL(CALCULATIONS!D66:D107,25)=15,CALCULATIONS!C80,IF(SMALL(CALCULATIONS!D66:D107,25)=16,CALCULATIONS!C81,IF(SMALL(CALCULATIONS!D66:D107,25)=17,CALCULATIONS!C82,IF(SMALL(CALCULATIONS!D66:D107,25)=18,CALCULATIONS!C83,IF(SMALL(CALCULATIONS!D66:D107,25)=19,CALCULATIONS!C84,IF(SMALL(CALCULATIONS!D66:D107,25)=20,CALCULATIONS!C85,IF(SMALL(CALCULATIONS!D66:D107,25)=21,CALCULATIONS!C86,IF(SMALL(CALCULATIONS!D66:D107,25)=22,CALCULATIONS!C87,IF(SMALL(CALCULATIONS!D66:D107,25)=23,CALCULATIONS!C88,IF(SMALL(CALCULATIONS!D66:D107,25)=24,CALCULATIONS!C89,IF(SMALL(CALCULATIONS!D66:D107,25)=25,CALCULATIONS!C90,IF(SMALL(CALCULATIONS!D66:D107,25)=26,CALCULATIONS!C91,IF(SMALL(CALCULATIONS!D66:D107,25)=27,CALCULATIONS!C92,IF(SMALL(CALCULATIONS!D66:D107,25)=28,CALCULATIONS!C93,IF(SMALL(CALCULATIONS!D66:D107,25)=29,CALCULATIONS!C94,IF(SMALL(CALCULATIONS!D66:D107,25)=30,CALCULATIONS!C95,IF(SMALL(CALCULATIONS!D66:D107,25)=31,CALCULATIONS!C96,IF(SMALL(CALCULATIONS!D66:D107,25)=32,CALCULATIONS!C97,IF(SMALL(CALCULATIONS!D66:D107,25)=33,CALCULATIONS!C98,IF(SMALL(CALCULATIONS!D66:D107,25)=34,CALCULATIONS!C99,IF(SMALL(CALCULATIONS!D66:D107,25)=35,CALCULATIONS!C100,IF(SMALL(CALCULATIONS!D66:D107,25)=36,CALCULATIONS!C101,IF(SMALL(CALCULATIONS!D66:D107,25)=37,CALCULATIONS!C102,IF(SMALL(CALCULATIONS!D66:D107,25)=38,CALCULATIONS!C103,IF(SMALL(CALCULATIONS!D66:D107,25)=39,CALCULATIONS!C104,IF(SMALL(CALCULATIONS!D66:D107,25)=40,CALCULATIONS!C105,IF(SMALL(CALCULATIONS!D66:D107,25)=41,CALCULATIONS!C106,IF(SMALL(CALCULATIONS!D66:D107,25)=42,CALCULATIONS!C107,"")))))))))))))))))))))))))))))))))))))))))),"")</f>
        <v/>
      </c>
      <c r="C39" s="27"/>
      <c r="D39" s="27" t="str">
        <f>IF(COUNT(CALCULATIONS!D66:D107)&gt;=25,IF(SMALL(CALCULATIONS!D66:D107,25)=1,CALCULATIONS!E66,IF(SMALL(CALCULATIONS!D66:D107,25)=2,CALCULATIONS!E67,IF(SMALL(CALCULATIONS!D66:D107,25)=3,CALCULATIONS!E68,IF(SMALL(CALCULATIONS!D66:D107,25)=4,CALCULATIONS!E69,IF(SMALL(CALCULATIONS!D66:D107,25)=5,CALCULATIONS!E70,IF(SMALL(CALCULATIONS!D66:D107,25)=6,CALCULATIONS!E71,IF(SMALL(CALCULATIONS!D66:D107,25)=7,CALCULATIONS!E72,IF(SMALL(CALCULATIONS!D66:D107,25)=8,CALCULATIONS!E73,IF(SMALL(CALCULATIONS!D66:D107,25)=9,CALCULATIONS!E74,IF(SMALL(CALCULATIONS!D66:D107,25)=10,CALCULATIONS!E75,IF(SMALL(CALCULATIONS!D66:D107,25)=11,CALCULATIONS!E76,IF(SMALL(CALCULATIONS!D66:D107,25)=12,CALCULATIONS!E77,IF(SMALL(CALCULATIONS!D66:D107,25)=13,CALCULATIONS!E78,IF(SMALL(CALCULATIONS!D66:D107,25)=14,CALCULATIONS!E79,IF(SMALL(CALCULATIONS!D66:D107,25)=15,CALCULATIONS!E80,IF(SMALL(CALCULATIONS!D66:D107,25)=16,CALCULATIONS!E81,IF(SMALL(CALCULATIONS!D66:D107,25)=17,CALCULATIONS!E82,IF(SMALL(CALCULATIONS!D66:D107,25)=18,CALCULATIONS!E83,IF(SMALL(CALCULATIONS!D66:D107,25)=19,CALCULATIONS!E84,IF(SMALL(CALCULATIONS!D66:D107,25)=20,CALCULATIONS!E85,IF(SMALL(CALCULATIONS!D66:D107,25)=21,CALCULATIONS!E86,IF(SMALL(CALCULATIONS!D66:D107,25)=22,CALCULATIONS!E87,IF(SMALL(CALCULATIONS!D66:D107,25)=23,CALCULATIONS!E88,IF(SMALL(CALCULATIONS!D66:D107,25)=24,CALCULATIONS!E89,IF(SMALL(CALCULATIONS!D66:D107,25)=25,CALCULATIONS!E90,IF(SMALL(CALCULATIONS!D66:D107,25)=26,CALCULATIONS!E91,IF(SMALL(CALCULATIONS!D66:D107,25)=27,CALCULATIONS!E92,IF(SMALL(CALCULATIONS!D66:D107,25)=28,CALCULATIONS!E93,IF(SMALL(CALCULATIONS!D66:D107,25)=29,CALCULATIONS!E94,IF(SMALL(CALCULATIONS!D66:D107,25)=30,CALCULATIONS!E95,IF(SMALL(CALCULATIONS!D66:D107,25)=31,CALCULATIONS!E96,IF(SMALL(CALCULATIONS!D66:D107,25)=32,CALCULATIONS!E97,IF(SMALL(CALCULATIONS!D66:D107,25)=33,CALCULATIONS!E98,IF(SMALL(CALCULATIONS!D66:D107,25)=34,CALCULATIONS!E99,IF(SMALL(CALCULATIONS!D66:D107,25)=35,CALCULATIONS!E100,IF(SMALL(CALCULATIONS!D66:D107,25)=36,CALCULATIONS!E101,IF(SMALL(CALCULATIONS!D66:D107,25)=37,CALCULATIONS!E102,IF(SMALL(CALCULATIONS!D66:D107,25)=38,CALCULATIONS!E103,IF(SMALL(CALCULATIONS!D66:D107,25)=39,CALCULATIONS!E104,IF(SMALL(CALCULATIONS!D66:D107,25)=40,CALCULATIONS!E105,IF(SMALL(CALCULATIONS!D66:D107,25)=41,CALCULATIONS!E106,IF(SMALL(CALCULATIONS!D66:D107,25)=42,CALCULATIONS!E107,"")))))))))))))))))))))))))))))))))))))))))),"")</f>
        <v/>
      </c>
      <c r="E39" s="27"/>
      <c r="F39" s="27" t="str">
        <f t="shared" si="1"/>
        <v/>
      </c>
      <c r="G39" s="27"/>
      <c r="H39" s="27" t="str">
        <f t="shared" si="2"/>
        <v/>
      </c>
    </row>
    <row r="40" spans="1:8" x14ac:dyDescent="0.25">
      <c r="A40" s="68" t="str">
        <f t="shared" si="0"/>
        <v/>
      </c>
      <c r="B40" s="27" t="str">
        <f>IF(COUNT(CALCULATIONS!D66:D107)&gt;=26,IF(SMALL(CALCULATIONS!D66:D107,26)=1,CALCULATIONS!C66,IF(SMALL(CALCULATIONS!D66:D107,26)=2,CALCULATIONS!C67,IF(SMALL(CALCULATIONS!D66:D107,26)=3,CALCULATIONS!C68,IF(SMALL(CALCULATIONS!D66:D107,26)=4,CALCULATIONS!C69,IF(SMALL(CALCULATIONS!D66:D107,26)=5,CALCULATIONS!C70,IF(SMALL(CALCULATIONS!D66:D107,26)=6,CALCULATIONS!C71,IF(SMALL(CALCULATIONS!D66:D107,26)=7,CALCULATIONS!C72,IF(SMALL(CALCULATIONS!D66:D107,26)=8,CALCULATIONS!C73,IF(SMALL(CALCULATIONS!D66:D107,26)=9,CALCULATIONS!C74,IF(SMALL(CALCULATIONS!D66:D107,26)=10,CALCULATIONS!C75,IF(SMALL(CALCULATIONS!D66:D107,26)=11,CALCULATIONS!C76,IF(SMALL(CALCULATIONS!D66:D107,26)=12,CALCULATIONS!C77,IF(SMALL(CALCULATIONS!D66:D107,26)=13,CALCULATIONS!C78,IF(SMALL(CALCULATIONS!D66:D107,26)=14,CALCULATIONS!C79,IF(SMALL(CALCULATIONS!D66:D107,26)=15,CALCULATIONS!C80,IF(SMALL(CALCULATIONS!D66:D107,26)=16,CALCULATIONS!C81,IF(SMALL(CALCULATIONS!D66:D107,26)=17,CALCULATIONS!C82,IF(SMALL(CALCULATIONS!D66:D107,26)=18,CALCULATIONS!C83,IF(SMALL(CALCULATIONS!D66:D107,26)=19,CALCULATIONS!C84,IF(SMALL(CALCULATIONS!D66:D107,26)=20,CALCULATIONS!C85,IF(SMALL(CALCULATIONS!D66:D107,26)=21,CALCULATIONS!C86,IF(SMALL(CALCULATIONS!D66:D107,26)=22,CALCULATIONS!C87,IF(SMALL(CALCULATIONS!D66:D107,26)=23,CALCULATIONS!C88,IF(SMALL(CALCULATIONS!D66:D107,26)=24,CALCULATIONS!C89,IF(SMALL(CALCULATIONS!D66:D107,26)=25,CALCULATIONS!C90,IF(SMALL(CALCULATIONS!D66:D107,26)=26,CALCULATIONS!C91,IF(SMALL(CALCULATIONS!D66:D107,26)=27,CALCULATIONS!C92,IF(SMALL(CALCULATIONS!D66:D107,26)=28,CALCULATIONS!C93,IF(SMALL(CALCULATIONS!D66:D107,26)=29,CALCULATIONS!C94,IF(SMALL(CALCULATIONS!D66:D107,26)=30,CALCULATIONS!C95,IF(SMALL(CALCULATIONS!D66:D107,26)=31,CALCULATIONS!C96,IF(SMALL(CALCULATIONS!D66:D107,26)=32,CALCULATIONS!C97,IF(SMALL(CALCULATIONS!D66:D107,26)=33,CALCULATIONS!C98,IF(SMALL(CALCULATIONS!D66:D107,26)=34,CALCULATIONS!C99,IF(SMALL(CALCULATIONS!D66:D107,26)=35,CALCULATIONS!C100,IF(SMALL(CALCULATIONS!D66:D107,26)=36,CALCULATIONS!C101,IF(SMALL(CALCULATIONS!D66:D107,26)=37,CALCULATIONS!C102,IF(SMALL(CALCULATIONS!D66:D107,26)=38,CALCULATIONS!C103,IF(SMALL(CALCULATIONS!D66:D107,26)=39,CALCULATIONS!C104,IF(SMALL(CALCULATIONS!D66:D107,26)=40,CALCULATIONS!C105,IF(SMALL(CALCULATIONS!D66:D107,26)=41,CALCULATIONS!C106,IF(SMALL(CALCULATIONS!D66:D107,26)=42,CALCULATIONS!C107,"")))))))))))))))))))))))))))))))))))))))))),"")</f>
        <v/>
      </c>
      <c r="C40" s="27"/>
      <c r="D40" s="27" t="str">
        <f>IF(COUNT(CALCULATIONS!D66:D107)&gt;=26,IF(SMALL(CALCULATIONS!D66:D107,26)=1,CALCULATIONS!E66,IF(SMALL(CALCULATIONS!D66:D107,26)=2,CALCULATIONS!E67,IF(SMALL(CALCULATIONS!D66:D107,26)=3,CALCULATIONS!E68,IF(SMALL(CALCULATIONS!D66:D107,26)=4,CALCULATIONS!E69,IF(SMALL(CALCULATIONS!D66:D107,26)=5,CALCULATIONS!E70,IF(SMALL(CALCULATIONS!D66:D107,26)=6,CALCULATIONS!E71,IF(SMALL(CALCULATIONS!D66:D107,26)=7,CALCULATIONS!E72,IF(SMALL(CALCULATIONS!D66:D107,26)=8,CALCULATIONS!E73,IF(SMALL(CALCULATIONS!D66:D107,26)=9,CALCULATIONS!E74,IF(SMALL(CALCULATIONS!D66:D107,26)=10,CALCULATIONS!E75,IF(SMALL(CALCULATIONS!D66:D107,26)=11,CALCULATIONS!E76,IF(SMALL(CALCULATIONS!D66:D107,26)=12,CALCULATIONS!E77,IF(SMALL(CALCULATIONS!D66:D107,26)=13,CALCULATIONS!E78,IF(SMALL(CALCULATIONS!D66:D107,26)=14,CALCULATIONS!E79,IF(SMALL(CALCULATIONS!D66:D107,26)=15,CALCULATIONS!E80,IF(SMALL(CALCULATIONS!D66:D107,26)=16,CALCULATIONS!E81,IF(SMALL(CALCULATIONS!D66:D107,26)=17,CALCULATIONS!E82,IF(SMALL(CALCULATIONS!D66:D107,26)=18,CALCULATIONS!E83,IF(SMALL(CALCULATIONS!D66:D107,26)=19,CALCULATIONS!E84,IF(SMALL(CALCULATIONS!D66:D107,26)=20,CALCULATIONS!E85,IF(SMALL(CALCULATIONS!D66:D107,26)=21,CALCULATIONS!E86,IF(SMALL(CALCULATIONS!D66:D107,26)=22,CALCULATIONS!E87,IF(SMALL(CALCULATIONS!D66:D107,26)=23,CALCULATIONS!E88,IF(SMALL(CALCULATIONS!D66:D107,26)=24,CALCULATIONS!E89,IF(SMALL(CALCULATIONS!D66:D107,26)=25,CALCULATIONS!E90,IF(SMALL(CALCULATIONS!D66:D107,26)=26,CALCULATIONS!E91,IF(SMALL(CALCULATIONS!D66:D107,26)=27,CALCULATIONS!E92,IF(SMALL(CALCULATIONS!D66:D107,26)=28,CALCULATIONS!E93,IF(SMALL(CALCULATIONS!D66:D107,26)=29,CALCULATIONS!E94,IF(SMALL(CALCULATIONS!D66:D107,26)=30,CALCULATIONS!E95,IF(SMALL(CALCULATIONS!D66:D107,26)=31,CALCULATIONS!E96,IF(SMALL(CALCULATIONS!D66:D107,26)=32,CALCULATIONS!E97,IF(SMALL(CALCULATIONS!D66:D107,26)=33,CALCULATIONS!E98,IF(SMALL(CALCULATIONS!D66:D107,26)=34,CALCULATIONS!E99,IF(SMALL(CALCULATIONS!D66:D107,26)=35,CALCULATIONS!E100,IF(SMALL(CALCULATIONS!D66:D107,26)=36,CALCULATIONS!E101,IF(SMALL(CALCULATIONS!D66:D107,26)=37,CALCULATIONS!E102,IF(SMALL(CALCULATIONS!D66:D107,26)=38,CALCULATIONS!E103,IF(SMALL(CALCULATIONS!D66:D107,26)=39,CALCULATIONS!E104,IF(SMALL(CALCULATIONS!D66:D107,26)=40,CALCULATIONS!E105,IF(SMALL(CALCULATIONS!D66:D107,26)=41,CALCULATIONS!E106,IF(SMALL(CALCULATIONS!D66:D107,26)=42,CALCULATIONS!E107,"")))))))))))))))))))))))))))))))))))))))))),"")</f>
        <v/>
      </c>
      <c r="E40" s="27"/>
      <c r="F40" s="27" t="str">
        <f t="shared" si="1"/>
        <v/>
      </c>
      <c r="G40" s="27"/>
      <c r="H40" s="27" t="str">
        <f t="shared" si="2"/>
        <v/>
      </c>
    </row>
    <row r="41" spans="1:8" x14ac:dyDescent="0.25">
      <c r="A41" s="68" t="str">
        <f t="shared" si="0"/>
        <v/>
      </c>
      <c r="B41" s="27" t="str">
        <f>IF(COUNT(CALCULATIONS!D66:D107)&gt;=27,IF(SMALL(CALCULATIONS!D66:D107,27)=1,CALCULATIONS!C66,IF(SMALL(CALCULATIONS!D66:D107,27)=2,CALCULATIONS!C67,IF(SMALL(CALCULATIONS!D66:D107,27)=3,CALCULATIONS!C68,IF(SMALL(CALCULATIONS!D66:D107,27)=4,CALCULATIONS!C69,IF(SMALL(CALCULATIONS!D66:D107,27)=5,CALCULATIONS!C70,IF(SMALL(CALCULATIONS!D66:D107,27)=6,CALCULATIONS!C71,IF(SMALL(CALCULATIONS!D66:D107,27)=7,CALCULATIONS!C72,IF(SMALL(CALCULATIONS!D66:D107,27)=8,CALCULATIONS!C73,IF(SMALL(CALCULATIONS!D66:D107,27)=9,CALCULATIONS!C74,IF(SMALL(CALCULATIONS!D66:D107,27)=10,CALCULATIONS!C75,IF(SMALL(CALCULATIONS!D66:D107,27)=11,CALCULATIONS!C76,IF(SMALL(CALCULATIONS!D66:D107,27)=12,CALCULATIONS!C77,IF(SMALL(CALCULATIONS!D66:D107,27)=13,CALCULATIONS!C78,IF(SMALL(CALCULATIONS!D66:D107,27)=14,CALCULATIONS!C79,IF(SMALL(CALCULATIONS!D66:D107,27)=15,CALCULATIONS!C80,IF(SMALL(CALCULATIONS!D66:D107,27)=16,CALCULATIONS!C81,IF(SMALL(CALCULATIONS!D66:D107,27)=17,CALCULATIONS!C82,IF(SMALL(CALCULATIONS!D66:D107,27)=18,CALCULATIONS!C83,IF(SMALL(CALCULATIONS!D66:D107,27)=19,CALCULATIONS!C84,IF(SMALL(CALCULATIONS!D66:D107,27)=20,CALCULATIONS!C85,IF(SMALL(CALCULATIONS!D66:D107,27)=21,CALCULATIONS!C86,IF(SMALL(CALCULATIONS!D66:D107,27)=22,CALCULATIONS!C87,IF(SMALL(CALCULATIONS!D66:D107,27)=23,CALCULATIONS!C88,IF(SMALL(CALCULATIONS!D66:D107,27)=24,CALCULATIONS!C89,IF(SMALL(CALCULATIONS!D66:D107,27)=25,CALCULATIONS!C90,IF(SMALL(CALCULATIONS!D66:D107,27)=26,CALCULATIONS!C91,IF(SMALL(CALCULATIONS!D66:D107,27)=27,CALCULATIONS!C92,IF(SMALL(CALCULATIONS!D66:D107,27)=28,CALCULATIONS!C93,IF(SMALL(CALCULATIONS!D66:D107,27)=29,CALCULATIONS!C94,IF(SMALL(CALCULATIONS!D66:D107,27)=30,CALCULATIONS!C95,IF(SMALL(CALCULATIONS!D66:D107,27)=31,CALCULATIONS!C96,IF(SMALL(CALCULATIONS!D66:D107,27)=32,CALCULATIONS!C97,IF(SMALL(CALCULATIONS!D66:D107,27)=33,CALCULATIONS!C98,IF(SMALL(CALCULATIONS!D66:D107,27)=34,CALCULATIONS!C99,IF(SMALL(CALCULATIONS!D66:D107,27)=35,CALCULATIONS!C100,IF(SMALL(CALCULATIONS!D66:D107,27)=36,CALCULATIONS!C101,IF(SMALL(CALCULATIONS!D66:D107,27)=37,CALCULATIONS!C102,IF(SMALL(CALCULATIONS!D66:D107,27)=38,CALCULATIONS!C103,IF(SMALL(CALCULATIONS!D66:D107,27)=39,CALCULATIONS!C104,IF(SMALL(CALCULATIONS!D66:D107,27)=40,CALCULATIONS!C105,IF(SMALL(CALCULATIONS!D66:D107,27)=41,CALCULATIONS!C106,IF(SMALL(CALCULATIONS!D66:D107,27)=42,CALCULATIONS!C107,"")))))))))))))))))))))))))))))))))))))))))),"")</f>
        <v/>
      </c>
      <c r="C41" s="27"/>
      <c r="D41" s="27" t="str">
        <f>IF(COUNT(CALCULATIONS!D66:D107)&gt;=27,IF(SMALL(CALCULATIONS!D66:D107,27)=1,CALCULATIONS!E66,IF(SMALL(CALCULATIONS!D66:D107,27)=2,CALCULATIONS!E67,IF(SMALL(CALCULATIONS!D66:D107,27)=3,CALCULATIONS!E68,IF(SMALL(CALCULATIONS!D66:D107,27)=4,CALCULATIONS!E69,IF(SMALL(CALCULATIONS!D66:D107,27)=5,CALCULATIONS!E70,IF(SMALL(CALCULATIONS!D66:D107,27)=6,CALCULATIONS!E71,IF(SMALL(CALCULATIONS!D66:D107,27)=7,CALCULATIONS!E72,IF(SMALL(CALCULATIONS!D66:D107,27)=8,CALCULATIONS!E73,IF(SMALL(CALCULATIONS!D66:D107,27)=9,CALCULATIONS!E74,IF(SMALL(CALCULATIONS!D66:D107,27)=10,CALCULATIONS!E75,IF(SMALL(CALCULATIONS!D66:D107,27)=11,CALCULATIONS!E76,IF(SMALL(CALCULATIONS!D66:D107,27)=12,CALCULATIONS!E77,IF(SMALL(CALCULATIONS!D66:D107,27)=13,CALCULATIONS!E78,IF(SMALL(CALCULATIONS!D66:D107,27)=14,CALCULATIONS!E79,IF(SMALL(CALCULATIONS!D66:D107,27)=15,CALCULATIONS!E80,IF(SMALL(CALCULATIONS!D66:D107,27)=16,CALCULATIONS!E81,IF(SMALL(CALCULATIONS!D66:D107,27)=17,CALCULATIONS!E82,IF(SMALL(CALCULATIONS!D66:D107,27)=18,CALCULATIONS!E83,IF(SMALL(CALCULATIONS!D66:D107,27)=19,CALCULATIONS!E84,IF(SMALL(CALCULATIONS!D66:D107,27)=20,CALCULATIONS!E85,IF(SMALL(CALCULATIONS!D66:D107,27)=21,CALCULATIONS!E86,IF(SMALL(CALCULATIONS!D66:D107,27)=22,CALCULATIONS!E87,IF(SMALL(CALCULATIONS!D66:D107,27)=23,CALCULATIONS!E88,IF(SMALL(CALCULATIONS!D66:D107,27)=24,CALCULATIONS!E89,IF(SMALL(CALCULATIONS!D66:D107,27)=25,CALCULATIONS!E90,IF(SMALL(CALCULATIONS!D66:D107,27)=26,CALCULATIONS!E91,IF(SMALL(CALCULATIONS!D66:D107,27)=27,CALCULATIONS!E92,IF(SMALL(CALCULATIONS!D66:D107,27)=28,CALCULATIONS!E93,IF(SMALL(CALCULATIONS!D66:D107,27)=29,CALCULATIONS!E94,IF(SMALL(CALCULATIONS!D66:D107,27)=30,CALCULATIONS!E95,IF(SMALL(CALCULATIONS!D66:D107,27)=31,CALCULATIONS!E96,IF(SMALL(CALCULATIONS!D66:D107,27)=32,CALCULATIONS!E97,IF(SMALL(CALCULATIONS!D66:D107,27)=33,CALCULATIONS!E98,IF(SMALL(CALCULATIONS!D66:D107,27)=34,CALCULATIONS!E99,IF(SMALL(CALCULATIONS!D66:D107,27)=35,CALCULATIONS!E100,IF(SMALL(CALCULATIONS!D66:D107,27)=36,CALCULATIONS!E101,IF(SMALL(CALCULATIONS!D66:D107,27)=37,CALCULATIONS!E102,IF(SMALL(CALCULATIONS!D66:D107,27)=38,CALCULATIONS!E103,IF(SMALL(CALCULATIONS!D66:D107,27)=39,CALCULATIONS!E104,IF(SMALL(CALCULATIONS!D66:D107,27)=40,CALCULATIONS!E105,IF(SMALL(CALCULATIONS!D66:D107,27)=41,CALCULATIONS!E106,IF(SMALL(CALCULATIONS!D66:D107,27)=42,CALCULATIONS!E107,"")))))))))))))))))))))))))))))))))))))))))),"")</f>
        <v/>
      </c>
      <c r="E41" s="27"/>
      <c r="F41" s="27" t="str">
        <f t="shared" si="1"/>
        <v/>
      </c>
      <c r="G41" s="27"/>
      <c r="H41" s="27" t="str">
        <f t="shared" si="2"/>
        <v/>
      </c>
    </row>
    <row r="42" spans="1:8" x14ac:dyDescent="0.25">
      <c r="A42" s="68" t="str">
        <f t="shared" si="0"/>
        <v/>
      </c>
      <c r="B42" s="27" t="str">
        <f>IF(COUNT(CALCULATIONS!D66:D107)&gt;=28,IF(SMALL(CALCULATIONS!D66:D107,28)=1,CALCULATIONS!C66,IF(SMALL(CALCULATIONS!D66:D107,28)=2,CALCULATIONS!C67,IF(SMALL(CALCULATIONS!D66:D107,28)=3,CALCULATIONS!C68,IF(SMALL(CALCULATIONS!D66:D107,28)=4,CALCULATIONS!C69,IF(SMALL(CALCULATIONS!D66:D107,28)=5,CALCULATIONS!C70,IF(SMALL(CALCULATIONS!D66:D107,28)=6,CALCULATIONS!C71,IF(SMALL(CALCULATIONS!D66:D107,28)=7,CALCULATIONS!C72,IF(SMALL(CALCULATIONS!D66:D107,28)=8,CALCULATIONS!C73,IF(SMALL(CALCULATIONS!D66:D107,28)=9,CALCULATIONS!C74,IF(SMALL(CALCULATIONS!D66:D107,28)=10,CALCULATIONS!C75,IF(SMALL(CALCULATIONS!D66:D107,28)=11,CALCULATIONS!C76,IF(SMALL(CALCULATIONS!D66:D107,28)=12,CALCULATIONS!C77,IF(SMALL(CALCULATIONS!D66:D107,28)=13,CALCULATIONS!C78,IF(SMALL(CALCULATIONS!D66:D107,28)=14,CALCULATIONS!C79,IF(SMALL(CALCULATIONS!D66:D107,28)=15,CALCULATIONS!C80,IF(SMALL(CALCULATIONS!D66:D107,28)=16,CALCULATIONS!C81,IF(SMALL(CALCULATIONS!D66:D107,28)=17,CALCULATIONS!C82,IF(SMALL(CALCULATIONS!D66:D107,28)=18,CALCULATIONS!C83,IF(SMALL(CALCULATIONS!D66:D107,28)=19,CALCULATIONS!C84,IF(SMALL(CALCULATIONS!D66:D107,28)=20,CALCULATIONS!C85,IF(SMALL(CALCULATIONS!D66:D107,28)=21,CALCULATIONS!C86,IF(SMALL(CALCULATIONS!D66:D107,28)=22,CALCULATIONS!C87,IF(SMALL(CALCULATIONS!D66:D107,28)=23,CALCULATIONS!C88,IF(SMALL(CALCULATIONS!D66:D107,28)=24,CALCULATIONS!C89,IF(SMALL(CALCULATIONS!D66:D107,28)=25,CALCULATIONS!C90,IF(SMALL(CALCULATIONS!D66:D107,28)=26,CALCULATIONS!C91,IF(SMALL(CALCULATIONS!D66:D107,28)=27,CALCULATIONS!C92,IF(SMALL(CALCULATIONS!D66:D107,28)=28,CALCULATIONS!C93,IF(SMALL(CALCULATIONS!D66:D107,28)=29,CALCULATIONS!C94,IF(SMALL(CALCULATIONS!D66:D107,28)=30,CALCULATIONS!C95,IF(SMALL(CALCULATIONS!D66:D107,28)=31,CALCULATIONS!C96,IF(SMALL(CALCULATIONS!D66:D107,28)=32,CALCULATIONS!C97,IF(SMALL(CALCULATIONS!D66:D107,28)=33,CALCULATIONS!C98,IF(SMALL(CALCULATIONS!D66:D107,28)=34,CALCULATIONS!C99,IF(SMALL(CALCULATIONS!D66:D107,28)=35,CALCULATIONS!C100,IF(SMALL(CALCULATIONS!D66:D107,28)=36,CALCULATIONS!C101,IF(SMALL(CALCULATIONS!D66:D107,28)=37,CALCULATIONS!C102,IF(SMALL(CALCULATIONS!D66:D107,28)=38,CALCULATIONS!C103,IF(SMALL(CALCULATIONS!D66:D107,28)=39,CALCULATIONS!C104,IF(SMALL(CALCULATIONS!D66:D107,28)=40,CALCULATIONS!C105,IF(SMALL(CALCULATIONS!D66:D107,28)=41,CALCULATIONS!C106,IF(SMALL(CALCULATIONS!D66:D107,28)=42,CALCULATIONS!C107,"")))))))))))))))))))))))))))))))))))))))))),"")</f>
        <v/>
      </c>
      <c r="C42" s="27"/>
      <c r="D42" s="27" t="str">
        <f>IF(COUNT(CALCULATIONS!D66:D107)&gt;=28,IF(SMALL(CALCULATIONS!D66:D107,28)=1,CALCULATIONS!E66,IF(SMALL(CALCULATIONS!D66:D107,28)=2,CALCULATIONS!E67,IF(SMALL(CALCULATIONS!D66:D107,28)=3,CALCULATIONS!E68,IF(SMALL(CALCULATIONS!D66:D107,28)=4,CALCULATIONS!E69,IF(SMALL(CALCULATIONS!D66:D107,28)=5,CALCULATIONS!E70,IF(SMALL(CALCULATIONS!D66:D107,28)=6,CALCULATIONS!E71,IF(SMALL(CALCULATIONS!D66:D107,28)=7,CALCULATIONS!E72,IF(SMALL(CALCULATIONS!D66:D107,28)=8,CALCULATIONS!E73,IF(SMALL(CALCULATIONS!D66:D107,28)=9,CALCULATIONS!E74,IF(SMALL(CALCULATIONS!D66:D107,28)=10,CALCULATIONS!E75,IF(SMALL(CALCULATIONS!D66:D107,28)=11,CALCULATIONS!E76,IF(SMALL(CALCULATIONS!D66:D107,28)=12,CALCULATIONS!E77,IF(SMALL(CALCULATIONS!D66:D107,28)=13,CALCULATIONS!E78,IF(SMALL(CALCULATIONS!D66:D107,28)=14,CALCULATIONS!E79,IF(SMALL(CALCULATIONS!D66:D107,28)=15,CALCULATIONS!E80,IF(SMALL(CALCULATIONS!D66:D107,28)=16,CALCULATIONS!E81,IF(SMALL(CALCULATIONS!D66:D107,28)=17,CALCULATIONS!E82,IF(SMALL(CALCULATIONS!D66:D107,28)=18,CALCULATIONS!E83,IF(SMALL(CALCULATIONS!D66:D107,28)=19,CALCULATIONS!E84,IF(SMALL(CALCULATIONS!D66:D107,28)=20,CALCULATIONS!E85,IF(SMALL(CALCULATIONS!D66:D107,28)=21,CALCULATIONS!E86,IF(SMALL(CALCULATIONS!D66:D107,28)=22,CALCULATIONS!E87,IF(SMALL(CALCULATIONS!D66:D107,28)=23,CALCULATIONS!E88,IF(SMALL(CALCULATIONS!D66:D107,28)=24,CALCULATIONS!E89,IF(SMALL(CALCULATIONS!D66:D107,28)=25,CALCULATIONS!E90,IF(SMALL(CALCULATIONS!D66:D107,28)=26,CALCULATIONS!E91,IF(SMALL(CALCULATIONS!D66:D107,28)=27,CALCULATIONS!E92,IF(SMALL(CALCULATIONS!D66:D107,28)=28,CALCULATIONS!E93,IF(SMALL(CALCULATIONS!D66:D107,28)=29,CALCULATIONS!E94,IF(SMALL(CALCULATIONS!D66:D107,28)=30,CALCULATIONS!E95,IF(SMALL(CALCULATIONS!D66:D107,28)=31,CALCULATIONS!E96,IF(SMALL(CALCULATIONS!D66:D107,28)=32,CALCULATIONS!E97,IF(SMALL(CALCULATIONS!D66:D107,28)=33,CALCULATIONS!E98,IF(SMALL(CALCULATIONS!D66:D107,28)=34,CALCULATIONS!E99,IF(SMALL(CALCULATIONS!D66:D107,28)=35,CALCULATIONS!E100,IF(SMALL(CALCULATIONS!D66:D107,28)=36,CALCULATIONS!E101,IF(SMALL(CALCULATIONS!D66:D107,28)=37,CALCULATIONS!E102,IF(SMALL(CALCULATIONS!D66:D107,28)=38,CALCULATIONS!E103,IF(SMALL(CALCULATIONS!D66:D107,28)=39,CALCULATIONS!E104,IF(SMALL(CALCULATIONS!D66:D107,28)=40,CALCULATIONS!E105,IF(SMALL(CALCULATIONS!D66:D107,28)=41,CALCULATIONS!E106,IF(SMALL(CALCULATIONS!D66:D107,28)=42,CALCULATIONS!E107,"")))))))))))))))))))))))))))))))))))))))))),"")</f>
        <v/>
      </c>
      <c r="E42" s="27"/>
      <c r="F42" s="27" t="str">
        <f t="shared" si="1"/>
        <v/>
      </c>
      <c r="G42" s="27"/>
      <c r="H42" s="27" t="str">
        <f t="shared" si="2"/>
        <v/>
      </c>
    </row>
    <row r="43" spans="1:8" x14ac:dyDescent="0.25">
      <c r="A43" s="68" t="str">
        <f t="shared" si="0"/>
        <v/>
      </c>
      <c r="B43" s="27" t="str">
        <f>IF(COUNT(CALCULATIONS!D66:D107)&gt;=29,IF(SMALL(CALCULATIONS!D66:D107,29)=1,CALCULATIONS!C66,IF(SMALL(CALCULATIONS!D66:D107,29)=2,CALCULATIONS!C67,IF(SMALL(CALCULATIONS!D66:D107,29)=3,CALCULATIONS!C68,IF(SMALL(CALCULATIONS!D66:D107,29)=4,CALCULATIONS!C69,IF(SMALL(CALCULATIONS!D66:D107,29)=5,CALCULATIONS!C70,IF(SMALL(CALCULATIONS!D66:D107,29)=6,CALCULATIONS!C71,IF(SMALL(CALCULATIONS!D66:D107,29)=7,CALCULATIONS!C72,IF(SMALL(CALCULATIONS!D66:D107,29)=8,CALCULATIONS!C73,IF(SMALL(CALCULATIONS!D66:D107,29)=9,CALCULATIONS!C74,IF(SMALL(CALCULATIONS!D66:D107,29)=10,CALCULATIONS!C75,IF(SMALL(CALCULATIONS!D66:D107,29)=11,CALCULATIONS!C76,IF(SMALL(CALCULATIONS!D66:D107,29)=12,CALCULATIONS!C77,IF(SMALL(CALCULATIONS!D66:D107,29)=13,CALCULATIONS!C78,IF(SMALL(CALCULATIONS!D66:D107,29)=14,CALCULATIONS!C79,IF(SMALL(CALCULATIONS!D66:D107,29)=15,CALCULATIONS!C80,IF(SMALL(CALCULATIONS!D66:D107,29)=16,CALCULATIONS!C81,IF(SMALL(CALCULATIONS!D66:D107,29)=17,CALCULATIONS!C82,IF(SMALL(CALCULATIONS!D66:D107,29)=18,CALCULATIONS!C83,IF(SMALL(CALCULATIONS!D66:D107,29)=19,CALCULATIONS!C84,IF(SMALL(CALCULATIONS!D66:D107,29)=20,CALCULATIONS!C85,IF(SMALL(CALCULATIONS!D66:D107,29)=21,CALCULATIONS!C86,IF(SMALL(CALCULATIONS!D66:D107,29)=22,CALCULATIONS!C87,IF(SMALL(CALCULATIONS!D66:D107,29)=23,CALCULATIONS!C88,IF(SMALL(CALCULATIONS!D66:D107,29)=24,CALCULATIONS!C89,IF(SMALL(CALCULATIONS!D66:D107,29)=25,CALCULATIONS!C90,IF(SMALL(CALCULATIONS!D66:D107,29)=26,CALCULATIONS!C91,IF(SMALL(CALCULATIONS!D66:D107,29)=27,CALCULATIONS!C92,IF(SMALL(CALCULATIONS!D66:D107,29)=28,CALCULATIONS!C93,IF(SMALL(CALCULATIONS!D66:D107,29)=29,CALCULATIONS!C94,IF(SMALL(CALCULATIONS!D66:D107,29)=30,CALCULATIONS!C95,IF(SMALL(CALCULATIONS!D66:D107,29)=31,CALCULATIONS!C96,IF(SMALL(CALCULATIONS!D66:D107,29)=32,CALCULATIONS!C97,IF(SMALL(CALCULATIONS!D66:D107,29)=33,CALCULATIONS!C98,IF(SMALL(CALCULATIONS!D66:D107,29)=34,CALCULATIONS!C99,IF(SMALL(CALCULATIONS!D66:D107,29)=35,CALCULATIONS!C100,IF(SMALL(CALCULATIONS!D66:D107,29)=36,CALCULATIONS!C101,IF(SMALL(CALCULATIONS!D66:D107,29)=37,CALCULATIONS!C102,IF(SMALL(CALCULATIONS!D66:D107,29)=38,CALCULATIONS!C103,IF(SMALL(CALCULATIONS!D66:D107,29)=39,CALCULATIONS!C104,IF(SMALL(CALCULATIONS!D66:D107,29)=40,CALCULATIONS!C105,IF(SMALL(CALCULATIONS!D66:D107,29)=41,CALCULATIONS!C106,IF(SMALL(CALCULATIONS!D66:D107,29)=42,CALCULATIONS!C107,"")))))))))))))))))))))))))))))))))))))))))),"")</f>
        <v/>
      </c>
      <c r="C43" s="27"/>
      <c r="D43" s="27" t="str">
        <f>IF(COUNT(CALCULATIONS!D66:D107)&gt;=29,IF(SMALL(CALCULATIONS!D66:D107,29)=1,CALCULATIONS!E66,IF(SMALL(CALCULATIONS!D66:D107,29)=2,CALCULATIONS!E67,IF(SMALL(CALCULATIONS!D66:D107,29)=3,CALCULATIONS!E68,IF(SMALL(CALCULATIONS!D66:D107,29)=4,CALCULATIONS!E69,IF(SMALL(CALCULATIONS!D66:D107,29)=5,CALCULATIONS!E70,IF(SMALL(CALCULATIONS!D66:D107,29)=6,CALCULATIONS!E71,IF(SMALL(CALCULATIONS!D66:D107,29)=7,CALCULATIONS!E72,IF(SMALL(CALCULATIONS!D66:D107,29)=8,CALCULATIONS!E73,IF(SMALL(CALCULATIONS!D66:D107,29)=9,CALCULATIONS!E74,IF(SMALL(CALCULATIONS!D66:D107,29)=10,CALCULATIONS!E75,IF(SMALL(CALCULATIONS!D66:D107,29)=11,CALCULATIONS!E76,IF(SMALL(CALCULATIONS!D66:D107,29)=12,CALCULATIONS!E77,IF(SMALL(CALCULATIONS!D66:D107,29)=13,CALCULATIONS!E78,IF(SMALL(CALCULATIONS!D66:D107,29)=14,CALCULATIONS!E79,IF(SMALL(CALCULATIONS!D66:D107,29)=15,CALCULATIONS!E80,IF(SMALL(CALCULATIONS!D66:D107,29)=16,CALCULATIONS!E81,IF(SMALL(CALCULATIONS!D66:D107,29)=17,CALCULATIONS!E82,IF(SMALL(CALCULATIONS!D66:D107,29)=18,CALCULATIONS!E83,IF(SMALL(CALCULATIONS!D66:D107,29)=19,CALCULATIONS!E84,IF(SMALL(CALCULATIONS!D66:D107,29)=20,CALCULATIONS!E85,IF(SMALL(CALCULATIONS!D66:D107,29)=21,CALCULATIONS!E86,IF(SMALL(CALCULATIONS!D66:D107,29)=22,CALCULATIONS!E87,IF(SMALL(CALCULATIONS!D66:D107,29)=23,CALCULATIONS!E88,IF(SMALL(CALCULATIONS!D66:D107,29)=24,CALCULATIONS!E89,IF(SMALL(CALCULATIONS!D66:D107,29)=25,CALCULATIONS!E90,IF(SMALL(CALCULATIONS!D66:D107,29)=26,CALCULATIONS!E91,IF(SMALL(CALCULATIONS!D66:D107,29)=27,CALCULATIONS!E92,IF(SMALL(CALCULATIONS!D66:D107,29)=28,CALCULATIONS!E93,IF(SMALL(CALCULATIONS!D66:D107,29)=29,CALCULATIONS!E94,IF(SMALL(CALCULATIONS!D66:D107,29)=30,CALCULATIONS!E95,IF(SMALL(CALCULATIONS!D66:D107,29)=31,CALCULATIONS!E96,IF(SMALL(CALCULATIONS!D66:D107,29)=32,CALCULATIONS!E97,IF(SMALL(CALCULATIONS!D66:D107,29)=33,CALCULATIONS!E98,IF(SMALL(CALCULATIONS!D66:D107,29)=34,CALCULATIONS!E99,IF(SMALL(CALCULATIONS!D66:D107,29)=35,CALCULATIONS!E100,IF(SMALL(CALCULATIONS!D66:D107,29)=36,CALCULATIONS!E101,IF(SMALL(CALCULATIONS!D66:D107,29)=37,CALCULATIONS!E102,IF(SMALL(CALCULATIONS!D66:D107,29)=38,CALCULATIONS!E103,IF(SMALL(CALCULATIONS!D66:D107,29)=39,CALCULATIONS!E104,IF(SMALL(CALCULATIONS!D66:D107,29)=40,CALCULATIONS!E105,IF(SMALL(CALCULATIONS!D66:D107,29)=41,CALCULATIONS!E106,IF(SMALL(CALCULATIONS!D66:D107,29)=42,CALCULATIONS!E107,"")))))))))))))))))))))))))))))))))))))))))),"")</f>
        <v/>
      </c>
      <c r="E43" s="27"/>
      <c r="F43" s="27" t="str">
        <f t="shared" si="1"/>
        <v/>
      </c>
      <c r="G43" s="27"/>
      <c r="H43" s="27" t="str">
        <f t="shared" si="2"/>
        <v/>
      </c>
    </row>
    <row r="44" spans="1:8" x14ac:dyDescent="0.25">
      <c r="A44" s="68" t="str">
        <f t="shared" si="0"/>
        <v/>
      </c>
      <c r="B44" s="27" t="str">
        <f>IF(COUNT(CALCULATIONS!D66:D107)&gt;=30,IF(SMALL(CALCULATIONS!D66:D107,30)=1,CALCULATIONS!C66,IF(SMALL(CALCULATIONS!D66:D107,30)=2,CALCULATIONS!C67,IF(SMALL(CALCULATIONS!D66:D107,30)=3,CALCULATIONS!C68,IF(SMALL(CALCULATIONS!D66:D107,30)=4,CALCULATIONS!C69,IF(SMALL(CALCULATIONS!D66:D107,30)=5,CALCULATIONS!C70,IF(SMALL(CALCULATIONS!D66:D107,30)=6,CALCULATIONS!C71,IF(SMALL(CALCULATIONS!D66:D107,30)=7,CALCULATIONS!C72,IF(SMALL(CALCULATIONS!D66:D107,30)=8,CALCULATIONS!C73,IF(SMALL(CALCULATIONS!D66:D107,30)=9,CALCULATIONS!C74,IF(SMALL(CALCULATIONS!D66:D107,30)=10,CALCULATIONS!C75,IF(SMALL(CALCULATIONS!D66:D107,30)=11,CALCULATIONS!C76,IF(SMALL(CALCULATIONS!D66:D107,30)=12,CALCULATIONS!C77,IF(SMALL(CALCULATIONS!D66:D107,30)=13,CALCULATIONS!C78,IF(SMALL(CALCULATIONS!D66:D107,30)=14,CALCULATIONS!C79,IF(SMALL(CALCULATIONS!D66:D107,30)=15,CALCULATIONS!C80,IF(SMALL(CALCULATIONS!D66:D107,30)=16,CALCULATIONS!C81,IF(SMALL(CALCULATIONS!D66:D107,30)=17,CALCULATIONS!C82,IF(SMALL(CALCULATIONS!D66:D107,30)=18,CALCULATIONS!C83,IF(SMALL(CALCULATIONS!D66:D107,30)=19,CALCULATIONS!C84,IF(SMALL(CALCULATIONS!D66:D107,30)=20,CALCULATIONS!C85,IF(SMALL(CALCULATIONS!D66:D107,30)=21,CALCULATIONS!C86,IF(SMALL(CALCULATIONS!D66:D107,30)=22,CALCULATIONS!C87,IF(SMALL(CALCULATIONS!D66:D107,30)=23,CALCULATIONS!C88,IF(SMALL(CALCULATIONS!D66:D107,30)=24,CALCULATIONS!C89,IF(SMALL(CALCULATIONS!D66:D107,30)=25,CALCULATIONS!C90,IF(SMALL(CALCULATIONS!D66:D107,30)=26,CALCULATIONS!C91,IF(SMALL(CALCULATIONS!D66:D107,30)=27,CALCULATIONS!C92,IF(SMALL(CALCULATIONS!D66:D107,30)=28,CALCULATIONS!C93,IF(SMALL(CALCULATIONS!D66:D107,30)=29,CALCULATIONS!C94,IF(SMALL(CALCULATIONS!D66:D107,30)=30,CALCULATIONS!C95,IF(SMALL(CALCULATIONS!D66:D107,30)=31,CALCULATIONS!C96,IF(SMALL(CALCULATIONS!D66:D107,30)=32,CALCULATIONS!C97,IF(SMALL(CALCULATIONS!D66:D107,30)=33,CALCULATIONS!C98,IF(SMALL(CALCULATIONS!D66:D107,30)=34,CALCULATIONS!C99,IF(SMALL(CALCULATIONS!D66:D107,30)=35,CALCULATIONS!C100,IF(SMALL(CALCULATIONS!D66:D107,30)=36,CALCULATIONS!C101,IF(SMALL(CALCULATIONS!D66:D107,30)=37,CALCULATIONS!C102,IF(SMALL(CALCULATIONS!D66:D107,30)=38,CALCULATIONS!C103,IF(SMALL(CALCULATIONS!D66:D107,30)=39,CALCULATIONS!C104,IF(SMALL(CALCULATIONS!D66:D107,30)=40,CALCULATIONS!C105,IF(SMALL(CALCULATIONS!D66:D107,30)=41,CALCULATIONS!C106,IF(SMALL(CALCULATIONS!D66:D107,30)=42,CALCULATIONS!C107,"")))))))))))))))))))))))))))))))))))))))))),"")</f>
        <v/>
      </c>
      <c r="C44" s="27"/>
      <c r="D44" s="27" t="str">
        <f>IF(COUNT(CALCULATIONS!D66:D107)&gt;=30,IF(SMALL(CALCULATIONS!D66:D107,30)=1,CALCULATIONS!E66,IF(SMALL(CALCULATIONS!D66:D107,30)=2,CALCULATIONS!E67,IF(SMALL(CALCULATIONS!D66:D107,30)=3,CALCULATIONS!E68,IF(SMALL(CALCULATIONS!D66:D107,30)=4,CALCULATIONS!E69,IF(SMALL(CALCULATIONS!D66:D107,30)=5,CALCULATIONS!E70,IF(SMALL(CALCULATIONS!D66:D107,30)=6,CALCULATIONS!E71,IF(SMALL(CALCULATIONS!D66:D107,30)=7,CALCULATIONS!E72,IF(SMALL(CALCULATIONS!D66:D107,30)=8,CALCULATIONS!E73,IF(SMALL(CALCULATIONS!D66:D107,30)=9,CALCULATIONS!E74,IF(SMALL(CALCULATIONS!D66:D107,30)=10,CALCULATIONS!E75,IF(SMALL(CALCULATIONS!D66:D107,30)=11,CALCULATIONS!E76,IF(SMALL(CALCULATIONS!D66:D107,30)=12,CALCULATIONS!E77,IF(SMALL(CALCULATIONS!D66:D107,30)=13,CALCULATIONS!E78,IF(SMALL(CALCULATIONS!D66:D107,30)=14,CALCULATIONS!E79,IF(SMALL(CALCULATIONS!D66:D107,30)=15,CALCULATIONS!E80,IF(SMALL(CALCULATIONS!D66:D107,30)=16,CALCULATIONS!E81,IF(SMALL(CALCULATIONS!D66:D107,30)=17,CALCULATIONS!E82,IF(SMALL(CALCULATIONS!D66:D107,30)=18,CALCULATIONS!E83,IF(SMALL(CALCULATIONS!D66:D107,30)=19,CALCULATIONS!E84,IF(SMALL(CALCULATIONS!D66:D107,30)=20,CALCULATIONS!E85,IF(SMALL(CALCULATIONS!D66:D107,30)=21,CALCULATIONS!E86,IF(SMALL(CALCULATIONS!D66:D107,30)=22,CALCULATIONS!E87,IF(SMALL(CALCULATIONS!D66:D107,30)=23,CALCULATIONS!E88,IF(SMALL(CALCULATIONS!D66:D107,30)=24,CALCULATIONS!E89,IF(SMALL(CALCULATIONS!D66:D107,30)=25,CALCULATIONS!E90,IF(SMALL(CALCULATIONS!D66:D107,30)=26,CALCULATIONS!E91,IF(SMALL(CALCULATIONS!D66:D107,30)=27,CALCULATIONS!E92,IF(SMALL(CALCULATIONS!D66:D107,30)=28,CALCULATIONS!E93,IF(SMALL(CALCULATIONS!D66:D107,30)=29,CALCULATIONS!E94,IF(SMALL(CALCULATIONS!D66:D107,30)=30,CALCULATIONS!E95,IF(SMALL(CALCULATIONS!D66:D107,30)=31,CALCULATIONS!E96,IF(SMALL(CALCULATIONS!D66:D107,30)=32,CALCULATIONS!E97,IF(SMALL(CALCULATIONS!D66:D107,30)=33,CALCULATIONS!E98,IF(SMALL(CALCULATIONS!D66:D107,30)=34,CALCULATIONS!E99,IF(SMALL(CALCULATIONS!D66:D107,30)=35,CALCULATIONS!E100,IF(SMALL(CALCULATIONS!D66:D107,30)=36,CALCULATIONS!E101,IF(SMALL(CALCULATIONS!D66:D107,30)=37,CALCULATIONS!E102,IF(SMALL(CALCULATIONS!D66:D107,30)=38,CALCULATIONS!E103,IF(SMALL(CALCULATIONS!D66:D107,30)=39,CALCULATIONS!E104,IF(SMALL(CALCULATIONS!D66:D107,30)=40,CALCULATIONS!E105,IF(SMALL(CALCULATIONS!D66:D107,30)=41,CALCULATIONS!E106,IF(SMALL(CALCULATIONS!D66:D107,30)=42,CALCULATIONS!E107,"")))))))))))))))))))))))))))))))))))))))))),"")</f>
        <v/>
      </c>
      <c r="E44" s="27"/>
      <c r="F44" s="27" t="str">
        <f t="shared" si="1"/>
        <v/>
      </c>
      <c r="G44" s="27"/>
      <c r="H44" s="27" t="str">
        <f t="shared" si="2"/>
        <v/>
      </c>
    </row>
    <row r="45" spans="1:8" x14ac:dyDescent="0.25">
      <c r="A45" s="68" t="str">
        <f t="shared" si="0"/>
        <v/>
      </c>
      <c r="B45" s="27"/>
      <c r="C45" s="27"/>
      <c r="D45" s="27"/>
      <c r="E45" s="27"/>
      <c r="F45" s="27"/>
      <c r="G45" s="27"/>
      <c r="H45" s="27"/>
    </row>
    <row r="46" spans="1:8" x14ac:dyDescent="0.25">
      <c r="A46" s="68" t="str">
        <f t="shared" si="0"/>
        <v/>
      </c>
      <c r="B46" s="27"/>
      <c r="C46" s="27"/>
      <c r="D46" s="27"/>
      <c r="E46" s="27"/>
      <c r="F46" s="27"/>
      <c r="G46" s="27"/>
      <c r="H46" s="27"/>
    </row>
    <row r="47" spans="1:8" x14ac:dyDescent="0.25">
      <c r="A47" s="68" t="str">
        <f t="shared" si="0"/>
        <v/>
      </c>
      <c r="B47" s="27"/>
      <c r="C47" s="27"/>
      <c r="D47" s="27"/>
      <c r="E47" s="27"/>
      <c r="F47" s="27"/>
      <c r="G47" s="27"/>
      <c r="H47" s="27"/>
    </row>
    <row r="48" spans="1:8" x14ac:dyDescent="0.25">
      <c r="A48" s="68" t="str">
        <f t="shared" si="0"/>
        <v/>
      </c>
      <c r="B48" s="27"/>
    </row>
    <row r="49" spans="1:2" x14ac:dyDescent="0.25">
      <c r="A49" s="68" t="str">
        <f t="shared" si="0"/>
        <v/>
      </c>
      <c r="B49" s="27"/>
    </row>
    <row r="50" spans="1:2" x14ac:dyDescent="0.25">
      <c r="A50" s="68" t="str">
        <f t="shared" si="0"/>
        <v/>
      </c>
      <c r="B50" s="27"/>
    </row>
    <row r="51" spans="1:2" x14ac:dyDescent="0.25">
      <c r="A51" s="68" t="str">
        <f t="shared" si="0"/>
        <v/>
      </c>
      <c r="B51" s="27"/>
    </row>
    <row r="52" spans="1:2" x14ac:dyDescent="0.25">
      <c r="A52" s="68" t="str">
        <f t="shared" si="0"/>
        <v/>
      </c>
      <c r="B52" s="27"/>
    </row>
    <row r="53" spans="1:2" x14ac:dyDescent="0.25">
      <c r="A53" s="68" t="str">
        <f t="shared" si="0"/>
        <v/>
      </c>
      <c r="B53" s="27"/>
    </row>
    <row r="54" spans="1:2" x14ac:dyDescent="0.25">
      <c r="A54" s="68" t="str">
        <f t="shared" si="0"/>
        <v/>
      </c>
      <c r="B54" s="27"/>
    </row>
    <row r="55" spans="1:2" x14ac:dyDescent="0.25">
      <c r="A55" s="68" t="str">
        <f t="shared" si="0"/>
        <v/>
      </c>
      <c r="B55" s="27"/>
    </row>
    <row r="56" spans="1:2" x14ac:dyDescent="0.25">
      <c r="A56" s="68" t="str">
        <f t="shared" si="0"/>
        <v/>
      </c>
      <c r="B56" s="27"/>
    </row>
    <row r="57" spans="1:2" x14ac:dyDescent="0.25">
      <c r="A57" s="68" t="str">
        <f t="shared" si="0"/>
        <v/>
      </c>
      <c r="B57" s="27"/>
    </row>
    <row r="58" spans="1:2" x14ac:dyDescent="0.25">
      <c r="A58" s="68" t="str">
        <f t="shared" si="0"/>
        <v/>
      </c>
      <c r="B58" s="27"/>
    </row>
    <row r="71" spans="1:1" x14ac:dyDescent="0.25">
      <c r="A71" t="s">
        <v>215</v>
      </c>
    </row>
  </sheetData>
  <pageMargins left="0.25" right="0.25" top="0.75" bottom="0.75" header="0.3" footer="0.3"/>
  <pageSetup orientation="portrait" r:id="rId1"/>
  <headerFooter>
    <oddHeader>&amp;C&amp;22JOB SUMMARY/MATERIAL LIST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Q39"/>
  <sheetViews>
    <sheetView workbookViewId="0">
      <selection activeCell="M3" sqref="M3"/>
    </sheetView>
  </sheetViews>
  <sheetFormatPr defaultRowHeight="15" x14ac:dyDescent="0.25"/>
  <cols>
    <col min="1" max="1" width="14.28515625" customWidth="1"/>
    <col min="2" max="2" width="12.5703125" customWidth="1"/>
    <col min="3" max="3" width="41.28515625" customWidth="1"/>
    <col min="4" max="4" width="17" customWidth="1"/>
    <col min="5" max="5" width="12.85546875" bestFit="1" customWidth="1"/>
    <col min="11" max="11" width="19.140625" customWidth="1"/>
    <col min="12" max="12" width="20" customWidth="1"/>
    <col min="13" max="13" width="11.5703125" bestFit="1" customWidth="1"/>
    <col min="14" max="14" width="19" bestFit="1" customWidth="1"/>
  </cols>
  <sheetData>
    <row r="1" spans="1:17" ht="15.75" thickBot="1" x14ac:dyDescent="0.3">
      <c r="A1" s="282" t="s">
        <v>359</v>
      </c>
      <c r="B1" s="282"/>
      <c r="C1" s="282"/>
      <c r="D1" s="283"/>
    </row>
    <row r="2" spans="1:17" ht="31.5" thickTop="1" thickBot="1" x14ac:dyDescent="0.3">
      <c r="A2" s="184" t="s">
        <v>376</v>
      </c>
      <c r="B2" s="186"/>
      <c r="C2" s="185" t="s">
        <v>377</v>
      </c>
      <c r="D2" s="186"/>
      <c r="E2" s="186" t="s">
        <v>389</v>
      </c>
      <c r="G2" s="205" t="s">
        <v>390</v>
      </c>
      <c r="L2" s="206" t="s">
        <v>393</v>
      </c>
      <c r="M2" t="s">
        <v>377</v>
      </c>
      <c r="N2" t="s">
        <v>376</v>
      </c>
      <c r="P2" s="224">
        <v>29</v>
      </c>
      <c r="Q2" s="224">
        <v>3</v>
      </c>
    </row>
    <row r="3" spans="1:17" ht="15.75" thickBot="1" x14ac:dyDescent="0.3">
      <c r="A3" s="176">
        <v>1</v>
      </c>
      <c r="B3" s="187">
        <v>223</v>
      </c>
      <c r="C3" s="176">
        <v>1</v>
      </c>
      <c r="D3" s="187">
        <v>37</v>
      </c>
      <c r="E3" s="205">
        <v>29</v>
      </c>
      <c r="K3" s="205" t="s">
        <v>396</v>
      </c>
      <c r="L3" s="207">
        <v>34</v>
      </c>
      <c r="M3" s="205">
        <v>37</v>
      </c>
      <c r="N3" s="205">
        <v>223</v>
      </c>
    </row>
    <row r="4" spans="1:17" ht="15.75" thickBot="1" x14ac:dyDescent="0.3">
      <c r="A4" s="176"/>
      <c r="B4" s="187">
        <v>43</v>
      </c>
      <c r="C4" s="176"/>
      <c r="D4" s="187">
        <v>37</v>
      </c>
      <c r="E4" s="205"/>
      <c r="K4" s="205" t="s">
        <v>374</v>
      </c>
      <c r="L4" s="207">
        <v>0</v>
      </c>
      <c r="M4" s="205">
        <v>37</v>
      </c>
      <c r="N4" s="205">
        <v>43</v>
      </c>
    </row>
    <row r="5" spans="1:17" ht="15.75" thickBot="1" x14ac:dyDescent="0.3">
      <c r="A5" s="176"/>
      <c r="B5" s="187">
        <v>223</v>
      </c>
      <c r="C5" s="176"/>
      <c r="D5" s="187">
        <v>37</v>
      </c>
      <c r="E5" s="205"/>
      <c r="K5" s="205" t="s">
        <v>375</v>
      </c>
      <c r="L5" s="207">
        <v>0</v>
      </c>
      <c r="M5" s="205">
        <v>37</v>
      </c>
      <c r="N5" s="205">
        <v>223</v>
      </c>
    </row>
    <row r="6" spans="1:17" ht="15.75" thickBot="1" x14ac:dyDescent="0.3">
      <c r="A6" s="176"/>
      <c r="B6" s="187">
        <v>43</v>
      </c>
      <c r="C6" s="176"/>
      <c r="D6" s="187">
        <v>37</v>
      </c>
      <c r="E6" s="205"/>
      <c r="K6" s="205" t="s">
        <v>394</v>
      </c>
      <c r="L6" s="207">
        <v>0</v>
      </c>
      <c r="M6" s="205">
        <v>37</v>
      </c>
      <c r="N6" s="205">
        <v>43</v>
      </c>
    </row>
    <row r="7" spans="1:17" ht="15.75" thickBot="1" x14ac:dyDescent="0.3">
      <c r="A7" s="176"/>
      <c r="B7" s="187">
        <v>43</v>
      </c>
      <c r="C7" s="176"/>
      <c r="D7" s="187">
        <v>37</v>
      </c>
      <c r="E7" s="205"/>
      <c r="K7" s="205" t="s">
        <v>415</v>
      </c>
      <c r="L7" s="207">
        <v>0</v>
      </c>
      <c r="M7" s="205">
        <v>37</v>
      </c>
      <c r="N7" s="205">
        <v>43</v>
      </c>
    </row>
    <row r="8" spans="1:17" ht="15.75" thickBot="1" x14ac:dyDescent="0.3">
      <c r="A8" s="176"/>
      <c r="B8" s="187">
        <v>223</v>
      </c>
      <c r="C8" s="176"/>
      <c r="D8" s="187">
        <v>5</v>
      </c>
      <c r="E8" s="205"/>
      <c r="K8" s="205" t="s">
        <v>373</v>
      </c>
      <c r="L8" s="207">
        <v>0</v>
      </c>
      <c r="M8" s="205">
        <v>5</v>
      </c>
      <c r="N8" s="205">
        <v>223</v>
      </c>
    </row>
    <row r="9" spans="1:17" ht="15.75" thickBot="1" x14ac:dyDescent="0.3">
      <c r="A9" s="176"/>
      <c r="B9" s="187">
        <v>218</v>
      </c>
      <c r="C9" s="176"/>
      <c r="D9" s="187">
        <v>37</v>
      </c>
      <c r="E9" s="205"/>
      <c r="K9" s="205" t="s">
        <v>454</v>
      </c>
      <c r="L9" s="207">
        <v>0</v>
      </c>
      <c r="M9" s="205">
        <v>37</v>
      </c>
      <c r="N9" s="205">
        <v>218</v>
      </c>
    </row>
    <row r="10" spans="1:17" ht="15.75" thickBot="1" x14ac:dyDescent="0.3">
      <c r="A10" s="176"/>
      <c r="B10" s="187">
        <v>38</v>
      </c>
      <c r="C10" s="176"/>
      <c r="D10" s="187">
        <v>37</v>
      </c>
      <c r="E10" s="205"/>
      <c r="K10" s="205" t="s">
        <v>453</v>
      </c>
      <c r="L10" s="207">
        <v>0</v>
      </c>
      <c r="M10" s="205">
        <v>37</v>
      </c>
      <c r="N10" s="205">
        <v>38</v>
      </c>
    </row>
    <row r="11" spans="1:17" ht="15.75" thickBot="1" x14ac:dyDescent="0.3">
      <c r="A11" s="176">
        <v>2</v>
      </c>
      <c r="B11" s="187"/>
      <c r="C11" s="176">
        <v>2</v>
      </c>
      <c r="D11" s="187"/>
      <c r="E11" s="186" t="str">
        <f>IF(ISNUMBER(E3:E10),ROUNDDOWN(E3:E10,0),"")</f>
        <v/>
      </c>
    </row>
    <row r="12" spans="1:17" ht="15.75" thickBot="1" x14ac:dyDescent="0.3">
      <c r="A12" s="176">
        <v>3</v>
      </c>
      <c r="B12" s="187"/>
      <c r="C12" s="176">
        <v>3</v>
      </c>
      <c r="D12" s="187"/>
      <c r="E12" s="186" t="str">
        <f>IF(E11&lt;&gt;"",12*(E3:E10-E11),"")</f>
        <v/>
      </c>
    </row>
    <row r="13" spans="1:17" ht="15.75" thickBot="1" x14ac:dyDescent="0.3">
      <c r="A13" s="176">
        <v>4</v>
      </c>
      <c r="B13" s="187"/>
      <c r="C13" s="176">
        <v>4</v>
      </c>
      <c r="D13" s="187"/>
      <c r="E13" s="186"/>
    </row>
    <row r="14" spans="1:17" ht="15.75" thickBot="1" x14ac:dyDescent="0.3">
      <c r="A14" s="176">
        <v>5</v>
      </c>
      <c r="B14" s="187"/>
      <c r="C14" s="176">
        <v>5</v>
      </c>
      <c r="D14" s="187"/>
      <c r="E14" s="186"/>
    </row>
    <row r="15" spans="1:17" ht="15.75" thickBot="1" x14ac:dyDescent="0.3">
      <c r="A15" s="177">
        <v>6</v>
      </c>
      <c r="B15" s="187"/>
      <c r="C15" s="176">
        <v>6</v>
      </c>
      <c r="D15" s="187"/>
      <c r="E15" s="186"/>
    </row>
    <row r="16" spans="1:17" ht="15.75" thickBot="1" x14ac:dyDescent="0.3">
      <c r="A16" s="177">
        <v>7</v>
      </c>
      <c r="B16" s="187"/>
      <c r="C16" s="176">
        <v>7</v>
      </c>
      <c r="D16" s="187"/>
      <c r="E16" s="186"/>
    </row>
    <row r="17" spans="1:11" ht="15.75" thickBot="1" x14ac:dyDescent="0.3">
      <c r="A17" s="177">
        <v>8</v>
      </c>
      <c r="B17" s="187"/>
      <c r="C17" s="176">
        <v>8</v>
      </c>
      <c r="D17" s="187"/>
      <c r="E17" s="186"/>
    </row>
    <row r="18" spans="1:11" x14ac:dyDescent="0.25">
      <c r="A18" s="177"/>
      <c r="B18" s="54"/>
      <c r="D18" s="54"/>
    </row>
    <row r="19" spans="1:11" x14ac:dyDescent="0.25">
      <c r="A19" s="177"/>
      <c r="B19" s="54"/>
      <c r="D19" s="54"/>
    </row>
    <row r="20" spans="1:11" x14ac:dyDescent="0.25">
      <c r="A20" s="177"/>
      <c r="B20" s="54"/>
      <c r="D20" s="54"/>
    </row>
    <row r="21" spans="1:11" x14ac:dyDescent="0.25">
      <c r="A21" s="177"/>
      <c r="B21" s="54"/>
      <c r="D21" s="54"/>
    </row>
    <row r="22" spans="1:11" x14ac:dyDescent="0.25">
      <c r="A22" s="177"/>
      <c r="B22" s="54"/>
      <c r="D22" s="54"/>
    </row>
    <row r="23" spans="1:11" x14ac:dyDescent="0.25">
      <c r="A23" s="177"/>
      <c r="B23" s="54"/>
      <c r="D23" s="54"/>
    </row>
    <row r="24" spans="1:11" x14ac:dyDescent="0.25">
      <c r="A24" s="177"/>
      <c r="B24" s="54"/>
      <c r="D24" s="54"/>
    </row>
    <row r="25" spans="1:11" x14ac:dyDescent="0.25">
      <c r="A25" s="177"/>
      <c r="B25" s="54"/>
      <c r="D25" s="54"/>
    </row>
    <row r="26" spans="1:11" x14ac:dyDescent="0.25">
      <c r="A26" s="177"/>
      <c r="B26" s="54"/>
      <c r="D26" s="54"/>
    </row>
    <row r="27" spans="1:11" x14ac:dyDescent="0.25">
      <c r="A27" s="177"/>
      <c r="B27" s="54"/>
      <c r="D27" s="54"/>
    </row>
    <row r="28" spans="1:11" x14ac:dyDescent="0.25">
      <c r="A28" s="177"/>
      <c r="B28" s="54"/>
      <c r="D28" s="54"/>
      <c r="K28" s="4"/>
    </row>
    <row r="29" spans="1:11" x14ac:dyDescent="0.25">
      <c r="A29" s="177"/>
      <c r="B29" s="54"/>
      <c r="D29" s="54"/>
      <c r="K29" s="4"/>
    </row>
    <row r="30" spans="1:11" x14ac:dyDescent="0.25">
      <c r="A30" s="177"/>
      <c r="B30" s="54"/>
      <c r="D30" s="54"/>
      <c r="K30" s="4"/>
    </row>
    <row r="31" spans="1:11" x14ac:dyDescent="0.25">
      <c r="A31" s="177"/>
      <c r="B31" s="54"/>
      <c r="D31" s="54"/>
    </row>
    <row r="32" spans="1:11" x14ac:dyDescent="0.25">
      <c r="A32" s="177"/>
      <c r="B32" s="54"/>
      <c r="D32" s="54"/>
    </row>
    <row r="33" spans="1:4" x14ac:dyDescent="0.25">
      <c r="A33" s="177"/>
      <c r="B33" s="54"/>
      <c r="C33" s="4"/>
      <c r="D33" s="54"/>
    </row>
    <row r="34" spans="1:4" x14ac:dyDescent="0.25">
      <c r="A34" s="177"/>
      <c r="B34" s="54"/>
      <c r="C34" s="4"/>
      <c r="D34" s="54"/>
    </row>
    <row r="35" spans="1:4" x14ac:dyDescent="0.25">
      <c r="A35" s="177"/>
      <c r="B35" s="54"/>
      <c r="C35" s="4"/>
      <c r="D35" s="54"/>
    </row>
    <row r="36" spans="1:4" x14ac:dyDescent="0.25">
      <c r="A36" s="182"/>
      <c r="C36" s="190"/>
      <c r="D36" s="183"/>
    </row>
    <row r="37" spans="1:4" x14ac:dyDescent="0.25">
      <c r="C37" s="191"/>
    </row>
    <row r="38" spans="1:4" x14ac:dyDescent="0.25">
      <c r="C38" s="191"/>
    </row>
    <row r="39" spans="1:4" x14ac:dyDescent="0.25">
      <c r="C39" s="191"/>
    </row>
  </sheetData>
  <sheetProtection selectLockedCells="1"/>
  <mergeCells count="1">
    <mergeCell ref="A1:D1"/>
  </mergeCells>
  <conditionalFormatting sqref="L3:L50">
    <cfRule type="cellIs" dxfId="3" priority="11" operator="greaterThan">
      <formula>0</formula>
    </cfRule>
  </conditionalFormatting>
  <conditionalFormatting sqref="M3:M10">
    <cfRule type="expression" dxfId="2" priority="10">
      <formula>$L$3&gt;0</formula>
    </cfRule>
  </conditionalFormatting>
  <conditionalFormatting sqref="K3:K10">
    <cfRule type="expression" dxfId="1" priority="8">
      <formula>$L$3&gt;0</formula>
    </cfRule>
  </conditionalFormatting>
  <conditionalFormatting sqref="N3:N10">
    <cfRule type="expression" dxfId="0" priority="7">
      <formula>$L$3&gt;0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F28"/>
  <sheetViews>
    <sheetView workbookViewId="0">
      <selection activeCell="C6" sqref="C6"/>
    </sheetView>
  </sheetViews>
  <sheetFormatPr defaultRowHeight="15" x14ac:dyDescent="0.25"/>
  <cols>
    <col min="2" max="2" width="28" bestFit="1" customWidth="1"/>
    <col min="3" max="3" width="18.140625" customWidth="1"/>
    <col min="5" max="5" width="24.140625" bestFit="1" customWidth="1"/>
    <col min="6" max="6" width="20" customWidth="1"/>
  </cols>
  <sheetData>
    <row r="1" spans="2:6" ht="15.75" thickBot="1" x14ac:dyDescent="0.3"/>
    <row r="2" spans="2:6" ht="16.5" thickBot="1" x14ac:dyDescent="0.3">
      <c r="B2" s="284" t="s">
        <v>197</v>
      </c>
      <c r="C2" s="285"/>
      <c r="E2" s="284" t="s">
        <v>200</v>
      </c>
      <c r="F2" s="285"/>
    </row>
    <row r="3" spans="2:6" x14ac:dyDescent="0.25">
      <c r="B3" s="107" t="s">
        <v>186</v>
      </c>
      <c r="C3" s="108"/>
      <c r="E3" s="111" t="s">
        <v>201</v>
      </c>
      <c r="F3" s="112"/>
    </row>
    <row r="4" spans="2:6" x14ac:dyDescent="0.25">
      <c r="B4" s="103" t="s">
        <v>195</v>
      </c>
      <c r="C4" s="98"/>
      <c r="E4" s="92" t="s">
        <v>202</v>
      </c>
      <c r="F4" s="109"/>
    </row>
    <row r="5" spans="2:6" x14ac:dyDescent="0.25">
      <c r="B5" s="103" t="s">
        <v>196</v>
      </c>
      <c r="C5" s="98"/>
      <c r="E5" s="93" t="s">
        <v>186</v>
      </c>
      <c r="F5" s="110" t="str">
        <f>IF(F3="","",(IF(F3=MODULES!A7,MODULES!F7,IF(F3=MODULES!A8,MODULES!F8,IF(F3=MODULES!A9,MODULES!F9,IF(F3=MODULES!A10,MODULES!F10,IF(F3=MODULES!A11,MODULES!F11,IF(F3=MODULES!A12,MODULES!F12,IF(F3=MODULES!A13,MODULES!F13,IF(F3=MODULES!A14,MODULES!F14,IF(F3=MODULES!A15,MODULES!F15,IF(F3=MODULES!A16,MODULES!F16,IF(F3=MODULES!A17,MODULES!F17,IF(F3=MODULES!A3,MODULES!F3,IF(F3=MODULES!A4,MODULES!F4,IF(F3=MODULES!A5,MODULES!F5,IF(F3=MODULES!A6,MODULES!F6,IF(F3=#REF!,#REF!,IF(F3=#REF!,#REF!,IF(F3=#REF!,#REF!,IF(F3=#REF!,#REF!,IF(F3=#REF!,#REF!,IF(F3=#REF!,#REF!,IF(F3=#REF!,#REF!,IF(F3=MODULES!A18,MODULES!F18,IF(F3=MODULES!A19,MODULES!F19,IF(F3=MODULES!A20,MODULES!F20,""))))))))))))))))))))))))))*F4)</f>
        <v/>
      </c>
    </row>
    <row r="6" spans="2:6" x14ac:dyDescent="0.25">
      <c r="B6" s="104" t="s">
        <v>190</v>
      </c>
      <c r="C6" s="105" t="str">
        <f>IF(C7&lt;=10380,10,IF(C7&lt;=16510,8,IF(C7&lt;26240,6,IF(C7&lt;=41740,4,IF(C7&lt;=52620,3,IF(C7&lt;=66360,2,IF(C7&lt;=83690,1,"NOT AVAILABLE")))))))</f>
        <v>NOT AVAILABLE</v>
      </c>
      <c r="E6" s="93" t="s">
        <v>187</v>
      </c>
      <c r="F6" s="110" t="e">
        <f>IF(F3=MODULES!A7,MODULES!E7,IF(F3=MODULES!A8,MODULES!E8,IF(F3=MODULES!A9,MODULES!E9,IF(F3=MODULES!A10,MODULES!E10,IF(F3=MODULES!A11,MODULES!E11,IF(F3=MODULES!A12,MODULES!E12,IF(F3=MODULES!A13,MODULES!E13,IF(F3=MODULES!A14,MODULES!E14,IF(F3=MODULES!A15,MODULES!E15,IF(F3=MODULES!A16,MODULES!E16,IF(F3=MODULES!A17,MODULES!E17,IF(F3=MODULES!A3,MODULES!E3,IF(F3=MODULES!A4,MODULES!E4,IF(F3=MODULES!A5,MODULES!E5,IF(F3=MODULES!A6,MODULES!E6,IF(F3=#REF!,#REF!,IF(F3=#REF!,#REF!,IF(F3=#REF!,#REF!,IF(F3=#REF!,#REF!,IF(F3=#REF!,#REF!,IF(F3=#REF!,#REF!,IF(F3=#REF!,#REF!,IF(F3=MODULES!A18,MODULES!E18,IF(F3=MODULES!A19,MODULES!E19,IF(F3=MODULES!A20,MODULES!E20,"")))))))))))))))))))))))))</f>
        <v>#REF!</v>
      </c>
    </row>
    <row r="7" spans="2:6" x14ac:dyDescent="0.25">
      <c r="B7" s="104" t="s">
        <v>199</v>
      </c>
      <c r="C7" s="100" t="str">
        <f>IF(C3="","NOT AVAILABLE",2*12.9*C4*(C5+30)/(0.018*C3))</f>
        <v>NOT AVAILABLE</v>
      </c>
    </row>
    <row r="8" spans="2:6" x14ac:dyDescent="0.25">
      <c r="B8" s="104" t="s">
        <v>198</v>
      </c>
      <c r="C8" s="100" t="str">
        <f>IF(C6=10,10380,IF(C6=8,16510,IF(C6=6,26240,IF(C6=4,41740,IF(C6=3,52620,IF(C6=2,66360,IF(C6=1,83690,"NOT AVAILABLE")))))))</f>
        <v>NOT AVAILABLE</v>
      </c>
    </row>
    <row r="9" spans="2:6" x14ac:dyDescent="0.25">
      <c r="B9" s="104" t="s">
        <v>191</v>
      </c>
      <c r="C9" s="105" t="str">
        <f>IF(C3="","NOT AVAILABLE",IF(C3&lt;&gt;240,"DC GROUND DOES NOT CHANGE",IF(C6=10,10,IF(C6=8,10,IF(C6=6,8,IF(C6=4,8,IF(C6=3,8,IF(C6=2,6,IF(C6=1,6,"NOT AVAILABLE")))))))))</f>
        <v>NOT AVAILABLE</v>
      </c>
    </row>
    <row r="10" spans="2:6" x14ac:dyDescent="0.25">
      <c r="B10" s="104" t="s">
        <v>193</v>
      </c>
      <c r="C10" s="100" t="str">
        <f>IF(C3="","NOT AVAILABLE",2*12.9*C4*C5/C8)</f>
        <v>NOT AVAILABLE</v>
      </c>
    </row>
    <row r="11" spans="2:6" x14ac:dyDescent="0.25">
      <c r="B11" s="104" t="s">
        <v>192</v>
      </c>
      <c r="C11" s="106" t="str">
        <f>IF(C3="","NOT AVAILABLE",ROUND(C10/C3*100,2)&amp;"%")</f>
        <v>NOT AVAILABLE</v>
      </c>
    </row>
    <row r="13" spans="2:6" ht="15.75" thickBot="1" x14ac:dyDescent="0.3"/>
    <row r="14" spans="2:6" ht="16.5" thickBot="1" x14ac:dyDescent="0.3">
      <c r="B14" s="286" t="s">
        <v>212</v>
      </c>
      <c r="C14" s="287"/>
      <c r="D14" s="287"/>
      <c r="E14" s="288"/>
    </row>
    <row r="15" spans="2:6" x14ac:dyDescent="0.25">
      <c r="B15" s="102" t="s">
        <v>203</v>
      </c>
      <c r="C15" s="102" t="s">
        <v>204</v>
      </c>
      <c r="D15" s="102" t="s">
        <v>205</v>
      </c>
      <c r="E15" s="102" t="s">
        <v>206</v>
      </c>
    </row>
    <row r="16" spans="2:6" x14ac:dyDescent="0.25">
      <c r="B16" s="98">
        <v>2</v>
      </c>
      <c r="C16" s="99">
        <v>8</v>
      </c>
      <c r="D16" s="113">
        <f>IF(C16=1000,1.3478,IF(C16=900,1.2311,IF(C16=800,1.1085,IF(C16=750,1.0496,IF(C16=700,0.9887,IF(C16=600,0.8676,IF(C16=500,0.7073,IF(C16=400,0.5863,IF(C16=350,0.5242,IF(C16=300,0.4608,IF(C16=250,0.397,IF(C16="4/0",0.3237,IF(C16="3/0",0.2679,IF(C16="2/0",0.2223,IF(C16="1/0",0.1855,IF(C16=1,0.1562,IF(C16=2,0.1158,IF(C16=3,0.0973,IF(C16=4,0.0824,IF(C16=6,0.0507,IF(C16=8,0.0366,IF(C16=10,0.0211,IF(C16=12,0.0133,IF(C16=14,0.0097,""))))))))))))))))))))))))</f>
        <v>3.6600000000000001E-2</v>
      </c>
      <c r="E16" s="100">
        <f>IF(D16="","",(B16*D16))</f>
        <v>7.3200000000000001E-2</v>
      </c>
    </row>
    <row r="17" spans="2:6" x14ac:dyDescent="0.25">
      <c r="B17" s="98">
        <v>1</v>
      </c>
      <c r="C17" s="99">
        <v>8</v>
      </c>
      <c r="D17" s="113">
        <f>IF(C17=1000,1.3478,IF(C17=900,1.2311,IF(C17=800,1.1085,IF(C17=750,1.0496,IF(C17=700,0.9887,IF(C17=600,0.8676,IF(C17=500,0.7073,IF(C17=400,0.5863,IF(C17=350,0.5242,IF(C17=300,0.4608,IF(C17=250,0.397,IF(C17="4/0",0.3237,IF(C17="3/0",0.2679,IF(C17="2/0",0.2223,IF(C17="1/0",0.1855,IF(C17=1,0.1562,IF(C17=2,0.1158,IF(C17=3,0.0973,IF(C17=4,0.0824,IF(C17=6,0.0507,IF(C17=8,0.0366,IF(C17=10,0.0211,IF(C17=12,0.0133,IF(C17=14,0.0097,""))))))))))))))))))))))))</f>
        <v>3.6600000000000001E-2</v>
      </c>
      <c r="E17" s="100">
        <f>IF(D17="","",(B17*D17))</f>
        <v>3.6600000000000001E-2</v>
      </c>
      <c r="F17" s="96"/>
    </row>
    <row r="18" spans="2:6" x14ac:dyDescent="0.25">
      <c r="B18" s="98">
        <v>1</v>
      </c>
      <c r="C18" s="99">
        <v>8</v>
      </c>
      <c r="D18" s="113">
        <f>IF(C18=1000,1.3478,IF(C18=900,1.2311,IF(C18=800,1.1085,IF(C18=750,1.0496,IF(C18=700,0.9887,IF(C18=600,0.8676,IF(C18=500,0.7073,IF(C18=400,0.5863,IF(C18=350,0.5242,IF(C18=300,0.4608,IF(C18=250,0.397,IF(C18="4/0",0.3237,IF(C18="3/0",0.2679,IF(C18="2/0",0.2223,IF(C18="1/0",0.1855,IF(C18=1,0.1562,IF(C18=2,0.1158,IF(C18=3,0.0973,IF(C18=4,0.0824,IF(C18=6,0.0507,IF(C18=8,0.0366,IF(C18=10,0.0211,IF(C18=12,0.0133,IF(C18=14,0.0097,""))))))))))))))))))))))))</f>
        <v>3.6600000000000001E-2</v>
      </c>
      <c r="E18" s="100">
        <f>IF(D18="","",(B18*D18))</f>
        <v>3.6600000000000001E-2</v>
      </c>
      <c r="F18" s="96"/>
    </row>
    <row r="19" spans="2:6" x14ac:dyDescent="0.25">
      <c r="B19" s="98"/>
      <c r="C19" s="99"/>
      <c r="D19" s="113" t="str">
        <f>IF(C19=1000,1.3478,IF(C19=900,1.2311,IF(C19=800,1.1085,IF(C19=750,1.0496,IF(C19=700,0.9887,IF(C19=600,0.8676,IF(C19=500,0.7073,IF(C19=400,0.5863,IF(C19=350,0.5242,IF(C19=300,0.4608,IF(C19=250,0.397,IF(C19="4/0",0.3237,IF(C19="3/0",0.2679,IF(C19="2/0",0.2223,IF(C19="1/0",0.1855,IF(C19=1,0.1562,IF(C19=2,0.1158,IF(C19=3,0.0973,IF(C19=4,0.0824,IF(C19=6,0.0507,IF(C19=8,0.0366,IF(C19=10,0.0211,IF(C19=12,0.0133,IF(C19=14,0.0097,""))))))))))))))))))))))))</f>
        <v/>
      </c>
      <c r="E19" s="100" t="str">
        <f>IF(D19="","",(B19*D19))</f>
        <v/>
      </c>
      <c r="F19" s="96"/>
    </row>
    <row r="20" spans="2:6" x14ac:dyDescent="0.25">
      <c r="B20" s="100">
        <f>SUM(B16:B19)</f>
        <v>4</v>
      </c>
      <c r="C20" s="4"/>
      <c r="D20" s="4"/>
      <c r="E20" s="100">
        <f>SUM(E16:E19)</f>
        <v>0.1464</v>
      </c>
      <c r="F20" s="96"/>
    </row>
    <row r="21" spans="2:6" x14ac:dyDescent="0.25">
      <c r="B21" s="4"/>
      <c r="C21" s="4"/>
      <c r="D21" s="4"/>
      <c r="E21" s="4"/>
      <c r="F21" s="95"/>
    </row>
    <row r="22" spans="2:6" x14ac:dyDescent="0.25">
      <c r="B22" s="101" t="s">
        <v>207</v>
      </c>
      <c r="C22" s="4"/>
      <c r="D22" s="4"/>
      <c r="E22" s="4"/>
      <c r="F22" s="96"/>
    </row>
    <row r="23" spans="2:6" x14ac:dyDescent="0.25">
      <c r="B23" s="98" t="s">
        <v>194</v>
      </c>
      <c r="C23" s="4"/>
      <c r="D23" s="4"/>
      <c r="E23" s="4"/>
      <c r="F23" s="96"/>
    </row>
    <row r="24" spans="2:6" x14ac:dyDescent="0.25">
      <c r="B24" s="4"/>
      <c r="C24" s="4"/>
      <c r="D24" s="4"/>
      <c r="E24" s="4"/>
      <c r="F24" s="96"/>
    </row>
    <row r="25" spans="2:6" x14ac:dyDescent="0.25">
      <c r="B25" s="101" t="s">
        <v>208</v>
      </c>
      <c r="C25" s="97">
        <f>IF(B23="YES",IF(E20&gt;8.852,"SPLIT WIRES",IF(E20&gt;6.927,4,IF(E20&gt;5.307,3.5,IF(E20&gt;3.515,3,IF(E20&gt;2.013,2.5,IF(E20&gt;1.221,2,IF(E20&gt;0.897,1.5,IF(E20&gt;0.519,1.25,IF(E20&gt;0.32,1,IF(E20&gt;0.182,0.75,IF(E20&gt;0,0.5,""))))))))))),IF(B20&gt;2,IF(E20&gt;5.901,"SPLIT WIRES",IF(E20&gt;4.618,4,IF(E20&gt;3.538,3.5,IF(E20&gt;2.343,3,IF(E20&gt;1.342,2.5,IF(E20&gt;0.814,2,IF(E20&gt;0.598,1.5,IF(E20&gt;0.346,1.25,IF(E20&gt;0.213,1,IF(E20&gt;0.122,0.75,IF(E20&gt;0,0.5,""))))))))))),IF(B20=2,IF(E20&gt;4.573,"SPLIT WIRES",IF(E20&gt;3.579,4,IF(E20&gt;2.742,3.5,IF(E20&gt;1.816,3,IF(E20&gt;1.04,2.5,IF(E20&gt;0.631,2,IF(E20&gt;0.464,1.5,IF(E20&gt;0.268,1.25,IF(E20&gt;0.165,1,IF(E20&gt;0.094,0.75,IF(E20&gt;0,0.5,""))))))))))),IF(E20&gt;=1,IF(E20&gt;7.819,"SPLIT WIRES",IF(E20&gt;6.119,4,IF(E20&gt;4.688,3.5,IF(E20&gt;3.105,3,IF(E20&gt;1.778,2.5,IF(E20&gt;1.079,2,IF(E20&gt;0.793,1.5,IF(E20&gt;0.458,1.25,IF(E20&gt;0.283,1,IF(E20&gt;0.161,0.75,IF(E20&gt;0,0.5,""))))))))))),""))))</f>
        <v>0.75</v>
      </c>
      <c r="D25" s="4"/>
      <c r="E25" s="4"/>
      <c r="F25" s="96"/>
    </row>
    <row r="26" spans="2:6" x14ac:dyDescent="0.25">
      <c r="B26" s="101" t="s">
        <v>209</v>
      </c>
      <c r="C26" s="97">
        <f>IF(B23="YES",IF(E20&gt;7.54,"SPLIT WIRES",IF(E20&gt;5.773,4,IF(E20&gt;4.241,3.5,IF(E20&gt;2.945,3,IF(E20&gt;1.961,2.5,IF(E20&gt;1.115,2,IF(E20&gt;0.766,1.5,IF(E20&gt;0.49,1.25,IF(E20&gt;0.32,1,IF(E20&gt;0.19,0.75,IF(E20&gt;0.069,0.5,IF(E20&gt;0,"3/8","")))))))))))),IF(B20&gt;2,IF(E20&gt;5.027,"SPLIT WIRES",IF(E20&gt;3.848,4,IF(E20&gt;2.827,3.5,IF(E20&gt;1.963,3,IF(E20&gt;1.307,2.5,IF(E20&gt;0.743,2,IF(E20&gt;0.511,1.5,IF(E20&gt;0.327,1.25,IF(E20&gt;0.213,1,IF(E20&gt;0.127,0.75,IF(E20&gt;0.046,0.5,IF(E20&gt;0,"3/8","")))))))))))),IF(B20=2,IF(E20&gt;3.896,"SPLIT WIRES",IF(E20&gt;2.983,4,IF(E20&gt;2.191,3.5,IF(E20&gt;1.522,3,IF(E20&gt;1.013,2.5,IF(E20&gt;0.576,2,IF(E20&gt;0.396,1.5,IF(E20&gt;0.253,1.25,IF(E20&gt;0.165,1,IF(E20&gt;0.098,0.75,IF(E20&gt;0.036,0.5,IF(E20&gt;0,"3/8","")))))))))))),IF(B20&gt;=1,IF(E20&gt;6.66,"SPLIT WIRES",IF(E20&gt;5.099,4,IF(E20&gt;3.746,3.5,IF(E20&gt;2.602,3,IF(E20&gt;1.732,2.5,IF(E20&gt;0.985,2,IF(E20&gt;0.677,1.5,IF(E20&gt;0.433,1.25,IF(E20&gt;0.283,1,IF(E20&gt;0.168,0.75,IF(E20&gt;0.061,0.5,IF(E20&lt;0,"3/8","")))))))))))),""))))</f>
        <v>0.75</v>
      </c>
      <c r="D26" s="4"/>
      <c r="E26" s="4"/>
    </row>
    <row r="27" spans="2:6" x14ac:dyDescent="0.25">
      <c r="B27" s="101" t="s">
        <v>210</v>
      </c>
      <c r="C27" s="97">
        <f>IF(B23="YES",IF(E20&gt;17.14,"SPLIT WIRES",IF(E20&gt;11.856,6,IF(E20&gt;7.532,5,IF(E20&gt;5.842,4,IF(E20&gt;4.361,3.5,IF(E20&gt;2.817,3,IF(E20&gt;1.975,2.5,IF(E20&gt;1.191,2,IF(E20&gt;0.872,1.5,IF(E20&gt;0.499,1.25,IF(E20&gt;0.305,1,IF(E20&gt;0.171,0.75,IF(E20&gt;0,0.5,""))))))))))))),IF(B20&gt;2,IF(E20&gt;11.427,"SPLIT WIRES",IF(E20&gt;7.904,6,IF(E20&gt;5.022,5,IF(E20&gt;3.895,4,IF(E20&gt;2.907,3.5,IF(E20&gt;1.878,3,IF(E20&gt;1.316,2.5,IF(E20&gt;0.794,2,IF(E20&gt;0.581,1.5,IF(E20&gt;0.333,1.25,IF(E20&gt;0.203,1,IF(E20&gt;0.114,0.75,IF(E20&gt;0,0.5,""))))))))))))),IF(B20=2,IF(E20&gt;8.856,"SPLIT WIRES",IF(E20&gt;6.126,6,IF(E20&gt;3.892,5,IF(E20&gt;3.018,4,IF(E20&gt;2.253,3.5,IF(E20&gt;1.455,3,IF(E20&gt;1.02,2.5,IF(E20&gt;0.616,2,IF(E20&gt;0.45,1.5,IF(E20&gt;0.258,1.25,IF(E20&gt;0.157,1,IF(E20&gt;0.088,0.75,IF(E20&gt;0,0.5,""))))))))))))),IF(B20&gt;=1,IF(E20&gt;15.141,"SPLIT WIRES",IF(E20&gt;10.473,6,IF(E20&gt;6.654,5,IF(E20&gt;5.161,4,IF(E20&gt;3.852,3.5,IF(E20&gt;2.488,3,IF(E20&gt;1.744,2.5,IF(E20&gt;1.052,2,IF(E20&gt;0.77,1.5,IF(E20&gt;0.441,1.25,IF(E20&gt;0.269,1,IF(E20&gt;0.151,0.75,IF(E20&gt;0,0.5,""))))))))))))),""))))</f>
        <v>0.75</v>
      </c>
      <c r="D27" s="4"/>
      <c r="E27" s="4"/>
    </row>
    <row r="28" spans="2:6" x14ac:dyDescent="0.25">
      <c r="B28" s="101" t="s">
        <v>211</v>
      </c>
      <c r="C28" s="97">
        <f>IF(B23="YES",IF(E20&gt;15.359,"SPLIT WIRES",IF(E20&gt;10.713,6,IF(E20&gt;6.755,5,IF(E20&gt;5.213,4,IF(E20&gt;3.865,3.5,IF(E20&gt;2.471,3,IF(E20&gt;1.725,2.5,IF(E20&gt;1.027,2,IF(E20&gt;0.742,1.5,IF(E20&gt;0.413,1.25,IF(E20&gt;0.246,1,IF(E20&gt;0.13,0.75,IF(E20&gt;0,0.5,""))))))))))))),IF(B20&gt;2,IF(E20&gt;10.239,"SPLIT WIRES",IF(E20&gt;7.142,6,IF(E20&gt;4.503,5,IF(E20&gt;3.475,4,IF(E20&gt;2.577,3.5,IF(E20&gt;1.647,3,IF(E20&gt;1.15,2.5,IF(E20&gt;0.684,2,IF(E20&gt;0.495,1.5,IF(E20&gt;0.275,1.25,IF(E20&gt;0.164,1,IF(E20&gt;0.087,0.75,IF(E20&gt;0,0.5,""))))))))))))),IF(B20=2,IF(E20&gt;7.935,"SPLIT WIRES",IF(E20&gt;5.535,6,IF(E20&gt;3.49,5,IF(E20&gt;2.693,4,IF(E20&gt;1.997,3.5,IF(E20&gt;1.277,3,IF(E20&gt;0.891,2.5,IF(E20&gt;0.53,2,IF(E20&gt;0.383,1.5,IF(E20&gt;0.213,1.25,IF(E20&gt;0.127,1,IF(E20&gt;0.067,0.75,IF(E20&gt;0,0.5,""))))))))))))),IF(B20&gt;=1,IF(E20&gt;13.567,"SPLIT WIRES",IF(E20&gt;9.463,6,IF(E20&gt;5.967,5,IF(E20&gt;4.605,4,IF(E20&gt;3.414,3.5,IF(E20&gt;2.183,3,IF(E20&gt;1.523,2.5,IF(E20&gt;0.907,2,IF(E20&gt;0.656,1.5,IF(E20&gt;0.365,1.25,IF(E20&gt;0.217,1,IF(E20&gt;0.115,0.75,IF(E20&gt;0,0.5,""))))))))))))),""))))</f>
        <v>0.75</v>
      </c>
      <c r="D28" s="4"/>
      <c r="E28" s="4"/>
    </row>
  </sheetData>
  <sheetProtection selectLockedCells="1"/>
  <mergeCells count="3">
    <mergeCell ref="B2:C2"/>
    <mergeCell ref="E2:F2"/>
    <mergeCell ref="B14:E14"/>
  </mergeCells>
  <dataValidations count="2">
    <dataValidation type="list" allowBlank="1" showInputMessage="1" showErrorMessage="1" sqref="C16:C19">
      <formula1>"14,12,10,8,6,4,3,2,1,'1/0,'2/0,'3/0,'4/0,250,300,350,400,500,600,700,750,800,900,1000"</formula1>
    </dataValidation>
    <dataValidation type="list" allowBlank="1" showInputMessage="1" showErrorMessage="1" sqref="B23">
      <formula1>"NO,YES"</formula1>
    </dataValidation>
  </dataValidations>
  <pageMargins left="0.7" right="0.7" top="0.75" bottom="0.75" header="0.3" footer="0.3"/>
  <pageSetup orientation="portrait"/>
  <headerFooter alignWithMargins="0"/>
  <ignoredErrors>
    <ignoredError sqref="D16:D19" twoDigitTextYear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Drop Down 1">
              <controlPr defaultSize="0" print="0" autoFill="0" autoLine="0" autoPict="0">
                <anchor moveWithCells="1" sizeWithCells="1">
                  <from>
                    <xdr:col>2</xdr:col>
                    <xdr:colOff>0</xdr:colOff>
                    <xdr:row>15</xdr:row>
                    <xdr:rowOff>0</xdr:rowOff>
                  </from>
                  <to>
                    <xdr:col>3</xdr:col>
                    <xdr:colOff>161925</xdr:colOff>
                    <xdr:row>16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MODULES!$A$7:$A$20</xm:f>
          </x14:formula1>
          <xm:sqref>F3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163"/>
  <sheetViews>
    <sheetView topLeftCell="A91" zoomScale="85" zoomScaleNormal="85" workbookViewId="0">
      <selection activeCell="C92" sqref="C92"/>
    </sheetView>
  </sheetViews>
  <sheetFormatPr defaultRowHeight="15" x14ac:dyDescent="0.25"/>
  <cols>
    <col min="1" max="1" width="40.85546875" style="143" bestFit="1" customWidth="1"/>
    <col min="2" max="2" width="49.42578125" style="143" customWidth="1"/>
    <col min="3" max="3" width="80.140625" style="143" bestFit="1" customWidth="1"/>
    <col min="4" max="6" width="15.28515625" style="143" bestFit="1" customWidth="1"/>
    <col min="7" max="7" width="19.42578125" style="143" bestFit="1" customWidth="1"/>
    <col min="8" max="8" width="20.28515625" style="143" customWidth="1"/>
    <col min="9" max="10" width="9.140625" style="143"/>
    <col min="11" max="11" width="12" style="143" bestFit="1" customWidth="1"/>
    <col min="12" max="16" width="11.7109375" style="143" bestFit="1" customWidth="1"/>
    <col min="17" max="17" width="9.140625" style="143"/>
    <col min="18" max="18" width="30.85546875" style="143" customWidth="1"/>
    <col min="19" max="16384" width="9.140625" style="143"/>
  </cols>
  <sheetData>
    <row r="1" spans="1:18" x14ac:dyDescent="0.25">
      <c r="A1" s="141">
        <v>401925</v>
      </c>
      <c r="B1" s="142" t="s">
        <v>9</v>
      </c>
      <c r="C1" s="142" t="s">
        <v>10</v>
      </c>
      <c r="D1" s="142" t="s">
        <v>11</v>
      </c>
      <c r="E1" s="142" t="s">
        <v>12</v>
      </c>
      <c r="F1" s="142" t="s">
        <v>13</v>
      </c>
      <c r="L1" s="142" t="s">
        <v>9</v>
      </c>
      <c r="M1" s="142" t="s">
        <v>10</v>
      </c>
      <c r="N1" s="142" t="s">
        <v>11</v>
      </c>
      <c r="O1" s="142" t="s">
        <v>12</v>
      </c>
      <c r="P1" s="142" t="s">
        <v>13</v>
      </c>
      <c r="R1" s="143" t="s">
        <v>306</v>
      </c>
    </row>
    <row r="2" spans="1:18" x14ac:dyDescent="0.25">
      <c r="A2" s="144" t="s">
        <v>14</v>
      </c>
      <c r="B2" s="145" t="str">
        <f>FORM!B6</f>
        <v>SE10000H-US</v>
      </c>
      <c r="C2" s="145">
        <f>FORM!C6</f>
        <v>0</v>
      </c>
      <c r="D2" s="145">
        <f>FORM!D6</f>
        <v>0</v>
      </c>
      <c r="E2" s="145">
        <f>FORM!E6</f>
        <v>0</v>
      </c>
      <c r="F2" s="145">
        <f>FORM!F6</f>
        <v>0</v>
      </c>
      <c r="K2" s="146" t="s">
        <v>106</v>
      </c>
      <c r="L2" s="143">
        <f>IF(B2=INVERTERS!$A$14,INVERTERS!$B$14,IF(B2=INVERTERS!$A$15,INVERTERS!$B$15,IF(B2=INVERTERS!$A$16,INVERTERS!$B$16,IF(B2=INVERTERS!$A$17,INVERTERS!$B$17,IF(B2=INVERTERS!$A$18,INVERTERS!$B$18,IF(B2=INVERTERS!$A$19,INVERTERS!$B$19,IF(B2=INVERTERS!$A$20,INVERTERS!$B$20,IF(B2=INVERTERS!$A$21,INVERTERS!$B$21,IF(B2=INVERTERS!$A$22,INVERTERS!$B$22,IF(B2=INVERTERS!$A$23,INVERTERS!$B$23,IF(B2=INVERTERS!$A$24,INVERTERS!$B$24,IF(B2=INVERTERS!$A$25,INVERTERS!$B$25,IF(B2=INVERTERS!$A$26,INVERTERS!$B$26,IF(B2=INVERTERS!$A$27,INVERTERS!$B$27,IF(B2=INVERTERS!$A$12,INVERTERS!$B$12,IF(B2=INVERTERS!$A$2,INVERTERS!$B$2,IF(B2=INVERTERS!$A$3,INVERTERS!$B$3,IF(B2=INVERTERS!$A$4,INVERTERS!$B$4,IF(B2=INVERTERS!$A$5,INVERTERS!$B$5,IF(B2=INVERTERS!$A$6,INVERTERS!$B$6,IF(B2=INVERTERS!$A$7,INVERTERS!$B$7,IF(B2=INVERTERS!$A$8,INVERTERS!$B$8,IF(B2=INVERTERS!$A$9,INVERTERS!$B$9,IF(B2=INVERTERS!$A$10,INVERTERS!$B$10,IF(B2=INVERTERS!$A$11,INVERTERS!$B$11,IF(B2=INVERTERS!$A$13,INVERTERS!$B$13,IF(B2=INVERTERS!$A$28,INVERTERS!$B$28,0)))))))))))))))))))))))))))</f>
        <v>10000</v>
      </c>
      <c r="M2" s="143">
        <f>IF(C2=INVERTERS!$A$14,INVERTERS!$B$14,IF(C2=INVERTERS!$A$15,INVERTERS!$B$15,IF(C2=INVERTERS!$A$16,INVERTERS!$B$16,IF(C2=INVERTERS!$A$17,INVERTERS!$B$17,IF(C2=INVERTERS!$A$18,INVERTERS!$B$18,IF(C2=INVERTERS!$A$19,INVERTERS!$B$19,IF(C2=INVERTERS!$A$20,INVERTERS!$B$20,IF(C2=INVERTERS!$A$21,INVERTERS!$B$21,IF(C2=INVERTERS!$A$22,INVERTERS!$B$22,IF(C2=INVERTERS!$A$23,INVERTERS!$B$23,IF(C2=INVERTERS!$A$24,INVERTERS!$B$24,IF(C2=INVERTERS!$A$25,INVERTERS!$B$25,IF(C2=INVERTERS!$A$26,INVERTERS!$B$26,IF(C2=INVERTERS!$A$27,INVERTERS!$B$27,IF(C2=INVERTERS!$A$12,INVERTERS!$B$12,IF(C2=INVERTERS!$A$2,INVERTERS!$B$2,IF(C2=INVERTERS!$A$3,INVERTERS!$B$3,IF(C2=INVERTERS!$A$4,INVERTERS!$B$4,IF(C2=INVERTERS!$A$5,INVERTERS!$B$5,IF(C2=INVERTERS!$A$6,INVERTERS!$B$6,IF(C2=INVERTERS!$A$7,INVERTERS!$B$7,IF(C2=INVERTERS!$A$8,INVERTERS!$B$8,IF(C2=INVERTERS!$A$9,INVERTERS!$B$9,IF(C2=INVERTERS!$A$10,INVERTERS!$B$10,IF(C2=INVERTERS!$A$11,INVERTERS!$B$11,IF(C2=INVERTERS!$A$13,INVERTERS!$B$13,IF(C2=INVERTERS!$A$28,INVERTERS!$B$28,0)))))))))))))))))))))))))))</f>
        <v>0</v>
      </c>
      <c r="N2" s="143">
        <f>IF(D2=INVERTERS!$A$14,INVERTERS!$B$14,IF(D2=INVERTERS!$A$15,INVERTERS!$B$15,IF(D2=INVERTERS!$A$16,INVERTERS!$B$16,IF(D2=INVERTERS!$A$17,INVERTERS!$B$17,IF(D2=INVERTERS!$A$18,INVERTERS!$B$18,IF(D2=INVERTERS!$A$19,INVERTERS!$B$19,IF(D2=INVERTERS!$A$20,INVERTERS!$B$20,IF(D2=INVERTERS!$A$21,INVERTERS!$B$21,IF(D2=INVERTERS!$A$22,INVERTERS!$B$22,IF(D2=INVERTERS!$A$23,INVERTERS!$B$23,IF(D2=INVERTERS!$A$24,INVERTERS!$B$24,IF(D2=INVERTERS!$A$25,INVERTERS!$B$25,IF(D2=INVERTERS!$A$26,INVERTERS!$B$26,IF(D2=INVERTERS!$A$27,INVERTERS!$B$27,IF(D2=INVERTERS!$A$12,INVERTERS!$B$12,IF(D2=INVERTERS!$A$2,INVERTERS!$B$2,IF(D2=INVERTERS!$A$3,INVERTERS!$B$3,IF(D2=INVERTERS!$A$4,INVERTERS!$B$4,IF(D2=INVERTERS!$A$5,INVERTERS!$B$5,IF(D2=INVERTERS!$A$6,INVERTERS!$B$6,IF(D2=INVERTERS!$A$7,INVERTERS!$B$7,IF(D2=INVERTERS!$A$8,INVERTERS!$B$8,IF(D2=INVERTERS!$A$9,INVERTERS!$B$9,IF(D2=INVERTERS!$A$10,INVERTERS!$B$10,IF(D2=INVERTERS!$A$11,INVERTERS!$B$11,IF(D2=INVERTERS!$A$13,INVERTERS!$B$13,IF(D2=INVERTERS!$A$28,INVERTERS!$B$28,0)))))))))))))))))))))))))))</f>
        <v>0</v>
      </c>
      <c r="O2" s="143">
        <f>IF(E2=INVERTERS!$A$14,INVERTERS!$B$14,IF(E2=INVERTERS!$A$15,INVERTERS!$B$15,IF(E2=INVERTERS!$A$16,INVERTERS!$B$16,IF(E2=INVERTERS!$A$17,INVERTERS!$B$17,IF(E2=INVERTERS!$A$18,INVERTERS!$B$18,IF(E2=INVERTERS!$A$19,INVERTERS!$B$19,IF(E2=INVERTERS!$A$20,INVERTERS!$B$20,IF(E2=INVERTERS!$A$21,INVERTERS!$B$21,IF(E2=INVERTERS!$A$22,INVERTERS!$B$22,IF(E2=INVERTERS!$A$23,INVERTERS!$B$23,IF(E2=INVERTERS!$A$24,INVERTERS!$B$24,IF(E2=INVERTERS!$A$25,INVERTERS!$B$25,IF(E2=INVERTERS!$A$26,INVERTERS!$B$26,IF(E2=INVERTERS!$A$27,INVERTERS!$B$27,IF(E2=INVERTERS!$A$12,INVERTERS!$B$12,IF(E2=INVERTERS!$A$2,INVERTERS!$B$2,IF(E2=INVERTERS!$A$3,INVERTERS!$B$3,IF(E2=INVERTERS!$A$4,INVERTERS!$B$4,IF(E2=INVERTERS!$A$5,INVERTERS!$B$5,IF(E2=INVERTERS!$A$6,INVERTERS!$B$6,IF(E2=INVERTERS!$A$7,INVERTERS!$B$7,IF(E2=INVERTERS!$A$8,INVERTERS!$B$8,IF(E2=INVERTERS!$A$9,INVERTERS!$B$9,IF(E2=INVERTERS!$A$10,INVERTERS!$B$10,IF(E2=INVERTERS!$A$11,INVERTERS!$B$11,IF(E2=INVERTERS!$A$13,INVERTERS!$B$13,IF(E2=INVERTERS!$A$28,INVERTERS!$B$28,0)))))))))))))))))))))))))))</f>
        <v>0</v>
      </c>
      <c r="P2" s="143">
        <f>IF(F2=INVERTERS!$A$14,INVERTERS!$B$14,IF(F2=INVERTERS!$A$15,INVERTERS!$B$15,IF(F2=INVERTERS!$A$16,INVERTERS!$B$16,IF(F2=INVERTERS!$A$17,INVERTERS!$B$17,IF(F2=INVERTERS!$A$18,INVERTERS!$B$18,IF(F2=INVERTERS!$A$19,INVERTERS!$B$19,IF(F2=INVERTERS!$A$20,INVERTERS!$B$20,IF(F2=INVERTERS!$A$21,INVERTERS!$B$21,IF(F2=INVERTERS!$A$22,INVERTERS!$B$22,IF(F2=INVERTERS!$A$23,INVERTERS!$B$23,IF(F2=INVERTERS!$A$24,INVERTERS!$B$24,IF(F2=INVERTERS!$A$25,INVERTERS!$B$25,IF(F2=INVERTERS!$A$26,INVERTERS!$B$26,IF(F2=INVERTERS!$A$27,INVERTERS!$B$27,IF(F2=INVERTERS!$A$12,INVERTERS!$B$12,IF(F2=INVERTERS!$A$2,INVERTERS!$B$2,IF(F2=INVERTERS!$A$3,INVERTERS!$B$3,IF(F2=INVERTERS!$A$4,INVERTERS!$B$4,IF(F2=INVERTERS!$A$5,INVERTERS!$B$5,IF(F2=INVERTERS!$A$6,INVERTERS!$B$6,IF(F2=INVERTERS!$A$7,INVERTERS!$B$7,IF(F2=INVERTERS!$A$9,INVERTERS!$B$9,IF(F2=INVERTERS!$A$10,INVERTERS!$B$10,IF(F2=INVERTERS!$A$11,INVERTERS!$B$11,IF(F2=INVERTERS!$A$13,INVERTERS!$B$13,IF(F2=INVERTERS!$A$28,INVERTERS!$B$28,0))))))))))))))))))))))))))</f>
        <v>0</v>
      </c>
      <c r="R2" s="143" t="s">
        <v>307</v>
      </c>
    </row>
    <row r="3" spans="1:18" x14ac:dyDescent="0.25">
      <c r="A3" s="144" t="s">
        <v>15</v>
      </c>
      <c r="B3" s="145">
        <f>FORM!B7</f>
        <v>2</v>
      </c>
      <c r="C3" s="145">
        <f>FORM!C7</f>
        <v>0</v>
      </c>
      <c r="D3" s="145">
        <f>FORM!D7</f>
        <v>0</v>
      </c>
      <c r="E3" s="145">
        <f>FORM!E7</f>
        <v>0</v>
      </c>
      <c r="F3" s="145">
        <f>FORM!F7</f>
        <v>0</v>
      </c>
      <c r="L3" s="143">
        <f>SUM('SMALL TABLES'!M32:Q32)</f>
        <v>10000</v>
      </c>
      <c r="R3" s="143" t="s">
        <v>309</v>
      </c>
    </row>
    <row r="4" spans="1:18" x14ac:dyDescent="0.25">
      <c r="A4" s="144" t="s">
        <v>16</v>
      </c>
      <c r="B4" s="145">
        <f>FORM!B8</f>
        <v>17</v>
      </c>
      <c r="C4" s="145">
        <f>FORM!C8</f>
        <v>0</v>
      </c>
      <c r="D4" s="145">
        <f>FORM!D8</f>
        <v>0</v>
      </c>
      <c r="E4" s="145">
        <f>FORM!E8</f>
        <v>0</v>
      </c>
      <c r="F4" s="145">
        <f>FORM!F8</f>
        <v>0</v>
      </c>
    </row>
    <row r="5" spans="1:18" ht="35.25" customHeight="1" x14ac:dyDescent="0.25">
      <c r="A5" s="147" t="s">
        <v>29</v>
      </c>
      <c r="B5" s="145">
        <f>FORM!B9</f>
        <v>0</v>
      </c>
      <c r="C5" s="145">
        <f>FORM!C9</f>
        <v>0</v>
      </c>
      <c r="D5" s="145">
        <f>FORM!D9</f>
        <v>0</v>
      </c>
      <c r="E5" s="145">
        <f>FORM!E9</f>
        <v>0</v>
      </c>
      <c r="F5" s="145">
        <f>FORM!F9</f>
        <v>0</v>
      </c>
      <c r="R5" s="205" t="s">
        <v>420</v>
      </c>
    </row>
    <row r="6" spans="1:18" x14ac:dyDescent="0.25">
      <c r="A6" s="147" t="s">
        <v>28</v>
      </c>
      <c r="B6" s="145">
        <f>FORM!B11</f>
        <v>34</v>
      </c>
      <c r="C6" s="145">
        <f>FORM!C11</f>
        <v>0</v>
      </c>
      <c r="D6" s="145">
        <f>FORM!D11</f>
        <v>0</v>
      </c>
      <c r="E6" s="145" t="e">
        <f>#REF!</f>
        <v>#REF!</v>
      </c>
      <c r="F6" s="145">
        <f>FORM!F11</f>
        <v>0</v>
      </c>
      <c r="K6" s="289" t="s">
        <v>125</v>
      </c>
      <c r="L6" s="290"/>
      <c r="M6" s="290"/>
      <c r="N6" s="290"/>
      <c r="O6" s="290"/>
      <c r="P6" s="291"/>
      <c r="R6" s="143" t="str">
        <f>RIGHT(R5,LEN(R5)-FIND("&gt;",R5))</f>
        <v>Brick Township&lt;/a&gt;</v>
      </c>
    </row>
    <row r="7" spans="1:18" x14ac:dyDescent="0.25">
      <c r="B7" s="148">
        <f>IF(B4&gt;0,B4,"")</f>
        <v>17</v>
      </c>
      <c r="C7" s="148" t="str">
        <f>IF(C4&gt;0,C4,"")</f>
        <v/>
      </c>
      <c r="D7" s="148" t="str">
        <f>IF(D4&gt;0,D4,"")</f>
        <v/>
      </c>
      <c r="E7" s="148" t="str">
        <f>IF(E4&gt;0,E4,"")</f>
        <v/>
      </c>
      <c r="F7" s="148" t="str">
        <f>IF(F4&gt;0,F4,"")</f>
        <v/>
      </c>
      <c r="G7" s="146" t="s">
        <v>37</v>
      </c>
      <c r="H7" s="143" t="str">
        <f>IF(C12=MODULES!A3,MODULES!B3,IF(C12=MODULES!A4,MODULES!B4,IF(C12=MODULES!A5,MODULES!B5,IF(C12=MODULES!A6,MODULES!B6,IF(C12=MODULES!A7,MODULES!B7,IF(C12=MODULES!A8,MODULES!B8,IF(C12=MODULES!A9,MODULES!B9,IF(C12=MODULES!A10,MODULES!B10,IF(C12=MODULES!A11,MODULES!B11,IF(C12=MODULES!A12,MODULES!B12,IF(C12=MODULES!A13,MODULES!B13,IF(C12=MODULES!A14,MODULES!B14,IF(C12=MODULES!A15,MODULES!B15,IF(C12=MODULES!A16,MODULES!B16,IF(C12=MODULES!A17,MODULES!B17,IF(C12=MODULES!A18,MODULES!B18,IF(C12=MODULES!A19,MODULES!B19,IF(C12=MODULES!A20,MODULES!B20,IF(C12=MODULES!A21,MODULES!B21,IF(C12=MODULES!A22,MODULES!B22,IF(C12=MODULES!A23,MODULES!B23,IF(C12=MODULES!A24,MODULES!B24,IF(C12=MODULES!A25,MODULES!B25,IF(C12=MODULES!A26,MODULES!B26,IF(C12=MODULES!A27,MODULES!B27,"")))))))))))))))))))))))))</f>
        <v>HANWHA 315</v>
      </c>
      <c r="K7" s="149"/>
      <c r="L7" s="150"/>
      <c r="M7" s="150"/>
      <c r="N7" s="150"/>
      <c r="O7" s="150"/>
      <c r="P7" s="151"/>
      <c r="R7" s="143" t="str">
        <f>LEFT(R6,LEN(R6)-4)</f>
        <v>Brick Township</v>
      </c>
    </row>
    <row r="8" spans="1:18" x14ac:dyDescent="0.25">
      <c r="B8" s="148">
        <f>IF(AND(OR(B3=2,B3=3),B5=0),B4,IF(AND(OR(B3=2,B3=3),B5&lt;&gt;0),B5,""))</f>
        <v>17</v>
      </c>
      <c r="C8" s="148" t="str">
        <f>IF(AND(OR(C3=2,C3=3),C5=0),C4,IF(AND(OR(C3=2,C3=3),C5&lt;&gt;0),C5,""))</f>
        <v/>
      </c>
      <c r="D8" s="148" t="str">
        <f>IF(AND(OR(D3=2,D3=3),D5=0),D4,IF(AND(OR(D3=2,D3=3),D5&lt;&gt;0),D5,""))</f>
        <v/>
      </c>
      <c r="E8" s="148" t="str">
        <f>IF(AND(OR(E3=2,E3=3),E5=0),E4,IF(AND(OR(E3=2,E3=3),E5&lt;&gt;0),E5,""))</f>
        <v/>
      </c>
      <c r="F8" s="148" t="str">
        <f>IF(F5&gt;0,F5,"")</f>
        <v/>
      </c>
      <c r="G8" s="146" t="s">
        <v>38</v>
      </c>
      <c r="H8" s="143" t="str">
        <f>IF(C12=MODULES!A3,MODULES!C3,IF(C12=MODULES!A4,MODULES!C4,IF(C12=MODULES!A5,MODULES!C5,IF(C12=MODULES!A6,MODULES!C6,IF(C12=MODULES!A7,MODULES!C7,IF(C12=MODULES!A8,MODULES!C8,IF(C12=MODULES!A9,MODULES!C9,IF(C12=MODULES!A10,MODULES!C10,IF(C12=MODULES!A11,MODULES!C11,IF(C12=MODULES!A12,MODULES!C12,IF(C12=MODULES!A13,MODULES!C13,IF(C12=MODULES!A14,MODULES!C14,IF(C12=MODULES!A15,MODULES!C15,IF(C12=MODULES!A16,MODULES!C16,IF(C12=MODULES!A17,MODULES!C17,IF(C12=MODULES!A18,MODULES!C18,IF(C12=MODULES!A19,MODULES!C19,IF(C12=MODULES!A20,MODULES!C20,IF(C12=MODULES!A21,MODULES!C21,IF(C12=MODULES!A22,MODULES!C22,IF(C12=MODULES!A23,MODULES!C23,IF(C12=MODULES!A24,MODULES!C24,IF(C12=MODULES!A25,MODULES!C25,IF(C12=MODULES!A26,MODULES!C26,IF(C12=MODULES!A27,MODULES!C27,"")))))))))))))))))))))))))</f>
        <v>Q.PEAK DUO BLK-G5 315</v>
      </c>
      <c r="K8" s="149"/>
      <c r="L8" s="150"/>
      <c r="M8" s="150"/>
      <c r="N8" s="150"/>
      <c r="O8" s="150"/>
      <c r="P8" s="151"/>
    </row>
    <row r="9" spans="1:18" x14ac:dyDescent="0.25">
      <c r="B9" s="148" t="str">
        <f>IF(AND(B3=3,FORM!B10=0),B4,IF(AND(B3=3,FORM!B10&lt;&gt;0),FORM!B10,""))</f>
        <v/>
      </c>
      <c r="C9" s="148" t="str">
        <f>IF(AND(C3=3,FORM!C10=0),C4,IF(AND(C3=3,FORM!C10&lt;&gt;0),FORM!C10,""))</f>
        <v/>
      </c>
      <c r="D9" s="148" t="str">
        <f>IF(AND(D3=3,FORM!D10=0),D4,IF(AND(D3=3,FORM!D10&lt;&gt;0),FORM!D10,""))</f>
        <v/>
      </c>
      <c r="E9" s="148" t="str">
        <f>IF(AND(E3=3,FORM!E10=0),E4,IF(AND(E3=3,FORM!E10&lt;&gt;0),FORM!E10,""))</f>
        <v/>
      </c>
      <c r="F9" s="148" t="str">
        <f>IF(AND(F3&gt;=2,F5=0),F4,"")</f>
        <v/>
      </c>
      <c r="G9" s="146" t="s">
        <v>36</v>
      </c>
      <c r="H9" s="152">
        <f>IF(C12=MODULES!A3,MODULES!D3,IF(C12=MODULES!A4,MODULES!D4,IF(C12=MODULES!A5,MODULES!D5,IF(C12=MODULES!A6,MODULES!D6,IF(C12=MODULES!A7,MODULES!D7,IF(C12=MODULES!A8,MODULES!D8,IF(C12=MODULES!A9,MODULES!D9,IF(C12=MODULES!A10,MODULES!D10,IF(C12=MODULES!A11,MODULES!D11,IF(C12=MODULES!A12,MODULES!D12,IF(C12=MODULES!A13,MODULES!D13,IF(C12=MODULES!A14,MODULES!D14,IF(C12=MODULES!A15,MODULES!D15,IF(C12=MODULES!A16,MODULES!D16,IF(C12=MODULES!A17,MODULES!D17,IF(C12=MODULES!A18,MODULES!D18,IF(C12=MODULES!A19,MODULES!D19,IF(C12=MODULES!A20,MODULES!D20,IF(C12=MODULES!A21,MODULES!D21,IF(C12=MODULES!A22,MODULES!D22,IF(C12=MODULES!A23,MODULES!D23,IF(C12=MODULES!A24,MODULES!D24,IF(C12=MODULES!A25,MODULES!D25,IF(C12=MODULES!A26,MODULES!D26,IF(C12=MODULES!A27,MODULES!D27,0)))))))))))))))))))))))))</f>
        <v>315</v>
      </c>
      <c r="K9" s="149"/>
      <c r="L9" s="150"/>
      <c r="M9" s="150"/>
      <c r="N9" s="150"/>
      <c r="O9" s="150"/>
      <c r="P9" s="151"/>
      <c r="R9" s="143" t="str">
        <f>IF(FORM!D28&lt;&gt;"",FORM!D28,IF(FORM!D29&lt;&gt;"",FORM!D29,IF(FORM!D30&lt;&gt;"",FORM!D30,IF(FORM!D31&lt;&gt;"",FORM!D31,1))))</f>
        <v>A1</v>
      </c>
    </row>
    <row r="10" spans="1:18" x14ac:dyDescent="0.25">
      <c r="B10" s="148"/>
      <c r="C10" s="148"/>
      <c r="D10" s="148"/>
      <c r="E10" s="148"/>
      <c r="F10" s="148" t="str">
        <f>IF(OR(F3=3,F3=4),F4,"")</f>
        <v/>
      </c>
      <c r="G10" s="153" t="s">
        <v>39</v>
      </c>
      <c r="H10" s="152">
        <f>IF(C12=MODULES!A3,MODULES!E3,IF(C12=MODULES!A4,MODULES!E4,IF(C12=MODULES!A5,MODULES!E5,IF(C12=MODULES!A6,MODULES!E6,IF(C12=MODULES!A7,MODULES!E7,IF(C12=MODULES!A8,MODULES!E8,IF(C12=MODULES!A9,MODULES!E9,IF(C12=MODULES!A10,MODULES!E10,IF(C12=MODULES!A11,MODULES!E11,IF(C12=MODULES!A12,MODULES!E12,IF(C12=MODULES!A13,MODULES!E13,IF(C12=MODULES!A14,MODULES!E14,IF(C12=MODULES!A15,MODULES!E15,IF(C12=MODULES!A16,MODULES!E16,IF(C12=MODULES!A17,MODULES!E17,IF(C12=MODULES!A18,MODULES!E18,IF(C12=MODULES!A19,MODULES!E19,IF(C12=MODULES!A20,MODULES!E20,IF(C12=MODULES!A21,MODULES!E21,IF(C12=MODULES!A22,MODULES!E22,IF(C12=MODULES!A23,MODULES!E23,IF(C12=MODULES!A24,MODULES!E24,IF(C12=MODULES!A25,MODULES!E25,IF(C12=MODULES!A26,MODULES!E26,IF(C12=MODULES!A27,MODULES!E27,"")))))))))))))))))))))))))</f>
        <v>9.41</v>
      </c>
      <c r="K10" s="149"/>
      <c r="L10" s="150"/>
      <c r="M10" s="150"/>
      <c r="N10" s="150"/>
      <c r="O10" s="150"/>
      <c r="P10" s="151"/>
    </row>
    <row r="11" spans="1:18" x14ac:dyDescent="0.25">
      <c r="B11" s="148" t="str">
        <f>IF(B3=4,B4,"")</f>
        <v/>
      </c>
      <c r="C11" s="148" t="str">
        <f>IF(C3=4,C4,"")</f>
        <v/>
      </c>
      <c r="D11" s="148" t="str">
        <f>IF(D3=4,D4,"")</f>
        <v/>
      </c>
      <c r="E11" s="148" t="str">
        <f>IF(E3=4,E4,"")</f>
        <v/>
      </c>
      <c r="F11" s="148" t="str">
        <f>IF(F3=4,F4,"")</f>
        <v/>
      </c>
      <c r="G11" s="153" t="s">
        <v>40</v>
      </c>
      <c r="H11" s="152">
        <f>IF(C12=MODULES!A3,MODULES!F3,IF(C12=MODULES!A4,MODULES!F4,IF(C12=MODULES!A5,MODULES!F5,IF(C12=MODULES!A6,MODULES!F6,IF(C12=MODULES!A7,MODULES!F7,IF(C12=MODULES!A8,MODULES!F8,IF(C12=MODULES!A9,MODULES!F9,IF(C12=MODULES!A10,MODULES!F10,IF(C12=MODULES!A11,MODULES!F11,IF(C12=MODULES!A12,MODULES!F12,IF(C12=MODULES!A13,MODULES!F13,IF(C12=MODULES!A14,MODULES!F14,IF(C12=MODULES!A15,MODULES!F15,IF(C12=MODULES!A16,MODULES!F16,IF(C12=MODULES!A17,MODULES!F17,IF(C12=MODULES!A18,MODULES!F18,IF(C12=MODULES!A19,MODULES!F19,IF(C12=MODULES!A20,MODULES!F20,IF(C12=MODULES!A21,MODULES!F21,IF(C12=MODULES!A22,MODULES!F22,IF(C12=MODULES!A23,MODULES!F23,IF(C12=MODULES!A24,MODULES!F24,IF(C12=MODULES!A25,MODULES!F25,IF(C12=MODULES!A26,MODULES!F26,IF(C12=MODULES!A27,MODULES!F27,"")))))))))))))))))))))))))</f>
        <v>33.46</v>
      </c>
      <c r="K11" s="149"/>
      <c r="L11" s="150"/>
      <c r="M11" s="150"/>
      <c r="N11" s="150"/>
      <c r="O11" s="150"/>
      <c r="P11" s="151"/>
    </row>
    <row r="12" spans="1:18" x14ac:dyDescent="0.25">
      <c r="A12" s="146" t="s">
        <v>32</v>
      </c>
      <c r="B12" s="143">
        <f>SUM(B7:F11)+I27</f>
        <v>34</v>
      </c>
      <c r="C12" s="143" t="str">
        <f>FORM!B2</f>
        <v>HANWHA 315 (Q.PEAK DUO BLK-G5 315)</v>
      </c>
      <c r="G12" s="153" t="s">
        <v>41</v>
      </c>
      <c r="H12" s="152">
        <f>IF(C12=MODULES!A3,MODULES!G3,IF(C12=MODULES!A4,MODULES!G4,IF(C12=MODULES!A5,MODULES!G5,IF(C12=MODULES!A6,MODULES!G6,IF(C12=MODULES!A7,MODULES!G7,IF(C12=MODULES!A8,MODULES!G8,IF(C12=MODULES!A9,MODULES!G9,IF(C12=MODULES!A10,MODULES!G10,IF(C12=MODULES!A11,MODULES!G11,IF(C12=MODULES!A12,MODULES!G12,IF(C12=MODULES!A13,MODULES!G13,IF(C12=MODULES!A14,MODULES!G14,IF(C12=MODULES!A15,MODULES!G15,IF(C12=MODULES!A16,MODULES!G16,IF(C12=MODULES!A17,MODULES!G17,IF(C12=MODULES!A18,MODULES!G18,IF(C12=MODULES!A19,MODULES!G19,IF(C12=MODULES!A20,MODULES!G20,IF(C12=MODULES!A21,MODULES!G21,IF(C12=MODULES!A22,MODULES!G22,IF(C12=MODULES!A23,MODULES!G23,IF(C12=MODULES!A24,MODULES!G24,IF(C12=MODULES!A25,MODULES!G25,IF(C12=MODULES!A26,MODULES!G26,IF(C12=MODULES!A27,MODULES!G27,"")))))))))))))))))))))))))</f>
        <v>40.29</v>
      </c>
      <c r="K12" s="149"/>
      <c r="L12" s="150"/>
      <c r="M12" s="150"/>
      <c r="N12" s="150"/>
      <c r="O12" s="150"/>
      <c r="P12" s="151"/>
    </row>
    <row r="13" spans="1:18" ht="15.75" x14ac:dyDescent="0.25">
      <c r="A13" s="154" t="s">
        <v>20</v>
      </c>
      <c r="B13" s="143" t="str">
        <f>UPPER(FORM!B13)</f>
        <v>KOMNINAKIS, JAMES</v>
      </c>
      <c r="G13" s="153" t="s">
        <v>42</v>
      </c>
      <c r="H13" s="152">
        <f>IF(C12=MODULES!A3,MODULES!H3,IF(C12=MODULES!A4,MODULES!H4,IF(C12=MODULES!A5,MODULES!H5,IF(C12=MODULES!A6,MODULES!H6,IF(C12=MODULES!A7,MODULES!H7,IF(C12=MODULES!A8,MODULES!H8,IF(C12=MODULES!A9,MODULES!H9,IF(C12=MODULES!A10,MODULES!H10,IF(C12=MODULES!A11,MODULES!H11,IF(C12=MODULES!A12,MODULES!H12,IF(C12=MODULES!A13,MODULES!H13,IF(C12=MODULES!A14,MODULES!H14,IF(C12=MODULES!A15,MODULES!H15,IF(C12=MODULES!A16,MODULES!H16,IF(C12=MODULES!A17,MODULES!H17,IF(C12=MODULES!A18,MODULES!H18,IF(C12=MODULES!A19,MODULES!H19,IF(C12=MODULES!A20,MODULES!H20,IF(C12=MODULES!A21,MODULES!H21,IF(C12=MODULES!A22,MODULES!H22,IF(C12=MODULES!A23,MODULES!H23,IF(C12=MODULES!A24,MODULES!H24,IF(C12=MODULES!A25,MODULES!H25,IF(C12=MODULES!A26,MODULES!H26,IF(C12=MODULES!A27,MODULES!H27,"")))))))))))))))))))))))))</f>
        <v>9.89</v>
      </c>
      <c r="K13" s="149"/>
      <c r="L13" s="150"/>
      <c r="M13" s="150"/>
      <c r="N13" s="150"/>
      <c r="O13" s="150"/>
      <c r="P13" s="151"/>
    </row>
    <row r="14" spans="1:18" ht="45" x14ac:dyDescent="0.25">
      <c r="A14" s="154" t="s">
        <v>21</v>
      </c>
      <c r="B14" s="189" t="str">
        <f>FORM!B14&amp;CHAR(10)&amp;FORM!B15&amp;CHAR(10)&amp;FORM!B16</f>
        <v>763 Tall Oaks Drive
Brick, NJ 08724
40.116594,-74.105553</v>
      </c>
      <c r="G14" s="153" t="s">
        <v>43</v>
      </c>
      <c r="H14" s="152">
        <f>IF(C12=MODULES!A3,MODULES!I3,IF(C12=MODULES!A4,MODULES!I4,IF(C12=MODULES!A5,MODULES!I5,IF(C12=MODULES!A6,MODULES!I6,IF(C12=MODULES!A7,MODULES!I7,IF(C12=MODULES!A8,MODULES!I8,IF(C12=MODULES!A9,MODULES!I9,IF(C12=MODULES!A10,MODULES!I10,IF(C12=MODULES!A11,MODULES!I11,IF(C12=MODULES!A12,MODULES!I12,IF(C12=MODULES!A13,MODULES!I13,IF(C12=MODULES!A14,MODULES!I14,IF(C12=MODULES!A15,MODULES!I15,IF(C12=MODULES!A16,MODULES!I16,IF(C12=MODULES!A17,MODULES!I17,IF(C12=MODULES!A18,MODULES!I18,IF(C12=MODULES!A19,MODULES!I19,IF(C12=MODULES!A20,MODULES!I20,IF(C12=MODULES!A21,MODULES!I21,IF(C12=MODULES!A22,MODULES!I22,IF(C12=MODULES!A23,MODULES!I23,IF(C12=MODULES!A24,MODULES!I24,IF(C12=MODULES!A25,MODULES!I25,IF(C12=MODULES!A26,MODULES!I26,IF(C12=MODULES!A27,MODULES!I27,"")))))))))))))))))))))))))</f>
        <v>45.93</v>
      </c>
      <c r="K14" s="149"/>
      <c r="L14" s="150"/>
      <c r="M14" s="150"/>
      <c r="N14" s="150"/>
      <c r="O14" s="150"/>
      <c r="P14" s="151"/>
    </row>
    <row r="15" spans="1:18" ht="15.75" x14ac:dyDescent="0.25">
      <c r="A15" s="154" t="s">
        <v>27</v>
      </c>
      <c r="B15" s="155">
        <f>IF(FORM!B17="","NODATE",FORM!B17)</f>
        <v>43599</v>
      </c>
      <c r="K15" s="149"/>
      <c r="L15" s="150"/>
      <c r="M15" s="150"/>
      <c r="N15" s="150"/>
      <c r="O15" s="150"/>
      <c r="P15" s="151"/>
    </row>
    <row r="16" spans="1:18" ht="15.75" x14ac:dyDescent="0.25">
      <c r="A16" s="154" t="s">
        <v>18</v>
      </c>
      <c r="B16" s="143" t="str">
        <f>IF(FORM!B18="","","("&amp;FORM!B18&amp;")")</f>
        <v>(DIVIDEND SOLAR)</v>
      </c>
      <c r="K16" s="149"/>
      <c r="L16" s="150"/>
      <c r="M16" s="150"/>
      <c r="N16" s="150"/>
      <c r="O16" s="150"/>
      <c r="P16" s="151"/>
    </row>
    <row r="17" spans="1:16" ht="15.75" x14ac:dyDescent="0.25">
      <c r="A17" s="154" t="s">
        <v>19</v>
      </c>
      <c r="B17" s="143">
        <f>FORM!B20</f>
        <v>200</v>
      </c>
      <c r="K17" s="149"/>
      <c r="L17" s="150"/>
      <c r="M17" s="150"/>
      <c r="N17" s="150"/>
      <c r="O17" s="150"/>
      <c r="P17" s="151"/>
    </row>
    <row r="18" spans="1:16" ht="15.75" x14ac:dyDescent="0.25">
      <c r="A18" s="154" t="s">
        <v>22</v>
      </c>
      <c r="B18" s="143" t="str">
        <f>FORM!B19</f>
        <v>2018-12-309067</v>
      </c>
      <c r="K18" s="149"/>
      <c r="L18" s="150"/>
      <c r="M18" s="150"/>
      <c r="N18" s="150"/>
      <c r="O18" s="150"/>
      <c r="P18" s="151"/>
    </row>
    <row r="19" spans="1:16" ht="15.75" x14ac:dyDescent="0.25">
      <c r="A19" s="154" t="s">
        <v>23</v>
      </c>
      <c r="B19" s="143" t="str">
        <f>FORM!B22</f>
        <v>JCP&amp;L</v>
      </c>
      <c r="K19" s="149"/>
      <c r="L19" s="150"/>
      <c r="M19" s="150"/>
      <c r="N19" s="150"/>
      <c r="O19" s="150"/>
      <c r="P19" s="151"/>
    </row>
    <row r="20" spans="1:16" ht="15.75" x14ac:dyDescent="0.25">
      <c r="A20" s="154" t="s">
        <v>24</v>
      </c>
      <c r="B20" s="156" t="str">
        <f>FORM!B23</f>
        <v>100124808161</v>
      </c>
      <c r="K20" s="149"/>
      <c r="L20" s="150"/>
      <c r="M20" s="150"/>
      <c r="N20" s="150"/>
      <c r="O20" s="150"/>
      <c r="P20" s="151"/>
    </row>
    <row r="21" spans="1:16" ht="15.75" x14ac:dyDescent="0.25">
      <c r="A21" s="154" t="s">
        <v>25</v>
      </c>
      <c r="B21" s="156" t="str">
        <f>FORM!B24</f>
        <v>G83410081</v>
      </c>
      <c r="K21" s="149"/>
      <c r="L21" s="150"/>
      <c r="M21" s="150"/>
      <c r="N21" s="150"/>
      <c r="O21" s="150"/>
      <c r="P21" s="151"/>
    </row>
    <row r="22" spans="1:16" ht="15.75" x14ac:dyDescent="0.25">
      <c r="A22" s="154" t="s">
        <v>26</v>
      </c>
      <c r="B22" s="143" t="str">
        <f>FORM!B26</f>
        <v>RF</v>
      </c>
      <c r="K22" s="149"/>
      <c r="L22" s="150"/>
      <c r="M22" s="150"/>
      <c r="N22" s="150"/>
      <c r="O22" s="150"/>
      <c r="P22" s="151"/>
    </row>
    <row r="23" spans="1:16" x14ac:dyDescent="0.25">
      <c r="A23" s="144" t="s">
        <v>30</v>
      </c>
      <c r="B23" s="143" t="str">
        <f>FORM!B29</f>
        <v>A1</v>
      </c>
      <c r="K23" s="157"/>
      <c r="L23" s="158"/>
      <c r="M23" s="158"/>
      <c r="N23" s="158"/>
      <c r="O23" s="158"/>
      <c r="P23" s="159"/>
    </row>
    <row r="24" spans="1:16" x14ac:dyDescent="0.25">
      <c r="A24" s="144" t="s">
        <v>31</v>
      </c>
      <c r="B24" s="143" t="str">
        <f>FORM!B30</f>
        <v>JMS</v>
      </c>
    </row>
    <row r="25" spans="1:16" ht="15.75" x14ac:dyDescent="0.25">
      <c r="A25" s="160" t="s">
        <v>34</v>
      </c>
      <c r="B25" s="155">
        <f>IF(FORM!B31="","",FORM!B31)</f>
        <v>43637</v>
      </c>
      <c r="D25" s="146" t="s">
        <v>85</v>
      </c>
      <c r="E25" s="143" t="str">
        <f>IF(FORM!F13="USE LINE TAPS","YES",IF(FORM!E13="LINE TAPS","YES",""))</f>
        <v>YES</v>
      </c>
    </row>
    <row r="26" spans="1:16" ht="15.75" x14ac:dyDescent="0.25">
      <c r="A26" s="160" t="s">
        <v>35</v>
      </c>
      <c r="D26" s="146" t="s">
        <v>54</v>
      </c>
      <c r="E26" s="143">
        <f>FORM!B27</f>
        <v>1</v>
      </c>
      <c r="H26" s="146" t="s">
        <v>87</v>
      </c>
      <c r="I26" s="143">
        <f>COUNTIF(J28:J32,1)</f>
        <v>0</v>
      </c>
    </row>
    <row r="27" spans="1:16" x14ac:dyDescent="0.25">
      <c r="B27" s="142" t="s">
        <v>9</v>
      </c>
      <c r="C27" s="142" t="s">
        <v>10</v>
      </c>
      <c r="D27" s="142" t="s">
        <v>11</v>
      </c>
      <c r="E27" s="142" t="s">
        <v>12</v>
      </c>
      <c r="F27" s="142" t="s">
        <v>13</v>
      </c>
      <c r="H27" s="153" t="s">
        <v>55</v>
      </c>
      <c r="I27" s="161">
        <f>FORM!F11</f>
        <v>0</v>
      </c>
    </row>
    <row r="28" spans="1:16" x14ac:dyDescent="0.25">
      <c r="B28" s="143" t="str">
        <f>FORM!B6</f>
        <v>SE10000H-US</v>
      </c>
      <c r="C28" s="143">
        <f>C2</f>
        <v>0</v>
      </c>
      <c r="D28" s="143">
        <f>D2</f>
        <v>0</v>
      </c>
      <c r="E28" s="143">
        <f>E2</f>
        <v>0</v>
      </c>
      <c r="F28" s="143">
        <f>F2</f>
        <v>0</v>
      </c>
      <c r="H28" s="146" t="s">
        <v>56</v>
      </c>
      <c r="I28" s="143">
        <f>FORM!I7</f>
        <v>0</v>
      </c>
      <c r="J28" s="143" t="str">
        <f>IF(I28&gt;0,1,"")</f>
        <v/>
      </c>
    </row>
    <row r="29" spans="1:16" x14ac:dyDescent="0.25">
      <c r="A29" s="153" t="s">
        <v>39</v>
      </c>
      <c r="B29" s="143">
        <f>ROUND(IF(AND(B37="YES",ISNUMBER(SEARCH("A-US",B28))),IF(((SUM(B7:B11)*$H9)/350)&gt;L37,L37,((SUM(B7:B11)*$H9)/350)),IF(AND(B37="YES",ISNUMBER(SEARCH("H-US",B28)),AND(B28&lt;&gt;"SE7600H-US",B28&lt;&gt;"SE10000H-US",B28&lt;&gt;"SE11400H-US")),IF(((SUM(B7:B11)*$H$9)/380)&gt;L37,L37,((SUM(B7:B11)*$H$9)/380)),IF(OR(B28="SE7600H-US",B28="SE10000H-US",B28="SE11400H-US"),IF(((SUM(B7:B11)*$H$9)/400)&gt;L37,L37,((SUM(B7:B11)*$H$9)/400)),$H10*B3))),2)</f>
        <v>26.78</v>
      </c>
      <c r="C29" s="143">
        <f>ROUND(IF(AND(C37="YES",ISNUMBER(SEARCH("A-US",C28))),IF(((SUM(C7:C11)*$H9)/350)&gt;M37,M37,((SUM(C7:C11)*$H9)/350)),IF(AND(C37="YES",ISNUMBER(SEARCH("H-US",C28)),AND(C28&lt;&gt;"SE7600H-US",C28&lt;&gt;"SE10000H-US",C28&lt;&gt;"SE11400H-US")),IF(((SUM(C7:C11)*$H$9)/380)&gt;M37,M37,((SUM(C7:C11)*$H$9)/380)),IF(OR(C28="SE7600H-US",C28="SE10000H-US",C28="SE11400H-US"),IF(((SUM(C7:C11)*$H$9)/400)&gt;M37,M37,((SUM(C7:C11)*$H$9)/400)),$H10*C3))),2)</f>
        <v>0</v>
      </c>
      <c r="D29" s="143">
        <f>ROUND(IF(AND(D37="YES",ISNUMBER(SEARCH("A-US",D28))),IF(((SUM(D7:D11)*$H9)/350)&gt;N37,N37,((SUM(D7:D11)*$H9)/350)),IF(AND(D37="YES",ISNUMBER(SEARCH("H-US",D28)),AND(D28&lt;&gt;"SE7600H-US",D28&lt;&gt;"SE10000H-US",D28&lt;&gt;"SE11400H-US")),IF(((SUM(D7:D11)*$H$9)/380)&gt;N37,N37,((SUM(D7:D11)*$H$9)/380)),IF(OR(D28="SE7600H-US",D28="SE10000H-US",D28="SE11400H-US"),IF(((SUM(D7:D11)*$H$9)/400)&gt;N37,N37,((SUM(D7:D11)*$H$9)/400)),$H10*D3))),2)</f>
        <v>0</v>
      </c>
      <c r="E29" s="143">
        <f>ROUND(IF(AND(E37="YES",ISNUMBER(SEARCH("A-US",E28))),IF(((SUM(E7:E11)*$H9)/350)&gt;O37,O37,((SUM(E7:E11)*$H9)/350)),IF(AND(E37="YES",ISNUMBER(SEARCH("H-US",E28)),AND(E28&lt;&gt;"SE7600H-US",E28&lt;&gt;"SE10000H-US",E28&lt;&gt;"SE11400H-US")),IF(((SUM(E7:E11)*$H$9)/380)&gt;O37,O37,((SUM(E7:E11)*$H$9)/380)),IF(OR(E28="SE7600H-US",E28="SE10000H-US",E28="SE11400H-US"),IF(((SUM(E7:E11)*$H$9)/400)&gt;O37,O37,((SUM(E7:E11)*$H$9)/400)),$H10*E3))),2)</f>
        <v>0</v>
      </c>
      <c r="F29" s="143">
        <f>ROUND(IF(AND(F37="YES",ISNUMBER(SEARCH("A-US",F28))),IF(((SUM(F7:F11)*$H9)/350)&gt;P37,P37,((SUM(F7:F11)*$H9)/350)),IF(AND(F37="YES",ISNUMBER(SEARCH("H-US",F28)),F28&lt;&gt;"SE7600H-US"),IF(((SUM(F7:F11)*$H$9)/380)&gt;P37,P37,((SUM(F7:F11)*$H$9)/380)),IF(F28="SE7600H-US",IF(((SUM(F7:F11)*$H$9)/400)&gt;P37,P37,((SUM(F7:F11)*$H$9)/400)),$H10*F3))),2)</f>
        <v>0</v>
      </c>
      <c r="H29" s="146" t="s">
        <v>57</v>
      </c>
      <c r="I29" s="143">
        <f>FORM!I8</f>
        <v>0</v>
      </c>
      <c r="J29" s="143" t="str">
        <f>IF(I29&gt;0,1,"")</f>
        <v/>
      </c>
    </row>
    <row r="30" spans="1:16" x14ac:dyDescent="0.25">
      <c r="A30" s="153" t="s">
        <v>40</v>
      </c>
      <c r="B30" s="143">
        <f>IF(AND(AND(B37="YES",ISNUMBER(SEARCH("H-US",B28))=TRUE),AND(B28&lt;&gt;"SE7600H-US",B28&lt;&gt;"SE10000H-US",B28&lt;&gt;"SE11400H-US")),380,IF(OR(B28="SE7600H-US",B28="SE10000H-US",B28="SE11400H-US"),400,IF(AND(B37="YES",ISNUMBER(SEARCH("A-US",B28))=TRUE),350,$H11*B4)))</f>
        <v>400</v>
      </c>
      <c r="C30" s="143">
        <f>IF(AND(AND(C37="YES",ISNUMBER(SEARCH("H-US",C28))=TRUE),AND(C28&lt;&gt;"SE7600H-US",C28&lt;&gt;"SE10000H-US",C28&lt;&gt;"SE11400H-US")),380,IF(OR(C28="SE7600H-US",C28="SE10000H-US",C28="SE11400H-US"),400,IF(AND(C37="YES",ISNUMBER(SEARCH("A-US",C28))=TRUE),350,$H11*C4)))</f>
        <v>0</v>
      </c>
      <c r="D30" s="143">
        <f>IF(AND(AND(D37="YES",ISNUMBER(SEARCH("H-US",D28))=TRUE),AND(D28&lt;&gt;"SE7600H-US",D28&lt;&gt;"SE10000H-US",D28&lt;&gt;"SE11400H-US")),380,IF(OR(D28="SE7600H-US",D28="SE10000H-US",D28="SE11400H-US"),400,IF(AND(D37="YES",ISNUMBER(SEARCH("A-US",D28))=TRUE),350,$H11*D4)))</f>
        <v>0</v>
      </c>
      <c r="E30" s="143">
        <f>IF(AND(AND(E37="YES",ISNUMBER(SEARCH("H-US",E28))=TRUE),AND(E28&lt;&gt;"SE7600H-US",E28&lt;&gt;"SE10000H-US",E28&lt;&gt;"SE11400H-US")),380,IF(OR(E28="SE7600H-US",E28="SE10000H-US",E28="SE11400H-US"),400,IF(AND(E37="YES",ISNUMBER(SEARCH("A-US",E28))=TRUE),350,$H11*E4)))</f>
        <v>0</v>
      </c>
      <c r="F30" s="143">
        <f>IF(F37="YES",350,$H11*F4)</f>
        <v>0</v>
      </c>
      <c r="H30" s="146" t="s">
        <v>58</v>
      </c>
      <c r="I30" s="143">
        <f>FORM!I9</f>
        <v>0</v>
      </c>
      <c r="J30" s="143" t="str">
        <f>IF(I30&gt;0,1,"")</f>
        <v/>
      </c>
    </row>
    <row r="31" spans="1:16" x14ac:dyDescent="0.25">
      <c r="A31" s="153" t="s">
        <v>41</v>
      </c>
      <c r="B31" s="143">
        <f>IF(AND(B37="YES",ISNUMBER(SEARCH("H-US",B28))),480,IF(AND(B37="YES",ISNUMBER(SEARCH("A-US",B28))),500,$H14*B4))</f>
        <v>480</v>
      </c>
      <c r="C31" s="143">
        <f>IF(AND(B37="YES",ISNUMBER(SEARCH("H-US",C28))),480,IF(AND(B37="YES",ISNUMBER(SEARCH("A-US",C28))),500,$H14*C4))</f>
        <v>0</v>
      </c>
      <c r="D31" s="143">
        <f>IF(AND(B37="YES",ISNUMBER(SEARCH("H-US",D28))),480,IF(AND(B37="YES",ISNUMBER(SEARCH("A-US",D28))),500,$H14*D4))</f>
        <v>0</v>
      </c>
      <c r="E31" s="143">
        <f>IF(AND(B37="YES",ISNUMBER(SEARCH("H-US",E28))),480,IF(AND(B37="YES",ISNUMBER(SEARCH("A-US",E28))),500,$H14*E4))</f>
        <v>0</v>
      </c>
      <c r="F31" s="143">
        <f>IF(F37="YES",500,$H14*F4)</f>
        <v>0</v>
      </c>
      <c r="H31" s="146" t="s">
        <v>59</v>
      </c>
      <c r="I31" s="143">
        <f>FORM!I10</f>
        <v>0</v>
      </c>
      <c r="J31" s="143" t="str">
        <f>IF(I31&gt;0,1,"")</f>
        <v/>
      </c>
    </row>
    <row r="32" spans="1:16" x14ac:dyDescent="0.25">
      <c r="A32" s="153" t="s">
        <v>42</v>
      </c>
      <c r="B32" s="143">
        <f>IF(B37="YES",B3*15,($H13*B3)*1.25)</f>
        <v>30</v>
      </c>
      <c r="C32" s="143">
        <f>IF(C37="YES",C3*15,($H13*C3)*1.25)</f>
        <v>0</v>
      </c>
      <c r="D32" s="143">
        <f>IF(D37="YES",D3*15,($H13*D3)*1.25)</f>
        <v>0</v>
      </c>
      <c r="E32" s="143">
        <f>IF(E37="YES",E3*15,($H13*E3)*1.25)</f>
        <v>0</v>
      </c>
      <c r="F32" s="143">
        <f>IF(F37="YES",F3*15,($H13*F3)*1.25)</f>
        <v>0</v>
      </c>
      <c r="H32" s="146" t="s">
        <v>60</v>
      </c>
      <c r="I32" s="143">
        <f>FORM!I11</f>
        <v>0</v>
      </c>
      <c r="J32" s="143" t="str">
        <f>IF(I32&gt;0,1,"")</f>
        <v/>
      </c>
    </row>
    <row r="33" spans="1:16" x14ac:dyDescent="0.25">
      <c r="A33" s="153" t="s">
        <v>53</v>
      </c>
      <c r="B33" s="143">
        <f>IF(B28=INVERTERS!$A$2,INVERTERS!$C$2,IF(B28=INVERTERS!$A$3,INVERTERS!$C$3,IF(B28=INVERTERS!$A$4,INVERTERS!$C$4,IF(B28=INVERTERS!$A$5,INVERTERS!$C$5,IF(B28=INVERTERS!$A$6,INVERTERS!$C$6,IF(B28=INVERTERS!$A$7,INVERTERS!C7,IF(B28=INVERTERS!$A$8,INVERTERS!C8,IF(B28=INVERTERS!$A$9,INVERTERS!$C$9,IF(B28=INVERTERS!$A$10,INVERTERS!$C$10,IF(B28=INVERTERS!$A$11,INVERTERS!$C$11,IF(B28=INVERTERS!$A$12,INVERTERS!$C$12,IF(B28=INVERTERS!$A$13,INVERTERS!$C$13,IF(B28=INVERTERS!$A$14,INVERTERS!$C$14,IF(B28=INVERTERS!$A$15,INVERTERS!$C$15,IF(B28=INVERTERS!$A$16,INVERTERS!$C$16,IF(B28=INVERTERS!$A$17,INVERTERS!$C$17,IF(B28=INVERTERS!$A$18,INVERTERS!$C$18,IF(B28=INVERTERS!$A$19,INVERTERS!$C$19,IF(B28=INVERTERS!$A$20,INVERTERS!$C$20,IF(B28=INVERTERS!$A$21,INVERTERS!$C$21,IF(B28=INVERTERS!$A$22,INVERTERS!$C$22,IF(B28=INVERTERS!$A$23,INVERTERS!$C$23,IF(B28=INVERTERS!$A$24,INVERTERS!$C$24,IF(B28=INVERTERS!$A$25,INVERTERS!$C$25,IF(B28=INVERTERS!$A$26,INVERTERS!$C$26,IF(B28=INVERTERS!$A$27,INVERTERS!$C$27,IF(B28=INVERTERS!$A$28,INVERTERS!$C$28,IF(B28=INVERTERS!$A$29,INVERTERS!$C$29,B28))))))))))))))))))))))))))))</f>
        <v>42</v>
      </c>
      <c r="C33" s="143">
        <f>IF(C28=INVERTERS!$A$2,INVERTERS!$C$2,IF(C28=INVERTERS!$A$3,INVERTERS!$C$3,IF(C28=INVERTERS!$A$4,INVERTERS!$C$4,IF(C28=INVERTERS!$A$5,INVERTERS!$C$5,IF(C28=INVERTERS!$A$6,INVERTERS!$C$6,IF(C28=INVERTERS!$A$7,INVERTERS!$C$7,IF(C28=INVERTERS!$A$8,INVERTERS!$C$8,IF(C28=INVERTERS!$A$9,INVERTERS!$C$9,IF(C28=INVERTERS!$A$10,INVERTERS!$C$10,IF(C28=INVERTERS!$A$11,INVERTERS!$C$11,IF(C28=INVERTERS!$A$12,INVERTERS!$C$12,IF(C28=INVERTERS!$A$13,INVERTERS!$C$13,IF(C28=INVERTERS!$A$14,INVERTERS!$C$14,IF(C28=INVERTERS!$A$15,INVERTERS!$C$15,IF(C28=INVERTERS!$A$16,INVERTERS!$C$16,IF(C28=INVERTERS!$A$17,INVERTERS!$C$17,IF(C28=INVERTERS!$A$18,INVERTERS!$C$18,IF(C28=INVERTERS!$A$19,INVERTERS!$C$19,IF(C28=INVERTERS!$A$20,INVERTERS!$C$20,IF(C28=INVERTERS!$A$21,INVERTERS!$C$21,IF(C28=INVERTERS!$A$22,INVERTERS!$C$22,IF(C28=INVERTERS!$A$23,INVERTERS!$C$23,IF(C28=INVERTERS!$A$24,INVERTERS!$C$24,IF(C28=INVERTERS!$A$25,INVERTERS!$C$25,IF(C28=INVERTERS!$A$26,INVERTERS!$C$26,IF(C28=INVERTERS!$A$27,INVERTERS!$C$27,IF(C28=INVERTERS!$A$28,INVERTERS!$C$28,IF(C28=INVERTERS!$A$29,INVERTERS!$C$29,C28))))))))))))))))))))))))))))</f>
        <v>0</v>
      </c>
      <c r="D33" s="143">
        <f>IF(D28=INVERTERS!$A$2,INVERTERS!$C$2,IF(D28=INVERTERS!$A$3,INVERTERS!$C$3,IF(D28=INVERTERS!$A$4,INVERTERS!$C$4,IF(D28=INVERTERS!$A$5,INVERTERS!$C$5,IF(D28=INVERTERS!$A$6,INVERTERS!$C$6,IF(D28=INVERTERS!$A$7,INVERTERS!$C$7,IF(D28=INVERTERS!$A$8,INVERTERS!$C$8,IF(D28=INVERTERS!$A$9,INVERTERS!$C$9,IF(D28=INVERTERS!$A$10,INVERTERS!$C$10,IF(D28=INVERTERS!$A$11,INVERTERS!$C$11,IF(D28=INVERTERS!$A$12,INVERTERS!$C$12,IF(D28=INVERTERS!$A$13,INVERTERS!$C$13,IF(D28=INVERTERS!$A$14,INVERTERS!$C$14,IF(D28=INVERTERS!$A$15,INVERTERS!$C$15,IF(D28=INVERTERS!$A$16,INVERTERS!$C$16,IF(D28=INVERTERS!$A$17,INVERTERS!$C$17,IF(D28=INVERTERS!$A$18,INVERTERS!$C$18,IF(D28=INVERTERS!$A$19,INVERTERS!$C$19,IF(D28=INVERTERS!$A$20,INVERTERS!$C$20,IF(D28=INVERTERS!$A$21,INVERTERS!$C$21,IF(D28=INVERTERS!$A$22,INVERTERS!$C$22,IF(D28=INVERTERS!$A$23,INVERTERS!$C$23,IF(D28=INVERTERS!$A$24,INVERTERS!$C$24,IF(D28=INVERTERS!$A$25,INVERTERS!$C$25,IF(D28=INVERTERS!$A$26,INVERTERS!$C$26,IF(D28=INVERTERS!$A$27,INVERTERS!$C$27,IF(D28=INVERTERS!$A$28,INVERTERS!$C$28,IF(D28=INVERTERS!$A$29,INVERTERS!$C$29,D28))))))))))))))))))))))))))))</f>
        <v>0</v>
      </c>
      <c r="E33" s="143">
        <f>IF(E28=INVERTERS!$A$2,INVERTERS!$C$2,IF(E28=INVERTERS!$A$3,INVERTERS!$C$3,IF(E28=INVERTERS!$A$4,INVERTERS!$C$4,IF(E28=INVERTERS!$A$5,INVERTERS!$C$5,IF(E28=INVERTERS!$A$6,INVERTERS!$C$6,IF(E28=INVERTERS!$A$7,INVERTERS!$C$7,IF(E28=INVERTERS!$A$8,INVERTERS!$C$8,IF(E28=INVERTERS!$A$9,INVERTERS!$C$9,IF(E28=INVERTERS!$A$10,INVERTERS!$C$10,IF(E28=INVERTERS!$A$11,INVERTERS!$C$11,IF(E28=INVERTERS!$A$12,INVERTERS!$C$12,IF(E28=INVERTERS!$A$13,INVERTERS!$C$13,IF(E28=INVERTERS!$A$14,INVERTERS!$C$14,IF(E28=INVERTERS!$A$15,INVERTERS!$C$15,IF(E28=INVERTERS!$A$16,INVERTERS!$C$16,IF(E28=INVERTERS!$A$17,INVERTERS!$C$17,IF(E28=INVERTERS!$A$18,INVERTERS!$C$18,IF(E28=INVERTERS!$A$19,INVERTERS!$C$19,IF(E28=INVERTERS!$A$20,INVERTERS!$C$20,IF(E28=INVERTERS!$A$21,INVERTERS!$C$21,IF(E28=INVERTERS!$A$22,INVERTERS!$C$22,IF(E28=INVERTERS!$A$23,INVERTERS!$C$23,IF(E28=INVERTERS!$A$24,INVERTERS!$C$24,IF(E28=INVERTERS!$A$25,INVERTERS!$C$25,IF(E28=INVERTERS!$A$26,INVERTERS!$C$26,IF(E28=INVERTERS!$A$27,INVERTERS!$C$27,IF(E28=INVERTERS!$A$28,INVERTERS!$C$28,IF(E28=INVERTERS!$A$29,INVERTERS!$C$29,E28))))))))))))))))))))))))))))</f>
        <v>0</v>
      </c>
      <c r="F33" s="143">
        <f>IF(I43="YES",G33*I27,IF(F28=INVERTERS!$A$2,INVERTERS!$C$2,IF(F28=INVERTERS!$A$3,INVERTERS!$C$3,IF(F28=INVERTERS!$A$4,INVERTERS!$C$4,IF(F28=INVERTERS!$A$5,INVERTERS!$C$5,IF(F28=INVERTERS!$A$6,INVERTERS!$C$6,IF(F28=INVERTERS!$A$7,INVERTERS!G7,IF(F28=INVERTERS!$A$8,INVERTERS!C8,IF(F28=INVERTERS!$A$9,INVERTERS!$C$9,IF(F28=INVERTERS!$A$10,INVERTERS!$C$10,IF(F28=INVERTERS!$A$11,INVERTERS!$C$11,IF(F28=INVERTERS!$A$12,INVERTERS!$C$12,IF(F28=INVERTERS!$A$13,INVERTERS!$C$13,IF(F28=INVERTERS!$A$14,INVERTERS!$C$14,IF(F28=INVERTERS!$A$15,INVERTERS!$C$15,IF(F28=INVERTERS!$A$16,INVERTERS!$C$16,IF(F28=INVERTERS!$A$17,INVERTERS!$C$17,IF(F28=INVERTERS!$A$18,INVERTERS!$C$18,IF(F28=INVERTERS!$A$19,INVERTERS!$C$19,IF(F28=INVERTERS!$A$20,INVERTERS!$C$20,IF(F28=INVERTERS!$A$21,INVERTERS!$C$21,IF(F28=INVERTERS!$A$22,INVERTERS!$C$22,IF(F28=INVERTERS!$A$23,INVERTERS!$C$23,IF(F28=INVERTERS!$A$24,INVERTERS!$C$24,IF(F28=INVERTERS!$A$25,INVERTERS!$C$25,IF(F28=INVERTERS!$A$26,INVERTERS!$C$26,IF(F28=INVERTERS!$A$27,INVERTERS!$C$27,IF(F28=INVERTERS!$A$28,INVERTERS!$C$28,IF(F28=INVERTERS!$A$29,INVERTERS!$C$29,F28)))))))))))))))))))))))))))))</f>
        <v>0</v>
      </c>
      <c r="G33" s="143" t="str">
        <f>IF(F28=INVERTERS!A14,INVERTERS!C14,IF(F28=INVERTERS!A15,INVERTERS!C15,IF(F28=INVERTERS!A16,INVERTERS!C16,IF(F28=INVERTERS!A17,INVERTERS!C17,IF(F28=INVERTERS!A18,INVERTERS!C18,IF(F28=INVERTERS!A19,INVERTERS!C19,IF(F28=INVERTERS!A20,INVERTERS!C20,IF(F28=INVERTERS!A21,INVERTERS!C21,IF(F28=INVERTERS!A22,INVERTERS!C22,IF(F28=INVERTERS!A23,INVERTERS!C23,IF(F28=INVERTERS!A24,INVERTERS!C24,IF(F28=INVERTERS!A25,INVERTERS!C25,IF(F28=INVERTERS!A26,INVERTERS!C26,IF(F28=INVERTERS!A27,INVERTERS!C27,IF(F28=INVERTERS!A12,INVERTERS!C12,IF(F28=INVERTERS!A2,INVERTERS!C2,IF(F28=INVERTERS!A3,INVERTERS!C3,IF(F28=INVERTERS!A4,INVERTERS!C4,IF(F28=INVERTERS!A6,INVERTERS!C6,IF(F28=INVERTERS!A9,INVERTERS!C9,IF(F28=INVERTERS!A10,INVERTERS!C10,IF(F28=INVERTERS!A11,INVERTERS!C11,IF(F28=INVERTERS!A13,INVERTERS!C13,IF(F28=INVERTERS!A28,INVERTERS!C28,IF(F28=INVERTERS!A29,INVERTERS!C29,"")))))))))))))))))))))))))</f>
        <v/>
      </c>
    </row>
    <row r="34" spans="1:16" x14ac:dyDescent="0.25">
      <c r="A34" s="153" t="s">
        <v>35</v>
      </c>
      <c r="B34" s="143">
        <f>B12*H9</f>
        <v>10710</v>
      </c>
      <c r="C34" s="143" t="s">
        <v>48</v>
      </c>
      <c r="D34" s="143">
        <f>B34/1000</f>
        <v>10.71</v>
      </c>
      <c r="E34" s="143" t="s">
        <v>49</v>
      </c>
    </row>
    <row r="35" spans="1:16" x14ac:dyDescent="0.25">
      <c r="A35" s="153" t="s">
        <v>52</v>
      </c>
      <c r="B35" s="143">
        <f>SUM(B33:F33)*1.25</f>
        <v>52.5</v>
      </c>
    </row>
    <row r="36" spans="1:16" x14ac:dyDescent="0.25">
      <c r="A36" s="153" t="s">
        <v>62</v>
      </c>
      <c r="B36" s="143">
        <f>IF(B35&gt;125,"SIZE ACCORDINGLY",IF(B35&gt;110,125,IF(B35&gt;100,110,IF(B35&gt;90,100,IF(B35&gt;80,90,IF(B35&gt;70,80,IF(B35&gt;60,70,IF(B35&gt;50,60,IF(B35&gt;40,50,IF(B35&gt;30,40,IF(B35&gt;20,30,IF(B35&gt;15,20,IF(B35&gt;0,15,"")))))))))))))</f>
        <v>60</v>
      </c>
      <c r="L36" s="142" t="s">
        <v>9</v>
      </c>
      <c r="M36" s="142" t="s">
        <v>10</v>
      </c>
      <c r="N36" s="142" t="s">
        <v>11</v>
      </c>
      <c r="O36" s="142" t="s">
        <v>12</v>
      </c>
      <c r="P36" s="142" t="s">
        <v>13</v>
      </c>
    </row>
    <row r="37" spans="1:16" x14ac:dyDescent="0.25">
      <c r="A37" s="146" t="s">
        <v>121</v>
      </c>
      <c r="B37" s="143" t="str">
        <f>IF(OR(B28="SE3000A-US",B28="SE3800A-US",B28="SE5000A-US",B28="SE6000A-US",B28="SE7600A-US",B28="SE10000A-US",B28="SE11400A-US",B28="SE3000H-US",B28="SE3800H-US",B28="SE5000H-US",B28="SE6000H-US",B28="SE7600H-US",B28="SE10000H-US",B28="SE11400H-US"),"YES","")</f>
        <v>YES</v>
      </c>
      <c r="C37" s="143" t="str">
        <f>IF(OR(C28="SE3000A-US",C28="SE3800A-US",C28="SE5000A-US",C28="SE6000A-US",C28="SE7600A-US",C28="SE10000A-US",C28="SE11400A-US",C28="SE3000H-US",C28="SE3800H-US",C28="SE5000H-US",C28="SE6000H-US",C28="SE7600H-US",C28="SE10000H-US",C28="SE11400H-US"),"YES","")</f>
        <v/>
      </c>
      <c r="D37" s="143" t="str">
        <f>IF(OR(D28="SE3000A-US",D28="SE3800A-US",D28="SE5000A-US",D28="SE6000A-US",D28="SE7600A-US",D28="SE10000A-US",D28="SE11400A-US",D28="SE3000H-US",D28="SE3800H-US",D28="SE5000H-US",D28="SE6000H-US",D28="SE7600H-US",D28="SE10000H-US",D28="SE11400H-US"),"YES","")</f>
        <v/>
      </c>
      <c r="E37" s="143" t="str">
        <f>IF(OR(E28="SE3000A-US",E28="SE3800A-US",E28="SE5000A-US",E28="SE6000A-US",E28="SE7600A-US",E28="SE10000A-US",E28="SE11400A-US",E28="SE3000H-US",E28="SE3800H-US",E28="SE5000H-US",E28="SE6000H-US",E28="SE7600H-US",E28="SE10000H-US",E28="SE11400H-US"),"YES","")</f>
        <v/>
      </c>
      <c r="F37" s="143" t="str">
        <f>IF(OR(F28="SE3000A-US",F28="SE3800A-US",F28="SE5000A-US",F28="SE6000A-US",F28="SE7600A-US",F28="SE10000A-US",F28="SE11400A-US",F28="SE3000H-US",F28="SE3800H-US",F28="SE5000H-US",F28="SE6000H-US",F28="SE7600H-US",F28="SE10000H-US",F28="SE11400H-US"),"YES","")</f>
        <v/>
      </c>
      <c r="K37" s="146" t="s">
        <v>123</v>
      </c>
      <c r="L37" s="143">
        <f>IF(B28="SE3000A-US",9.5,IF(B28="SE3800A-US",13,IF(B28="SE5000A-US",15.5,IF(B28="SE6000A-US",18,IF(B28="SE7600A-US",23,IF(B28="SE10000A-US",30.5,IF(B28="SE11400A-US",34.5,IF(B28="SE3000H-US",8.5,IF(B28="SE3800H-US",10.5,IF(B28="SE5000H-US",13.5,IF(B28="SE6000H-US",16.5,IF(B28="SE7600H-US",20,IF(B28="SE10000H-US",27,IF(B28="SE11400H-US",30.5,""))))))))))))))</f>
        <v>27</v>
      </c>
      <c r="M37" s="143" t="str">
        <f>IF(C28="SE3000A-US",9.5,IF(C28="SE3800A-US",13,IF(C28="SE5000A-US",15.5,IF(C28="SE6000A-US",18,IF(C28="SE7600A-US",23,IF(C28="SE10000A-US",30.5,IF(C28="SE11400A-US",34.5,IF(C28="SE3000H-US",8.5,IF(C28="SE3800H-US",10.5,IF(C28="SE5000H-US",13.5,IF(C28="SE6000H-US",16.5,IF(C28="SE7600H-US",20,IF(C28="SE10000H-US",27,IF(C28="SE11400H-US",30.5,""))))))))))))))</f>
        <v/>
      </c>
      <c r="N37" s="143" t="str">
        <f>IF(D28="SE3000A-US",9.5,IF(D28="SE3800A-US",13,IF(D28="SE5000A-US",15.5,IF(D28="SE6000A-US",18,IF(D28="SE7600A-US",23,IF(D28="SE10000A-US",30.5,IF(D28="SE11400A-US",34.5,IF(D28="SE3000H-US",8.5,IF(D28="SE3800H-US",10.5,IF(D28="SE5000H-US",13.5,IF(D28="SE6000H-US",16.5,IF(D28="SE7600H-US",20,IF(D28="SE10000H-US",27,IF(D28="SE11400H-US",30.5,""))))))))))))))</f>
        <v/>
      </c>
      <c r="O37" s="143" t="str">
        <f>IF(E28="SE3000A-US",9.5,IF(E28="SE3800A-US",13,IF(E28="SE5000A-US",15.5,IF(E28="SE6000A-US",18,IF(E28="SE7600A-US",23,IF(E28="SE10000A-US",30.5,IF(E28="SE11400A-US",34.5,IF(E28="SE3000H-US",8.5,IF(E28="SE3800H-US",10.5,IF(E28="SE5000H-US",13.5,IF(E28="SE6000H-US",16.5,IF(E28="SE7600H-US",20,IF(E28="SE10000H-US",27,IF(E28="SE11400H-US",30.5,""))))))))))))))</f>
        <v/>
      </c>
      <c r="P37" s="143" t="str">
        <f>IF(F28="SE3000A-US",9.5,IF(F28="SE3800A-US",13,IF(F28="SE5000A-US",15.5,IF(F28="SE6000A-US",18,IF(F28="SE7600A-US",23,IF(F28="SE10000A-US",30.5,IF(F28="SE11400A-US",34.5,IF(F28="SE3000H-US",8.5,IF(F28="SE3800H-US",10.5,IF(F28="SE5000H-US",13.5,IF(F28="SE6000H-US",16.5,IF(F28="SE7600H-US",20,IF(F28="SE10000H-US",27,IF(F28="SE11400H-US",30.5,""))))))))))))))</f>
        <v/>
      </c>
    </row>
    <row r="38" spans="1:16" x14ac:dyDescent="0.25">
      <c r="A38" s="146" t="s">
        <v>122</v>
      </c>
      <c r="B38" s="162">
        <f>ROUND(IF(B37="YES",(LARGE(B7:B11,1)*H9)/350,""),2)</f>
        <v>15.3</v>
      </c>
    </row>
    <row r="39" spans="1:16" x14ac:dyDescent="0.25">
      <c r="B39" s="142" t="s">
        <v>9</v>
      </c>
      <c r="C39" s="142" t="s">
        <v>10</v>
      </c>
      <c r="D39" s="142" t="s">
        <v>11</v>
      </c>
      <c r="E39" s="142" t="s">
        <v>12</v>
      </c>
      <c r="F39" s="142" t="s">
        <v>13</v>
      </c>
      <c r="H39" s="153" t="s">
        <v>86</v>
      </c>
      <c r="I39" s="143" t="str">
        <f>IF(AND(OR(B28="PVP 2000",B28="PVP 2500",B28="PVP 3000",B28="PVP 3500",B28="PVP 4800"),OR(C28="PVP 2000",C28="PVP 2500",C28="PVP 3000",C28="PVP 3500",C28="PVP 4800",FORM!C6=""),OR(D28="PVP 2000",D28="PVP 2500",D28="PVP 3000",D28="PVP 3500",D28="PVP 4800",FORM!D6=""),OR(E28="PVP 2000",E28="PVP 2500",E28="PVP 3000",E28="PVP 3500",E28="PVP 4800",FORM!E6=""),OR(F28="PVP 2000",F28="PVP 2500",F28="PVP 3000",F28="PVP 3500",F28="PVP 4800",FORM!F6="")),"YES","")</f>
        <v/>
      </c>
    </row>
    <row r="40" spans="1:16" x14ac:dyDescent="0.25">
      <c r="A40" s="153" t="s">
        <v>73</v>
      </c>
      <c r="B40" s="143" t="str">
        <f>IF(B3=0,"",IF(AND(B3&gt;1,AND(FORM!B10=0,B5=0)),B3&amp;" STRINGS OF "&amp;B4&amp;" MODULES IN SERIES - "&amp;IF(B37="YES",B30,(B4*$H$14))&amp;" Vmax",IF(AND(B3=3,AND(B5=0,FORM!B10=0)),"3 STRINGS OF "&amp;B4&amp;" MODULES IN SERIES - "&amp;IF(B37="YES",B30,(B4*$H$14))&amp;" Vmax",IF(AND(B3=3,AND(B5&lt;&gt;0,FORM!B10=0)),"2 STRINGS OF "&amp;B4&amp;" MODULES IN SERIES - "&amp;IF(B37="YES",B30,(B4*$H$14))&amp;" Vmax","1 STRING OF "&amp;B4&amp;" MODULES IN SERIES - "&amp;IF(B37="YES",B30,(B4*$H$14))&amp;" Vmax"))))</f>
        <v>2 STRINGS OF 17 MODULES IN SERIES - 400 Vmax</v>
      </c>
      <c r="C40" s="143" t="str">
        <f>IF(C3=0,"",IF(AND(C3&gt;1,AND(FORM!C10=0,C5=0)),C3&amp;" STRINGS OF "&amp;C4&amp;" MODULES IN SERIES - "&amp;IF(C37="YES",C30,(C4*$H$14))&amp;" Vmax",IF(AND(C3=3,AND(C5=0,FORM!C10=0)),"3 STRINGS OF "&amp;C4&amp;" MODULES IN SERIES - "&amp;IF(C37="YES",C30,(C4*$H$14))&amp;" Vmax",IF(AND(C3=3,AND(C5&lt;&gt;0,FORM!C10=0)),"2 STRINGS OF "&amp;C4&amp;" MODULES IN SERIES - "&amp;IF(C37="YES",C30,(C4*$H$14))&amp;" Vmax","1 STRING OF "&amp;C4&amp;" MODULES IN SERIES - "&amp;IF(C37="YES",C30,(C4*$H$14))&amp;" Vmax"))))</f>
        <v/>
      </c>
      <c r="D40" s="143" t="str">
        <f>IF(D3=0,"",IF(AND(D3&gt;1,AND(FORM!D10=0,D5=0)),D3&amp;" STRINGS OF "&amp;D4&amp;" MODULES IN SERIES - "&amp;IF(D37="YES",D30,(D4*$H$14))&amp;" Vmax",IF(AND(D3=3,AND(D5=0,FORM!D10=0)),"3 STRINGS OF "&amp;D4&amp;" MODULES IN SERIES - "&amp;IF(D37="YES",D30,(D4*$H$14))&amp;" Vmax",IF(AND(D3=3,AND(D5&lt;&gt;0,FORM!D10=0)),"2 STRINGS OF "&amp;D4&amp;" MODULES IN SERIES - "&amp;IF(D37="YES",D30,(D4*$H$14))&amp;" Vmax","1 STRING OF "&amp;D4&amp;" MODULES IN SERIES - "&amp;IF(D37="YES",D30,(D4*$H$14))&amp;" Vmax"))))</f>
        <v/>
      </c>
      <c r="E40" s="143" t="str">
        <f>IF(E3=0,"",IF(AND(E3&gt;1,AND(FORM!E10=0,E5=0)),E3&amp;" STRINGS OF "&amp;E4&amp;" MODULES IN SERIES - "&amp;IF(E37="YES",E30,(E4*$H$14))&amp;" Vmax",IF(AND(E3=3,AND(E5=0,FORM!E10=0)),"3 STRINGS OF "&amp;E4&amp;" MODULES IN SERIES - "&amp;IF(E37="YES",E30,(E4*$H$14))&amp;" Vmax",IF(AND(E3=3,AND(E5&lt;&gt;0,FORM!E10=0)),"2 STRINGS OF "&amp;E4&amp;" MODULES IN SERIES - "&amp;IF(E37="YES",E30,(E4*$H$14))&amp;" Vmax","1 STRING OF "&amp;E4&amp;" MODULES IN SERIES - "&amp;IF(E37="YES",E30,(E4*$H$14))&amp;" Vmax"))))</f>
        <v/>
      </c>
      <c r="F40" s="143" t="str">
        <f>IF(F3=0,"",IF(AND(F3&gt;1,F5=0),F3&amp;" STRINGS OF "&amp;F4&amp;" MODULES IN SERIES - "&amp;IF(B37="YES",F30,(F4*$H$14))&amp;" Vmax","1 STRING OF "&amp;F4&amp;" MODULES IN SERIES - "&amp;IF(B37="YES",F30,(F4*$H$14))&amp;" Vmax"))</f>
        <v/>
      </c>
      <c r="H40" s="146" t="s">
        <v>83</v>
      </c>
      <c r="I40" s="143" t="str">
        <f>IF(OR(B28="SMA SB 3000TL-US-22",B28="SMA SB 4000TL-US-22",B28="SMA SB 5000TL-US-22",C28="SMA SB 3000TL-US-22",C28="SMA SB 4000TL-US-22",C28="SMA SB 5000TL-US-22",D28="SMA SB 3000TL-US-22",D28="SMA SB 4000TL-US-22",D28="SMA SB 5000TL-US-22",E28="SMA SB 3000TL-US-22",E28="SMA SB 4000TL-US-22",E28="SMA SB 5000TL-US-22",F28="SMA SB 3000TL-US-22",F28="SMA SB 4000TL-US-22",F28="SMA SB 5000TL-US-22"),"YES","")</f>
        <v/>
      </c>
    </row>
    <row r="41" spans="1:16" x14ac:dyDescent="0.25">
      <c r="A41" s="153" t="s">
        <v>74</v>
      </c>
      <c r="B41" s="143" t="str">
        <f>IF(B5=0,"",IF(AND(B3&gt;1,B5&gt;0),"1 STRING OF "&amp;B5&amp;" MODULES IN SERIES - "&amp;IF(B37="YES",B30,(B5*$H$14))&amp;" Vmax"))</f>
        <v/>
      </c>
      <c r="C41" s="143" t="str">
        <f>IF(C5=0,"",IF(AND(C3&gt;1,C5&gt;0),"1 STRING OF "&amp;C5&amp;" MODULES IN SERIES - "&amp;IF(C37="YES",C30,(C5*$H$14))&amp;" Vmax"))</f>
        <v/>
      </c>
      <c r="D41" s="143" t="str">
        <f>IF(D5=0,"",IF(AND(D3&gt;1,D5&gt;0),"1 STRING OF "&amp;D5&amp;" MODULES IN SERIES - "&amp;IF(D37="YES",D30,(D5*$H$14))&amp;" Vmax"))</f>
        <v/>
      </c>
      <c r="E41" s="143" t="str">
        <f>IF(E5=0,"",IF(AND(E3&gt;1,E5&gt;0),"1 STRING OF "&amp;E5&amp;" MODULES IN SERIES - "&amp;IF(E37="YES",E30,(E5*$H$14))&amp;" Vmax"))</f>
        <v/>
      </c>
      <c r="H41" s="146"/>
    </row>
    <row r="42" spans="1:16" x14ac:dyDescent="0.25">
      <c r="A42" s="153" t="s">
        <v>382</v>
      </c>
      <c r="B42" s="143" t="str">
        <f>IF(FORM!B10=0,"",IF(AND(B3&gt;1,FORM!B10&gt;0),"1 STRING OF "&amp;FORM!B10&amp;" MODULES IN SERIES - "&amp;IF(B37="YES",B30,(FORM!B10*$H$14))&amp;" Vmax"))</f>
        <v/>
      </c>
      <c r="C42" s="143" t="str">
        <f>IF(FORM!C10=0,"",IF(AND(C3&gt;1,FORM!C10&gt;0),"1 STRING OF "&amp;FORM!C10&amp;" MODULES IN SERIES - "&amp;IF(C37="YES",C30,(FORM!C10*$H$14))&amp;" Vmax"))</f>
        <v/>
      </c>
      <c r="D42" s="143" t="str">
        <f>IF(FORM!D10=0,"",IF(AND(D3&gt;1,FORM!D10&gt;0),"1 STRING OF "&amp;FORM!D10&amp;" MODULES IN SERIES - "&amp;IF(D37="YES",D30,(FORM!D10*$H$14))&amp;" Vmax"))</f>
        <v/>
      </c>
      <c r="E42" s="143" t="str">
        <f>IF(FORM!E10=0,"",IF(AND(E3&gt;1,FORM!E10&gt;0),"1 STRING OF "&amp;FORM!E10&amp;" MODULES IN SERIES - "&amp;IF(E37="YES",E30,(FORM!E10*$H$14))&amp;" Vmax"))</f>
        <v/>
      </c>
      <c r="F42" s="143" t="str">
        <f>IF(F5=0,"",IF(AND(F3&gt;1,F5&gt;0),"1 STRING OF "&amp;F5&amp;" MODULES IN SERIES - "&amp;IF(B37="YES",F30,(F5*$H$14))&amp;" Vmax"))</f>
        <v/>
      </c>
      <c r="H42" s="146" t="s">
        <v>90</v>
      </c>
      <c r="I42" s="143" t="str">
        <f>IF(AND(FORM!F6="M215 MICROINVERTERS",FORM!B6="",FORM!C6="",FORM!D6="",FORM!E6=""),"YES","")</f>
        <v/>
      </c>
    </row>
    <row r="43" spans="1:16" x14ac:dyDescent="0.25">
      <c r="H43" s="146" t="s">
        <v>180</v>
      </c>
      <c r="I43" s="143" t="str">
        <f>IF(OR(F2="M215 MICROINVERTERS",F2="M250 MICROINVERTERS",F2="IQ6 MICROINVERTERS",F2="IQ6PLUS MICROINVERTERS",F2="IQ7 MICROINVERTERS",F2="IQ7PLUS MICROINVERTERS"),"YES","NO")</f>
        <v>NO</v>
      </c>
    </row>
    <row r="44" spans="1:16" x14ac:dyDescent="0.25">
      <c r="H44" s="146" t="s">
        <v>181</v>
      </c>
      <c r="I44" s="143">
        <f>F2</f>
        <v>0</v>
      </c>
    </row>
    <row r="45" spans="1:16" x14ac:dyDescent="0.25">
      <c r="A45" s="146" t="s">
        <v>82</v>
      </c>
      <c r="B45" s="143">
        <v>1</v>
      </c>
      <c r="C45" s="143" t="s">
        <v>81</v>
      </c>
      <c r="D45" s="143">
        <f>IF(C45="","",1)</f>
        <v>1</v>
      </c>
    </row>
    <row r="46" spans="1:16" ht="15.75" thickBot="1" x14ac:dyDescent="0.3">
      <c r="B46" s="143">
        <v>2</v>
      </c>
      <c r="C46" t="str">
        <f>CALCULATIONS!H51&amp;" "&amp;"CONDUIT W/ 2-#"&amp;CALCULATIONS!H52&amp;" THWN-2, 1-#"&amp;CALCULATIONS!H53&amp;" THWN-2, 1-#"&amp;CALCULATIONS!H54&amp;" THWN-2 GROUND"</f>
        <v>3/4'' CONDUIT W/ 2-#6 THWN-2, 1-#10 THWN-2, 1-#10 THWN-2 GROUND</v>
      </c>
      <c r="D46" s="143">
        <f>IF(C46="","",2)</f>
        <v>2</v>
      </c>
    </row>
    <row r="47" spans="1:16" ht="15.75" thickBot="1" x14ac:dyDescent="0.3">
      <c r="B47" s="143">
        <v>3</v>
      </c>
      <c r="C47" s="143" t="str">
        <f>IF(FORM!I28="STANDARD SIZING",IF(FORM!E14="PA",IF(B61=0,"",IF(B61&gt;61,"SIZE ACCORDINGLY",IF(B61&gt;36,"2''",IF(B61&gt;26,"1 1/2''",IF(B61&gt;14,"1 1/4''",IF(B61&gt;8,"1''",IF(B61&gt;4,"3/4''","3/4''"))))&amp;" CONDUIT W/ "&amp;B61&amp;"-#10 THWN-2, 1-#8 THWN-2 GROUND"))),IF(B61=0,"",IF(B61&gt;61,"SIZE ACCORDINGLY",IF(B61&gt;36,"2''",IF(B61&gt;26,"1 1/2''",IF(B61&gt;14,"1 1/4''",IF(B61&gt;8,"1''",IF(B61&gt;4,"3/4''","3/4''"))))&amp;" CONDUIT W/ "&amp;B61&amp;"-#10 THWN-2, 1-#10 THWN-2 GROUND")))),IF(FORM!E14="PA",IF(B61=0,"",IF(B61&gt;61,"SIZE ACCORDINGLY",IF(B61&gt;36,"2''",IF(B61&gt;26,"1 1/2''",IF(B61&gt;14,"1 1/4''",IF(B61&gt;8,"1''",IF(B61&gt;4,"1''","1''"))))&amp;" CONDUIT W/ "&amp;B61&amp;"-#10 THWN-2, 1-#8 THWN-2 GROUND"))),IF(B61=0,"",IF(B61&gt;61,"SIZE ACCORDINGLY",IF(B61&gt;36,"2''",IF(B61&gt;26,"1 1/2''",IF(B61&gt;14,"1 1/4''",IF(B61&gt;8,"1''",IF(B61&gt;4,"1''","1''"))))&amp;" CONDUIT W/ "&amp;B61&amp;"-#10 THWN-2, 1-#10 THWN-2 GROUND")))))</f>
        <v>3/4'' CONDUIT W/ 4-#10 THWN-2, 1-#10 THWN-2 GROUND</v>
      </c>
      <c r="D47" s="143">
        <f>IF(C47="","",3)</f>
        <v>3</v>
      </c>
      <c r="G47" s="292" t="s">
        <v>447</v>
      </c>
      <c r="H47" s="293"/>
    </row>
    <row r="48" spans="1:16" x14ac:dyDescent="0.25">
      <c r="B48" s="143">
        <v>4</v>
      </c>
      <c r="C48" s="143" t="str">
        <f>IF(FORM!I28="STANDARD SIZING",IF(FORM!E14="PA",IF(I26=0,"",IF((I26*2)&gt;61,"SIZE ACCORDINGLY",IF((I26*2)&gt;36,"2''",IF((I26*2)&gt;26,"1 1/2''",IF((I26*2)&gt;14,"1 1/4''",IF((I26*2)&gt;8,"1''",IF((I26*2)&gt;4,"3/4''","3/4''"))))&amp;" CONDUIT W/ "&amp;(I26*2)&amp;"-#10 THWN-2, 1-#8 THWN-2 GROUND"))),IF(I26=0,"",IF((I26*2)&gt;61,"SIZE ACCORDINGLY",IF((I26*2)&gt;36,"2''",IF((I26*2)&gt;26,"1 1/2''",IF((I26*2)&gt;14,"1 1/4''",IF((I26*2)&gt;8,"1''",IF((I26*2)&gt;4,"3/4''","3/4''"))))&amp;" CONDUIT W/ "&amp;(I26*2)&amp;"-#10 THWN-2, 1-#10 THWN-2 GROUND")))),IF(FORM!E14="PA",IF(I26=0,"",IF((I26*2)&gt;61,"SIZE ACCORDINGLY",IF((I26*2)&gt;36,"2''",IF((I26*2)&gt;26,"1 1/2''",IF((I26*2)&gt;14,"1 1/4''",IF((I26*2)&gt;8,"1''",IF((I26*2)&gt;4,"1''","1''"))))&amp;" CONDUIT W/ "&amp;(I26*2)&amp;"-#10 THWN-2, 1-#8 THWN-2 GROUND"))),IF(I26=0,"",IF((I26*2)&gt;61,"SIZE ACCORDINGLY",IF((I26*2)&gt;36,"2''",IF((I26*2)&gt;26,"1 1/2''",IF((I26*2)&gt;14,"1 1/4''",IF((I26*2)&gt;8,"1''",IF((I26*2)&gt;4,"1''","1''"))))&amp;" CONDUIT W/ "&amp;(I26*2)&amp;"-#10 THWN-2, 1-#10 THWN-2 GROUND")))))</f>
        <v/>
      </c>
      <c r="D48" s="143" t="str">
        <f>IF(C48="","",4)</f>
        <v/>
      </c>
      <c r="G48" s="216"/>
      <c r="H48" s="216" t="str">
        <f>IF(FORM!I28="STANDARD SIZING","STANDARD SIZING","1 INCH")</f>
        <v>STANDARD SIZING</v>
      </c>
    </row>
    <row r="49" spans="1:10" x14ac:dyDescent="0.25">
      <c r="B49" s="143">
        <v>5</v>
      </c>
      <c r="C49" s="143" t="str">
        <f>IF(FORM!I28="STANDARD SIZING",IF(B3=0,"",IF(FORM!E14="PA","3/4'' CONDUIT W/ "&amp;(B3*2)&amp;"-#10 THWN-2, 1-#8 THWN-2 GROUND","3/4'' CONDUIT W/ "&amp;(B3*2)&amp;"-#10 THWN-2, 1-#10 THWN-2 GROUND")),IF(B3=0,"",IF(FORM!E14="PA","1'' CONDUIT W/ "&amp;(B3*2)&amp;"-#10 THWN-2, 1-#8 THWN-2 GROUND","1'' CONDUIT W/ "&amp;(B3*2)&amp;"-#10 THWN-2, 1-#10 THWN-2 GROUND")))</f>
        <v>3/4'' CONDUIT W/ 4-#10 THWN-2, 1-#10 THWN-2 GROUND</v>
      </c>
      <c r="D49" s="143">
        <f>IF(C49="","",5)</f>
        <v>5</v>
      </c>
      <c r="G49" s="231" t="s">
        <v>364</v>
      </c>
      <c r="H49" s="231" t="str">
        <f>IF(FORM!E14="PA","PA",FORM!E14)</f>
        <v>NJ</v>
      </c>
    </row>
    <row r="50" spans="1:10" x14ac:dyDescent="0.25">
      <c r="B50" s="143">
        <v>6</v>
      </c>
      <c r="C50" s="143" t="str">
        <f>IF(FORM!I28="STANDARD SIZING",IF(C3=0,"","3/4'' CONDUIT W/ "&amp;(C3*2)&amp;"-#10 THWN-2, 1-#10 THWN-2 GROUND"),IF(C3=0,"","1'' CONDUIT W/ "&amp;(C3*2)&amp;"-#10 THWN-2, 1-#10 THWN-2 GROUND"))</f>
        <v/>
      </c>
      <c r="D50" s="143" t="str">
        <f>IF(C50="","",6)</f>
        <v/>
      </c>
      <c r="G50" s="231" t="s">
        <v>0</v>
      </c>
      <c r="H50" s="231" t="str">
        <f>IF(CALCULATIONS!I39&lt;&gt;"","PVP",IF(CALCULATIONS!I40&lt;&gt;"","SMA",IF(CALCULATIONS!I43="YES","MICROS","SE")))</f>
        <v>SE</v>
      </c>
    </row>
    <row r="51" spans="1:10" x14ac:dyDescent="0.25">
      <c r="B51" s="143">
        <v>7</v>
      </c>
      <c r="C51" s="143" t="str">
        <f>IF(FORM!I28="STANDARD SIZING",IF(D3=0,"","3/4'' CONDUIT W/ "&amp;(D3*2)&amp;"-#10 THWN-2, 1-#10 THWN-2 GROUND"),IF(D3=0,"","1'' CONDUIT W/ "&amp;(D3*2)&amp;"-#10 THWN-2, 1-#10 THWN-2 GROUND"))</f>
        <v/>
      </c>
      <c r="D51" s="143" t="str">
        <f>IF(C51="","",7)</f>
        <v/>
      </c>
      <c r="G51" s="231" t="s">
        <v>446</v>
      </c>
      <c r="H51" s="231" t="str">
        <f>IF(H63=1.25,"1 1/4''",IF(FORM!I28="1 INCH","1''",IF(H63&lt;=3/4,"3/4''",TEXT(H63,"1")&amp;"''")))</f>
        <v>3/4''</v>
      </c>
    </row>
    <row r="52" spans="1:10" x14ac:dyDescent="0.25">
      <c r="B52" s="143">
        <v>8</v>
      </c>
      <c r="C52" s="143" t="str">
        <f>IF(B2=0,"",IF(B2=INVERTERS!A14,INVERTERS!D14,IF(B2=INVERTERS!A15,INVERTERS!D15,IF(B2=INVERTERS!A16,INVERTERS!D16,IF(B2=INVERTERS!A17,INVERTERS!D17,IF(B2=INVERTERS!A18,INVERTERS!D18,IF(B2=INVERTERS!A19,INVERTERS!D19,IF(B2=INVERTERS!A20,INVERTERS!D20,IF(B2=INVERTERS!A21,INVERTERS!D21,IF(B2=INVERTERS!A22,INVERTERS!D22,IF(B2=INVERTERS!A23,INVERTERS!D23,IF(B2=INVERTERS!A24,INVERTERS!D24,IF(B2=INVERTERS!A25,INVERTERS!D25,IF(B2=INVERTERS!A26,INVERTERS!D26,IF(B2=INVERTERS!A27,INVERTERS!D27,IF(B2=INVERTERS!A12,INVERTERS!D12,IF(B2=INVERTERS!A2,INVERTERS!D2,IF(B2=INVERTERS!A3,INVERTERS!D3,IF(B2=INVERTERS!A4,INVERTERS!D4,IF(B2=INVERTERS!A5,INVERTERS!D5,IF(B2=INVERTERS!A6,INVERTERS!D6,IF(B2=INVERTERS!A7,INVERTERS!D7,IF(B2=INVERTERS!A8,INVERTERS!D8,IF(B2=INVERTERS!A9,INVERTERS!D9,IF(B2=INVERTERS!A10,INVERTERS!D10,IF(B2=INVERTERS!A11,INVERTERS!D11,IF(B2=INVERTERS!A13,INVERTERS!D13,IF(B2=INVERTERS!A28,INVERTERS!D28,IF(B2=INVERTERS!A29,INVERTERS!D29)))))))))))))))))))))))))))))</f>
        <v>3/4'' CONDUIT W/ 2-#6 THWN-2, 1-#10 THWN-2, 1-#10 THWN-2 GROUND</v>
      </c>
      <c r="D52" s="143">
        <f>IF(C52="","",8)</f>
        <v>8</v>
      </c>
      <c r="G52" s="231" t="s">
        <v>443</v>
      </c>
      <c r="H52" s="238">
        <f>IF(CALCULATIONS!B35&gt;100,"SIZE ACCORDINGLY",IF(CALCULATIONS!B35&gt;85,3,IF(CALCULATIONS!B35&gt;65,4,IF(AND(CALCULATIONS!B35&gt;50,CALCULATIONS!B35&lt;=60),6,IF(CALCULATIONS!B35&gt;50,6,IF(CALCULATIONS!B35&gt;30,8,10))))))</f>
        <v>6</v>
      </c>
    </row>
    <row r="53" spans="1:10" x14ac:dyDescent="0.25">
      <c r="B53" s="143">
        <v>9</v>
      </c>
      <c r="C53" s="143" t="str">
        <f>IF(C2=0,"",IF(C2=INVERTERS!A14,INVERTERS!D14,IF(C2=INVERTERS!A15,INVERTERS!D15,IF(C2=INVERTERS!A16,INVERTERS!D16,IF(C2=INVERTERS!A17,INVERTERS!D17,IF(C2=INVERTERS!A18,INVERTERS!D18,IF(C2=INVERTERS!A19,INVERTERS!D19,IF(C2=INVERTERS!A20,INVERTERS!D20,IF(C2=INVERTERS!A21,INVERTERS!D21,IF(C2=INVERTERS!A22,INVERTERS!D22,IF(C2=INVERTERS!A23,INVERTERS!D23,IF(C2=INVERTERS!A24,INVERTERS!D24,IF(C2=INVERTERS!A25,INVERTERS!D25,IF(C2=INVERTERS!A26,INVERTERS!D26,IF(C2=INVERTERS!A27,INVERTERS!D27,IF(C2=INVERTERS!A12,INVERTERS!D12,IF(C2=INVERTERS!A2,INVERTERS!D2,IF(C2=INVERTERS!A3,INVERTERS!D3,IF(C2=INVERTERS!A4,INVERTERS!D4,IF(C2=INVERTERS!A5,INVERTERS!D5,IF(C2=INVERTERS!A6,INVERTERS!D6,IF(C2=INVERTERS!A7,INVERTERS!D7,IF(C2=INVERTERS!A8,INVERTERS!D8,IF(C2=INVERTERS!A9,INVERTERS!D9,IF(C2=INVERTERS!A10,INVERTERS!D10,IF(C2=INVERTERS!A11,INVERTERS!D11,IF(C2=INVERTERS!A13,INVERTERS!D13,IF(C2=INVERTERS!A28,INVERTERS!D28,IF(C2=INVERTERS!A29,INVERTERS!D29)))))))))))))))))))))))))))))</f>
        <v/>
      </c>
      <c r="D53" s="143" t="str">
        <f>IF(C53="","",9)</f>
        <v/>
      </c>
      <c r="G53" s="231" t="s">
        <v>444</v>
      </c>
      <c r="H53" s="238">
        <f>IF(H50="PVP",IF(CALCULATIONS!B35&gt;100,"SIZE ACCORDINGLY",IF(CALCULATIONS!B35&gt;60,8,10)),IF(H50="SMA",IF(CALCULATIONS!B35&gt;100,"SIZE ACCORDINGLY",IF(CALCULATIONS!B35&gt;60,8,10)),IF(H50="MICROS",IF(CALCULATIONS!B35&gt;100,"SIZE ACCORDINGLY",IF(CALCULATIONS!B35&gt;60,8,10)),IF(H50="SE",IF(CALCULATIONS!B35&gt;100,"SIZE ACCORDINGLY",IF(CALCULATIONS!B35&gt;60,8,10)),""))))</f>
        <v>10</v>
      </c>
    </row>
    <row r="54" spans="1:10" x14ac:dyDescent="0.25">
      <c r="B54" s="143">
        <v>10</v>
      </c>
      <c r="C54" s="143" t="str">
        <f>IF(D2=0,"",IF(D2=INVERTERS!A14,INVERTERS!D14,IF(D2=INVERTERS!A15,INVERTERS!D15,IF(D2=INVERTERS!A16,INVERTERS!D16,IF(D2=INVERTERS!A17,INVERTERS!D17,IF(D2=INVERTERS!A18,INVERTERS!D18,IF(D2=INVERTERS!A19,INVERTERS!D19,IF(D2=INVERTERS!A20,INVERTERS!D20,IF(D2=INVERTERS!A21,INVERTERS!D21,IF(D2=INVERTERS!A22,INVERTERS!D22,IF(D2=INVERTERS!A23,INVERTERS!D23,IF(D2=INVERTERS!A24,INVERTERS!D24,IF(D2=INVERTERS!A25,INVERTERS!D25,IF(D2=INVERTERS!A26,INVERTERS!D26,IF(D2=INVERTERS!A27,INVERTERS!D27,IF(D2=INVERTERS!A12,INVERTERS!D12,IF(D2=INVERTERS!A2,INVERTERS!D2,IF(D2=INVERTERS!A3,INVERTERS!D3,IF(D2=INVERTERS!A4,INVERTERS!D4,IF(D2=INVERTERS!A5,INVERTERS!D5,IF(D2=INVERTERS!A6,INVERTERS!D6,IF(D2=INVERTERS!A7,INVERTERS!D7,IF(D2=INVERTERS!A8,INVERTERS!D8,IF(D2=INVERTERS!A9,INVERTERS!D9,IF(D2=INVERTERS!A10,INVERTERS!D10,IF(D2=INVERTERS!A11,INVERTERS!D11,IF(D2=INVERTERS!A13,INVERTERS!D13,IF(D2=INVERTERS!A28,INVERTERS!D28,IF(D2=INVERTERS!A29,INVERTERS!D29)))))))))))))))))))))))))))))</f>
        <v/>
      </c>
      <c r="D54" s="143" t="str">
        <f>IF(C54="","",10)</f>
        <v/>
      </c>
      <c r="G54" s="231" t="s">
        <v>445</v>
      </c>
      <c r="H54" s="238">
        <f>IF(H49="PA",IF(CALCULATIONS!B35&gt;100,6,8),IF(CALCULATIONS!B35&gt;100,6,IF(CALCULATIONS!B35&gt;60,8,10)))</f>
        <v>10</v>
      </c>
    </row>
    <row r="55" spans="1:10" ht="15.75" thickBot="1" x14ac:dyDescent="0.3">
      <c r="B55" s="143">
        <v>11</v>
      </c>
      <c r="C55" s="143" t="str">
        <f>IF(AND(FORM!I28="STANDARD SIZING",I26&gt;=4),"3/4'' "&amp;"CONDUIT W/ "&amp;"2-#14 THWN-2, 1-#14 THWN-2, 1-#14 THWN-2 GROUND",IF(AND(FORM!I28="1''",I26&gt;=4),"1'' "&amp;"CONDUIT W/ "&amp;"2-#14 THWN-2, 1-#14 THWN-2, 1-#14 THWN-2 GROUND",""))</f>
        <v/>
      </c>
      <c r="D55" s="143" t="str">
        <f>IF(C55="","",11)</f>
        <v/>
      </c>
    </row>
    <row r="56" spans="1:10" ht="16.5" thickBot="1" x14ac:dyDescent="0.3">
      <c r="B56" s="143">
        <v>12</v>
      </c>
      <c r="C56" s="143" t="str">
        <f>IF(I42="YES","",IF(FORM!E14="CT","#10 PV WIRE (FREE AIR) W/ #8 BARE COPPER BOND TO ARRAY","#10 PV WIRE (FREE AIR) W/ #6 BARE COPPER BOND TO ARRAY"))</f>
        <v>#10 PV WIRE (FREE AIR) W/ #6 BARE COPPER BOND TO ARRAY</v>
      </c>
      <c r="D56" s="143">
        <f>IF(C56="","",12)</f>
        <v>12</v>
      </c>
      <c r="G56" s="286" t="s">
        <v>212</v>
      </c>
      <c r="H56" s="287"/>
      <c r="I56" s="287"/>
      <c r="J56" s="288"/>
    </row>
    <row r="57" spans="1:10" x14ac:dyDescent="0.25">
      <c r="B57" s="143">
        <v>13</v>
      </c>
      <c r="C57" s="143" t="str">
        <f>IF(AND(E25="YES",FORM!E14&lt;&gt;"CT",FORM!I28="STANDARD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GROUND"))),IF(AND(E25="YES",FORM!E14="CT",FORM!B20&lt;=100,FORM!I28="STANDARD SIZING"),IF(B35&gt;100,"SIZE ACCORDINGLY",IF(B35&gt;85,"1 1/4'' CONDUIT W/ 2-#3 THWN-2, 1-#3 TWHN-2, 1-#8 THWN-2 GROUND",IF(B35&gt;65,"1'' CONDUIT W/ 2-#4 THWN-2,1-#4 THWN-2, 1-#8 THWN-2 GROUND","3/4'' CONDUIT W/ 2-#6 THWN-2, 1-#6 THWN-2, 1-#8 THWN-2 GROUND"))),IF(AND(E25="YES",FORM!E14="CT",FORM!B20&gt;100,FORM!I28="STANDARD SIZING"),IF(B35&gt;100,"SIZE ACCORDINGLY",IF(B35&gt;85,"1 1/4'' CONDUIT W/ 2-#3 THWN-2, 1-#3 TWHN-2, 1-#6 THWN-2 GROUND",IF(B35&gt;65,"1'' CONDUIT W/ 2-#4 THWN-2,1-#4 THWN-2, 1-#6 THWN-2 GROUND","3/4'' CONDUIT W/ 2-#6 THWN-2, 1-#6 THWN-2, 1-#6 THWN-2 GROUND"))),IF(AND(E25="YES",FORM!E14&lt;&gt;"CT",FORM!I28&lt;&gt;"STANDARD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GROUND"))),IF(AND(E25="YES",FORM!E14="CT",FORM!B20&lt;=100,FORM!I28&lt;&gt;"STANDARD SIZING"),IF(B35&gt;100,"SIZE ACCORDINGLY",IF(B35&gt;85,"1 1/4'' CONDUIT W/ 2-#3 THWN-2, 1-#3 TWHN-2, 1-#8 THWN-2 GROUND",IF(B35&gt;65,"1'' CONDUIT W/ 2-#4 THWN-2,1-#4 THWN-2, 1-#8 THWN-2 GROUND","1'' CONDUIT W/ 2-#6 THWN-2, 1-#6 THWN-2, 1-#8 THWN-2 GROUND"))),IF(AND(E25="YES",FORM!E14="CT",FORM!B20&gt;100,FORM!I28&lt;&gt;"STANDARD SIZING"),IF(B35&gt;100,"SIZE ACCORDINGLY",IF(B35&gt;85,"1 1/4'' CONDUIT W/ 2-#3 THWN-2, 1-#3 TWHN-2, 1-#6 THWN-2 GROUND",IF(B35&gt;65,"1'' CONDUIT W/ 2-#4 THWN-2,1-#4 THWN-2, 1-#6 THWN-2 GROUND","1'' CONDUIT W/ 2-#6 THWN-2, 1-#6 THWN-2, 1-#6 THWN-2 GROUND"))),""))))))</f>
        <v>3/4'' CONDUIT W/ 2-#6 THWN-2, 1-#6 THWN-2, 1-#8 THWN-2 GROUND</v>
      </c>
      <c r="D57" s="143">
        <f>IF(C57="","",13)</f>
        <v>13</v>
      </c>
      <c r="G57" s="102" t="s">
        <v>203</v>
      </c>
      <c r="H57" s="102" t="s">
        <v>204</v>
      </c>
      <c r="I57" s="102" t="s">
        <v>205</v>
      </c>
      <c r="J57" s="102" t="s">
        <v>206</v>
      </c>
    </row>
    <row r="58" spans="1:10" x14ac:dyDescent="0.25">
      <c r="B58" s="143">
        <v>14</v>
      </c>
      <c r="C58" s="143" t="str">
        <f>IF(FORM!E20="AC",IF(CALCULATIONS!B113=1,"1 1/4''","1''")&amp;" PVC W/ 2-#"&amp;B113&amp;" THWN-2, 1-#"&amp;B114&amp;" THWN-2, 1-#"&amp;B114&amp;" THWN-2 GROUND (TRENCHED APPROX. "&amp;FORM!E21&amp;"')",IF(FORM!E20="DC","1'' PVC W/ "&amp;(SUM(B3:F3)*2)&amp;"-#"&amp;B113&amp;" THWN-2, 1-#8 THWN-2 GROUND (TRENCHED APPROX. "&amp;FORM!E21&amp;"')",""))</f>
        <v/>
      </c>
      <c r="D58" s="143" t="str">
        <f>IF(C58="","",14)</f>
        <v/>
      </c>
      <c r="G58" s="98">
        <v>2</v>
      </c>
      <c r="H58" s="99">
        <f>H52</f>
        <v>6</v>
      </c>
      <c r="I58" s="113">
        <f>IF(H58=1000,1.3478,IF(H58=900,1.2311,IF(H58=800,1.1085,IF(H58=750,1.0496,IF(H58=700,0.9887,IF(H58=600,0.8676,IF(H58=500,0.7073,IF(H58=400,0.5863,IF(H58=350,0.5242,IF(H58=300,0.4608,IF(H58=250,0.397,IF(H58="4/0",0.3237,IF(H58="3/0",0.2679,IF(H58="2/0",0.2223,IF(H58="1/0",0.1855,IF(H58=1,0.1562,IF(H58=2,0.1158,IF(H58=3,0.0973,IF(H58=4,0.0824,IF(H58=6,0.0507,IF(H58=8,0.0366,IF(H58=10,0.0211,IF(H58=12,0.0133,IF(H58=14,0.0097,""))))))))))))))))))))))))</f>
        <v>5.0700000000000002E-2</v>
      </c>
      <c r="J58" s="100">
        <f>IF(I58="","",(G58*I58))</f>
        <v>0.1014</v>
      </c>
    </row>
    <row r="59" spans="1:10" x14ac:dyDescent="0.25">
      <c r="B59" s="143">
        <v>15</v>
      </c>
      <c r="D59" s="143" t="str">
        <f>IF(C59="","",15)</f>
        <v/>
      </c>
      <c r="G59" s="98">
        <v>1</v>
      </c>
      <c r="H59" s="99">
        <f>H53</f>
        <v>10</v>
      </c>
      <c r="I59" s="113">
        <f>IF(H59=1000,1.3478,IF(H59=900,1.2311,IF(H59=800,1.1085,IF(H59=750,1.0496,IF(H59=700,0.9887,IF(H59=600,0.8676,IF(H59=500,0.7073,IF(H59=400,0.5863,IF(H59=350,0.5242,IF(H59=300,0.4608,IF(H59=250,0.397,IF(H59="4/0",0.3237,IF(H59="3/0",0.2679,IF(H59="2/0",0.2223,IF(H59="1/0",0.1855,IF(H59=1,0.1562,IF(H59=2,0.1158,IF(H59=3,0.0973,IF(H59=4,0.0824,IF(H59=6,0.0507,IF(H59=8,0.0366,IF(H59=10,0.0211,IF(H59=12,0.0133,IF(H59=14,0.0097,""))))))))))))))))))))))))</f>
        <v>2.1100000000000001E-2</v>
      </c>
      <c r="J59" s="100">
        <f>IF(I59="","",(G59*I59))</f>
        <v>2.1100000000000001E-2</v>
      </c>
    </row>
    <row r="60" spans="1:10" x14ac:dyDescent="0.25">
      <c r="G60" s="98">
        <v>1</v>
      </c>
      <c r="H60" s="99">
        <f>H54</f>
        <v>10</v>
      </c>
      <c r="I60" s="113">
        <f>IF(H60=1000,1.3478,IF(H60=900,1.2311,IF(H60=800,1.1085,IF(H60=750,1.0496,IF(H60=700,0.9887,IF(H60=600,0.8676,IF(H60=500,0.7073,IF(H60=400,0.5863,IF(H60=350,0.5242,IF(H60=300,0.4608,IF(H60=250,0.397,IF(H60="4/0",0.3237,IF(H60="3/0",0.2679,IF(H60="2/0",0.2223,IF(H60="1/0",0.1855,IF(H60=1,0.1562,IF(H60=2,0.1158,IF(H60=3,0.0973,IF(H60=4,0.0824,IF(H60=6,0.0507,IF(H60=8,0.0366,IF(H60=10,0.0211,IF(H60=12,0.0133,IF(H60=14,0.0097,""))))))))))))))))))))))))</f>
        <v>2.1100000000000001E-2</v>
      </c>
      <c r="J60" s="100">
        <f>IF(I60="","",(G60*I60))</f>
        <v>2.1100000000000001E-2</v>
      </c>
    </row>
    <row r="61" spans="1:10" x14ac:dyDescent="0.25">
      <c r="A61" s="146" t="s">
        <v>89</v>
      </c>
      <c r="B61" s="143">
        <f>(SUM(B3:F3)*2)+(I26*2)</f>
        <v>4</v>
      </c>
      <c r="C61" s="143" t="s">
        <v>88</v>
      </c>
      <c r="G61" s="98"/>
      <c r="H61" s="99"/>
      <c r="I61" s="113" t="str">
        <f>IF(H61=1000,1.3478,IF(H61=900,1.2311,IF(H61=800,1.1085,IF(H61=750,1.0496,IF(H61=700,0.9887,IF(H61=600,0.8676,IF(H61=500,0.7073,IF(H61=400,0.5863,IF(H61=350,0.5242,IF(H61=300,0.4608,IF(H61=250,0.397,IF(H61="4/0",0.3237,IF(H61="3/0",0.2679,IF(H61="2/0",0.2223,IF(H61="1/0",0.1855,IF(H61=1,0.1562,IF(H61=2,0.1158,IF(H61=3,0.0973,IF(H61=4,0.0824,IF(H61=6,0.0507,IF(H61=8,0.0366,IF(H61=10,0.0211,IF(H61=12,0.0133,IF(H61=14,0.0097,""))))))))))))))))))))))))</f>
        <v/>
      </c>
      <c r="J61" s="100" t="str">
        <f>IF(I61="","",(G61*I61))</f>
        <v/>
      </c>
    </row>
    <row r="62" spans="1:10" x14ac:dyDescent="0.25">
      <c r="G62" s="100">
        <f>SUM(G58:G61)</f>
        <v>4</v>
      </c>
      <c r="H62" s="4"/>
      <c r="I62" s="4"/>
      <c r="J62" s="100">
        <f>SUM(J58:J61)</f>
        <v>0.14360000000000001</v>
      </c>
    </row>
    <row r="63" spans="1:10" x14ac:dyDescent="0.25">
      <c r="C63" s="143" t="str">
        <f>IF(FORM!I28="STANDARD SIZING",IF(AND(I39="YES",B35&gt;100),"SIZE ACCORDINGLY",IF(AND(I39="YES",B35&gt;85),"1'' CONDUIT W/ 2-#3 THWN-2, 1-#8 THWN-2 GROUND",IF(AND(I39="YES",B35&gt;65),"3/4'' CONDUIT W/ 2-#4 THWN-2, 1-#8 THWN-2 GROUND",IF(AND(I39="YES",B35&gt;50,B35&lt;=60),"3/4'' CONDUIT W/ 2-#6 THWN-2, 1-#10 THWN-2 GROUND",IF(AND(I39="YES",B35&gt;50),"3/4'' CONDUIT W/ 2-#6 THWN-2, 1-#8 THWN-2 GROUND",IF(AND(I39="YES",B35&gt;30),"3/4'' CONDUIT W/ 2-#8 THWN-2, 1-#8 THWN-2 GROUND",IF(I39="YES","3/4''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GROUND",IF(AND(I40="YES",B35&gt;50,B35&lt;=60),"3/4'' CONDUIT W/ 2-#6 THWN-2, 1-#10 THWN-2, 1-#6 THWN-2 GROUND",IF(AND(I40="YES",B35&gt;50),"3/4'' CONDUIT W/ 2-#6 THWN-2, 1-#8 THWN-2, 1-#6 THWN-2 GROUND",IF(AND(I40="YES",B35&gt;30),"3/4'' CONDUIT W/ 3-#8 THWN-2, 1-#6 THWN-2 GROUND",IF(I40="YES","3/4'' CONDUIT W/ 3-#10 THWN-2, 1-#6 THWN-2 GROUND",IF(I43="YES",IF(B35&gt;100,"SIZE ACCORDINGLY",IF(B35&gt;85,"1'' CONDUIT W/ 2-#3 THWN-2, 1-#8 THWN-2, 1-#8 THWN-2 GROUND",IF(B35&gt;65,"1'' CONDUIT W/ 2-#4 THWN-2, 1-#8 THWN-2, 1-#8 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ACCORDINGLY",IF(B35&gt;85,"3/4'' CONDUIT W/ 2-#3 THWN-2, 1-#8 THWN-2, 1-#8 THWN-2 GROUND",IF(B35&gt;65,"3/4'' CONDUIT W/ 2-#4 THWN-2, 1-#8 THWN-2, 1-#8THWN-2 GROUND",IF(AND(B35&gt;50,B35&lt;=60),"3/4'' CONDUIT W/ 2-#6 THWN-2, 1-#10 THWN-2, 1-#10 THWN-2 GROUND",IF(B35&gt;50,"3/4'' CONDUIT W/ 2-#6 THWN-2, 1-#8 THWN-2, 1-#8 THWN-2 GROUND",IF(B35&gt;30,"3/4'' CONDUIT W/ 2-#8 THWN-2, 1-#10 THWN-2, 1-#10 THWN-2 GROUND","3/4'' CONDUIT W/ 2-#10 THWN-2, 1-#10 THWN-2, 1-#10 THWN-2 GROUND"))))))))))))))))))))),IF(AND(I39="YES",B35&gt;100),"SIZE ACCORDINGLY",IF(AND(I39="YES",B35&gt;85),"1'' CONDUIT W/ 2-#3 THWN-2, 1-#8 THWN-2 GROUND",IF(AND(I39="YES",B35&gt;65),"1'' CONDUIT W/ 2-#4 THWN-2, 1-#8 THWN-2 GROUND",IF(AND(I39="YES",B35&gt;50,B35&lt;=60),"1'' CONDUIT W/ 2-#6 THWN-2, 1-#10 THWN-2 GROUND",IF(AND(I39="YES",B35&gt;50),"1'' CONDUIT W/ 2-#6 THWN-2, 1-#8 THWN-2 GROUND",IF(AND(I39="YES",B35&gt;30),"1'' CONDUIT W/ 2-#8 THWN-2, 1-#8 THWN-2 GROUND",IF(I39="YES","1'' CONDUIT W/ 2-#10 THWN-2, 1-#10 THWN-2 GROUND",IF(AND(I40="YES",B35&gt;100),"SIZE ACCORDINGLY",IF(AND(I40="YES",B35&gt;85),"1'' CONDUIT W/ 2-#3 THWN-2, 1-#8 THWN-2, 1-#6 THWN-2 GROUND",IF(AND(I40="YES",B35&gt;65),"1'' CONDUIT W/ 2-#4 THWN-2, 1-#8 THWN-2, 1-#6 THWN-2 GROUND",IF(AND(I40="YES",B35&gt;50,B35&lt;=60),"1'' CONDUIT W/ 2-#6 THWN-2, 1-#10 THWN-2, 1-#6 THWN-2 GROUND",IF(AND(I40="YES",B35&gt;50),"1'' CONDUIT W/ 2-#6 THWN-2, 1-#8 THWN-2, 1-#6 THWN-2 GROUND",IF(AND(I40="YES",B35&gt;30),"1'' CONDUIT W/ 3-#8 THWN-2, 1-#6 THWN-2 GROUND",IF(I40="YES","1'' CONDUIT W/ 3-#10 THWN-2, 1-#6 THWN-2 GROUND",IF(I43="YES",IF(B35&gt;100,"SIZE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2-#6 THWN-2, 1-#10 THWN-2, 1-#10 THWN-2 GROUND","1'' CONDUIT W/ 2-#6 THWN-2, 1-#10 THWN-2, 1-#10 THWN-2 GROUND")))))),IF(B35&gt;100,"SIZE ACCORDINGLY",IF(B35&gt;85,"1'' CONDUIT W/ 2-#3 THWN-2, 1-#8 THWN-2, 1-#8 THWN-2 GROUND",IF(B35&gt;65,"1'' CONDUIT W/ 2-#4 THWN-2, 1-#8 THWN-2, 1-#8THWN-2 GROUND",IF(AND(B35&gt;50,B35&lt;=60),"1'' CONDUIT W/ 2-#6 THWN-2, 1-#10 THWN-2, 1-#10 THWN-2 GROUND",IF(B35&gt;50,"1'' CONDUIT W/ 2-#6 THWN-2, 1-#8 THWN-2, 1-#8 THWN-2 GROUND",IF(B35&gt;30,"1'' CONDUIT W/ 2-#8 THWN-2, 1-#10 THWN-2, 1-#10 THWN-2 GROUND","1'' CONDUIT W/ 2-#10 THWN-2, 1-#10 THWN-2, 1-#10 THWN-2 GROUND"))))))))))))))))))))))</f>
        <v>3/4'' CONDUIT W/ 2-#6 THWN-2, 1-#10 THWN-2, 1-#10 THWN-2 GROUND</v>
      </c>
      <c r="G63" s="101" t="s">
        <v>208</v>
      </c>
      <c r="H63" s="97">
        <f>IF(CALCULATIONS!G62&gt;2,IF(CALCULATIONS!J62&gt;5.901,"SPLIT WIRES",IF(CALCULATIONS!J62&gt;4.618,4,IF(CALCULATIONS!J62&gt;3.538,3.5,IF(CALCULATIONS!J62&gt;2.343,3,IF(CALCULATIONS!J62&gt;1.342,2.5,IF(CALCULATIONS!J62&gt;0.814,2,IF(CALCULATIONS!J62&gt;0.598,1.5,IF(CALCULATIONS!J62&gt;0.346,1.25,IF(CALCULATIONS!J62&gt;0.213,1,IF(CALCULATIONS!J62&gt;0.122,0.75,IF(CALCULATIONS!J62&gt;0,0.5,""))))))))))),IF(CALCULATIONS!G62=2,IF(CALCULATIONS!J62&gt;4.573,"SPLIT WIRES",IF(CALCULATIONS!J62&gt;3.579,4,IF(CALCULATIONS!J62&gt;2.742,3.5,IF(CALCULATIONS!J62&gt;1.816,3,IF(CALCULATIONS!J62&gt;1.04,2.5,IF(CALCULATIONS!J62&gt;0.631,2,IF(CALCULATIONS!J62&gt;0.464,1.5,IF(CALCULATIONS!J62&gt;0.268,1.25,IF(CALCULATIONS!J62&gt;0.165,1,IF(CALCULATIONS!J62&gt;0.094,0.75,IF(CALCULATIONS!J62&gt;0,0.5,""))))))))))),IF(CALCULATIONS!G62&gt;=1,IF(CALCULATIONS!J62&gt;7.819,"SPLIT WIRES",IF(CALCULATIONS!J62&gt;6.119,4,IF(CALCULATIONS!J62&gt;4.688,3.5,IF(CALCULATIONS!J62&gt;3.105,3,IF(CALCULATIONS!J62&gt;1.778,2.5,IF(CALCULATIONS!J62&gt;1.079,2,IF(CALCULATIONS!J62&gt;0.793,1.5,IF(CALCULATIONS!J62&gt;0.458,1.25,IF(CALCULATIONS!J62&gt;0.283,1,IF(CALCULATIONS!J62&gt;0.161,0.75,IF(CALCULATIONS!J62&gt;0,0.5,""))))))))))),"")))</f>
        <v>0.75</v>
      </c>
    </row>
    <row r="66" spans="1:9" x14ac:dyDescent="0.25">
      <c r="A66" s="146" t="s">
        <v>103</v>
      </c>
      <c r="B66" s="143">
        <v>1</v>
      </c>
      <c r="C66" s="143" t="str">
        <f>C12&amp;IF(B37="YES"," ---"&amp;" "&amp;IF(H9&lt;=320,"P320","P370")&amp;" SE OPTIMIZERS","")</f>
        <v>HANWHA 315 (Q.PEAK DUO BLK-G5 315) --- P320 SE OPTIMIZERS</v>
      </c>
      <c r="D66" s="143">
        <f>IF(C66="","",1)</f>
        <v>1</v>
      </c>
      <c r="E66" s="143">
        <f>B12</f>
        <v>34</v>
      </c>
      <c r="H66" s="146" t="s">
        <v>105</v>
      </c>
      <c r="I66" s="143" t="str">
        <f>FORM!E17</f>
        <v>YES</v>
      </c>
    </row>
    <row r="67" spans="1:9" x14ac:dyDescent="0.25">
      <c r="B67" s="143">
        <v>2</v>
      </c>
      <c r="C67" s="143" t="str">
        <f>IF(FORM!B6="","",IF(FORM!B6="SE7600A-US",FORM!B6&amp;"002NNR2",IF(OR(FORM!B6="SE3000A-US",FORM!B6="SE3800A-US",FORM!B6="SE5000A-US",FORM!B6="SE6000A-US",FORM!B6="SE10000A-US",FORM!B6="SE11400A-US"),FORM!B6&amp;"000NNR2",IF(OR(FORM!B6="SE3000H-US",FORM!B6="SE3800H-US",FORM!B6="SE5000H-US",FORM!B6="SE6000H-US",FORM!B6="SE7600H-US",FORM!B6="SE10000H-US",FORM!B6="SE11400H-US"),FORM!B6&amp;"000NNC2",FORM!B6))))</f>
        <v>SE10000H-US000NNC2</v>
      </c>
      <c r="D67" s="143">
        <f>IF(C67="","",2)</f>
        <v>2</v>
      </c>
      <c r="E67" s="143">
        <v>1</v>
      </c>
      <c r="H67" s="146" t="s">
        <v>109</v>
      </c>
      <c r="I67" s="143">
        <f>CALCULATIONS!B12-FORM!E18</f>
        <v>0</v>
      </c>
    </row>
    <row r="68" spans="1:9" x14ac:dyDescent="0.25">
      <c r="B68" s="143">
        <v>3</v>
      </c>
      <c r="C68" s="143" t="str">
        <f>IF(FORM!C6="","",IF(FORM!C6="SE7600A-US",FORM!C6&amp;"002NNR2",IF(OR(FORM!C6="SE3000A-US",FORM!C6="SE3800A-US",FORM!C6="SE5000A-US",FORM!C6="SE6000A-US",FORM!C6="SE10000A-US",FORM!C6="SE11400A-US"),FORM!C6&amp;"000NNR2",IF(OR(FORM!C6="SE3000H-US",FORM!C6="SE3800H-US",FORM!C6="SE5000H-US",FORM!C6="SE6000H-US",FORM!C6="SE7600H-US",FORM!C6="SE10000H-US",FORM!C6="SE11400H-US"),FORM!C6&amp;"000NNC2",FORM!C6))))</f>
        <v/>
      </c>
      <c r="D68" s="143" t="str">
        <f>IF(C68="","",3)</f>
        <v/>
      </c>
      <c r="E68" s="143">
        <v>1</v>
      </c>
      <c r="H68" s="146" t="s">
        <v>110</v>
      </c>
      <c r="I68" s="143">
        <f>FORM!E18</f>
        <v>34</v>
      </c>
    </row>
    <row r="69" spans="1:9" x14ac:dyDescent="0.25">
      <c r="B69" s="143">
        <v>4</v>
      </c>
      <c r="C69" s="143" t="str">
        <f>IF(FORM!D6="","",IF(FORM!D6="SE7600A-US",FORM!D6&amp;"002NNR2",IF(OR(FORM!D6="SE3000A-US",FORM!D6="SE3800A-US",FORM!D6="SE5000A-US",FORM!D6="SE6000A-US",FORM!D6="SE10000A-US",FORM!D6="SE11400A-US"),FORM!D6&amp;"000NNR2",IF(OR(FORM!D6="SE3000H-US",FORM!D6="SE3800H-US",FORM!D6="SE5000H-US",FORM!D6="SE6000H-US",FORM!D6="SE7600H-US",FORM!D6="SE10000H-US",FORM!D6="SE11400H-US"),FORM!D6&amp;"000NNC2",FORM!D6))))</f>
        <v/>
      </c>
      <c r="D69" s="143" t="str">
        <f>IF(C69="","",4)</f>
        <v/>
      </c>
      <c r="E69" s="143">
        <v>1</v>
      </c>
      <c r="H69" s="146" t="s">
        <v>111</v>
      </c>
      <c r="I69" s="143">
        <f>(I67*7.5)+(I68*11.5)</f>
        <v>391</v>
      </c>
    </row>
    <row r="70" spans="1:9" x14ac:dyDescent="0.25">
      <c r="B70" s="143">
        <v>5</v>
      </c>
      <c r="C70" s="143" t="str">
        <f>IF(FORM!E6="","",IF(FORM!E6="SE7600A-US",FORM!E6&amp;"002NNR2",IF(OR(FORM!E6="SE3000A-US",FORM!E6="SE3800A-US",FORM!E6="SE5000A-US",FORM!E6="SE6000A-US",FORM!E6="SE10000A-US",FORM!E6="SE11400A-US"),FORM!E6&amp;"000NNR2",IF(OR(FORM!E6="SE3000H-US",FORM!E6="SE3800H-US",FORM!E6="SE5000H-US",FORM!E6="SE6000H-US",FORM!E6="SE7600H-US",FORM!E6="SE10000H-US",FORM!E6="SE11400H-US"),FORM!E6&amp;"000NNC2",FORM!E6))))</f>
        <v/>
      </c>
      <c r="D70" s="143" t="str">
        <f>IF(C70="","",5)</f>
        <v/>
      </c>
      <c r="E70" s="143">
        <v>1</v>
      </c>
      <c r="H70" s="146" t="s">
        <v>113</v>
      </c>
      <c r="I70" s="143">
        <f>IF(I69&lt;=20,20,IF(I69&lt;=40,40,IF(I69&lt;=60,60,IF(I69&lt;=80,80,IF(I69&lt;=100,100,IF(I69&lt;=120,120,IF(I69&lt;=140,140,IF(I69&lt;=160,160,IF(I69&lt;=180,180,IF(I69&lt;=200,200,IF(I69&lt;=220,220,IF(I69&lt;=240,240,IF(I69&lt;=260,260,IF(I69&lt;=280,280,IF(I69&lt;=300,300,IF(I69&lt;=320,320,IF(I69&lt;=340,340,IF(I69&lt;=360,360,IF(I69&lt;=380,380,IF(I69&lt;=400,400,IF(I69&lt;=420,420,IF(I69&lt;=440,440,IF(I69&lt;=460,460,IF(I69&lt;=480,480,IF(I69&lt;=500,500,IF(I69&lt;=520,520,IF(I69&lt;=540,540,IF(I69&lt;=560,560,IF(I69&lt;=580,580,IF(I69&lt;=600,600,0))))))))))))))))))))))))))))))</f>
        <v>400</v>
      </c>
    </row>
    <row r="71" spans="1:9" x14ac:dyDescent="0.25">
      <c r="B71" s="143">
        <v>6</v>
      </c>
      <c r="C71" s="143" t="str">
        <f>IF(AND(I43="YES",FORM!I10=""),"ENPHASE IQ COMBINER (X-IQ-AM1-240-B)",IF(AND(I43="YES",FORM!I10&lt;&gt;""),"ENVOY MONITORING",""))</f>
        <v/>
      </c>
      <c r="D71" s="143" t="str">
        <f>IF(C71="","",6)</f>
        <v/>
      </c>
      <c r="E71" s="143">
        <v>1</v>
      </c>
      <c r="H71" s="146" t="s">
        <v>112</v>
      </c>
      <c r="I71" s="143">
        <f>ROUNDUP((I70/14),0)</f>
        <v>29</v>
      </c>
    </row>
    <row r="72" spans="1:9" x14ac:dyDescent="0.25">
      <c r="B72" s="143">
        <v>7</v>
      </c>
      <c r="C72" s="143" t="str">
        <f>IF(I43="YES",F2,"")</f>
        <v/>
      </c>
      <c r="D72" s="143" t="str">
        <f>IF(C72="","",7)</f>
        <v/>
      </c>
      <c r="E72" s="143">
        <f>I27</f>
        <v>0</v>
      </c>
    </row>
    <row r="73" spans="1:9" x14ac:dyDescent="0.25">
      <c r="B73" s="143">
        <v>8</v>
      </c>
      <c r="C73" s="143" t="str">
        <f>IF(OR(COUNT(FORM!B7:F7)&gt;=2,FORM!I10&lt;&gt;""),(COUNT(FORM!B7:F7)*2)+(COUNT(FORM!I7:I12)*2)&amp;"-SPACE SUBPANEL"&amp;IF(I66="YES"," (OUTDOOR)"," ( INDOOR)"),"")</f>
        <v/>
      </c>
      <c r="D73" s="143" t="str">
        <f>IF(C73="","",8)</f>
        <v/>
      </c>
      <c r="E73" s="143">
        <v>1</v>
      </c>
    </row>
    <row r="74" spans="1:9" x14ac:dyDescent="0.25">
      <c r="B74" s="143">
        <v>9</v>
      </c>
      <c r="C74" s="143" t="str">
        <f>IF(E25="YES",'LARGE TABLE'!B2&amp;"A INDOOR FUSED DISCONNECT W/ (2) "&amp;'LARGE TABLE'!B1&amp;"A FUSES",FORM!E24&amp;" 2p"&amp;'LARGE TABLE'!B1&amp;"A BACKFEED BREAKER")</f>
        <v>60A INDOOR FUSED DISCONNECT W/ (2) 60A FUSES</v>
      </c>
      <c r="D74" s="143">
        <f>IF(C74="","",9)</f>
        <v>9</v>
      </c>
      <c r="E74" s="143">
        <v>1</v>
      </c>
    </row>
    <row r="75" spans="1:9" x14ac:dyDescent="0.25">
      <c r="B75" s="143">
        <v>10</v>
      </c>
      <c r="C75" s="143" t="str">
        <f>IF(C76="","","2p"&amp;'LARGE TABLE'!B6&amp;"A BREAKER")</f>
        <v/>
      </c>
      <c r="D75" s="143" t="str">
        <f>IF(C75="","",10)</f>
        <v/>
      </c>
      <c r="E75" s="143">
        <v>1</v>
      </c>
    </row>
    <row r="76" spans="1:9" x14ac:dyDescent="0.25">
      <c r="B76" s="143">
        <v>11</v>
      </c>
      <c r="C76" s="143" t="str">
        <f>IF(FORM!C6="","","2p"&amp;'LARGE TABLE'!B7&amp;"A BREAKER")</f>
        <v/>
      </c>
      <c r="D76" s="143" t="str">
        <f>IF(C76="","",11)</f>
        <v/>
      </c>
      <c r="E76" s="143">
        <v>1</v>
      </c>
    </row>
    <row r="77" spans="1:9" x14ac:dyDescent="0.25">
      <c r="B77" s="143">
        <v>12</v>
      </c>
      <c r="C77" s="143" t="str">
        <f>IF(FORM!D6="","","2p"&amp;'LARGE TABLE'!B8&amp;"A BREAKER")</f>
        <v/>
      </c>
      <c r="D77" s="143" t="str">
        <f>IF(C77="","",12)</f>
        <v/>
      </c>
      <c r="E77" s="143">
        <v>1</v>
      </c>
    </row>
    <row r="78" spans="1:9" x14ac:dyDescent="0.25">
      <c r="B78" s="143">
        <v>13</v>
      </c>
      <c r="C78" s="143" t="str">
        <f>IF(FORM!E6="","","2p"&amp;'LARGE TABLE'!B9&amp;"A BREAKER")</f>
        <v/>
      </c>
      <c r="D78" s="143" t="str">
        <f>IF(C78="","",13)</f>
        <v/>
      </c>
      <c r="E78" s="143">
        <v>1</v>
      </c>
    </row>
    <row r="79" spans="1:9" x14ac:dyDescent="0.25">
      <c r="B79" s="143">
        <v>14</v>
      </c>
      <c r="C79" s="143" t="str">
        <f>IF(I43="YES","",IF(FORM!F6="","","2p"&amp;'LARGE TABLE'!B10&amp;"A BREAKER"))</f>
        <v/>
      </c>
      <c r="D79" s="143" t="str">
        <f>IF(C79="","",14)</f>
        <v/>
      </c>
      <c r="E79" s="143">
        <v>1</v>
      </c>
    </row>
    <row r="80" spans="1:9" x14ac:dyDescent="0.25">
      <c r="B80" s="143">
        <v>15</v>
      </c>
      <c r="C80" s="143" t="str">
        <f>IF(AND(I43="YES",CALCULATIONS!I26&gt;=1),"2p"&amp;'LARGE TABLE'!B11&amp;"A BREAKER","")</f>
        <v/>
      </c>
      <c r="D80" s="143" t="str">
        <f>IF(C80="","",15)</f>
        <v/>
      </c>
      <c r="E80" s="143">
        <v>1</v>
      </c>
    </row>
    <row r="81" spans="2:5" x14ac:dyDescent="0.25">
      <c r="B81" s="143">
        <v>16</v>
      </c>
      <c r="C81" s="143" t="str">
        <f>IF(AND(I43="YES",CALCULATIONS!I26&gt;=2),"2p"&amp;'LARGE TABLE'!B12&amp;"A BREAKER","")</f>
        <v/>
      </c>
      <c r="D81" s="143" t="str">
        <f>IF(C81="","",16)</f>
        <v/>
      </c>
      <c r="E81" s="143">
        <v>1</v>
      </c>
    </row>
    <row r="82" spans="2:5" x14ac:dyDescent="0.25">
      <c r="B82" s="143">
        <v>17</v>
      </c>
      <c r="C82" s="143" t="str">
        <f>IF(AND(I43="YES",CALCULATIONS!I26&gt;=3),"2p"&amp;'LARGE TABLE'!B13&amp;"A BREAKER","")</f>
        <v/>
      </c>
      <c r="D82" s="143" t="str">
        <f>IF(C82="","",17)</f>
        <v/>
      </c>
      <c r="E82" s="143">
        <v>1</v>
      </c>
    </row>
    <row r="83" spans="2:5" x14ac:dyDescent="0.25">
      <c r="B83" s="143">
        <v>18</v>
      </c>
      <c r="C83" s="143" t="str">
        <f>IF(AND(I43="YES",CALCULATIONS!I26&gt;=4),"2p"&amp;'LARGE TABLE'!B14&amp;"A BREAKER","")</f>
        <v/>
      </c>
      <c r="D83" s="143" t="str">
        <f>IF(C83="","",18)</f>
        <v/>
      </c>
      <c r="E83" s="143">
        <v>1</v>
      </c>
    </row>
    <row r="84" spans="2:5" x14ac:dyDescent="0.25">
      <c r="B84" s="143">
        <v>19</v>
      </c>
      <c r="C84" s="143" t="str">
        <f>IF(AND(I43="YES",CALCULATIONS!I26&gt;=5),"2p"&amp;'LARGE TABLE'!B15&amp;"A BREAKER","")</f>
        <v/>
      </c>
      <c r="D84" s="143" t="str">
        <f>IF(C84="","",19)</f>
        <v/>
      </c>
      <c r="E84" s="143">
        <v>1</v>
      </c>
    </row>
    <row r="85" spans="2:5" x14ac:dyDescent="0.25">
      <c r="B85" s="143">
        <v>20</v>
      </c>
      <c r="D85" s="143" t="str">
        <f>IF(C85="","",20)</f>
        <v/>
      </c>
      <c r="E85" s="164">
        <v>1</v>
      </c>
    </row>
    <row r="86" spans="2:5" x14ac:dyDescent="0.25">
      <c r="B86" s="143">
        <v>21</v>
      </c>
      <c r="C86" s="143" t="str">
        <f>IF(OR(FORM!E14="CT",FORM!E14="MA",FORM!E14="MD",AND(FORM!E14="NJ",5-COUNTIF(B28:F29,"=0")=1)),'LARGE TABLE'!B4&amp;"A OUTDOOR NON-FUSED DISCONNECT","")</f>
        <v/>
      </c>
      <c r="D86" s="143" t="str">
        <f>IF(C86="","",21)</f>
        <v/>
      </c>
      <c r="E86" s="143">
        <v>1</v>
      </c>
    </row>
    <row r="87" spans="2:5" x14ac:dyDescent="0.25">
      <c r="B87" s="143">
        <v>22</v>
      </c>
      <c r="C87" s="143" t="str">
        <f>IF(FORM!E19="GROUND MOUNT","","SOLADECK BOX(ES) &amp; HAYCO CONNECTOR(S)")</f>
        <v>SOLADECK BOX(ES) &amp; HAYCO CONNECTOR(S)</v>
      </c>
      <c r="D87" s="143">
        <f>IF(C87="","",22)</f>
        <v>22</v>
      </c>
      <c r="E87" s="143">
        <f>E26</f>
        <v>1</v>
      </c>
    </row>
    <row r="88" spans="2:5" x14ac:dyDescent="0.25">
      <c r="B88" s="143">
        <v>23</v>
      </c>
      <c r="C88" s="143" t="str">
        <f>IF(FORM!B25="ECOLIBRIUM","",IF(FORM!E19="GROUND MOUNT","","14' SECTIONS OF RAIL"))</f>
        <v>14' SECTIONS OF RAIL</v>
      </c>
      <c r="D88" s="143">
        <f>IF(C88="","",23)</f>
        <v>23</v>
      </c>
      <c r="E88" s="143">
        <f>IF(FORM!B25="ECOLIBRIUM","",I71)</f>
        <v>29</v>
      </c>
    </row>
    <row r="89" spans="2:5" x14ac:dyDescent="0.25">
      <c r="B89" s="143">
        <v>24</v>
      </c>
      <c r="C89" s="143" t="str">
        <f>IF(E25="YES"," INSULATED BUG BITES (LINE TAPS)","")</f>
        <v xml:space="preserve"> INSULATED BUG BITES (LINE TAPS)</v>
      </c>
      <c r="D89" s="143">
        <f>IF(C89="","",24)</f>
        <v>24</v>
      </c>
      <c r="E89" s="143">
        <v>2</v>
      </c>
    </row>
    <row r="90" spans="2:5" x14ac:dyDescent="0.25">
      <c r="B90" s="143">
        <v>25</v>
      </c>
      <c r="C90" s="143" t="str">
        <f>IF(FORM!E19="GROUND MOUNT","","FLASHINGS")</f>
        <v>FLASHINGS</v>
      </c>
      <c r="D90" s="143">
        <f>IF(C90="","",25)</f>
        <v>25</v>
      </c>
      <c r="E90" s="143">
        <f>(I67+I68)*2</f>
        <v>68</v>
      </c>
    </row>
    <row r="91" spans="2:5" x14ac:dyDescent="0.25">
      <c r="B91" s="143">
        <v>26</v>
      </c>
      <c r="C91" s="143" t="str">
        <f>IF(FORM!E19="GROUND MOUNT","","CASE(S) OF BLACK SPRAY PAINT")</f>
        <v>CASE(S) OF BLACK SPRAY PAINT</v>
      </c>
      <c r="D91" s="143">
        <f>IF(C91="","",26)</f>
        <v>26</v>
      </c>
      <c r="E91" s="143">
        <f>IF(ROUNDDOWN((I67+I68)/20,0.1)=0,1,ROUNDDOWN((I67+I68)/20,0.1))</f>
        <v>1</v>
      </c>
    </row>
    <row r="92" spans="2:5" x14ac:dyDescent="0.25">
      <c r="B92" s="143">
        <v>27</v>
      </c>
      <c r="C92" s="143" t="str">
        <f>IF(FORM!E19="GROUND MOUNT","","CASE(S) OF TAR")</f>
        <v>CASE(S) OF TAR</v>
      </c>
      <c r="D92" s="143">
        <f>IF(C92="","",27)</f>
        <v>27</v>
      </c>
      <c r="E92" s="143">
        <f>IF(ROUNDDOWN((I67+I68)/20,0.1)=0,1,ROUNDDOWN((I67+I68)/20,0.1))</f>
        <v>1</v>
      </c>
    </row>
    <row r="93" spans="2:5" x14ac:dyDescent="0.25">
      <c r="B93" s="143">
        <v>28</v>
      </c>
      <c r="D93" s="143" t="str">
        <f>IF(C93="","",28)</f>
        <v/>
      </c>
    </row>
    <row r="94" spans="2:5" x14ac:dyDescent="0.25">
      <c r="B94" s="143">
        <v>29</v>
      </c>
      <c r="C94" s="143" t="str">
        <f>IF(I42="YES","","PV LEAD WIRE")</f>
        <v>PV LEAD WIRE</v>
      </c>
      <c r="D94" s="143">
        <f>IF(C94="","",29)</f>
        <v>29</v>
      </c>
      <c r="E94" s="143" t="str">
        <f>(B3+C3+D3+E3+F3)*50&amp;"'"</f>
        <v>100'</v>
      </c>
    </row>
    <row r="95" spans="2:5" x14ac:dyDescent="0.25">
      <c r="B95" s="143">
        <v>30</v>
      </c>
      <c r="C95" s="143" t="str">
        <f>IF(I43="YES","TRUNK CABLE","")</f>
        <v/>
      </c>
      <c r="D95" s="143" t="str">
        <f>IF(C95="","",30)</f>
        <v/>
      </c>
      <c r="E95" s="143" t="s">
        <v>222</v>
      </c>
    </row>
    <row r="96" spans="2:5" x14ac:dyDescent="0.25">
      <c r="B96" s="143">
        <v>31</v>
      </c>
      <c r="C96" s="143" t="str">
        <f>IF(I43="YES","END CAPS","")</f>
        <v/>
      </c>
      <c r="D96" s="143" t="str">
        <f>IF(C96="","",31)</f>
        <v/>
      </c>
      <c r="E96" s="143" t="s">
        <v>222</v>
      </c>
    </row>
    <row r="97" spans="1:5" x14ac:dyDescent="0.25">
      <c r="B97" s="143">
        <v>32</v>
      </c>
      <c r="C97" s="143" t="str">
        <f>IF(I43="YES","SEALING CAPS","")</f>
        <v/>
      </c>
      <c r="D97" s="143" t="str">
        <f>IF(C97="","",32)</f>
        <v/>
      </c>
      <c r="E97" s="143" t="s">
        <v>222</v>
      </c>
    </row>
    <row r="98" spans="1:5" x14ac:dyDescent="0.25">
      <c r="B98" s="143">
        <v>33</v>
      </c>
      <c r="C98" s="143" t="s">
        <v>217</v>
      </c>
      <c r="D98" s="143">
        <f>IF(C98="","",33)</f>
        <v>33</v>
      </c>
      <c r="E98" s="143" t="s">
        <v>222</v>
      </c>
    </row>
    <row r="99" spans="1:5" x14ac:dyDescent="0.25">
      <c r="B99" s="143">
        <v>34</v>
      </c>
      <c r="C99" s="143" t="s">
        <v>218</v>
      </c>
      <c r="D99" s="143">
        <f>IF(C99="","",34)</f>
        <v>34</v>
      </c>
      <c r="E99" s="143" t="s">
        <v>222</v>
      </c>
    </row>
    <row r="100" spans="1:5" x14ac:dyDescent="0.25">
      <c r="B100" s="143">
        <v>35</v>
      </c>
      <c r="C100" s="143" t="s">
        <v>219</v>
      </c>
      <c r="D100" s="143">
        <f>IF(C100="","",35)</f>
        <v>35</v>
      </c>
      <c r="E100" s="143" t="s">
        <v>222</v>
      </c>
    </row>
    <row r="101" spans="1:5" x14ac:dyDescent="0.25">
      <c r="B101" s="143">
        <v>36</v>
      </c>
      <c r="C101" s="143" t="s">
        <v>220</v>
      </c>
      <c r="D101" s="143">
        <f>IF(C101="","",36)</f>
        <v>36</v>
      </c>
      <c r="E101" s="143" t="s">
        <v>222</v>
      </c>
    </row>
    <row r="102" spans="1:5" x14ac:dyDescent="0.25">
      <c r="B102" s="143">
        <v>37</v>
      </c>
      <c r="C102" s="143" t="s">
        <v>221</v>
      </c>
      <c r="D102" s="143">
        <f>IF(C102="","",37)</f>
        <v>37</v>
      </c>
      <c r="E102" s="143" t="s">
        <v>222</v>
      </c>
    </row>
    <row r="103" spans="1:5" x14ac:dyDescent="0.25">
      <c r="B103" s="143">
        <v>38</v>
      </c>
      <c r="D103" s="143" t="str">
        <f>IF(C103="","",38)</f>
        <v/>
      </c>
      <c r="E103" s="143" t="s">
        <v>222</v>
      </c>
    </row>
    <row r="104" spans="1:5" x14ac:dyDescent="0.25">
      <c r="B104" s="143">
        <v>39</v>
      </c>
      <c r="D104" s="143" t="str">
        <f>IF(C104="","",39)</f>
        <v/>
      </c>
      <c r="E104" s="143" t="s">
        <v>222</v>
      </c>
    </row>
    <row r="105" spans="1:5" x14ac:dyDescent="0.25">
      <c r="B105" s="143">
        <v>40</v>
      </c>
      <c r="D105" s="143" t="str">
        <f>IF(C105="","",40)</f>
        <v/>
      </c>
      <c r="E105" s="143" t="s">
        <v>222</v>
      </c>
    </row>
    <row r="106" spans="1:5" x14ac:dyDescent="0.25">
      <c r="B106" s="143">
        <v>41</v>
      </c>
      <c r="D106" s="143" t="str">
        <f>IF(C106="","",41)</f>
        <v/>
      </c>
      <c r="E106" s="143" t="s">
        <v>222</v>
      </c>
    </row>
    <row r="107" spans="1:5" x14ac:dyDescent="0.25">
      <c r="B107" s="143">
        <v>42</v>
      </c>
      <c r="D107" s="143" t="str">
        <f>IF(C107="","",42)</f>
        <v/>
      </c>
      <c r="E107" s="143" t="s">
        <v>222</v>
      </c>
    </row>
    <row r="108" spans="1:5" x14ac:dyDescent="0.25">
      <c r="B108" s="163" t="s">
        <v>185</v>
      </c>
    </row>
    <row r="109" spans="1:5" x14ac:dyDescent="0.25">
      <c r="A109" s="164" t="s">
        <v>186</v>
      </c>
      <c r="B109" s="143" t="str">
        <f>IF(FORM!E20="AC",240,IF(AND(FORM!E20="DC",B37="YES"),350,"NOT AVAILABLE"))</f>
        <v>NOT AVAILABLE</v>
      </c>
    </row>
    <row r="110" spans="1:5" x14ac:dyDescent="0.25">
      <c r="A110" s="164" t="s">
        <v>187</v>
      </c>
      <c r="B110" s="143" t="str">
        <f>IF(FORM!E20="AC",(SUM(B33:F33)),IF(AND(FORM!E20="DC",B37="YES"),15,"NOT AVAILABLE"))</f>
        <v>NOT AVAILABLE</v>
      </c>
    </row>
    <row r="111" spans="1:5" x14ac:dyDescent="0.25">
      <c r="A111" s="164" t="s">
        <v>188</v>
      </c>
      <c r="B111" s="143">
        <f>FORM!E22+30</f>
        <v>30</v>
      </c>
    </row>
    <row r="112" spans="1:5" x14ac:dyDescent="0.25">
      <c r="A112" s="164" t="s">
        <v>189</v>
      </c>
      <c r="B112" s="143" t="e">
        <f>2*12.9*B110*B111/(B109*IF(FORM!E20="AC",0.018,0.018))</f>
        <v>#VALUE!</v>
      </c>
    </row>
    <row r="113" spans="1:7" x14ac:dyDescent="0.25">
      <c r="A113" s="164" t="s">
        <v>190</v>
      </c>
      <c r="B113" s="143" t="e">
        <f>IF(B112&lt;=10380,10,IF(B112&lt;=16510,8,IF(B112&lt;26240,6,IF(B112&lt;=41740,4,IF(B112&lt;=52620,3,IF(B112&lt;=66360,2,IF(B112&lt;=83690,1,"NOT AVAILABLE")))))))</f>
        <v>#VALUE!</v>
      </c>
      <c r="C113" s="165" t="e">
        <f>IF(B113=10,10380,IF(B113=8,16510,IF(B113=6,26240,IF(B113=4,41740,IF(B113=3,52620,IF(B113=2,66360,IF(B113=1,83690,"NOT AVAILABLE")))))))</f>
        <v>#VALUE!</v>
      </c>
      <c r="D113" s="143" t="e">
        <f>IF(B113=10,30,IF(B113=8,50,IF(B113=6,65,IF(B113=4,85,IF(B113=3,100,IF(B113=2,115,IF(B113=1,130,"NOT AVAILABLE")))))))&amp;" Amps"</f>
        <v>#VALUE!</v>
      </c>
    </row>
    <row r="114" spans="1:7" x14ac:dyDescent="0.25">
      <c r="A114" s="164" t="s">
        <v>191</v>
      </c>
      <c r="B114" s="143" t="e">
        <f>IF(FORM!E20="DC","STAYS THE SAME",IF(B113=10,10,IF(B113=8,10,IF(B113=6,8,IF(B113=4,8,IF(B113=3,8,IF(B113=2,6,IF(B113=1,6,"NOT AVAILABLE"))))))))</f>
        <v>#VALUE!</v>
      </c>
    </row>
    <row r="115" spans="1:7" x14ac:dyDescent="0.25">
      <c r="A115" s="164" t="s">
        <v>193</v>
      </c>
      <c r="B115" s="162" t="e">
        <f>2*12.9*B110*B111/C113</f>
        <v>#VALUE!</v>
      </c>
    </row>
    <row r="116" spans="1:7" x14ac:dyDescent="0.25">
      <c r="A116" s="164" t="s">
        <v>192</v>
      </c>
      <c r="B116" s="166" t="e">
        <f>(B115/B109)*100</f>
        <v>#VALUE!</v>
      </c>
    </row>
    <row r="118" spans="1:7" ht="15.75" thickBot="1" x14ac:dyDescent="0.3">
      <c r="B118" s="195" t="s">
        <v>385</v>
      </c>
      <c r="C118" s="195"/>
    </row>
    <row r="119" spans="1:7" ht="15.75" thickTop="1" x14ac:dyDescent="0.25">
      <c r="B119" s="143">
        <f>(CALCULATIONS!B12)</f>
        <v>34</v>
      </c>
      <c r="C119" s="143" t="str">
        <f>(CALCULATIONS!C12)</f>
        <v>HANWHA 315 (Q.PEAK DUO BLK-G5 315)</v>
      </c>
      <c r="E119" s="208" t="s">
        <v>395</v>
      </c>
      <c r="F119" s="143" t="s">
        <v>377</v>
      </c>
      <c r="G119" s="143" t="s">
        <v>376</v>
      </c>
    </row>
    <row r="120" spans="1:7" x14ac:dyDescent="0.25">
      <c r="B120" s="143">
        <f>(IF(C120="","",1))</f>
        <v>1</v>
      </c>
      <c r="C120" s="143" t="str">
        <f>(IF(CALCULATIONS!B2=0,"",IF(OR(CALCULATIONS!B2="SE3000A-US",CALCULATIONS!B2="SE3800A-US",CALCULATIONS!B2="SE5000A-US",CALCULATIONS!B2="SE6000A-US",CALCULATIONS!B2="SE10000A-US",CALCULATIONS!B2="SE11400A-US"),CALCULATIONS!B2&amp;"000NNR2",IF(OR(CALCULATIONS!B2="SE3000H-US",CALCULATIONS!B2="SE3800H-US",CALCULATIONS!B2="SE5000H-US",CALCULATIONS!B2="SE6000H-US",CALCULATIONS!B2="SE7600H-US",CALCULATIONS!B2="SE10000H-US",CALCULATIONS!B2="SE11400H-US"),CALCULATIONS!B2&amp;"000NNC2",CALCULATIONS!B2))))</f>
        <v>SE10000H-US000NNC2</v>
      </c>
      <c r="E120" t="str">
        <f>IF('CURRENT EXCEL ROOFS'!K3&lt;&gt;"",CONCATENATE(SUBSTITUTE('CURRENT EXCEL ROOFS'!K3," ",""),"S"),IF('CURRENT EXCEL ROOFS'!K3="","",""))</f>
        <v>Roof1S</v>
      </c>
      <c r="F120" s="210" t="str">
        <f>IF('CURRENT EXCEL ROOFS'!K3&lt;&gt;"",CONCATENATE(SUBSTITUTE('CURRENT EXCEL ROOFS'!K3," ",""),"PS"),IF('CURRENT EXCEL ROOFS'!K3="","",""))</f>
        <v>Roof1PS</v>
      </c>
      <c r="G120" s="210" t="str">
        <f>IF('CURRENT EXCEL ROOFS'!K3&lt;&gt;"",CONCATENATE(SUBSTITUTE('CURRENT EXCEL ROOFS'!K3," ",""),"OS"),IF('CURRENT EXCEL ROOFS'!K3="","",""))</f>
        <v>Roof1OS</v>
      </c>
    </row>
    <row r="121" spans="1:7" x14ac:dyDescent="0.25">
      <c r="B121" s="143" t="str">
        <f>(IF(C121="","",1))</f>
        <v/>
      </c>
      <c r="C121" s="143" t="str">
        <f>(IF(CALCULATIONS!C2=0,"",IF(OR(CALCULATIONS!C2="SE3000A-US",CALCULATIONS!C2="SE3800A-US",CALCULATIONS!C2="SE5000A-US",CALCULATIONS!C2="SE6000A-US",CALCULATIONS!C2="SE10000A-US",CALCULATIONS!C2="SE11400A-US"),CALCULATIONS!C2&amp;"000NNR2",IF(OR(CALCULATIONS!C2="SE3000H-US",CALCULATIONS!C2="SE3800H-US",CALCULATIONS!C2="SE5000H-US",CALCULATIONS!C2="SE6000H-US",CALCULATIONS!C2="SE7600H-US",CALCULATIONS!C2="SE10000H-US",CALCULATIONS!C2="SE11400H-US"),CALCULATIONS!C2&amp;"000NNC2"))))</f>
        <v/>
      </c>
      <c r="E121" s="209" t="str">
        <f>IF('CURRENT EXCEL ROOFS'!K4&lt;&gt;"",CONCATENATE(SUBSTITUTE('CURRENT EXCEL ROOFS'!K4," ",""),"S"),IF('CURRENT EXCEL ROOFS'!K4="","",""))</f>
        <v>Roof2S</v>
      </c>
      <c r="F121" s="211" t="str">
        <f>IF('CURRENT EXCEL ROOFS'!K4&lt;&gt;"",CONCATENATE(SUBSTITUTE('CURRENT EXCEL ROOFS'!K4," ",""),"PS"),IF('CURRENT EXCEL ROOFS'!K4="","",""))</f>
        <v>Roof2PS</v>
      </c>
      <c r="G121" s="211" t="str">
        <f>IF('CURRENT EXCEL ROOFS'!K4&lt;&gt;"",CONCATENATE(SUBSTITUTE('CURRENT EXCEL ROOFS'!K4," ",""),"OS"),IF('CURRENT EXCEL ROOFS'!K4="","",""))</f>
        <v>Roof2OS</v>
      </c>
    </row>
    <row r="122" spans="1:7" x14ac:dyDescent="0.25">
      <c r="B122" s="143" t="str">
        <f>(IF(C122="","",1))</f>
        <v/>
      </c>
      <c r="C122" s="143" t="str">
        <f>(IF(CALCULATIONS!D2=0,"",IF(OR(CALCULATIONS!D2="SE3000A-US",CALCULATIONS!D2="SE3800A-US",CALCULATIONS!D2="SE5000A-US",CALCULATIONS!D2="SE6000A-US",CALCULATIONS!D2="SE10000A-US",CALCULATIONS!D2="SE11400A-US"),CALCULATIONS!D2&amp;"000NNR2",IF(OR(CALCULATIONS!D2="SE3000H-US",CALCULATIONS!D2="SE3800H-US",CALCULATIONS!D2="SE5000H-US",CALCULATIONS!D2="SE6000H-US",CALCULATIONS!D2="SE7600H-US",CALCULATIONS!D2="SE10000H-US",CALCULATIONS!D2="SE11400H-US"),CALCULATIONS!D2&amp;"000NNC2"))))</f>
        <v/>
      </c>
      <c r="E122" s="209" t="str">
        <f>IF('CURRENT EXCEL ROOFS'!K5&lt;&gt;"",CONCATENATE(SUBSTITUTE('CURRENT EXCEL ROOFS'!K5," ",""),"S"),IF('CURRENT EXCEL ROOFS'!K5="","",""))</f>
        <v>Roof3S</v>
      </c>
      <c r="F122" s="211" t="str">
        <f>IF('CURRENT EXCEL ROOFS'!K5&lt;&gt;"",CONCATENATE(SUBSTITUTE('CURRENT EXCEL ROOFS'!K5," ",""),"PS"),IF('CURRENT EXCEL ROOFS'!K5="","",""))</f>
        <v>Roof3PS</v>
      </c>
      <c r="G122" s="211" t="str">
        <f>IF('CURRENT EXCEL ROOFS'!K5&lt;&gt;"",CONCATENATE(SUBSTITUTE('CURRENT EXCEL ROOFS'!K5," ",""),"OS"),IF('CURRENT EXCEL ROOFS'!K5="","",""))</f>
        <v>Roof3OS</v>
      </c>
    </row>
    <row r="123" spans="1:7" x14ac:dyDescent="0.25">
      <c r="B123" s="143" t="str">
        <f>(IF(C123="","",1))</f>
        <v/>
      </c>
      <c r="C123" s="143" t="str">
        <f>(IF(CALCULATIONS!E2=0,"",IF(OR(CALCULATIONS!E2="SE3000A-US",CALCULATIONS!E2="SE3800A-US",CALCULATIONS!E2="SE5000A-US",CALCULATIONS!E2="SE6000A-US",CALCULATIONS!E2="SE10000A-US",CALCULATIONS!E2="SE11400A-US"),CALCULATIONS!E2&amp;"000NNR2",IF(OR(CALCULATIONS!E2="SE3000H-US",CALCULATIONS!E2="SE3800H-US",CALCULATIONS!E2="SE5000H-US",CALCULATIONS!E2="SE6000H-US",CALCULATIONS!E2="SE7600H-US",CALCULATIONS!E2="SE10000H-US",CALCULATIONS!E2="SE11400H-US"),CALCULATIONS!E2&amp;"000NNC2"))))</f>
        <v/>
      </c>
      <c r="E123" s="209" t="str">
        <f>IF('CURRENT EXCEL ROOFS'!K6&lt;&gt;"",CONCATENATE(SUBSTITUTE('CURRENT EXCEL ROOFS'!K6," ",""),"S"),IF('CURRENT EXCEL ROOFS'!K6="","",""))</f>
        <v>Roof4S</v>
      </c>
      <c r="F123" s="211" t="str">
        <f>IF('CURRENT EXCEL ROOFS'!K6&lt;&gt;"",CONCATENATE(SUBSTITUTE('CURRENT EXCEL ROOFS'!K6," ",""),"PS"),IF('CURRENT EXCEL ROOFS'!K6="","",""))</f>
        <v>Roof4PS</v>
      </c>
      <c r="G123" s="211" t="str">
        <f>IF('CURRENT EXCEL ROOFS'!K6&lt;&gt;"",CONCATENATE(SUBSTITUTE('CURRENT EXCEL ROOFS'!K6," ",""),"OS"),IF('CURRENT EXCEL ROOFS'!K6="","",""))</f>
        <v>Roof4OS</v>
      </c>
    </row>
    <row r="124" spans="1:7" x14ac:dyDescent="0.25">
      <c r="B124" s="143" t="str">
        <f>(IF(C124="","",1))</f>
        <v/>
      </c>
      <c r="C124" s="143" t="str">
        <f>IF(AND(I43="YES",FORM!I10=""),"ENPHASE IQ COMBINER (X-IQ-AM1-240-B)","")</f>
        <v/>
      </c>
      <c r="E124" s="209" t="str">
        <f>IF('CURRENT EXCEL ROOFS'!K7&lt;&gt;"",CONCATENATE(SUBSTITUTE('CURRENT EXCEL ROOFS'!K7," ",""),"S"),IF('CURRENT EXCEL ROOFS'!K7="","",""))</f>
        <v>Roof5S</v>
      </c>
      <c r="F124" s="211" t="str">
        <f>IF('CURRENT EXCEL ROOFS'!K7&lt;&gt;"",CONCATENATE(SUBSTITUTE('CURRENT EXCEL ROOFS'!K7," ",""),"PS"),IF('CURRENT EXCEL ROOFS'!K7="","",""))</f>
        <v>Roof5PS</v>
      </c>
      <c r="G124" s="211" t="str">
        <f>IF('CURRENT EXCEL ROOFS'!K7&lt;&gt;"",CONCATENATE(SUBSTITUTE('CURRENT EXCEL ROOFS'!K7," ",""),"OS"),IF('CURRENT EXCEL ROOFS'!K7="","",""))</f>
        <v>Roof5OS</v>
      </c>
    </row>
    <row r="125" spans="1:7" x14ac:dyDescent="0.25">
      <c r="B125" s="143" t="str">
        <f>(IF(CALCULATIONS!I43="YES",FORM!F11,IF(C125="","",1)))</f>
        <v/>
      </c>
      <c r="C125" s="143" t="str">
        <f>(IF(CALCULATIONS!I43="YES","ENPHASE "&amp;FORM!F6,IF(CALCULATIONS!F2=0,"",CALCULATIONS!F2))&amp;IF(CALCULATIONS!F2=0,"",IF(FORM!F6="M250 MICROINVERTERS"," (M250-60-2LL-S22/S23/S24)",IF(FORM!F6="M215 MICROINVERTERS"," (M215-60-2LL-S22/S23)",IF(FORM!F6="IQ6 MICROINVERTERS"," (IQ6-60-2-US )",IF(FORM!F6="IQ6PLUS MICROINVERTERS"," (IQ6PLUS-72-2-US )",IF(FORM!F6="IQ7 MICROINVERTERS"," (IQ7-60-2-US )",IF(FORM!F6="IQ7PLUS MICROINVERTERS"," (IQ7PLUS-72-2-US )"))))))))</f>
        <v/>
      </c>
      <c r="E125" s="209" t="str">
        <f>IF('CURRENT EXCEL ROOFS'!K8&lt;&gt;"",CONCATENATE(SUBSTITUTE('CURRENT EXCEL ROOFS'!K8," ",""),"S"),IF('CURRENT EXCEL ROOFS'!K8="","",""))</f>
        <v>Roof6S</v>
      </c>
      <c r="F125" s="211" t="str">
        <f>IF('CURRENT EXCEL ROOFS'!K8&lt;&gt;"",CONCATENATE(SUBSTITUTE('CURRENT EXCEL ROOFS'!K8," ",""),"PS"),IF('CURRENT EXCEL ROOFS'!K8="","",""))</f>
        <v>Roof6PS</v>
      </c>
      <c r="G125" s="211" t="str">
        <f>IF('CURRENT EXCEL ROOFS'!K8&lt;&gt;"",CONCATENATE(SUBSTITUTE('CURRENT EXCEL ROOFS'!K8," ",""),"OS"),IF('CURRENT EXCEL ROOFS'!K8="","",""))</f>
        <v>Roof6OS</v>
      </c>
    </row>
    <row r="126" spans="1:7" x14ac:dyDescent="0.25">
      <c r="E126" s="209" t="str">
        <f>IF('CURRENT EXCEL ROOFS'!K9&lt;&gt;"",CONCATENATE(SUBSTITUTE('CURRENT EXCEL ROOFS'!K9," ",""),"S"),IF('CURRENT EXCEL ROOFS'!K9="","",""))</f>
        <v>Roof7S</v>
      </c>
      <c r="F126" s="211" t="str">
        <f>IF('CURRENT EXCEL ROOFS'!K9&lt;&gt;"",CONCATENATE(SUBSTITUTE('CURRENT EXCEL ROOFS'!K9," ",""),"PS"),IF('CURRENT EXCEL ROOFS'!K9="","",""))</f>
        <v>Roof7PS</v>
      </c>
      <c r="G126" s="211" t="str">
        <f>IF('CURRENT EXCEL ROOFS'!K9&lt;&gt;"",CONCATENATE(SUBSTITUTE('CURRENT EXCEL ROOFS'!K9," ",""),"OS"),IF('CURRENT EXCEL ROOFS'!K9="","",""))</f>
        <v>Roof7OS</v>
      </c>
    </row>
    <row r="127" spans="1:7" x14ac:dyDescent="0.25">
      <c r="E127" s="209" t="str">
        <f>IF('CURRENT EXCEL ROOFS'!K10&lt;&gt;"",CONCATENATE(SUBSTITUTE('CURRENT EXCEL ROOFS'!K10," ",""),"S"),IF('CURRENT EXCEL ROOFS'!K10="","",""))</f>
        <v>Roof8S</v>
      </c>
      <c r="F127" s="211" t="str">
        <f>IF('CURRENT EXCEL ROOFS'!K10&lt;&gt;"",CONCATENATE(SUBSTITUTE('CURRENT EXCEL ROOFS'!K10," ",""),"PS"),IF('CURRENT EXCEL ROOFS'!K10="","",""))</f>
        <v>Roof8PS</v>
      </c>
      <c r="G127" s="211" t="str">
        <f>IF('CURRENT EXCEL ROOFS'!K10&lt;&gt;"",CONCATENATE(SUBSTITUTE('CURRENT EXCEL ROOFS'!K10," ",""),"OS"),IF('CURRENT EXCEL ROOFS'!K10="","",""))</f>
        <v>Roof8OS</v>
      </c>
    </row>
    <row r="128" spans="1:7" x14ac:dyDescent="0.25">
      <c r="E128" s="209" t="str">
        <f>IF('CURRENT EXCEL ROOFS'!K11&lt;&gt;"",CONCATENATE(SUBSTITUTE('CURRENT EXCEL ROOFS'!K11," ",""),"S"),IF('CURRENT EXCEL ROOFS'!K11="","",""))</f>
        <v/>
      </c>
      <c r="F128" s="211" t="str">
        <f>IF('CURRENT EXCEL ROOFS'!K11&lt;&gt;"",CONCATENATE(SUBSTITUTE('CURRENT EXCEL ROOFS'!K11," ",""),"PS"),IF('CURRENT EXCEL ROOFS'!K11="","",""))</f>
        <v/>
      </c>
      <c r="G128" s="211" t="str">
        <f>IF('CURRENT EXCEL ROOFS'!K11&lt;&gt;"",CONCATENATE(SUBSTITUTE('CURRENT EXCEL ROOFS'!K11," ",""),"OS"),IF('CURRENT EXCEL ROOFS'!K11="","",""))</f>
        <v/>
      </c>
    </row>
    <row r="129" spans="5:7" x14ac:dyDescent="0.25">
      <c r="E129" s="209" t="str">
        <f>IF('CURRENT EXCEL ROOFS'!K12&lt;&gt;"",CONCATENATE(SUBSTITUTE('CURRENT EXCEL ROOFS'!K12," ",""),"S"),IF('CURRENT EXCEL ROOFS'!K12="","",""))</f>
        <v/>
      </c>
      <c r="F129" s="211" t="str">
        <f>IF('CURRENT EXCEL ROOFS'!K12&lt;&gt;"",CONCATENATE(SUBSTITUTE('CURRENT EXCEL ROOFS'!K12," ",""),"PS"),IF('CURRENT EXCEL ROOFS'!K12="","",""))</f>
        <v/>
      </c>
      <c r="G129" s="211" t="str">
        <f>IF('CURRENT EXCEL ROOFS'!K12&lt;&gt;"",CONCATENATE(SUBSTITUTE('CURRENT EXCEL ROOFS'!K12," ",""),"OS"),IF('CURRENT EXCEL ROOFS'!K12="","",""))</f>
        <v/>
      </c>
    </row>
    <row r="130" spans="5:7" x14ac:dyDescent="0.25">
      <c r="E130" s="209" t="str">
        <f>IF('CURRENT EXCEL ROOFS'!K13&lt;&gt;"",CONCATENATE(SUBSTITUTE('CURRENT EXCEL ROOFS'!K13," ",""),"S"),IF('CURRENT EXCEL ROOFS'!K13="","",""))</f>
        <v/>
      </c>
      <c r="F130" s="211" t="str">
        <f>IF('CURRENT EXCEL ROOFS'!K13&lt;&gt;"",CONCATENATE(SUBSTITUTE('CURRENT EXCEL ROOFS'!K13," ",""),"PS"),IF('CURRENT EXCEL ROOFS'!K13="","",""))</f>
        <v/>
      </c>
      <c r="G130" s="211" t="str">
        <f>IF('CURRENT EXCEL ROOFS'!K13&lt;&gt;"",CONCATENATE(SUBSTITUTE('CURRENT EXCEL ROOFS'!K13," ",""),"OS"),IF('CURRENT EXCEL ROOFS'!K13="","",""))</f>
        <v/>
      </c>
    </row>
    <row r="131" spans="5:7" x14ac:dyDescent="0.25">
      <c r="E131" s="209" t="str">
        <f>IF('CURRENT EXCEL ROOFS'!K14&lt;&gt;"",CONCATENATE(SUBSTITUTE('CURRENT EXCEL ROOFS'!K14," ",""),"S"),IF('CURRENT EXCEL ROOFS'!K14="","",""))</f>
        <v/>
      </c>
      <c r="F131" s="211" t="str">
        <f>IF('CURRENT EXCEL ROOFS'!K14&lt;&gt;"",CONCATENATE(SUBSTITUTE('CURRENT EXCEL ROOFS'!K14," ",""),"PS"),IF('CURRENT EXCEL ROOFS'!K14="","",""))</f>
        <v/>
      </c>
      <c r="G131" s="211" t="str">
        <f>IF('CURRENT EXCEL ROOFS'!K14&lt;&gt;"",CONCATENATE(SUBSTITUTE('CURRENT EXCEL ROOFS'!K14," ",""),"OS"),IF('CURRENT EXCEL ROOFS'!K14="","",""))</f>
        <v/>
      </c>
    </row>
    <row r="132" spans="5:7" x14ac:dyDescent="0.25">
      <c r="E132" s="209" t="str">
        <f>IF('CURRENT EXCEL ROOFS'!K15&lt;&gt;"",CONCATENATE(SUBSTITUTE('CURRENT EXCEL ROOFS'!K15," ",""),"S"),IF('CURRENT EXCEL ROOFS'!K15="","",""))</f>
        <v/>
      </c>
      <c r="F132" s="211" t="str">
        <f>IF('CURRENT EXCEL ROOFS'!K15&lt;&gt;"",CONCATENATE(SUBSTITUTE('CURRENT EXCEL ROOFS'!K15," ",""),"PS"),IF('CURRENT EXCEL ROOFS'!K15="","",""))</f>
        <v/>
      </c>
      <c r="G132" s="211" t="str">
        <f>IF('CURRENT EXCEL ROOFS'!K15&lt;&gt;"",CONCATENATE(SUBSTITUTE('CURRENT EXCEL ROOFS'!K15," ",""),"OS"),IF('CURRENT EXCEL ROOFS'!K15="","",""))</f>
        <v/>
      </c>
    </row>
    <row r="133" spans="5:7" x14ac:dyDescent="0.25">
      <c r="E133" s="209" t="str">
        <f>IF('CURRENT EXCEL ROOFS'!K16&lt;&gt;"",CONCATENATE(SUBSTITUTE('CURRENT EXCEL ROOFS'!K16," ",""),"S"),IF('CURRENT EXCEL ROOFS'!K16="","",""))</f>
        <v/>
      </c>
      <c r="F133" s="211" t="str">
        <f>IF('CURRENT EXCEL ROOFS'!K16&lt;&gt;"",CONCATENATE(SUBSTITUTE('CURRENT EXCEL ROOFS'!K16," ",""),"PS"),IF('CURRENT EXCEL ROOFS'!K16="","",""))</f>
        <v/>
      </c>
      <c r="G133" s="211" t="str">
        <f>IF('CURRENT EXCEL ROOFS'!K16&lt;&gt;"",CONCATENATE(SUBSTITUTE('CURRENT EXCEL ROOFS'!K16," ",""),"OS"),IF('CURRENT EXCEL ROOFS'!K16="","",""))</f>
        <v/>
      </c>
    </row>
    <row r="134" spans="5:7" x14ac:dyDescent="0.25">
      <c r="E134" s="209" t="str">
        <f>IF('CURRENT EXCEL ROOFS'!K17&lt;&gt;"",CONCATENATE(SUBSTITUTE('CURRENT EXCEL ROOFS'!K17," ",""),"S"),IF('CURRENT EXCEL ROOFS'!K17="","",""))</f>
        <v/>
      </c>
      <c r="F134" s="211" t="str">
        <f>IF('CURRENT EXCEL ROOFS'!K17&lt;&gt;"",CONCATENATE(SUBSTITUTE('CURRENT EXCEL ROOFS'!K17," ",""),"PS"),IF('CURRENT EXCEL ROOFS'!K17="","",""))</f>
        <v/>
      </c>
      <c r="G134" s="211" t="str">
        <f>IF('CURRENT EXCEL ROOFS'!K17&lt;&gt;"",CONCATENATE(SUBSTITUTE('CURRENT EXCEL ROOFS'!K17," ",""),"OS"),IF('CURRENT EXCEL ROOFS'!K17="","",""))</f>
        <v/>
      </c>
    </row>
    <row r="135" spans="5:7" x14ac:dyDescent="0.25">
      <c r="E135" s="209" t="str">
        <f>IF('CURRENT EXCEL ROOFS'!K18&lt;&gt;"",CONCATENATE(SUBSTITUTE('CURRENT EXCEL ROOFS'!K18," ",""),"S"),IF('CURRENT EXCEL ROOFS'!K18="","",""))</f>
        <v/>
      </c>
      <c r="F135" s="211" t="str">
        <f>IF('CURRENT EXCEL ROOFS'!K18&lt;&gt;"",CONCATENATE(SUBSTITUTE('CURRENT EXCEL ROOFS'!K18," ",""),"PS"),IF('CURRENT EXCEL ROOFS'!K18="","",""))</f>
        <v/>
      </c>
      <c r="G135" s="211" t="str">
        <f>IF('CURRENT EXCEL ROOFS'!K18&lt;&gt;"",CONCATENATE(SUBSTITUTE('CURRENT EXCEL ROOFS'!K18," ",""),"OS"),IF('CURRENT EXCEL ROOFS'!K18="","",""))</f>
        <v/>
      </c>
    </row>
    <row r="136" spans="5:7" x14ac:dyDescent="0.25">
      <c r="E136" s="209" t="str">
        <f>IF('CURRENT EXCEL ROOFS'!K19&lt;&gt;"",CONCATENATE(SUBSTITUTE('CURRENT EXCEL ROOFS'!K19," ",""),"S"),IF('CURRENT EXCEL ROOFS'!K19="","",""))</f>
        <v/>
      </c>
      <c r="F136" s="211" t="str">
        <f>IF('CURRENT EXCEL ROOFS'!K19&lt;&gt;"",CONCATENATE(SUBSTITUTE('CURRENT EXCEL ROOFS'!K19," ",""),"PS"),IF('CURRENT EXCEL ROOFS'!K19="","",""))</f>
        <v/>
      </c>
      <c r="G136" s="211" t="str">
        <f>IF('CURRENT EXCEL ROOFS'!K19&lt;&gt;"",CONCATENATE(SUBSTITUTE('CURRENT EXCEL ROOFS'!K19," ",""),"OS"),IF('CURRENT EXCEL ROOFS'!K19="","",""))</f>
        <v/>
      </c>
    </row>
    <row r="137" spans="5:7" x14ac:dyDescent="0.25">
      <c r="E137" s="209" t="str">
        <f>IF('CURRENT EXCEL ROOFS'!K20&lt;&gt;"",CONCATENATE(SUBSTITUTE('CURRENT EXCEL ROOFS'!K20," ",""),"S"),IF('CURRENT EXCEL ROOFS'!K20="","",""))</f>
        <v/>
      </c>
      <c r="F137" s="211" t="str">
        <f>IF('CURRENT EXCEL ROOFS'!K20&lt;&gt;"",CONCATENATE(SUBSTITUTE('CURRENT EXCEL ROOFS'!K20," ",""),"PS"),IF('CURRENT EXCEL ROOFS'!K20="","",""))</f>
        <v/>
      </c>
      <c r="G137" s="211" t="str">
        <f>IF('CURRENT EXCEL ROOFS'!K20&lt;&gt;"",CONCATENATE(SUBSTITUTE('CURRENT EXCEL ROOFS'!K20," ",""),"OS"),IF('CURRENT EXCEL ROOFS'!K20="","",""))</f>
        <v/>
      </c>
    </row>
    <row r="138" spans="5:7" x14ac:dyDescent="0.25">
      <c r="E138" s="209" t="str">
        <f>IF('CURRENT EXCEL ROOFS'!K21&lt;&gt;"",CONCATENATE(SUBSTITUTE('CURRENT EXCEL ROOFS'!K21," ",""),"S"),IF('CURRENT EXCEL ROOFS'!K21="","",""))</f>
        <v/>
      </c>
      <c r="F138" s="211" t="str">
        <f>IF('CURRENT EXCEL ROOFS'!K21&lt;&gt;"",CONCATENATE(SUBSTITUTE('CURRENT EXCEL ROOFS'!K21," ",""),"PS"),IF('CURRENT EXCEL ROOFS'!K21="","",""))</f>
        <v/>
      </c>
      <c r="G138" s="211" t="str">
        <f>IF('CURRENT EXCEL ROOFS'!K21&lt;&gt;"",CONCATENATE(SUBSTITUTE('CURRENT EXCEL ROOFS'!K21," ",""),"OS"),IF('CURRENT EXCEL ROOFS'!K21="","",""))</f>
        <v/>
      </c>
    </row>
    <row r="139" spans="5:7" x14ac:dyDescent="0.25">
      <c r="E139" s="209" t="str">
        <f>IF('CURRENT EXCEL ROOFS'!K22&lt;&gt;"",CONCATENATE(SUBSTITUTE('CURRENT EXCEL ROOFS'!K22," ",""),"S"),IF('CURRENT EXCEL ROOFS'!K22="","",""))</f>
        <v/>
      </c>
      <c r="F139" s="211" t="str">
        <f>IF('CURRENT EXCEL ROOFS'!K22&lt;&gt;"",CONCATENATE(SUBSTITUTE('CURRENT EXCEL ROOFS'!K22," ",""),"PS"),IF('CURRENT EXCEL ROOFS'!K22="","",""))</f>
        <v/>
      </c>
      <c r="G139" s="211" t="str">
        <f>IF('CURRENT EXCEL ROOFS'!K22&lt;&gt;"",CONCATENATE(SUBSTITUTE('CURRENT EXCEL ROOFS'!K22," ",""),"OS"),IF('CURRENT EXCEL ROOFS'!K22="","",""))</f>
        <v/>
      </c>
    </row>
    <row r="140" spans="5:7" x14ac:dyDescent="0.25">
      <c r="E140" s="209" t="str">
        <f>IF('CURRENT EXCEL ROOFS'!K23&lt;&gt;"",CONCATENATE(SUBSTITUTE('CURRENT EXCEL ROOFS'!K23," ",""),"S"),IF('CURRENT EXCEL ROOFS'!K23="","",""))</f>
        <v/>
      </c>
      <c r="F140" s="211" t="str">
        <f>IF('CURRENT EXCEL ROOFS'!K23&lt;&gt;"",CONCATENATE(SUBSTITUTE('CURRENT EXCEL ROOFS'!K23," ",""),"PS"),IF('CURRENT EXCEL ROOFS'!K23="","",""))</f>
        <v/>
      </c>
      <c r="G140" s="211" t="str">
        <f>IF('CURRENT EXCEL ROOFS'!K23&lt;&gt;"",CONCATENATE(SUBSTITUTE('CURRENT EXCEL ROOFS'!K23," ",""),"OS"),IF('CURRENT EXCEL ROOFS'!K23="","",""))</f>
        <v/>
      </c>
    </row>
    <row r="141" spans="5:7" x14ac:dyDescent="0.25">
      <c r="E141" s="236" t="str">
        <f>IF('CURRENT EXCEL ROOFS'!K24&lt;&gt;"",CONCATENATE(SUBSTITUTE('CURRENT EXCEL ROOFS'!K24," ",""),"S"),IF('CURRENT EXCEL ROOFS'!K24="","",""))</f>
        <v/>
      </c>
      <c r="F141" s="236" t="str">
        <f>IF('CURRENT EXCEL ROOFS'!K24&lt;&gt;"",CONCATENATE(SUBSTITUTE('CURRENT EXCEL ROOFS'!K24," ",""),"PS"),IF('CURRENT EXCEL ROOFS'!K24="","",""))</f>
        <v/>
      </c>
      <c r="G141" s="236" t="str">
        <f>IF('CURRENT EXCEL ROOFS'!K24&lt;&gt;"",CONCATENATE(SUBSTITUTE('CURRENT EXCEL ROOFS'!K24," ",""),"OS"),IF('CURRENT EXCEL ROOFS'!K24="","",""))</f>
        <v/>
      </c>
    </row>
    <row r="142" spans="5:7" x14ac:dyDescent="0.25">
      <c r="E142" s="236" t="str">
        <f>IF('CURRENT EXCEL ROOFS'!K25&lt;&gt;"",CONCATENATE(SUBSTITUTE('CURRENT EXCEL ROOFS'!K25," ",""),"S"),IF('CURRENT EXCEL ROOFS'!K25="","",""))</f>
        <v/>
      </c>
      <c r="F142" s="236" t="str">
        <f>IF('CURRENT EXCEL ROOFS'!K25&lt;&gt;"",CONCATENATE(SUBSTITUTE('CURRENT EXCEL ROOFS'!K25," ",""),"PS"),IF('CURRENT EXCEL ROOFS'!K25="","",""))</f>
        <v/>
      </c>
      <c r="G142" s="236" t="str">
        <f>IF('CURRENT EXCEL ROOFS'!K25&lt;&gt;"",CONCATENATE(SUBSTITUTE('CURRENT EXCEL ROOFS'!K25," ",""),"OS"),IF('CURRENT EXCEL ROOFS'!K25="","",""))</f>
        <v/>
      </c>
    </row>
    <row r="143" spans="5:7" x14ac:dyDescent="0.25">
      <c r="E143" s="236" t="str">
        <f>IF('CURRENT EXCEL ROOFS'!K26&lt;&gt;"",CONCATENATE(SUBSTITUTE('CURRENT EXCEL ROOFS'!K26," ",""),"S"),IF('CURRENT EXCEL ROOFS'!K26="","",""))</f>
        <v/>
      </c>
      <c r="F143" s="236" t="str">
        <f>IF('CURRENT EXCEL ROOFS'!K26&lt;&gt;"",CONCATENATE(SUBSTITUTE('CURRENT EXCEL ROOFS'!K26," ",""),"PS"),IF('CURRENT EXCEL ROOFS'!K26="","",""))</f>
        <v/>
      </c>
      <c r="G143" s="236" t="str">
        <f>IF('CURRENT EXCEL ROOFS'!K26&lt;&gt;"",CONCATENATE(SUBSTITUTE('CURRENT EXCEL ROOFS'!K26," ",""),"OS"),IF('CURRENT EXCEL ROOFS'!K26="","",""))</f>
        <v/>
      </c>
    </row>
    <row r="144" spans="5:7" x14ac:dyDescent="0.25">
      <c r="E144" s="236" t="str">
        <f>IF('CURRENT EXCEL ROOFS'!K27&lt;&gt;"",CONCATENATE(SUBSTITUTE('CURRENT EXCEL ROOFS'!K27," ",""),"S"),IF('CURRENT EXCEL ROOFS'!K27="","",""))</f>
        <v/>
      </c>
      <c r="F144" s="236" t="str">
        <f>IF('CURRENT EXCEL ROOFS'!K27&lt;&gt;"",CONCATENATE(SUBSTITUTE('CURRENT EXCEL ROOFS'!K27," ",""),"PS"),IF('CURRENT EXCEL ROOFS'!K27="","",""))</f>
        <v/>
      </c>
      <c r="G144" s="236" t="str">
        <f>IF('CURRENT EXCEL ROOFS'!K27&lt;&gt;"",CONCATENATE(SUBSTITUTE('CURRENT EXCEL ROOFS'!K27," ",""),"OS"),IF('CURRENT EXCEL ROOFS'!K27="","",""))</f>
        <v/>
      </c>
    </row>
    <row r="145" spans="5:7" x14ac:dyDescent="0.25">
      <c r="E145" s="236" t="str">
        <f>IF('CURRENT EXCEL ROOFS'!K28&lt;&gt;"",CONCATENATE(SUBSTITUTE('CURRENT EXCEL ROOFS'!K28," ",""),"S"),IF('CURRENT EXCEL ROOFS'!K28="","",""))</f>
        <v/>
      </c>
      <c r="F145" s="236" t="str">
        <f>IF('CURRENT EXCEL ROOFS'!K28&lt;&gt;"",CONCATENATE(SUBSTITUTE('CURRENT EXCEL ROOFS'!K28," ",""),"PS"),IF('CURRENT EXCEL ROOFS'!K28="","",""))</f>
        <v/>
      </c>
      <c r="G145" s="236" t="str">
        <f>IF('CURRENT EXCEL ROOFS'!K28&lt;&gt;"",CONCATENATE(SUBSTITUTE('CURRENT EXCEL ROOFS'!K28," ",""),"OS"),IF('CURRENT EXCEL ROOFS'!K28="","",""))</f>
        <v/>
      </c>
    </row>
    <row r="146" spans="5:7" x14ac:dyDescent="0.25">
      <c r="E146" s="236" t="str">
        <f>IF('CURRENT EXCEL ROOFS'!K29&lt;&gt;"",CONCATENATE(SUBSTITUTE('CURRENT EXCEL ROOFS'!K29," ",""),"S"),IF('CURRENT EXCEL ROOFS'!K29="","",""))</f>
        <v/>
      </c>
      <c r="F146" s="236" t="str">
        <f>IF('CURRENT EXCEL ROOFS'!K29&lt;&gt;"",CONCATENATE(SUBSTITUTE('CURRENT EXCEL ROOFS'!K29," ",""),"PS"),IF('CURRENT EXCEL ROOFS'!K29="","",""))</f>
        <v/>
      </c>
      <c r="G146" s="236" t="str">
        <f>IF('CURRENT EXCEL ROOFS'!K29&lt;&gt;"",CONCATENATE(SUBSTITUTE('CURRENT EXCEL ROOFS'!K29," ",""),"OS"),IF('CURRENT EXCEL ROOFS'!K29="","",""))</f>
        <v/>
      </c>
    </row>
    <row r="147" spans="5:7" x14ac:dyDescent="0.25">
      <c r="E147" s="236" t="str">
        <f>IF('CURRENT EXCEL ROOFS'!K30&lt;&gt;"",CONCATENATE(SUBSTITUTE('CURRENT EXCEL ROOFS'!K30," ",""),"S"),IF('CURRENT EXCEL ROOFS'!K30="","",""))</f>
        <v/>
      </c>
      <c r="F147" s="236" t="str">
        <f>IF('CURRENT EXCEL ROOFS'!K30&lt;&gt;"",CONCATENATE(SUBSTITUTE('CURRENT EXCEL ROOFS'!K30," ",""),"PS"),IF('CURRENT EXCEL ROOFS'!K30="","",""))</f>
        <v/>
      </c>
      <c r="G147" s="236" t="str">
        <f>IF('CURRENT EXCEL ROOFS'!K30&lt;&gt;"",CONCATENATE(SUBSTITUTE('CURRENT EXCEL ROOFS'!K30," ",""),"OS"),IF('CURRENT EXCEL ROOFS'!K30="","",""))</f>
        <v/>
      </c>
    </row>
    <row r="148" spans="5:7" x14ac:dyDescent="0.25">
      <c r="E148" s="236" t="str">
        <f>IF('CURRENT EXCEL ROOFS'!K31&lt;&gt;"",CONCATENATE(SUBSTITUTE('CURRENT EXCEL ROOFS'!K31," ",""),"S"),IF('CURRENT EXCEL ROOFS'!K31="","",""))</f>
        <v/>
      </c>
      <c r="F148" s="236" t="str">
        <f>IF('CURRENT EXCEL ROOFS'!K31&lt;&gt;"",CONCATENATE(SUBSTITUTE('CURRENT EXCEL ROOFS'!K31," ",""),"PS"),IF('CURRENT EXCEL ROOFS'!K31="","",""))</f>
        <v/>
      </c>
      <c r="G148" s="236" t="str">
        <f>IF('CURRENT EXCEL ROOFS'!K31&lt;&gt;"",CONCATENATE(SUBSTITUTE('CURRENT EXCEL ROOFS'!K31," ",""),"OS"),IF('CURRENT EXCEL ROOFS'!K31="","",""))</f>
        <v/>
      </c>
    </row>
    <row r="149" spans="5:7" x14ac:dyDescent="0.25">
      <c r="E149" s="236" t="str">
        <f>IF('CURRENT EXCEL ROOFS'!K32&lt;&gt;"",CONCATENATE(SUBSTITUTE('CURRENT EXCEL ROOFS'!K32," ",""),"S"),IF('CURRENT EXCEL ROOFS'!K32="","",""))</f>
        <v/>
      </c>
      <c r="F149" s="236" t="str">
        <f>IF('CURRENT EXCEL ROOFS'!K32&lt;&gt;"",CONCATENATE(SUBSTITUTE('CURRENT EXCEL ROOFS'!K32," ",""),"PS"),IF('CURRENT EXCEL ROOFS'!K32="","",""))</f>
        <v/>
      </c>
      <c r="G149" s="236" t="str">
        <f>IF('CURRENT EXCEL ROOFS'!K32&lt;&gt;"",CONCATENATE(SUBSTITUTE('CURRENT EXCEL ROOFS'!K32," ",""),"OS"),IF('CURRENT EXCEL ROOFS'!K32="","",""))</f>
        <v/>
      </c>
    </row>
    <row r="150" spans="5:7" x14ac:dyDescent="0.25">
      <c r="E150" s="236" t="str">
        <f>IF('CURRENT EXCEL ROOFS'!K33&lt;&gt;"",CONCATENATE(SUBSTITUTE('CURRENT EXCEL ROOFS'!K33," ",""),"S"),IF('CURRENT EXCEL ROOFS'!K33="","",""))</f>
        <v/>
      </c>
      <c r="F150" s="236" t="str">
        <f>IF('CURRENT EXCEL ROOFS'!K33&lt;&gt;"",CONCATENATE(SUBSTITUTE('CURRENT EXCEL ROOFS'!K33," ",""),"PS"),IF('CURRENT EXCEL ROOFS'!K33="","",""))</f>
        <v/>
      </c>
      <c r="G150" s="236" t="str">
        <f>IF('CURRENT EXCEL ROOFS'!K33&lt;&gt;"",CONCATENATE(SUBSTITUTE('CURRENT EXCEL ROOFS'!K33," ",""),"OS"),IF('CURRENT EXCEL ROOFS'!K33="","",""))</f>
        <v/>
      </c>
    </row>
    <row r="151" spans="5:7" x14ac:dyDescent="0.25">
      <c r="E151" s="236" t="str">
        <f>IF('CURRENT EXCEL ROOFS'!K34&lt;&gt;"",CONCATENATE(SUBSTITUTE('CURRENT EXCEL ROOFS'!K34," ",""),"S"),IF('CURRENT EXCEL ROOFS'!K34="","",""))</f>
        <v/>
      </c>
      <c r="F151" s="236" t="str">
        <f>IF('CURRENT EXCEL ROOFS'!K34&lt;&gt;"",CONCATENATE(SUBSTITUTE('CURRENT EXCEL ROOFS'!K34," ",""),"PS"),IF('CURRENT EXCEL ROOFS'!K34="","",""))</f>
        <v/>
      </c>
      <c r="G151" s="236" t="str">
        <f>IF('CURRENT EXCEL ROOFS'!K34&lt;&gt;"",CONCATENATE(SUBSTITUTE('CURRENT EXCEL ROOFS'!K34," ",""),"OS"),IF('CURRENT EXCEL ROOFS'!K34="","",""))</f>
        <v/>
      </c>
    </row>
    <row r="152" spans="5:7" x14ac:dyDescent="0.25">
      <c r="E152" s="236" t="str">
        <f>IF('CURRENT EXCEL ROOFS'!K35&lt;&gt;"",CONCATENATE(SUBSTITUTE('CURRENT EXCEL ROOFS'!K35," ",""),"S"),IF('CURRENT EXCEL ROOFS'!K35="","",""))</f>
        <v/>
      </c>
      <c r="F152" s="236" t="str">
        <f>IF('CURRENT EXCEL ROOFS'!K35&lt;&gt;"",CONCATENATE(SUBSTITUTE('CURRENT EXCEL ROOFS'!K35," ",""),"PS"),IF('CURRENT EXCEL ROOFS'!K35="","",""))</f>
        <v/>
      </c>
      <c r="G152" s="236" t="str">
        <f>IF('CURRENT EXCEL ROOFS'!K35&lt;&gt;"",CONCATENATE(SUBSTITUTE('CURRENT EXCEL ROOFS'!K35," ",""),"OS"),IF('CURRENT EXCEL ROOFS'!K35="","",""))</f>
        <v/>
      </c>
    </row>
    <row r="153" spans="5:7" x14ac:dyDescent="0.25">
      <c r="E153" s="236" t="str">
        <f>IF('CURRENT EXCEL ROOFS'!K36&lt;&gt;"",CONCATENATE(SUBSTITUTE('CURRENT EXCEL ROOFS'!K36," ",""),"S"),IF('CURRENT EXCEL ROOFS'!K36="","",""))</f>
        <v/>
      </c>
      <c r="F153" s="236" t="str">
        <f>IF('CURRENT EXCEL ROOFS'!K36&lt;&gt;"",CONCATENATE(SUBSTITUTE('CURRENT EXCEL ROOFS'!K36," ",""),"PS"),IF('CURRENT EXCEL ROOFS'!K36="","",""))</f>
        <v/>
      </c>
      <c r="G153" s="236" t="str">
        <f>IF('CURRENT EXCEL ROOFS'!K36&lt;&gt;"",CONCATENATE(SUBSTITUTE('CURRENT EXCEL ROOFS'!K36," ",""),"OS"),IF('CURRENT EXCEL ROOFS'!K36="","",""))</f>
        <v/>
      </c>
    </row>
    <row r="154" spans="5:7" x14ac:dyDescent="0.25">
      <c r="E154" s="236" t="str">
        <f>IF('CURRENT EXCEL ROOFS'!K37&lt;&gt;"",CONCATENATE(SUBSTITUTE('CURRENT EXCEL ROOFS'!K37," ",""),"S"),IF('CURRENT EXCEL ROOFS'!K37="","",""))</f>
        <v/>
      </c>
      <c r="F154" s="236" t="str">
        <f>IF('CURRENT EXCEL ROOFS'!K37&lt;&gt;"",CONCATENATE(SUBSTITUTE('CURRENT EXCEL ROOFS'!K37," ",""),"PS"),IF('CURRENT EXCEL ROOFS'!K37="","",""))</f>
        <v/>
      </c>
      <c r="G154" s="236" t="str">
        <f>IF('CURRENT EXCEL ROOFS'!K37&lt;&gt;"",CONCATENATE(SUBSTITUTE('CURRENT EXCEL ROOFS'!K37," ",""),"OS"),IF('CURRENT EXCEL ROOFS'!K37="","",""))</f>
        <v/>
      </c>
    </row>
    <row r="155" spans="5:7" x14ac:dyDescent="0.25">
      <c r="E155" s="236" t="str">
        <f>IF('CURRENT EXCEL ROOFS'!K38&lt;&gt;"",CONCATENATE(SUBSTITUTE('CURRENT EXCEL ROOFS'!K38," ",""),"S"),IF('CURRENT EXCEL ROOFS'!K38="","",""))</f>
        <v/>
      </c>
      <c r="F155" s="236" t="str">
        <f>IF('CURRENT EXCEL ROOFS'!K38&lt;&gt;"",CONCATENATE(SUBSTITUTE('CURRENT EXCEL ROOFS'!K38," ",""),"PS"),IF('CURRENT EXCEL ROOFS'!K38="","",""))</f>
        <v/>
      </c>
      <c r="G155" s="236" t="str">
        <f>IF('CURRENT EXCEL ROOFS'!K38&lt;&gt;"",CONCATENATE(SUBSTITUTE('CURRENT EXCEL ROOFS'!K38," ",""),"OS"),IF('CURRENT EXCEL ROOFS'!K38="","",""))</f>
        <v/>
      </c>
    </row>
    <row r="156" spans="5:7" x14ac:dyDescent="0.25">
      <c r="E156" s="236" t="str">
        <f>IF('CURRENT EXCEL ROOFS'!K39&lt;&gt;"",CONCATENATE(SUBSTITUTE('CURRENT EXCEL ROOFS'!K39," ",""),"S"),IF('CURRENT EXCEL ROOFS'!K39="","",""))</f>
        <v/>
      </c>
      <c r="F156" s="236" t="str">
        <f>IF('CURRENT EXCEL ROOFS'!K39&lt;&gt;"",CONCATENATE(SUBSTITUTE('CURRENT EXCEL ROOFS'!K39," ",""),"PS"),IF('CURRENT EXCEL ROOFS'!K39="","",""))</f>
        <v/>
      </c>
      <c r="G156" s="236" t="str">
        <f>IF('CURRENT EXCEL ROOFS'!K39&lt;&gt;"",CONCATENATE(SUBSTITUTE('CURRENT EXCEL ROOFS'!K39," ",""),"OS"),IF('CURRENT EXCEL ROOFS'!K39="","",""))</f>
        <v/>
      </c>
    </row>
    <row r="157" spans="5:7" x14ac:dyDescent="0.25">
      <c r="E157" s="236" t="str">
        <f>IF('CURRENT EXCEL ROOFS'!K40&lt;&gt;"",CONCATENATE(SUBSTITUTE('CURRENT EXCEL ROOFS'!K40," ",""),"S"),IF('CURRENT EXCEL ROOFS'!K40="","",""))</f>
        <v/>
      </c>
      <c r="F157" s="236" t="str">
        <f>IF('CURRENT EXCEL ROOFS'!K40&lt;&gt;"",CONCATENATE(SUBSTITUTE('CURRENT EXCEL ROOFS'!K40," ",""),"PS"),IF('CURRENT EXCEL ROOFS'!K40="","",""))</f>
        <v/>
      </c>
      <c r="G157" s="236" t="str">
        <f>IF('CURRENT EXCEL ROOFS'!K40&lt;&gt;"",CONCATENATE(SUBSTITUTE('CURRENT EXCEL ROOFS'!K40," ",""),"OS"),IF('CURRENT EXCEL ROOFS'!K40="","",""))</f>
        <v/>
      </c>
    </row>
    <row r="158" spans="5:7" x14ac:dyDescent="0.25">
      <c r="E158" s="236" t="str">
        <f>IF('CURRENT EXCEL ROOFS'!K41&lt;&gt;"",CONCATENATE(SUBSTITUTE('CURRENT EXCEL ROOFS'!K41," ",""),"S"),IF('CURRENT EXCEL ROOFS'!K41="","",""))</f>
        <v/>
      </c>
      <c r="F158" s="236" t="str">
        <f>IF('CURRENT EXCEL ROOFS'!K41&lt;&gt;"",CONCATENATE(SUBSTITUTE('CURRENT EXCEL ROOFS'!K41," ",""),"PS"),IF('CURRENT EXCEL ROOFS'!K41="","",""))</f>
        <v/>
      </c>
      <c r="G158" s="236" t="str">
        <f>IF('CURRENT EXCEL ROOFS'!K41&lt;&gt;"",CONCATENATE(SUBSTITUTE('CURRENT EXCEL ROOFS'!K41," ",""),"OS"),IF('CURRENT EXCEL ROOFS'!K41="","",""))</f>
        <v/>
      </c>
    </row>
    <row r="159" spans="5:7" x14ac:dyDescent="0.25">
      <c r="E159" s="236" t="str">
        <f>IF('CURRENT EXCEL ROOFS'!K42&lt;&gt;"",CONCATENATE(SUBSTITUTE('CURRENT EXCEL ROOFS'!K42," ",""),"S"),IF('CURRENT EXCEL ROOFS'!K42="","",""))</f>
        <v/>
      </c>
      <c r="F159" s="236" t="str">
        <f>IF('CURRENT EXCEL ROOFS'!K42&lt;&gt;"",CONCATENATE(SUBSTITUTE('CURRENT EXCEL ROOFS'!K42," ",""),"PS"),IF('CURRENT EXCEL ROOFS'!K42="","",""))</f>
        <v/>
      </c>
      <c r="G159" s="236" t="str">
        <f>IF('CURRENT EXCEL ROOFS'!K42&lt;&gt;"",CONCATENATE(SUBSTITUTE('CURRENT EXCEL ROOFS'!K42," ",""),"OS"),IF('CURRENT EXCEL ROOFS'!K42="","",""))</f>
        <v/>
      </c>
    </row>
    <row r="160" spans="5:7" x14ac:dyDescent="0.25">
      <c r="E160" s="236" t="str">
        <f>IF('CURRENT EXCEL ROOFS'!K43&lt;&gt;"",CONCATENATE(SUBSTITUTE('CURRENT EXCEL ROOFS'!K43," ",""),"S"),IF('CURRENT EXCEL ROOFS'!K43="","",""))</f>
        <v/>
      </c>
      <c r="F160" s="236" t="str">
        <f>IF('CURRENT EXCEL ROOFS'!K43&lt;&gt;"",CONCATENATE(SUBSTITUTE('CURRENT EXCEL ROOFS'!K43," ",""),"PS"),IF('CURRENT EXCEL ROOFS'!K43="","",""))</f>
        <v/>
      </c>
      <c r="G160" s="236" t="str">
        <f>IF('CURRENT EXCEL ROOFS'!K43&lt;&gt;"",CONCATENATE(SUBSTITUTE('CURRENT EXCEL ROOFS'!K43," ",""),"OS"),IF('CURRENT EXCEL ROOFS'!K43="","",""))</f>
        <v/>
      </c>
    </row>
    <row r="161" spans="5:7" x14ac:dyDescent="0.25">
      <c r="E161" s="236" t="str">
        <f>IF('CURRENT EXCEL ROOFS'!K44&lt;&gt;"",CONCATENATE(SUBSTITUTE('CURRENT EXCEL ROOFS'!K44," ",""),"S"),IF('CURRENT EXCEL ROOFS'!K44="","",""))</f>
        <v/>
      </c>
      <c r="F161" s="236" t="str">
        <f>IF('CURRENT EXCEL ROOFS'!K44&lt;&gt;"",CONCATENATE(SUBSTITUTE('CURRENT EXCEL ROOFS'!K44," ",""),"PS"),IF('CURRENT EXCEL ROOFS'!K44="","",""))</f>
        <v/>
      </c>
      <c r="G161" s="236" t="str">
        <f>IF('CURRENT EXCEL ROOFS'!K44&lt;&gt;"",CONCATENATE(SUBSTITUTE('CURRENT EXCEL ROOFS'!K44," ",""),"OS"),IF('CURRENT EXCEL ROOFS'!K44="","",""))</f>
        <v/>
      </c>
    </row>
    <row r="162" spans="5:7" x14ac:dyDescent="0.25">
      <c r="F162" s="236" t="str">
        <f>IF('CURRENT EXCEL ROOFS'!K45&lt;&gt;"",CONCATENATE(SUBSTITUTE('CURRENT EXCEL ROOFS'!K45," ",""),"PS"),IF('CURRENT EXCEL ROOFS'!K45="","",""))</f>
        <v/>
      </c>
      <c r="G162" s="236" t="str">
        <f>IF('CURRENT EXCEL ROOFS'!K45&lt;&gt;"",CONCATENATE(SUBSTITUTE('CURRENT EXCEL ROOFS'!K45," ",""),"OS"),IF('CURRENT EXCEL ROOFS'!K45="","",""))</f>
        <v/>
      </c>
    </row>
    <row r="163" spans="5:7" x14ac:dyDescent="0.25">
      <c r="G163" s="236" t="str">
        <f>IF('CURRENT EXCEL ROOFS'!K46&lt;&gt;"",CONCATENATE(SUBSTITUTE('CURRENT EXCEL ROOFS'!K46," ",""),"OS"),IF('CURRENT EXCEL ROOFS'!K46="","",""))</f>
        <v/>
      </c>
    </row>
  </sheetData>
  <mergeCells count="3">
    <mergeCell ref="K6:P6"/>
    <mergeCell ref="G47:H47"/>
    <mergeCell ref="G56:J56"/>
  </mergeCells>
  <dataValidations count="1">
    <dataValidation type="list" allowBlank="1" showInputMessage="1" showErrorMessage="1" sqref="H61">
      <formula1>"14,12,10,8,6,4,3,2,1,'1/0,'2/0,'3/0,'4/0,250,300,350,400,500,600,700,750,800,900,1000"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31</vt:i4>
      </vt:variant>
    </vt:vector>
  </HeadingPairs>
  <TitlesOfParts>
    <vt:vector size="43" baseType="lpstr">
      <vt:lpstr>FORM</vt:lpstr>
      <vt:lpstr>SMALL TABLES</vt:lpstr>
      <vt:lpstr>MODULES</vt:lpstr>
      <vt:lpstr>INVERTERS</vt:lpstr>
      <vt:lpstr>UTILITY, DEALS &amp; STATE</vt:lpstr>
      <vt:lpstr>MATERIAL LIST</vt:lpstr>
      <vt:lpstr>CURRENT EXCEL ROOFS</vt:lpstr>
      <vt:lpstr>CALCULATORS</vt:lpstr>
      <vt:lpstr>CALCULATIONS</vt:lpstr>
      <vt:lpstr>LARGE TABLE</vt:lpstr>
      <vt:lpstr>Sheet1</vt:lpstr>
      <vt:lpstr>REVISION LIST</vt:lpstr>
      <vt:lpstr>COVERTITLE</vt:lpstr>
      <vt:lpstr>DELETE</vt:lpstr>
      <vt:lpstr>EQUIPMENTLOCATION</vt:lpstr>
      <vt:lpstr>EQUIPMENTSCHEDULE</vt:lpstr>
      <vt:lpstr>FIVEMICROINVERTERS</vt:lpstr>
      <vt:lpstr>FOURMICROINVERTERS</vt:lpstr>
      <vt:lpstr>INVERTER1</vt:lpstr>
      <vt:lpstr>INVERTER2</vt:lpstr>
      <vt:lpstr>INVERTER3</vt:lpstr>
      <vt:lpstr>INVERTER4</vt:lpstr>
      <vt:lpstr>INVERTER5</vt:lpstr>
      <vt:lpstr>KEYTABLEHALF</vt:lpstr>
      <vt:lpstr>KEYTABLEWHOLE</vt:lpstr>
      <vt:lpstr>LARGETABLE</vt:lpstr>
      <vt:lpstr>MATERIAL</vt:lpstr>
      <vt:lpstr>MODULESPEC</vt:lpstr>
      <vt:lpstr>NEWROOFLAYOUTTITLEBLOCK</vt:lpstr>
      <vt:lpstr>ONELINETITLEBLOCK1</vt:lpstr>
      <vt:lpstr>ONELINETITLEBLOCK2</vt:lpstr>
      <vt:lpstr>ONEMICROINVERTER</vt:lpstr>
      <vt:lpstr>ROOFLAYOUTTITLEBLOCK</vt:lpstr>
      <vt:lpstr>ROOFSCHEDULE</vt:lpstr>
      <vt:lpstr>SMALLKEYTABLE</vt:lpstr>
      <vt:lpstr>STRINGING1INVERTER</vt:lpstr>
      <vt:lpstr>STRINGING2INVERTERS</vt:lpstr>
      <vt:lpstr>STRINGING3INVERTERS</vt:lpstr>
      <vt:lpstr>STRINGING4INVERTERS</vt:lpstr>
      <vt:lpstr>STRINGING5INVERTERS</vt:lpstr>
      <vt:lpstr>THREEMICROINVERTERS</vt:lpstr>
      <vt:lpstr>TWOMICROINVERTERS</vt:lpstr>
      <vt:lpstr>WHICHDRAWING</vt:lpstr>
    </vt:vector>
  </TitlesOfParts>
  <Manager/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 Birckbichler</dc:creator>
  <cp:keywords/>
  <dc:description/>
  <cp:lastModifiedBy>Jason Stolze</cp:lastModifiedBy>
  <cp:lastPrinted>2018-01-10T08:36:41Z</cp:lastPrinted>
  <dcterms:created xsi:type="dcterms:W3CDTF">2014-01-29T17:55:47Z</dcterms:created>
  <dcterms:modified xsi:type="dcterms:W3CDTF">2019-06-27T16:20:02Z</dcterms:modified>
  <cp:category/>
  <cp:contentStatus/>
</cp:coreProperties>
</file>