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lakin/Downloads/"/>
    </mc:Choice>
  </mc:AlternateContent>
  <xr:revisionPtr revIDLastSave="0" documentId="13_ncr:1_{743F8E71-6994-BE4D-BDCA-451D0E4D2AFD}" xr6:coauthVersionLast="47" xr6:coauthVersionMax="47" xr10:uidLastSave="{00000000-0000-0000-0000-000000000000}"/>
  <bookViews>
    <workbookView xWindow="0" yWindow="500" windowWidth="25600" windowHeight="15500" xr2:uid="{795A2F35-2536-4A6E-AB8E-3029EABC75A1}"/>
  </bookViews>
  <sheets>
    <sheet name="Elect2000" sheetId="24" r:id="rId1"/>
    <sheet name="Elect2002" sheetId="2" r:id="rId2"/>
    <sheet name="Elect2004" sheetId="3" r:id="rId3"/>
    <sheet name="Elect2006" sheetId="4" r:id="rId4"/>
    <sheet name="Elect2008" sheetId="5" r:id="rId5"/>
    <sheet name="Elect2010" sheetId="6" r:id="rId6"/>
    <sheet name="Elect2012" sheetId="7" r:id="rId7"/>
    <sheet name="Elect2014" sheetId="8" r:id="rId8"/>
    <sheet name="Elect2016" sheetId="9" r:id="rId9"/>
    <sheet name="Elect2018" sheetId="10" r:id="rId10"/>
    <sheet name="Elect2020" sheetId="11" r:id="rId11"/>
    <sheet name="Sheet1" sheetId="1" r:id="rId12"/>
  </sheets>
  <externalReferences>
    <externalReference r:id="rId13"/>
  </externalReferences>
  <definedNames>
    <definedName name="_xlnm._FilterDatabase" localSheetId="0" hidden="1">Elect2000!$AJ$994</definedName>
    <definedName name="_xlnm._FilterDatabase" localSheetId="1" hidden="1">Elect2002!$AO$1016</definedName>
    <definedName name="_xlnm._FilterDatabase" localSheetId="2" hidden="1">Elect2004!$AO$1016</definedName>
    <definedName name="_xlnm._FilterDatabase" localSheetId="3" hidden="1">Elect2006!$AO$1016</definedName>
    <definedName name="_xlnm._FilterDatabase" localSheetId="4" hidden="1">Elect2008!$AO$1016</definedName>
    <definedName name="_xlnm._FilterDatabase" localSheetId="5" hidden="1">Elect2010!$AO$1016</definedName>
    <definedName name="_xlnm._FilterDatabase" localSheetId="6" hidden="1">Elect2012!$AO$1016</definedName>
    <definedName name="_xlnm._FilterDatabase" localSheetId="7" hidden="1">Elect2014!$AO$1016</definedName>
    <definedName name="_xlnm._FilterDatabase" localSheetId="8" hidden="1">Elect2016!$AO$1016</definedName>
    <definedName name="\c" localSheetId="5">[1]SeatsReg!#REF!</definedName>
    <definedName name="\c" localSheetId="6">[1]SeatsReg!#REF!</definedName>
    <definedName name="\c" localSheetId="7">[1]SeatsReg!#REF!</definedName>
    <definedName name="\c" localSheetId="8">[1]SeatsReg!#REF!</definedName>
    <definedName name="\c">[1]SeatsReg!#REF!</definedName>
    <definedName name="critdiv" localSheetId="0">Elect2000!$AD$994:$AD$995</definedName>
    <definedName name="critdiv" localSheetId="1">Elect2002!$AI$1016:$AI$1017</definedName>
    <definedName name="critdiv" localSheetId="2">Elect2004!$AI$1016:$AI$1017</definedName>
    <definedName name="critdiv" localSheetId="3">Elect2006!$AI$1016:$AI$1017</definedName>
    <definedName name="critdiv" localSheetId="4">Elect2008!$AI$1016:$AI$1017</definedName>
    <definedName name="critdiv" localSheetId="5">Elect2010!$AI$1016:$AI$1017</definedName>
    <definedName name="critdiv" localSheetId="6">Elect2012!$AI$1016:$AI$1017</definedName>
    <definedName name="critdiv" localSheetId="7">Elect2014!$AI$1016:$AI$1017</definedName>
    <definedName name="critdiv" localSheetId="8">Elect2016!$AI$1016:$AI$1017</definedName>
    <definedName name="CRITE">[1]SeatsReg!$BP$1017:$BP$1018</definedName>
    <definedName name="CritGovD" localSheetId="0">Elect2000!$AB$997:$AB$998</definedName>
    <definedName name="CritGovD" localSheetId="1">Elect2002!$AG$1019:$AG$1020</definedName>
    <definedName name="CritGovD" localSheetId="2">Elect2004!$AG$1019:$AG$1020</definedName>
    <definedName name="CritGovD" localSheetId="3">Elect2006!$AG$1019:$AG$1020</definedName>
    <definedName name="CritGovD" localSheetId="4">Elect2008!$AG$1019:$AG$1020</definedName>
    <definedName name="CritGovD" localSheetId="5">Elect2010!$AG$1019:$AG$1020</definedName>
    <definedName name="CritGovD" localSheetId="6">Elect2012!$AG$1019:$AG$1020</definedName>
    <definedName name="CritGovD" localSheetId="7">Elect2014!$AG$1019:$AG$1020</definedName>
    <definedName name="CritGovD" localSheetId="8">Elect2016!$AG$1019:$AG$1020</definedName>
    <definedName name="CritHCntrlD" localSheetId="0">Elect2000!$AE$994:$AE$995</definedName>
    <definedName name="CritHCntrlD" localSheetId="1">Elect2002!$AJ$1016:$AJ$1017</definedName>
    <definedName name="CritHCntrlD" localSheetId="2">Elect2004!$AJ$1016:$AJ$1017</definedName>
    <definedName name="CritHCntrlD" localSheetId="3">Elect2006!$AJ$1016:$AJ$1017</definedName>
    <definedName name="CritHCntrlD" localSheetId="4">Elect2008!$AJ$1016:$AJ$1017</definedName>
    <definedName name="CritHCntrlD" localSheetId="5">Elect2010!$AJ$1016:$AJ$1017</definedName>
    <definedName name="CritHCntrlD" localSheetId="6">Elect2012!$AJ$1016:$AJ$1017</definedName>
    <definedName name="CritHCntrlD" localSheetId="7">Elect2014!$AJ$1016:$AJ$1017</definedName>
    <definedName name="CritHCntrlD" localSheetId="8">Elect2016!$AJ$1016:$AJ$1017</definedName>
    <definedName name="critHCntrlR" localSheetId="0">Elect2000!$AG$994:$AG$995</definedName>
    <definedName name="critHCntrlR" localSheetId="1">Elect2002!$AL$1016:$AL$1017</definedName>
    <definedName name="critHCntrlR" localSheetId="2">Elect2004!$AL$1016:$AL$1017</definedName>
    <definedName name="critHCntrlR" localSheetId="3">Elect2006!$AL$1016:$AL$1017</definedName>
    <definedName name="critHCntrlR" localSheetId="4">Elect2008!$AL$1016:$AL$1017</definedName>
    <definedName name="critHCntrlR" localSheetId="5">Elect2010!$AL$1016:$AL$1017</definedName>
    <definedName name="critHCntrlR" localSheetId="6">Elect2012!$AL$1016:$AL$1017</definedName>
    <definedName name="critHCntrlR" localSheetId="7">Elect2014!$AL$1016:$AL$1017</definedName>
    <definedName name="critHCntrlR" localSheetId="8">Elect2016!$AL$1016:$AL$1017</definedName>
    <definedName name="CritHD55">[1]Elect38!$AL$1017:$AM$1018</definedName>
    <definedName name="CritHMargin10">[1]MajPrty!$AA$1001:$AA$1002</definedName>
    <definedName name="CritHMargin20">[1]MajPrty!$AB$1001:$AC$1002</definedName>
    <definedName name="CritHmarginOneparty">[1]MajPrty!$AF$1001:$AF$1002</definedName>
    <definedName name="CritHMarginVetoproof">[1]MajPrty!$AD$1001:$AE$1002</definedName>
    <definedName name="CritHSwch" localSheetId="0">Elect2000!$AB$994:$AB$995</definedName>
    <definedName name="CritHSwch" localSheetId="1">Elect2002!$AG$1016:$AG$1017</definedName>
    <definedName name="CritHSwch" localSheetId="2">Elect2004!$AG$1016:$AG$1017</definedName>
    <definedName name="CritHSwch" localSheetId="3">Elect2006!$AG$1016:$AG$1017</definedName>
    <definedName name="CritHSwch" localSheetId="4">Elect2008!$AG$1016:$AG$1017</definedName>
    <definedName name="CritHSwch" localSheetId="5">Elect2010!$AG$1016:$AG$1017</definedName>
    <definedName name="CritHSwch" localSheetId="6">Elect2012!$AG$1016:$AG$1017</definedName>
    <definedName name="CritHSwch" localSheetId="7">Elect2014!$AG$1016:$AG$1017</definedName>
    <definedName name="CritHSwch" localSheetId="8">Elect2016!$AG$1016:$AG$1017</definedName>
    <definedName name="CRITM">[1]SeatsReg!$BQ$1017:$BQ$1018</definedName>
    <definedName name="CritRGN" localSheetId="0">Elect2000!$Z$994:$Z$995</definedName>
    <definedName name="CritRGN" localSheetId="1">Elect2002!$AE$1016:$AE$1017</definedName>
    <definedName name="CritRGN" localSheetId="2">Elect2004!$AE$1016:$AE$1017</definedName>
    <definedName name="CritRGN" localSheetId="3">Elect2006!$AE$1016:$AE$1017</definedName>
    <definedName name="CritRGN" localSheetId="4">Elect2008!$AE$1016:$AE$1017</definedName>
    <definedName name="CritRGN" localSheetId="5">Elect2010!$AE$1016:$AE$1017</definedName>
    <definedName name="CritRGN" localSheetId="6">Elect2012!$AE$1016:$AE$1017</definedName>
    <definedName name="CritRGN" localSheetId="7">Elect2014!$AE$1016:$AE$1017</definedName>
    <definedName name="CritRGN" localSheetId="8">Elect2016!$AE$1016:$AE$1017</definedName>
    <definedName name="critRGS" localSheetId="0">Elect2000!$AA$994:$AA$995</definedName>
    <definedName name="critRGS" localSheetId="1">Elect2002!$AF$1016:$AF$1017</definedName>
    <definedName name="critRGS" localSheetId="2">Elect2004!$AF$1016:$AF$1017</definedName>
    <definedName name="critRGS" localSheetId="3">Elect2006!$AF$1016:$AF$1017</definedName>
    <definedName name="critRGS" localSheetId="4">Elect2008!$AF$1016:$AF$1017</definedName>
    <definedName name="critRGS" localSheetId="5">Elect2010!$AF$1016:$AF$1017</definedName>
    <definedName name="critRGS" localSheetId="6">Elect2012!$AF$1016:$AF$1017</definedName>
    <definedName name="critRGS" localSheetId="7">Elect2014!$AF$1016:$AF$1017</definedName>
    <definedName name="critRGS" localSheetId="8">Elect2016!$AF$1016:$AF$1017</definedName>
    <definedName name="CritSCntrlD" localSheetId="0">Elect2000!$AE$997:$AE$998</definedName>
    <definedName name="CritSCntrlD" localSheetId="1">Elect2002!$AJ$1019:$AJ$1020</definedName>
    <definedName name="CritSCntrlD" localSheetId="2">Elect2004!$AJ$1019:$AJ$1020</definedName>
    <definedName name="CritSCntrlD" localSheetId="3">Elect2006!$AJ$1019:$AJ$1020</definedName>
    <definedName name="CritSCntrlD" localSheetId="4">Elect2008!$AJ$1019:$AJ$1020</definedName>
    <definedName name="CritSCntrlD" localSheetId="5">Elect2010!$AJ$1019:$AJ$1020</definedName>
    <definedName name="CritSCntrlD" localSheetId="6">Elect2012!$AJ$1019:$AJ$1020</definedName>
    <definedName name="CritSCntrlD" localSheetId="7">Elect2014!$AJ$1019:$AJ$1020</definedName>
    <definedName name="CritSCntrlD" localSheetId="8">Elect2016!$AJ$1019:$AJ$1020</definedName>
    <definedName name="CritSCntrlR" localSheetId="0">Elect2000!$AG$997:$AG$998</definedName>
    <definedName name="CritSCntrlR" localSheetId="1">Elect2002!$AL$1019:$AL$1020</definedName>
    <definedName name="CritSCntrlR" localSheetId="2">Elect2004!$AL$1019:$AL$1020</definedName>
    <definedName name="CritSCntrlR" localSheetId="3">Elect2006!$AL$1019:$AL$1020</definedName>
    <definedName name="CritSCntrlR" localSheetId="4">Elect2008!$AL$1019:$AL$1020</definedName>
    <definedName name="CritSCntrlR" localSheetId="5">Elect2010!$AL$1019:$AL$1020</definedName>
    <definedName name="CritSCntrlR" localSheetId="6">Elect2012!$AL$1019:$AL$1020</definedName>
    <definedName name="CritSCntrlR" localSheetId="7">Elect2014!$AL$1019:$AL$1020</definedName>
    <definedName name="CritSCntrlR" localSheetId="8">Elect2016!$AL$1019:$AL$1020</definedName>
    <definedName name="CritSD55" localSheetId="0">Elect2000!$AL$994:$AM$995</definedName>
    <definedName name="CritSD55" localSheetId="1">Elect2002!$AQ$1016:$AR$1017</definedName>
    <definedName name="CritSD55" localSheetId="2">Elect2004!$AQ$1016:$AR$1017</definedName>
    <definedName name="CritSD55" localSheetId="3">Elect2006!$AQ$1016:$AR$1017</definedName>
    <definedName name="CritSD55" localSheetId="4">Elect2008!$AQ$1016:$AR$1017</definedName>
    <definedName name="CritSD55" localSheetId="5">Elect2010!$AQ$1016:$AR$1017</definedName>
    <definedName name="CritSD55" localSheetId="6">Elect2012!$AQ$1016:$AR$1017</definedName>
    <definedName name="CritSD55" localSheetId="7">Elect2014!$AQ$1016:$AR$1017</definedName>
    <definedName name="CritSD55" localSheetId="8">Elect2016!$AQ$1016:$AR$1017</definedName>
    <definedName name="CritSD55">[1]Elect98!$AN$1017:$AO$1018</definedName>
    <definedName name="CritSMargin10">[1]MajPrty!$AA$1004:$AA$1005</definedName>
    <definedName name="CritSMargin20">[1]MajPrty!$AB$1004:$AC$1005</definedName>
    <definedName name="CritSMarginOneparty">[1]MajPrty!$AF$1004:$AF$1005</definedName>
    <definedName name="CritSMarginVetoproof">[1]MajPrty!$AD$1004:$AE$1005</definedName>
    <definedName name="CritSSwch" localSheetId="0">Elect2000!$AC$994:$AC$995</definedName>
    <definedName name="CritSSwch" localSheetId="1">Elect2002!$AH$1016:$AH$1017</definedName>
    <definedName name="CritSSwch" localSheetId="2">Elect2004!$AH$1016:$AH$1017</definedName>
    <definedName name="CritSSwch" localSheetId="3">Elect2006!$AH$1016:$AH$1017</definedName>
    <definedName name="CritSSwch" localSheetId="4">Elect2008!$AH$1016:$AH$1017</definedName>
    <definedName name="CritSSwch" localSheetId="5">Elect2010!$AH$1016:$AH$1017</definedName>
    <definedName name="CritSSwch" localSheetId="6">Elect2012!$AH$1016:$AH$1017</definedName>
    <definedName name="CritSSwch" localSheetId="7">Elect2014!$AH$1016:$AH$1017</definedName>
    <definedName name="CritSSwch" localSheetId="8">Elect2016!$AH$1016:$AH$1017</definedName>
    <definedName name="CritTCntrlD" localSheetId="0">Elect2000!$AE$1000:$AE$1001</definedName>
    <definedName name="CritTCntrlD" localSheetId="1">Elect2002!$AJ$1022:$AJ$1023</definedName>
    <definedName name="CritTCntrlD" localSheetId="2">Elect2004!$AJ$1022:$AJ$1023</definedName>
    <definedName name="CritTCntrlD" localSheetId="3">Elect2006!$AJ$1022:$AJ$1023</definedName>
    <definedName name="CritTCntrlD" localSheetId="4">Elect2008!$AJ$1022:$AJ$1023</definedName>
    <definedName name="CritTCntrlD" localSheetId="5">Elect2010!$AJ$1022:$AJ$1023</definedName>
    <definedName name="CritTCntrlD" localSheetId="6">Elect2012!$AJ$1022:$AJ$1023</definedName>
    <definedName name="CritTCntrlD" localSheetId="7">Elect2014!$AJ$1022:$AJ$1023</definedName>
    <definedName name="CritTCntrlD" localSheetId="8">Elect2016!$AJ$1022:$AJ$1023</definedName>
    <definedName name="CritTCntrlR" localSheetId="0">Elect2000!$AG$1000:$AG$1001</definedName>
    <definedName name="CritTCntrlR" localSheetId="1">Elect2002!$AL$1022:$AL$1023</definedName>
    <definedName name="CritTCntrlR" localSheetId="2">Elect2004!$AL$1022:$AL$1023</definedName>
    <definedName name="CritTCntrlR" localSheetId="3">Elect2006!$AL$1022:$AL$1023</definedName>
    <definedName name="CritTCntrlR" localSheetId="4">Elect2008!$AL$1022:$AL$1023</definedName>
    <definedName name="CritTCntrlR" localSheetId="5">Elect2010!$AL$1022:$AL$1023</definedName>
    <definedName name="CritTCntrlR" localSheetId="6">Elect2012!$AL$1022:$AL$1023</definedName>
    <definedName name="CritTCntrlR" localSheetId="7">Elect2014!$AL$1022:$AL$1023</definedName>
    <definedName name="CritTCntrlR" localSheetId="8">Elect2016!$AL$1022:$AL$1023</definedName>
    <definedName name="CritTCntrlS" localSheetId="0">Elect2000!$AI$1000:$AI$1001</definedName>
    <definedName name="CritTCntrlS" localSheetId="1">Elect2002!$AN$1022:$AN$1023</definedName>
    <definedName name="CritTCntrlS" localSheetId="2">Elect2004!$AN$1022:$AN$1023</definedName>
    <definedName name="CritTCntrlS" localSheetId="3">Elect2006!$AN$1022:$AN$1023</definedName>
    <definedName name="CritTCntrlS" localSheetId="4">Elect2008!$AN$1022:$AN$1023</definedName>
    <definedName name="CritTCntrlS" localSheetId="5">Elect2010!$AN$1022:$AN$1023</definedName>
    <definedName name="CritTCntrlS" localSheetId="6">Elect2012!$AN$1022:$AN$1023</definedName>
    <definedName name="CritTCntrlS" localSheetId="7">Elect2014!$AN$1022:$AN$1023</definedName>
    <definedName name="CritTCntrlS" localSheetId="8">Elect2016!$AN$1022:$AN$1023</definedName>
    <definedName name="CritUnifD" localSheetId="3">Elect2006!$AT$1016:$AU$1017</definedName>
    <definedName name="CritUnifD" localSheetId="4">Elect2008!$AT$1016:$AU$1017</definedName>
    <definedName name="CritUnifD" localSheetId="5">Elect2010!$AT$1016:$AU$1017</definedName>
    <definedName name="CritUnifD" localSheetId="6">Elect2012!$AT$1016:$AU$1017</definedName>
    <definedName name="CritUnifD" localSheetId="7">Elect2014!$AT$1016:$AU$1017</definedName>
    <definedName name="CritUnifD" localSheetId="8">Elect2016!$AT$1016:$AU$1017</definedName>
    <definedName name="CritUnifD">Elect2004!$AT$1016:$AU$1017</definedName>
    <definedName name="CritUnifR" localSheetId="3">Elect2006!$AW$1016:$AX$1017</definedName>
    <definedName name="CritUnifR" localSheetId="4">Elect2008!$AW$1016:$AX$1017</definedName>
    <definedName name="CritUnifR" localSheetId="5">Elect2010!$AW$1016:$AX$1017</definedName>
    <definedName name="CritUnifR" localSheetId="6">Elect2012!$AW$1016:$AX$1017</definedName>
    <definedName name="CritUnifR" localSheetId="7">Elect2014!$AW$1016:$AX$1017</definedName>
    <definedName name="CritUnifR" localSheetId="8">Elect2016!$AW$1016:$AX$1017</definedName>
    <definedName name="CritUnifR">Elect2004!$AW$1016:$AX$1017</definedName>
    <definedName name="CRITW">[1]SeatsReg!$BO$1017:$BO$1018</definedName>
    <definedName name="_xlnm.Database" localSheetId="0">Elect2000!$B$3:$R$53</definedName>
    <definedName name="_xlnm.Database" localSheetId="1">Elect2002!$B$3:$W$53</definedName>
    <definedName name="_xlnm.Database" localSheetId="2">Elect2004!$B$3:$W$53</definedName>
    <definedName name="_xlnm.Database" localSheetId="3">Elect2006!$B$3:$W$53</definedName>
    <definedName name="_xlnm.Database" localSheetId="4">Elect2008!$B$3:$W$53</definedName>
    <definedName name="_xlnm.Database" localSheetId="5">Elect2010!$B$3:$W$53</definedName>
    <definedName name="_xlnm.Database" localSheetId="6">Elect2012!$B$3:$W$53</definedName>
    <definedName name="_xlnm.Database" localSheetId="7">Elect2014!$B$3:$W$53</definedName>
    <definedName name="_xlnm.Database" localSheetId="8">Elect2016!$B$3:$W$53</definedName>
    <definedName name="_xlnm.Extract">#REF!</definedName>
    <definedName name="GRAPH" localSheetId="5">[1]SeatsReg!#REF!</definedName>
    <definedName name="GRAPH" localSheetId="6">[1]SeatsReg!#REF!</definedName>
    <definedName name="GRAPH" localSheetId="7">[1]SeatsReg!#REF!</definedName>
    <definedName name="GRAPH" localSheetId="8">[1]SeatsReg!#REF!</definedName>
    <definedName name="GRAPH">[1]SeatsReg!#REF!</definedName>
    <definedName name="Y">"CritSwitchState"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4" l="1"/>
  <c r="I54" i="24"/>
  <c r="H54" i="24"/>
  <c r="D54" i="24"/>
  <c r="C54" i="24"/>
  <c r="M53" i="24"/>
  <c r="N53" i="24" s="1"/>
  <c r="O53" i="24" s="1"/>
  <c r="J53" i="24"/>
  <c r="K53" i="24" s="1"/>
  <c r="E53" i="24"/>
  <c r="G53" i="24" s="1"/>
  <c r="M52" i="24"/>
  <c r="N52" i="24" s="1"/>
  <c r="O52" i="24" s="1"/>
  <c r="J52" i="24"/>
  <c r="K52" i="24" s="1"/>
  <c r="E52" i="24"/>
  <c r="G52" i="24" s="1"/>
  <c r="M51" i="24"/>
  <c r="N51" i="24" s="1"/>
  <c r="O51" i="24" s="1"/>
  <c r="J51" i="24"/>
  <c r="E51" i="24"/>
  <c r="G51" i="24" s="1"/>
  <c r="M50" i="24"/>
  <c r="N50" i="24" s="1"/>
  <c r="O50" i="24" s="1"/>
  <c r="J50" i="24"/>
  <c r="L50" i="24" s="1"/>
  <c r="E50" i="24"/>
  <c r="G50" i="24" s="1"/>
  <c r="M49" i="24"/>
  <c r="N49" i="24" s="1"/>
  <c r="O49" i="24" s="1"/>
  <c r="J49" i="24"/>
  <c r="L49" i="24" s="1"/>
  <c r="E49" i="24"/>
  <c r="M48" i="24"/>
  <c r="N48" i="24" s="1"/>
  <c r="O48" i="24" s="1"/>
  <c r="J48" i="24"/>
  <c r="L48" i="24" s="1"/>
  <c r="E48" i="24"/>
  <c r="F48" i="24" s="1"/>
  <c r="M47" i="24"/>
  <c r="N47" i="24" s="1"/>
  <c r="O47" i="24" s="1"/>
  <c r="J47" i="24"/>
  <c r="L47" i="24" s="1"/>
  <c r="E47" i="24"/>
  <c r="M46" i="24"/>
  <c r="N46" i="24" s="1"/>
  <c r="O46" i="24" s="1"/>
  <c r="J46" i="24"/>
  <c r="L46" i="24" s="1"/>
  <c r="E46" i="24"/>
  <c r="G46" i="24" s="1"/>
  <c r="M45" i="24"/>
  <c r="N45" i="24" s="1"/>
  <c r="O45" i="24" s="1"/>
  <c r="J45" i="24"/>
  <c r="K45" i="24" s="1"/>
  <c r="E45" i="24"/>
  <c r="G45" i="24" s="1"/>
  <c r="M44" i="24"/>
  <c r="N44" i="24" s="1"/>
  <c r="O44" i="24" s="1"/>
  <c r="J44" i="24"/>
  <c r="K44" i="24" s="1"/>
  <c r="E44" i="24"/>
  <c r="G44" i="24" s="1"/>
  <c r="M43" i="24"/>
  <c r="N43" i="24" s="1"/>
  <c r="O43" i="24" s="1"/>
  <c r="J43" i="24"/>
  <c r="E43" i="24"/>
  <c r="G43" i="24" s="1"/>
  <c r="M42" i="24"/>
  <c r="N42" i="24" s="1"/>
  <c r="O42" i="24" s="1"/>
  <c r="J42" i="24"/>
  <c r="L42" i="24" s="1"/>
  <c r="E42" i="24"/>
  <c r="G42" i="24" s="1"/>
  <c r="M41" i="24"/>
  <c r="N41" i="24" s="1"/>
  <c r="O41" i="24" s="1"/>
  <c r="J41" i="24"/>
  <c r="L41" i="24" s="1"/>
  <c r="E41" i="24"/>
  <c r="M40" i="24"/>
  <c r="N40" i="24" s="1"/>
  <c r="O40" i="24" s="1"/>
  <c r="J40" i="24"/>
  <c r="L40" i="24" s="1"/>
  <c r="E40" i="24"/>
  <c r="F40" i="24" s="1"/>
  <c r="M39" i="24"/>
  <c r="N39" i="24" s="1"/>
  <c r="O39" i="24" s="1"/>
  <c r="J39" i="24"/>
  <c r="L39" i="24" s="1"/>
  <c r="E39" i="24"/>
  <c r="M38" i="24"/>
  <c r="N38" i="24" s="1"/>
  <c r="O38" i="24" s="1"/>
  <c r="J38" i="24"/>
  <c r="L38" i="24" s="1"/>
  <c r="E38" i="24"/>
  <c r="G38" i="24" s="1"/>
  <c r="M37" i="24"/>
  <c r="N37" i="24" s="1"/>
  <c r="O37" i="24" s="1"/>
  <c r="J37" i="24"/>
  <c r="K37" i="24" s="1"/>
  <c r="E37" i="24"/>
  <c r="G37" i="24" s="1"/>
  <c r="M36" i="24"/>
  <c r="N36" i="24" s="1"/>
  <c r="O36" i="24" s="1"/>
  <c r="J36" i="24"/>
  <c r="K36" i="24" s="1"/>
  <c r="E36" i="24"/>
  <c r="G36" i="24" s="1"/>
  <c r="M35" i="24"/>
  <c r="N35" i="24" s="1"/>
  <c r="O35" i="24" s="1"/>
  <c r="J35" i="24"/>
  <c r="E35" i="24"/>
  <c r="G35" i="24" s="1"/>
  <c r="M34" i="24"/>
  <c r="N34" i="24" s="1"/>
  <c r="O34" i="24" s="1"/>
  <c r="J34" i="24"/>
  <c r="L34" i="24" s="1"/>
  <c r="E34" i="24"/>
  <c r="G34" i="24" s="1"/>
  <c r="M33" i="24"/>
  <c r="N33" i="24" s="1"/>
  <c r="O33" i="24" s="1"/>
  <c r="J33" i="24"/>
  <c r="L33" i="24" s="1"/>
  <c r="E33" i="24"/>
  <c r="F33" i="24" s="1"/>
  <c r="M32" i="24"/>
  <c r="N32" i="24" s="1"/>
  <c r="O32" i="24" s="1"/>
  <c r="J32" i="24"/>
  <c r="L32" i="24" s="1"/>
  <c r="E32" i="24"/>
  <c r="F32" i="24" s="1"/>
  <c r="M31" i="24"/>
  <c r="N31" i="24" s="1"/>
  <c r="O31" i="24" s="1"/>
  <c r="J31" i="24"/>
  <c r="L31" i="24" s="1"/>
  <c r="E31" i="24"/>
  <c r="M29" i="24"/>
  <c r="N29" i="24" s="1"/>
  <c r="O29" i="24" s="1"/>
  <c r="J29" i="24"/>
  <c r="E29" i="24"/>
  <c r="G29" i="24" s="1"/>
  <c r="M28" i="24"/>
  <c r="N28" i="24" s="1"/>
  <c r="O28" i="24" s="1"/>
  <c r="J28" i="24"/>
  <c r="E28" i="24"/>
  <c r="G28" i="24" s="1"/>
  <c r="M27" i="24"/>
  <c r="N27" i="24" s="1"/>
  <c r="O27" i="24" s="1"/>
  <c r="J27" i="24"/>
  <c r="L27" i="24" s="1"/>
  <c r="E27" i="24"/>
  <c r="G27" i="24" s="1"/>
  <c r="M26" i="24"/>
  <c r="N26" i="24" s="1"/>
  <c r="O26" i="24" s="1"/>
  <c r="J26" i="24"/>
  <c r="L26" i="24" s="1"/>
  <c r="E26" i="24"/>
  <c r="F26" i="24" s="1"/>
  <c r="M25" i="24"/>
  <c r="N25" i="24" s="1"/>
  <c r="O25" i="24" s="1"/>
  <c r="J25" i="24"/>
  <c r="L25" i="24" s="1"/>
  <c r="E25" i="24"/>
  <c r="F25" i="24" s="1"/>
  <c r="M24" i="24"/>
  <c r="N24" i="24" s="1"/>
  <c r="O24" i="24" s="1"/>
  <c r="J24" i="24"/>
  <c r="L24" i="24" s="1"/>
  <c r="E24" i="24"/>
  <c r="M23" i="24"/>
  <c r="N23" i="24" s="1"/>
  <c r="O23" i="24" s="1"/>
  <c r="J23" i="24"/>
  <c r="L23" i="24" s="1"/>
  <c r="E23" i="24"/>
  <c r="G23" i="24" s="1"/>
  <c r="P23" i="24" s="1"/>
  <c r="R23" i="24" s="1"/>
  <c r="M22" i="24"/>
  <c r="N22" i="24" s="1"/>
  <c r="O22" i="24" s="1"/>
  <c r="J22" i="24"/>
  <c r="K22" i="24" s="1"/>
  <c r="E22" i="24"/>
  <c r="G22" i="24" s="1"/>
  <c r="M21" i="24"/>
  <c r="N21" i="24" s="1"/>
  <c r="O21" i="24" s="1"/>
  <c r="J21" i="24"/>
  <c r="K21" i="24" s="1"/>
  <c r="E21" i="24"/>
  <c r="G21" i="24" s="1"/>
  <c r="M20" i="24"/>
  <c r="N20" i="24" s="1"/>
  <c r="O20" i="24" s="1"/>
  <c r="J20" i="24"/>
  <c r="E20" i="24"/>
  <c r="G20" i="24" s="1"/>
  <c r="M19" i="24"/>
  <c r="N19" i="24" s="1"/>
  <c r="O19" i="24" s="1"/>
  <c r="J19" i="24"/>
  <c r="L19" i="24" s="1"/>
  <c r="E19" i="24"/>
  <c r="G19" i="24" s="1"/>
  <c r="M18" i="24"/>
  <c r="N18" i="24" s="1"/>
  <c r="O18" i="24" s="1"/>
  <c r="J18" i="24"/>
  <c r="L18" i="24" s="1"/>
  <c r="E18" i="24"/>
  <c r="F18" i="24" s="1"/>
  <c r="M17" i="24"/>
  <c r="N17" i="24" s="1"/>
  <c r="O17" i="24" s="1"/>
  <c r="J17" i="24"/>
  <c r="L17" i="24" s="1"/>
  <c r="E17" i="24"/>
  <c r="F17" i="24" s="1"/>
  <c r="M16" i="24"/>
  <c r="J16" i="24"/>
  <c r="L16" i="24" s="1"/>
  <c r="E16" i="24"/>
  <c r="M15" i="24"/>
  <c r="N15" i="24" s="1"/>
  <c r="O15" i="24" s="1"/>
  <c r="J15" i="24"/>
  <c r="L15" i="24" s="1"/>
  <c r="E15" i="24"/>
  <c r="G15" i="24" s="1"/>
  <c r="M14" i="24"/>
  <c r="N14" i="24" s="1"/>
  <c r="O14" i="24" s="1"/>
  <c r="J14" i="24"/>
  <c r="K14" i="24" s="1"/>
  <c r="E14" i="24"/>
  <c r="F14" i="24" s="1"/>
  <c r="M13" i="24"/>
  <c r="N13" i="24" s="1"/>
  <c r="O13" i="24" s="1"/>
  <c r="J13" i="24"/>
  <c r="K13" i="24" s="1"/>
  <c r="E13" i="24"/>
  <c r="G13" i="24" s="1"/>
  <c r="M12" i="24"/>
  <c r="N12" i="24" s="1"/>
  <c r="O12" i="24" s="1"/>
  <c r="J12" i="24"/>
  <c r="E12" i="24"/>
  <c r="G12" i="24" s="1"/>
  <c r="M11" i="24"/>
  <c r="N11" i="24" s="1"/>
  <c r="O11" i="24" s="1"/>
  <c r="J11" i="24"/>
  <c r="K11" i="24" s="1"/>
  <c r="E11" i="24"/>
  <c r="G11" i="24" s="1"/>
  <c r="M10" i="24"/>
  <c r="N10" i="24" s="1"/>
  <c r="O10" i="24" s="1"/>
  <c r="J10" i="24"/>
  <c r="L10" i="24" s="1"/>
  <c r="E10" i="24"/>
  <c r="F10" i="24" s="1"/>
  <c r="M9" i="24"/>
  <c r="N9" i="24" s="1"/>
  <c r="O9" i="24" s="1"/>
  <c r="J9" i="24"/>
  <c r="L9" i="24" s="1"/>
  <c r="E9" i="24"/>
  <c r="F9" i="24" s="1"/>
  <c r="M8" i="24"/>
  <c r="N8" i="24" s="1"/>
  <c r="O8" i="24" s="1"/>
  <c r="J8" i="24"/>
  <c r="L8" i="24" s="1"/>
  <c r="E8" i="24"/>
  <c r="M7" i="24"/>
  <c r="N7" i="24" s="1"/>
  <c r="O7" i="24" s="1"/>
  <c r="J7" i="24"/>
  <c r="L7" i="24" s="1"/>
  <c r="E7" i="24"/>
  <c r="F7" i="24" s="1"/>
  <c r="M6" i="24"/>
  <c r="N6" i="24" s="1"/>
  <c r="O6" i="24" s="1"/>
  <c r="J6" i="24"/>
  <c r="E6" i="24"/>
  <c r="F6" i="24" s="1"/>
  <c r="M5" i="24"/>
  <c r="J5" i="24"/>
  <c r="K5" i="24" s="1"/>
  <c r="E5" i="24"/>
  <c r="G5" i="24" s="1"/>
  <c r="M4" i="24"/>
  <c r="N4" i="24" s="1"/>
  <c r="J4" i="24"/>
  <c r="E4" i="24"/>
  <c r="F4" i="24" s="1"/>
  <c r="M61" i="11"/>
  <c r="J61" i="11"/>
  <c r="C61" i="11"/>
  <c r="J60" i="11"/>
  <c r="F60" i="11"/>
  <c r="C60" i="11"/>
  <c r="M59" i="11"/>
  <c r="J59" i="11"/>
  <c r="C59" i="11"/>
  <c r="F59" i="11" s="1"/>
  <c r="M58" i="11"/>
  <c r="C58" i="11"/>
  <c r="Q58" i="11" s="1"/>
  <c r="S58" i="11" s="1"/>
  <c r="J57" i="11"/>
  <c r="C57" i="11"/>
  <c r="F57" i="11" s="1"/>
  <c r="K54" i="11"/>
  <c r="J54" i="11"/>
  <c r="M54" i="11" s="1"/>
  <c r="D54" i="11"/>
  <c r="C54" i="11"/>
  <c r="Z53" i="11"/>
  <c r="Y53" i="11"/>
  <c r="X53" i="11"/>
  <c r="R53" i="11"/>
  <c r="Q53" i="11"/>
  <c r="S53" i="11" s="1"/>
  <c r="T53" i="11" s="1"/>
  <c r="M53" i="11"/>
  <c r="O53" i="11" s="1"/>
  <c r="F53" i="11"/>
  <c r="H53" i="11" s="1"/>
  <c r="U53" i="11" s="1"/>
  <c r="W53" i="11" s="1"/>
  <c r="Y52" i="11"/>
  <c r="X52" i="11"/>
  <c r="Z52" i="11" s="1"/>
  <c r="S52" i="11"/>
  <c r="T52" i="11" s="1"/>
  <c r="R52" i="11"/>
  <c r="Q52" i="11"/>
  <c r="O52" i="11"/>
  <c r="N52" i="11"/>
  <c r="M52" i="11"/>
  <c r="H52" i="11"/>
  <c r="G52" i="11"/>
  <c r="F52" i="11"/>
  <c r="Y51" i="11"/>
  <c r="X51" i="11"/>
  <c r="Z51" i="11" s="1"/>
  <c r="S51" i="11"/>
  <c r="T51" i="11" s="1"/>
  <c r="R51" i="11"/>
  <c r="Q51" i="11"/>
  <c r="O51" i="11"/>
  <c r="N51" i="11"/>
  <c r="M51" i="11"/>
  <c r="H51" i="11"/>
  <c r="U51" i="11" s="1"/>
  <c r="W51" i="11" s="1"/>
  <c r="F51" i="11"/>
  <c r="G51" i="11" s="1"/>
  <c r="Z50" i="11"/>
  <c r="Y50" i="11"/>
  <c r="X50" i="11"/>
  <c r="T50" i="11"/>
  <c r="R50" i="11"/>
  <c r="Q50" i="11"/>
  <c r="S50" i="11" s="1"/>
  <c r="M50" i="11"/>
  <c r="F50" i="11"/>
  <c r="Z49" i="11"/>
  <c r="Y49" i="11"/>
  <c r="X49" i="11"/>
  <c r="R49" i="11"/>
  <c r="Q49" i="11"/>
  <c r="S49" i="11" s="1"/>
  <c r="T49" i="11" s="1"/>
  <c r="N49" i="11"/>
  <c r="M49" i="11"/>
  <c r="O49" i="11" s="1"/>
  <c r="G49" i="11"/>
  <c r="F49" i="11"/>
  <c r="H49" i="11" s="1"/>
  <c r="U49" i="11" s="1"/>
  <c r="W49" i="11" s="1"/>
  <c r="Y48" i="11"/>
  <c r="X48" i="11"/>
  <c r="Z48" i="11" s="1"/>
  <c r="S48" i="11"/>
  <c r="T48" i="11" s="1"/>
  <c r="R48" i="11"/>
  <c r="Q48" i="11"/>
  <c r="O48" i="11"/>
  <c r="N48" i="11"/>
  <c r="M48" i="11"/>
  <c r="H48" i="11"/>
  <c r="G48" i="11"/>
  <c r="F48" i="11"/>
  <c r="Y47" i="11"/>
  <c r="X47" i="11"/>
  <c r="Z47" i="11" s="1"/>
  <c r="T47" i="11"/>
  <c r="S47" i="11"/>
  <c r="R47" i="11"/>
  <c r="Q47" i="11"/>
  <c r="O47" i="11"/>
  <c r="M47" i="11"/>
  <c r="N47" i="11" s="1"/>
  <c r="H47" i="11"/>
  <c r="U47" i="11" s="1"/>
  <c r="W47" i="11" s="1"/>
  <c r="G47" i="11"/>
  <c r="F47" i="11"/>
  <c r="Y46" i="11"/>
  <c r="Z46" i="11" s="1"/>
  <c r="X46" i="11"/>
  <c r="S46" i="11"/>
  <c r="T46" i="11" s="1"/>
  <c r="R46" i="11"/>
  <c r="Q46" i="11"/>
  <c r="M46" i="11"/>
  <c r="F46" i="11"/>
  <c r="G46" i="11" s="1"/>
  <c r="Z45" i="11"/>
  <c r="Y45" i="11"/>
  <c r="X45" i="11"/>
  <c r="R45" i="11"/>
  <c r="Q45" i="11"/>
  <c r="S45" i="11" s="1"/>
  <c r="T45" i="11" s="1"/>
  <c r="N45" i="11"/>
  <c r="M45" i="11"/>
  <c r="O45" i="11" s="1"/>
  <c r="F45" i="11"/>
  <c r="H45" i="11" s="1"/>
  <c r="U45" i="11" s="1"/>
  <c r="W45" i="11" s="1"/>
  <c r="Y44" i="11"/>
  <c r="X44" i="11"/>
  <c r="Z44" i="11" s="1"/>
  <c r="U44" i="11"/>
  <c r="W44" i="11" s="1"/>
  <c r="S44" i="11"/>
  <c r="T44" i="11" s="1"/>
  <c r="R44" i="11"/>
  <c r="Q44" i="11"/>
  <c r="O44" i="11"/>
  <c r="M44" i="11"/>
  <c r="N44" i="11" s="1"/>
  <c r="H44" i="11"/>
  <c r="G44" i="11"/>
  <c r="F44" i="11"/>
  <c r="Y43" i="11"/>
  <c r="X43" i="11"/>
  <c r="S43" i="11"/>
  <c r="T43" i="11" s="1"/>
  <c r="R43" i="11"/>
  <c r="Q43" i="11"/>
  <c r="O43" i="11"/>
  <c r="N43" i="11"/>
  <c r="M43" i="11"/>
  <c r="H43" i="11"/>
  <c r="F43" i="11"/>
  <c r="G43" i="11" s="1"/>
  <c r="Z42" i="11"/>
  <c r="Y42" i="11"/>
  <c r="X42" i="11"/>
  <c r="T42" i="11"/>
  <c r="R42" i="11"/>
  <c r="Q42" i="11"/>
  <c r="S42" i="11" s="1"/>
  <c r="O42" i="11"/>
  <c r="M42" i="11"/>
  <c r="N42" i="11" s="1"/>
  <c r="F42" i="11"/>
  <c r="Z41" i="11"/>
  <c r="Y41" i="11"/>
  <c r="X41" i="11"/>
  <c r="U41" i="11"/>
  <c r="W41" i="11" s="1"/>
  <c r="R41" i="11"/>
  <c r="Q41" i="11"/>
  <c r="S41" i="11" s="1"/>
  <c r="T41" i="11" s="1"/>
  <c r="N41" i="11"/>
  <c r="M41" i="11"/>
  <c r="O41" i="11" s="1"/>
  <c r="F41" i="11"/>
  <c r="H41" i="11" s="1"/>
  <c r="Z40" i="11"/>
  <c r="Y40" i="11"/>
  <c r="X40" i="11"/>
  <c r="S40" i="11"/>
  <c r="T40" i="11" s="1"/>
  <c r="R40" i="11"/>
  <c r="Q40" i="11"/>
  <c r="O40" i="11"/>
  <c r="N40" i="11"/>
  <c r="M40" i="11"/>
  <c r="H40" i="11"/>
  <c r="U40" i="11" s="1"/>
  <c r="W40" i="11" s="1"/>
  <c r="F40" i="11"/>
  <c r="G40" i="11" s="1"/>
  <c r="Y39" i="11"/>
  <c r="X39" i="11"/>
  <c r="Z39" i="11" s="1"/>
  <c r="S39" i="11"/>
  <c r="T39" i="11" s="1"/>
  <c r="R39" i="11"/>
  <c r="Q39" i="11"/>
  <c r="O39" i="11"/>
  <c r="M39" i="11"/>
  <c r="N39" i="11" s="1"/>
  <c r="H39" i="11"/>
  <c r="G39" i="11"/>
  <c r="F39" i="11"/>
  <c r="Z38" i="11"/>
  <c r="Y38" i="11"/>
  <c r="X38" i="11"/>
  <c r="S38" i="11"/>
  <c r="T38" i="11" s="1"/>
  <c r="R38" i="11"/>
  <c r="Q38" i="11"/>
  <c r="M38" i="11"/>
  <c r="F38" i="11"/>
  <c r="G38" i="11" s="1"/>
  <c r="Z37" i="11"/>
  <c r="Y37" i="11"/>
  <c r="X37" i="11"/>
  <c r="T37" i="11"/>
  <c r="R37" i="11"/>
  <c r="Q37" i="11"/>
  <c r="S37" i="11" s="1"/>
  <c r="M37" i="11"/>
  <c r="O37" i="11" s="1"/>
  <c r="G37" i="11"/>
  <c r="F37" i="11"/>
  <c r="H37" i="11" s="1"/>
  <c r="U37" i="11" s="1"/>
  <c r="W37" i="11" s="1"/>
  <c r="Y36" i="11"/>
  <c r="X36" i="11"/>
  <c r="Z36" i="11" s="1"/>
  <c r="U36" i="11"/>
  <c r="W36" i="11" s="1"/>
  <c r="S36" i="11"/>
  <c r="T36" i="11" s="1"/>
  <c r="R36" i="11"/>
  <c r="Q36" i="11"/>
  <c r="O36" i="11"/>
  <c r="N36" i="11"/>
  <c r="M36" i="11"/>
  <c r="H36" i="11"/>
  <c r="G36" i="11"/>
  <c r="F36" i="11"/>
  <c r="Y35" i="11"/>
  <c r="X35" i="11"/>
  <c r="Z35" i="11" s="1"/>
  <c r="T35" i="11"/>
  <c r="S35" i="11"/>
  <c r="R35" i="11"/>
  <c r="Q35" i="11"/>
  <c r="O35" i="11"/>
  <c r="N35" i="11"/>
  <c r="M35" i="11"/>
  <c r="H35" i="11"/>
  <c r="G35" i="11"/>
  <c r="F35" i="11"/>
  <c r="Z34" i="11"/>
  <c r="Y34" i="11"/>
  <c r="X34" i="11"/>
  <c r="T34" i="11"/>
  <c r="R34" i="11"/>
  <c r="Q34" i="11"/>
  <c r="S34" i="11" s="1"/>
  <c r="O34" i="11"/>
  <c r="M34" i="11"/>
  <c r="N34" i="11" s="1"/>
  <c r="F34" i="11"/>
  <c r="Z33" i="11"/>
  <c r="Y33" i="11"/>
  <c r="X33" i="11"/>
  <c r="U33" i="11"/>
  <c r="W33" i="11" s="1"/>
  <c r="R33" i="11"/>
  <c r="Q33" i="11"/>
  <c r="S33" i="11" s="1"/>
  <c r="T33" i="11" s="1"/>
  <c r="N33" i="11"/>
  <c r="M33" i="11"/>
  <c r="O33" i="11" s="1"/>
  <c r="F33" i="11"/>
  <c r="H33" i="11" s="1"/>
  <c r="Z32" i="11"/>
  <c r="Y32" i="11"/>
  <c r="X32" i="11"/>
  <c r="S32" i="11"/>
  <c r="T32" i="11" s="1"/>
  <c r="R32" i="11"/>
  <c r="Q32" i="11"/>
  <c r="O32" i="11"/>
  <c r="N32" i="11"/>
  <c r="M32" i="11"/>
  <c r="H32" i="11"/>
  <c r="U32" i="11" s="1"/>
  <c r="W32" i="11" s="1"/>
  <c r="F32" i="11"/>
  <c r="G32" i="11" s="1"/>
  <c r="Y31" i="11"/>
  <c r="X31" i="11"/>
  <c r="Z31" i="11" s="1"/>
  <c r="S31" i="11"/>
  <c r="T31" i="11" s="1"/>
  <c r="R31" i="11"/>
  <c r="Q31" i="11"/>
  <c r="O31" i="11"/>
  <c r="N31" i="11"/>
  <c r="M31" i="11"/>
  <c r="H31" i="11"/>
  <c r="U31" i="11" s="1"/>
  <c r="W31" i="11" s="1"/>
  <c r="F31" i="11"/>
  <c r="G31" i="11" s="1"/>
  <c r="Y30" i="11"/>
  <c r="X30" i="11"/>
  <c r="Y29" i="11"/>
  <c r="X29" i="11"/>
  <c r="Z29" i="11" s="1"/>
  <c r="S29" i="11"/>
  <c r="T29" i="11" s="1"/>
  <c r="R29" i="11"/>
  <c r="Q29" i="11"/>
  <c r="M29" i="11"/>
  <c r="O29" i="11" s="1"/>
  <c r="U29" i="11" s="1"/>
  <c r="W29" i="11" s="1"/>
  <c r="I29" i="11"/>
  <c r="H29" i="11"/>
  <c r="G29" i="11"/>
  <c r="F29" i="11"/>
  <c r="Y28" i="11"/>
  <c r="X28" i="11"/>
  <c r="T28" i="11"/>
  <c r="S28" i="11"/>
  <c r="R28" i="11"/>
  <c r="Q28" i="11"/>
  <c r="M28" i="11"/>
  <c r="O28" i="11" s="1"/>
  <c r="U28" i="11" s="1"/>
  <c r="W28" i="11" s="1"/>
  <c r="H28" i="11"/>
  <c r="G28" i="11"/>
  <c r="F28" i="11"/>
  <c r="Z27" i="11"/>
  <c r="Y27" i="11"/>
  <c r="X27" i="11"/>
  <c r="T27" i="11"/>
  <c r="R27" i="11"/>
  <c r="Q27" i="11"/>
  <c r="S27" i="11" s="1"/>
  <c r="M27" i="11"/>
  <c r="O27" i="11" s="1"/>
  <c r="F27" i="11"/>
  <c r="Z26" i="11"/>
  <c r="Y26" i="11"/>
  <c r="X26" i="11"/>
  <c r="R26" i="11"/>
  <c r="Q26" i="11"/>
  <c r="S26" i="11" s="1"/>
  <c r="T26" i="11" s="1"/>
  <c r="O26" i="11"/>
  <c r="M26" i="11"/>
  <c r="N26" i="11" s="1"/>
  <c r="F26" i="11"/>
  <c r="H26" i="11" s="1"/>
  <c r="U26" i="11" s="1"/>
  <c r="W26" i="11" s="1"/>
  <c r="Y25" i="11"/>
  <c r="Z25" i="11" s="1"/>
  <c r="X25" i="11"/>
  <c r="S25" i="11"/>
  <c r="T25" i="11" s="1"/>
  <c r="R25" i="11"/>
  <c r="Q25" i="11"/>
  <c r="O25" i="11"/>
  <c r="N25" i="11"/>
  <c r="M25" i="11"/>
  <c r="H25" i="11"/>
  <c r="U25" i="11" s="1"/>
  <c r="W25" i="11" s="1"/>
  <c r="F25" i="11"/>
  <c r="G25" i="11" s="1"/>
  <c r="Y24" i="11"/>
  <c r="X24" i="11"/>
  <c r="Z24" i="11" s="1"/>
  <c r="T24" i="11"/>
  <c r="S24" i="11"/>
  <c r="R24" i="11"/>
  <c r="Q24" i="11"/>
  <c r="O24" i="11"/>
  <c r="N24" i="11"/>
  <c r="M24" i="11"/>
  <c r="H24" i="11"/>
  <c r="U24" i="11" s="1"/>
  <c r="W24" i="11" s="1"/>
  <c r="G24" i="11"/>
  <c r="F24" i="11"/>
  <c r="Z23" i="11"/>
  <c r="Y23" i="11"/>
  <c r="X23" i="11"/>
  <c r="T23" i="11"/>
  <c r="S23" i="11"/>
  <c r="R23" i="11"/>
  <c r="Q23" i="11"/>
  <c r="M23" i="11"/>
  <c r="G23" i="11"/>
  <c r="F23" i="11"/>
  <c r="H23" i="11" s="1"/>
  <c r="Z22" i="11"/>
  <c r="Y22" i="11"/>
  <c r="X22" i="11"/>
  <c r="S22" i="11"/>
  <c r="T22" i="11" s="1"/>
  <c r="R22" i="11"/>
  <c r="Q22" i="11"/>
  <c r="M22" i="11"/>
  <c r="O22" i="11" s="1"/>
  <c r="F22" i="11"/>
  <c r="Y21" i="11"/>
  <c r="X21" i="11"/>
  <c r="Z21" i="11" s="1"/>
  <c r="U21" i="11"/>
  <c r="W21" i="11" s="1"/>
  <c r="S21" i="11"/>
  <c r="T21" i="11" s="1"/>
  <c r="R21" i="11"/>
  <c r="Q21" i="11"/>
  <c r="O21" i="11"/>
  <c r="N21" i="11"/>
  <c r="M21" i="11"/>
  <c r="H21" i="11"/>
  <c r="G21" i="11"/>
  <c r="F21" i="11"/>
  <c r="Y20" i="11"/>
  <c r="X20" i="11"/>
  <c r="T20" i="11"/>
  <c r="S20" i="11"/>
  <c r="R20" i="11"/>
  <c r="Q20" i="11"/>
  <c r="O20" i="11"/>
  <c r="N20" i="11"/>
  <c r="M20" i="11"/>
  <c r="H20" i="11"/>
  <c r="U20" i="11" s="1"/>
  <c r="W20" i="11" s="1"/>
  <c r="G20" i="11"/>
  <c r="F20" i="11"/>
  <c r="Z19" i="11"/>
  <c r="Y19" i="11"/>
  <c r="X19" i="11"/>
  <c r="R19" i="11"/>
  <c r="Q19" i="11"/>
  <c r="S19" i="11" s="1"/>
  <c r="T19" i="11" s="1"/>
  <c r="O19" i="11"/>
  <c r="N19" i="11"/>
  <c r="M19" i="11"/>
  <c r="F19" i="11"/>
  <c r="Y18" i="11"/>
  <c r="X18" i="11"/>
  <c r="Z18" i="11" s="1"/>
  <c r="R18" i="11"/>
  <c r="Q18" i="11"/>
  <c r="S18" i="11" s="1"/>
  <c r="T18" i="11" s="1"/>
  <c r="M18" i="11"/>
  <c r="F18" i="11"/>
  <c r="H18" i="11" s="1"/>
  <c r="Y17" i="11"/>
  <c r="X17" i="11"/>
  <c r="Z17" i="11" s="1"/>
  <c r="R17" i="11"/>
  <c r="Q17" i="11"/>
  <c r="S17" i="11" s="1"/>
  <c r="T17" i="11" s="1"/>
  <c r="O17" i="11"/>
  <c r="N17" i="11"/>
  <c r="M17" i="11"/>
  <c r="F17" i="11"/>
  <c r="Y16" i="11"/>
  <c r="Z16" i="11" s="1"/>
  <c r="X16" i="11"/>
  <c r="R16" i="11"/>
  <c r="Q16" i="11"/>
  <c r="S16" i="11" s="1"/>
  <c r="T16" i="11" s="1"/>
  <c r="O16" i="11"/>
  <c r="N16" i="11"/>
  <c r="M16" i="11"/>
  <c r="F16" i="11"/>
  <c r="H16" i="11" s="1"/>
  <c r="U16" i="11" s="1"/>
  <c r="W16" i="11" s="1"/>
  <c r="Z15" i="11"/>
  <c r="Y15" i="11"/>
  <c r="X15" i="11"/>
  <c r="R15" i="11"/>
  <c r="Q15" i="11"/>
  <c r="S15" i="11" s="1"/>
  <c r="T15" i="11" s="1"/>
  <c r="M15" i="11"/>
  <c r="H15" i="11"/>
  <c r="G15" i="11"/>
  <c r="F15" i="11"/>
  <c r="Z14" i="11"/>
  <c r="Y14" i="11"/>
  <c r="X14" i="11"/>
  <c r="T14" i="11"/>
  <c r="S14" i="11"/>
  <c r="R14" i="11"/>
  <c r="Q14" i="11"/>
  <c r="M14" i="11"/>
  <c r="H14" i="11"/>
  <c r="G14" i="11"/>
  <c r="F14" i="11"/>
  <c r="Y13" i="11"/>
  <c r="X13" i="11"/>
  <c r="Z13" i="11" s="1"/>
  <c r="S13" i="11"/>
  <c r="T13" i="11" s="1"/>
  <c r="R13" i="11"/>
  <c r="Q13" i="11"/>
  <c r="M13" i="11"/>
  <c r="O13" i="11" s="1"/>
  <c r="U13" i="11" s="1"/>
  <c r="W13" i="11" s="1"/>
  <c r="H13" i="11"/>
  <c r="G13" i="11"/>
  <c r="F13" i="11"/>
  <c r="Y12" i="11"/>
  <c r="X12" i="11"/>
  <c r="T12" i="11"/>
  <c r="S12" i="11"/>
  <c r="R12" i="11"/>
  <c r="Q12" i="11"/>
  <c r="M12" i="11"/>
  <c r="O12" i="11" s="1"/>
  <c r="H12" i="11"/>
  <c r="U12" i="11" s="1"/>
  <c r="W12" i="11" s="1"/>
  <c r="G12" i="11"/>
  <c r="F12" i="11"/>
  <c r="Z11" i="11"/>
  <c r="Y11" i="11"/>
  <c r="X11" i="11"/>
  <c r="S11" i="11"/>
  <c r="T11" i="11" s="1"/>
  <c r="R11" i="11"/>
  <c r="Q11" i="11"/>
  <c r="M11" i="11"/>
  <c r="F11" i="11"/>
  <c r="Z10" i="11"/>
  <c r="Y10" i="11"/>
  <c r="X10" i="11"/>
  <c r="R10" i="11"/>
  <c r="Q10" i="11"/>
  <c r="S10" i="11" s="1"/>
  <c r="T10" i="11" s="1"/>
  <c r="M10" i="11"/>
  <c r="O10" i="11" s="1"/>
  <c r="U10" i="11" s="1"/>
  <c r="W10" i="11" s="1"/>
  <c r="F10" i="11"/>
  <c r="H10" i="11" s="1"/>
  <c r="Z9" i="11"/>
  <c r="Y9" i="11"/>
  <c r="X9" i="11"/>
  <c r="S9" i="11"/>
  <c r="T9" i="11" s="1"/>
  <c r="R9" i="11"/>
  <c r="Q9" i="11"/>
  <c r="O9" i="11"/>
  <c r="N9" i="11"/>
  <c r="M9" i="11"/>
  <c r="G9" i="11"/>
  <c r="F9" i="11"/>
  <c r="H9" i="11" s="1"/>
  <c r="U9" i="11" s="1"/>
  <c r="W9" i="11" s="1"/>
  <c r="Y8" i="11"/>
  <c r="Z8" i="11" s="1"/>
  <c r="X8" i="11"/>
  <c r="R8" i="11"/>
  <c r="Q8" i="11"/>
  <c r="S8" i="11" s="1"/>
  <c r="T8" i="11" s="1"/>
  <c r="O8" i="11"/>
  <c r="N8" i="11"/>
  <c r="M8" i="11"/>
  <c r="G8" i="11"/>
  <c r="F8" i="11"/>
  <c r="H8" i="11" s="1"/>
  <c r="Y7" i="11"/>
  <c r="Z7" i="11" s="1"/>
  <c r="X7" i="11"/>
  <c r="R7" i="11"/>
  <c r="Q7" i="11"/>
  <c r="S7" i="11" s="1"/>
  <c r="T7" i="11" s="1"/>
  <c r="O7" i="11"/>
  <c r="M7" i="11"/>
  <c r="N7" i="11" s="1"/>
  <c r="F7" i="11"/>
  <c r="Y6" i="11"/>
  <c r="Z6" i="11" s="1"/>
  <c r="X6" i="11"/>
  <c r="R6" i="11"/>
  <c r="Q6" i="11"/>
  <c r="S6" i="11" s="1"/>
  <c r="T6" i="11" s="1"/>
  <c r="N6" i="11"/>
  <c r="M6" i="11"/>
  <c r="O6" i="11" s="1"/>
  <c r="F6" i="11"/>
  <c r="Y5" i="11"/>
  <c r="X5" i="11"/>
  <c r="Z5" i="11" s="1"/>
  <c r="R5" i="11"/>
  <c r="Q5" i="11"/>
  <c r="S5" i="11" s="1"/>
  <c r="T5" i="11" s="1"/>
  <c r="O5" i="11"/>
  <c r="N5" i="11"/>
  <c r="M5" i="11"/>
  <c r="F5" i="11"/>
  <c r="Y4" i="11"/>
  <c r="X4" i="11"/>
  <c r="W4" i="11"/>
  <c r="T4" i="11"/>
  <c r="S4" i="11"/>
  <c r="R4" i="11"/>
  <c r="Q4" i="11"/>
  <c r="O4" i="11"/>
  <c r="U4" i="11" s="1"/>
  <c r="N4" i="11"/>
  <c r="M4" i="11"/>
  <c r="H4" i="11"/>
  <c r="G4" i="11"/>
  <c r="F4" i="11"/>
  <c r="J61" i="10"/>
  <c r="C61" i="10"/>
  <c r="Q61" i="10" s="1"/>
  <c r="S61" i="10" s="1"/>
  <c r="S60" i="10"/>
  <c r="Q60" i="10"/>
  <c r="J60" i="10"/>
  <c r="M60" i="10" s="1"/>
  <c r="C60" i="10"/>
  <c r="J59" i="10"/>
  <c r="C59" i="10"/>
  <c r="F59" i="10" s="1"/>
  <c r="M58" i="10"/>
  <c r="F58" i="10"/>
  <c r="C58" i="10"/>
  <c r="Q58" i="10" s="1"/>
  <c r="S58" i="10" s="1"/>
  <c r="M57" i="10"/>
  <c r="J57" i="10"/>
  <c r="F57" i="10"/>
  <c r="C57" i="10"/>
  <c r="K54" i="10"/>
  <c r="J54" i="10"/>
  <c r="M54" i="10" s="1"/>
  <c r="D54" i="10"/>
  <c r="C54" i="10"/>
  <c r="Z53" i="10"/>
  <c r="Y53" i="10"/>
  <c r="X53" i="10"/>
  <c r="R53" i="10"/>
  <c r="Q53" i="10"/>
  <c r="S53" i="10" s="1"/>
  <c r="T53" i="10" s="1"/>
  <c r="O53" i="10"/>
  <c r="P53" i="11" s="1"/>
  <c r="N53" i="10"/>
  <c r="M53" i="10"/>
  <c r="G53" i="10"/>
  <c r="F53" i="10"/>
  <c r="H53" i="10" s="1"/>
  <c r="Y52" i="10"/>
  <c r="X52" i="10"/>
  <c r="Z52" i="10" s="1"/>
  <c r="R52" i="10"/>
  <c r="Q52" i="10"/>
  <c r="S52" i="10" s="1"/>
  <c r="T52" i="10" s="1"/>
  <c r="O52" i="10"/>
  <c r="P52" i="11" s="1"/>
  <c r="N52" i="10"/>
  <c r="M52" i="10"/>
  <c r="F52" i="10"/>
  <c r="Y51" i="10"/>
  <c r="X51" i="10"/>
  <c r="Z51" i="10" s="1"/>
  <c r="R51" i="10"/>
  <c r="Q51" i="10"/>
  <c r="S51" i="10" s="1"/>
  <c r="T51" i="10" s="1"/>
  <c r="O51" i="10"/>
  <c r="P51" i="11" s="1"/>
  <c r="N51" i="10"/>
  <c r="M51" i="10"/>
  <c r="F51" i="10"/>
  <c r="Y50" i="10"/>
  <c r="Z50" i="10" s="1"/>
  <c r="X50" i="10"/>
  <c r="R50" i="10"/>
  <c r="Q50" i="10"/>
  <c r="S50" i="10" s="1"/>
  <c r="T50" i="10" s="1"/>
  <c r="O50" i="10"/>
  <c r="M50" i="10"/>
  <c r="N50" i="10" s="1"/>
  <c r="F50" i="10"/>
  <c r="Y49" i="10"/>
  <c r="X49" i="10"/>
  <c r="Z49" i="10" s="1"/>
  <c r="R49" i="10"/>
  <c r="Q49" i="10"/>
  <c r="S49" i="10" s="1"/>
  <c r="T49" i="10" s="1"/>
  <c r="O49" i="10"/>
  <c r="P49" i="11" s="1"/>
  <c r="N49" i="10"/>
  <c r="M49" i="10"/>
  <c r="F49" i="10"/>
  <c r="Z48" i="10"/>
  <c r="Y48" i="10"/>
  <c r="X48" i="10"/>
  <c r="R48" i="10"/>
  <c r="Q48" i="10"/>
  <c r="S48" i="10" s="1"/>
  <c r="T48" i="10" s="1"/>
  <c r="O48" i="10"/>
  <c r="P48" i="11" s="1"/>
  <c r="N48" i="10"/>
  <c r="M48" i="10"/>
  <c r="H48" i="10"/>
  <c r="G48" i="10"/>
  <c r="F48" i="10"/>
  <c r="Z47" i="10"/>
  <c r="Y47" i="10"/>
  <c r="X47" i="10"/>
  <c r="T47" i="10"/>
  <c r="S47" i="10"/>
  <c r="R47" i="10"/>
  <c r="Q47" i="10"/>
  <c r="O47" i="10"/>
  <c r="P47" i="11" s="1"/>
  <c r="M47" i="10"/>
  <c r="N47" i="10" s="1"/>
  <c r="H47" i="10"/>
  <c r="F47" i="10"/>
  <c r="G47" i="10" s="1"/>
  <c r="Z46" i="10"/>
  <c r="Y46" i="10"/>
  <c r="X46" i="10"/>
  <c r="S46" i="10"/>
  <c r="T46" i="10" s="1"/>
  <c r="R46" i="10"/>
  <c r="Q46" i="10"/>
  <c r="M46" i="10"/>
  <c r="F46" i="10"/>
  <c r="Z45" i="10"/>
  <c r="Y45" i="10"/>
  <c r="X45" i="10"/>
  <c r="T45" i="10"/>
  <c r="S45" i="10"/>
  <c r="R45" i="10"/>
  <c r="Q45" i="10"/>
  <c r="M45" i="10"/>
  <c r="O45" i="10" s="1"/>
  <c r="P45" i="11" s="1"/>
  <c r="H45" i="10"/>
  <c r="I45" i="11" s="1"/>
  <c r="G45" i="10"/>
  <c r="F45" i="10"/>
  <c r="Y44" i="10"/>
  <c r="X44" i="10"/>
  <c r="Z44" i="10" s="1"/>
  <c r="T44" i="10"/>
  <c r="S44" i="10"/>
  <c r="R44" i="10"/>
  <c r="Q44" i="10"/>
  <c r="O44" i="10"/>
  <c r="N44" i="10"/>
  <c r="M44" i="10"/>
  <c r="H44" i="10"/>
  <c r="I44" i="11" s="1"/>
  <c r="G44" i="10"/>
  <c r="F44" i="10"/>
  <c r="Y43" i="10"/>
  <c r="X43" i="10"/>
  <c r="Z43" i="10" s="1"/>
  <c r="T43" i="10"/>
  <c r="S43" i="10"/>
  <c r="R43" i="10"/>
  <c r="Q43" i="10"/>
  <c r="O43" i="10"/>
  <c r="N43" i="10"/>
  <c r="M43" i="10"/>
  <c r="H43" i="10"/>
  <c r="I43" i="11" s="1"/>
  <c r="F43" i="10"/>
  <c r="G43" i="10" s="1"/>
  <c r="Y42" i="10"/>
  <c r="X42" i="10"/>
  <c r="Z42" i="10" s="1"/>
  <c r="R42" i="10"/>
  <c r="Q42" i="10"/>
  <c r="S42" i="10" s="1"/>
  <c r="T42" i="10" s="1"/>
  <c r="M42" i="10"/>
  <c r="F42" i="10"/>
  <c r="Y41" i="10"/>
  <c r="Z41" i="10" s="1"/>
  <c r="X41" i="10"/>
  <c r="R41" i="10"/>
  <c r="Q41" i="10"/>
  <c r="S41" i="10" s="1"/>
  <c r="T41" i="10" s="1"/>
  <c r="O41" i="10"/>
  <c r="P41" i="11" s="1"/>
  <c r="N41" i="10"/>
  <c r="M41" i="10"/>
  <c r="G41" i="10"/>
  <c r="F41" i="10"/>
  <c r="H41" i="10" s="1"/>
  <c r="Y40" i="10"/>
  <c r="X40" i="10"/>
  <c r="Z40" i="10" s="1"/>
  <c r="S40" i="10"/>
  <c r="T40" i="10" s="1"/>
  <c r="R40" i="10"/>
  <c r="Q40" i="10"/>
  <c r="O40" i="10"/>
  <c r="P40" i="11" s="1"/>
  <c r="N40" i="10"/>
  <c r="M40" i="10"/>
  <c r="H40" i="10"/>
  <c r="G40" i="10"/>
  <c r="F40" i="10"/>
  <c r="Z39" i="10"/>
  <c r="Y39" i="10"/>
  <c r="X39" i="10"/>
  <c r="R39" i="10"/>
  <c r="Q39" i="10"/>
  <c r="S39" i="10" s="1"/>
  <c r="T39" i="10" s="1"/>
  <c r="O39" i="10"/>
  <c r="P39" i="11" s="1"/>
  <c r="M39" i="10"/>
  <c r="N39" i="10" s="1"/>
  <c r="F39" i="10"/>
  <c r="Z38" i="10"/>
  <c r="Y38" i="10"/>
  <c r="X38" i="10"/>
  <c r="R38" i="10"/>
  <c r="Q38" i="10"/>
  <c r="S38" i="10" s="1"/>
  <c r="T38" i="10" s="1"/>
  <c r="M38" i="10"/>
  <c r="H38" i="10"/>
  <c r="G38" i="10"/>
  <c r="F38" i="10"/>
  <c r="Z37" i="10"/>
  <c r="Y37" i="10"/>
  <c r="X37" i="10"/>
  <c r="R37" i="10"/>
  <c r="Q37" i="10"/>
  <c r="S37" i="10" s="1"/>
  <c r="T37" i="10" s="1"/>
  <c r="M37" i="10"/>
  <c r="H37" i="10"/>
  <c r="I37" i="11" s="1"/>
  <c r="G37" i="10"/>
  <c r="F37" i="10"/>
  <c r="Y36" i="10"/>
  <c r="X36" i="10"/>
  <c r="Z36" i="10" s="1"/>
  <c r="T36" i="10"/>
  <c r="S36" i="10"/>
  <c r="R36" i="10"/>
  <c r="Q36" i="10"/>
  <c r="N36" i="10"/>
  <c r="M36" i="10"/>
  <c r="O36" i="10" s="1"/>
  <c r="P36" i="11" s="1"/>
  <c r="H36" i="10"/>
  <c r="I36" i="11" s="1"/>
  <c r="G36" i="10"/>
  <c r="F36" i="10"/>
  <c r="Y35" i="10"/>
  <c r="X35" i="10"/>
  <c r="S35" i="10"/>
  <c r="T35" i="10" s="1"/>
  <c r="R35" i="10"/>
  <c r="Q35" i="10"/>
  <c r="N35" i="10"/>
  <c r="M35" i="10"/>
  <c r="O35" i="10" s="1"/>
  <c r="P35" i="11" s="1"/>
  <c r="H35" i="10"/>
  <c r="F35" i="10"/>
  <c r="G35" i="10" s="1"/>
  <c r="Z34" i="10"/>
  <c r="Y34" i="10"/>
  <c r="X34" i="10"/>
  <c r="T34" i="10"/>
  <c r="R34" i="10"/>
  <c r="Q34" i="10"/>
  <c r="S34" i="10" s="1"/>
  <c r="M34" i="10"/>
  <c r="O34" i="10" s="1"/>
  <c r="P34" i="11" s="1"/>
  <c r="F34" i="10"/>
  <c r="Z33" i="10"/>
  <c r="Y33" i="10"/>
  <c r="X33" i="10"/>
  <c r="R33" i="10"/>
  <c r="Q33" i="10"/>
  <c r="S33" i="10" s="1"/>
  <c r="T33" i="10" s="1"/>
  <c r="O33" i="10"/>
  <c r="P33" i="11" s="1"/>
  <c r="M33" i="10"/>
  <c r="N33" i="10" s="1"/>
  <c r="G33" i="10"/>
  <c r="F33" i="10"/>
  <c r="H33" i="10" s="1"/>
  <c r="I33" i="11" s="1"/>
  <c r="Y32" i="10"/>
  <c r="X32" i="10"/>
  <c r="Z32" i="10" s="1"/>
  <c r="S32" i="10"/>
  <c r="T32" i="10" s="1"/>
  <c r="R32" i="10"/>
  <c r="Q32" i="10"/>
  <c r="O32" i="10"/>
  <c r="P32" i="11" s="1"/>
  <c r="N32" i="10"/>
  <c r="M32" i="10"/>
  <c r="H32" i="10"/>
  <c r="F32" i="10"/>
  <c r="G32" i="10" s="1"/>
  <c r="Y31" i="10"/>
  <c r="X31" i="10"/>
  <c r="Z31" i="10" s="1"/>
  <c r="S31" i="10"/>
  <c r="T31" i="10" s="1"/>
  <c r="R31" i="10"/>
  <c r="Q31" i="10"/>
  <c r="O31" i="10"/>
  <c r="P31" i="11" s="1"/>
  <c r="M31" i="10"/>
  <c r="N31" i="10" s="1"/>
  <c r="F31" i="10"/>
  <c r="H31" i="10" s="1"/>
  <c r="Y29" i="10"/>
  <c r="Z29" i="10" s="1"/>
  <c r="X29" i="10"/>
  <c r="R29" i="10"/>
  <c r="Q29" i="10"/>
  <c r="S29" i="10" s="1"/>
  <c r="T29" i="10" s="1"/>
  <c r="M29" i="10"/>
  <c r="G29" i="10"/>
  <c r="F29" i="10"/>
  <c r="H29" i="10" s="1"/>
  <c r="Z28" i="10"/>
  <c r="Y28" i="10"/>
  <c r="X28" i="10"/>
  <c r="R28" i="10"/>
  <c r="Q28" i="10"/>
  <c r="S28" i="10" s="1"/>
  <c r="T28" i="10" s="1"/>
  <c r="N28" i="10"/>
  <c r="M28" i="10"/>
  <c r="O28" i="10" s="1"/>
  <c r="P28" i="11" s="1"/>
  <c r="F28" i="10"/>
  <c r="H28" i="10" s="1"/>
  <c r="Y27" i="10"/>
  <c r="X27" i="10"/>
  <c r="Z27" i="10" s="1"/>
  <c r="T27" i="10"/>
  <c r="S27" i="10"/>
  <c r="R27" i="10"/>
  <c r="Q27" i="10"/>
  <c r="O27" i="10"/>
  <c r="N27" i="10"/>
  <c r="M27" i="10"/>
  <c r="H27" i="10"/>
  <c r="G27" i="10"/>
  <c r="F27" i="10"/>
  <c r="Y26" i="10"/>
  <c r="X26" i="10"/>
  <c r="Z26" i="10" s="1"/>
  <c r="R26" i="10"/>
  <c r="Q26" i="10"/>
  <c r="S26" i="10" s="1"/>
  <c r="T26" i="10" s="1"/>
  <c r="O26" i="10"/>
  <c r="P26" i="11" s="1"/>
  <c r="M26" i="10"/>
  <c r="N26" i="10" s="1"/>
  <c r="F26" i="10"/>
  <c r="G26" i="10" s="1"/>
  <c r="Y25" i="10"/>
  <c r="X25" i="10"/>
  <c r="Z25" i="10" s="1"/>
  <c r="R25" i="10"/>
  <c r="Q25" i="10"/>
  <c r="S25" i="10" s="1"/>
  <c r="T25" i="10" s="1"/>
  <c r="O25" i="10"/>
  <c r="N25" i="10"/>
  <c r="M25" i="10"/>
  <c r="G25" i="10"/>
  <c r="F25" i="10"/>
  <c r="H25" i="10" s="1"/>
  <c r="I25" i="11" s="1"/>
  <c r="Y24" i="10"/>
  <c r="X24" i="10"/>
  <c r="Z24" i="10" s="1"/>
  <c r="W24" i="10"/>
  <c r="S24" i="10"/>
  <c r="T24" i="10" s="1"/>
  <c r="R24" i="10"/>
  <c r="Q24" i="10"/>
  <c r="N24" i="10"/>
  <c r="M24" i="10"/>
  <c r="O24" i="10" s="1"/>
  <c r="P24" i="11" s="1"/>
  <c r="H24" i="10"/>
  <c r="U24" i="10" s="1"/>
  <c r="G24" i="10"/>
  <c r="F24" i="10"/>
  <c r="Y23" i="10"/>
  <c r="X23" i="10"/>
  <c r="Z23" i="10" s="1"/>
  <c r="R23" i="10"/>
  <c r="Q23" i="10"/>
  <c r="S23" i="10" s="1"/>
  <c r="T23" i="10" s="1"/>
  <c r="O23" i="10"/>
  <c r="N23" i="10"/>
  <c r="M23" i="10"/>
  <c r="F23" i="10"/>
  <c r="H23" i="10" s="1"/>
  <c r="Y22" i="10"/>
  <c r="X22" i="10"/>
  <c r="Z22" i="10" s="1"/>
  <c r="R22" i="10"/>
  <c r="Q22" i="10"/>
  <c r="S22" i="10" s="1"/>
  <c r="T22" i="10" s="1"/>
  <c r="O22" i="10"/>
  <c r="P22" i="11" s="1"/>
  <c r="M22" i="10"/>
  <c r="N22" i="10" s="1"/>
  <c r="G22" i="10"/>
  <c r="F22" i="10"/>
  <c r="H22" i="10" s="1"/>
  <c r="Z21" i="10"/>
  <c r="Y21" i="10"/>
  <c r="X21" i="10"/>
  <c r="R21" i="10"/>
  <c r="Q21" i="10"/>
  <c r="S21" i="10" s="1"/>
  <c r="T21" i="10" s="1"/>
  <c r="O21" i="10"/>
  <c r="P21" i="11" s="1"/>
  <c r="N21" i="10"/>
  <c r="M21" i="10"/>
  <c r="F21" i="10"/>
  <c r="Z20" i="10"/>
  <c r="Y20" i="10"/>
  <c r="X20" i="10"/>
  <c r="R20" i="10"/>
  <c r="Q20" i="10"/>
  <c r="S20" i="10" s="1"/>
  <c r="T20" i="10" s="1"/>
  <c r="O20" i="10"/>
  <c r="P20" i="11" s="1"/>
  <c r="N20" i="10"/>
  <c r="M20" i="10"/>
  <c r="F20" i="10"/>
  <c r="H20" i="10" s="1"/>
  <c r="Y19" i="10"/>
  <c r="Z19" i="10" s="1"/>
  <c r="X19" i="10"/>
  <c r="S19" i="10"/>
  <c r="T19" i="10" s="1"/>
  <c r="R19" i="10"/>
  <c r="Q19" i="10"/>
  <c r="M19" i="10"/>
  <c r="O19" i="10" s="1"/>
  <c r="P19" i="11" s="1"/>
  <c r="H19" i="10"/>
  <c r="G19" i="10"/>
  <c r="F19" i="10"/>
  <c r="Z18" i="10"/>
  <c r="Y18" i="10"/>
  <c r="X18" i="10"/>
  <c r="T18" i="10"/>
  <c r="S18" i="10"/>
  <c r="R18" i="10"/>
  <c r="Q18" i="10"/>
  <c r="N18" i="10"/>
  <c r="M18" i="10"/>
  <c r="O18" i="10" s="1"/>
  <c r="H18" i="10"/>
  <c r="F18" i="10"/>
  <c r="G18" i="10" s="1"/>
  <c r="Y17" i="10"/>
  <c r="X17" i="10"/>
  <c r="Z17" i="10" s="1"/>
  <c r="T17" i="10"/>
  <c r="S17" i="10"/>
  <c r="R17" i="10"/>
  <c r="Q17" i="10"/>
  <c r="M17" i="10"/>
  <c r="H17" i="10"/>
  <c r="G17" i="10"/>
  <c r="F17" i="10"/>
  <c r="Y16" i="10"/>
  <c r="X16" i="10"/>
  <c r="Z16" i="10" s="1"/>
  <c r="S16" i="10"/>
  <c r="T16" i="10" s="1"/>
  <c r="R16" i="10"/>
  <c r="Q16" i="10"/>
  <c r="M16" i="10"/>
  <c r="O16" i="10" s="1"/>
  <c r="P16" i="11" s="1"/>
  <c r="H16" i="10"/>
  <c r="I16" i="11" s="1"/>
  <c r="G16" i="10"/>
  <c r="F16" i="10"/>
  <c r="Y15" i="10"/>
  <c r="X15" i="10"/>
  <c r="Z15" i="10" s="1"/>
  <c r="R15" i="10"/>
  <c r="Q15" i="10"/>
  <c r="S15" i="10" s="1"/>
  <c r="T15" i="10" s="1"/>
  <c r="O15" i="10"/>
  <c r="N15" i="10"/>
  <c r="M15" i="10"/>
  <c r="F15" i="10"/>
  <c r="H15" i="10" s="1"/>
  <c r="Y14" i="10"/>
  <c r="X14" i="10"/>
  <c r="Z14" i="10" s="1"/>
  <c r="R14" i="10"/>
  <c r="Q14" i="10"/>
  <c r="S14" i="10" s="1"/>
  <c r="T14" i="10" s="1"/>
  <c r="O14" i="10"/>
  <c r="M14" i="10"/>
  <c r="N14" i="10" s="1"/>
  <c r="G14" i="10"/>
  <c r="F14" i="10"/>
  <c r="H14" i="10" s="1"/>
  <c r="Z13" i="10"/>
  <c r="Y13" i="10"/>
  <c r="X13" i="10"/>
  <c r="R13" i="10"/>
  <c r="Q13" i="10"/>
  <c r="S13" i="10" s="1"/>
  <c r="T13" i="10" s="1"/>
  <c r="O13" i="10"/>
  <c r="N13" i="10"/>
  <c r="M13" i="10"/>
  <c r="F13" i="10"/>
  <c r="Z12" i="10"/>
  <c r="Y12" i="10"/>
  <c r="X12" i="10"/>
  <c r="R12" i="10"/>
  <c r="Q12" i="10"/>
  <c r="S12" i="10" s="1"/>
  <c r="T12" i="10" s="1"/>
  <c r="O12" i="10"/>
  <c r="P12" i="11" s="1"/>
  <c r="N12" i="10"/>
  <c r="M12" i="10"/>
  <c r="G12" i="10"/>
  <c r="F12" i="10"/>
  <c r="H12" i="10" s="1"/>
  <c r="Y11" i="10"/>
  <c r="Z11" i="10" s="1"/>
  <c r="X11" i="10"/>
  <c r="S11" i="10"/>
  <c r="T11" i="10" s="1"/>
  <c r="R11" i="10"/>
  <c r="Q11" i="10"/>
  <c r="M11" i="10"/>
  <c r="O11" i="10" s="1"/>
  <c r="H11" i="10"/>
  <c r="G11" i="10"/>
  <c r="F11" i="10"/>
  <c r="Z10" i="10"/>
  <c r="Y10" i="10"/>
  <c r="X10" i="10"/>
  <c r="T10" i="10"/>
  <c r="S10" i="10"/>
  <c r="R10" i="10"/>
  <c r="Q10" i="10"/>
  <c r="N10" i="10"/>
  <c r="M10" i="10"/>
  <c r="O10" i="10" s="1"/>
  <c r="P10" i="11" s="1"/>
  <c r="H10" i="10"/>
  <c r="F10" i="10"/>
  <c r="G10" i="10" s="1"/>
  <c r="Y9" i="10"/>
  <c r="X9" i="10"/>
  <c r="Z9" i="10" s="1"/>
  <c r="T9" i="10"/>
  <c r="S9" i="10"/>
  <c r="R9" i="10"/>
  <c r="Q9" i="10"/>
  <c r="M9" i="10"/>
  <c r="H9" i="10"/>
  <c r="I9" i="11" s="1"/>
  <c r="G9" i="10"/>
  <c r="F9" i="10"/>
  <c r="Y8" i="10"/>
  <c r="X8" i="10"/>
  <c r="Z8" i="10" s="1"/>
  <c r="S8" i="10"/>
  <c r="T8" i="10" s="1"/>
  <c r="R8" i="10"/>
  <c r="Q8" i="10"/>
  <c r="M8" i="10"/>
  <c r="O8" i="10" s="1"/>
  <c r="P8" i="11" s="1"/>
  <c r="H8" i="10"/>
  <c r="I8" i="11" s="1"/>
  <c r="G8" i="10"/>
  <c r="F8" i="10"/>
  <c r="Y7" i="10"/>
  <c r="X7" i="10"/>
  <c r="Z7" i="10" s="1"/>
  <c r="R7" i="10"/>
  <c r="Q7" i="10"/>
  <c r="S7" i="10" s="1"/>
  <c r="T7" i="10" s="1"/>
  <c r="O7" i="10"/>
  <c r="P7" i="11" s="1"/>
  <c r="N7" i="10"/>
  <c r="M7" i="10"/>
  <c r="F7" i="10"/>
  <c r="H7" i="10" s="1"/>
  <c r="Y6" i="10"/>
  <c r="X6" i="10"/>
  <c r="R6" i="10"/>
  <c r="Q6" i="10"/>
  <c r="S6" i="10" s="1"/>
  <c r="T6" i="10" s="1"/>
  <c r="O6" i="10"/>
  <c r="P6" i="11" s="1"/>
  <c r="M6" i="10"/>
  <c r="N6" i="10" s="1"/>
  <c r="G6" i="10"/>
  <c r="F6" i="10"/>
  <c r="H6" i="10" s="1"/>
  <c r="Y5" i="10"/>
  <c r="Y54" i="10" s="1"/>
  <c r="X5" i="10"/>
  <c r="R5" i="10"/>
  <c r="Q5" i="10"/>
  <c r="S5" i="10" s="1"/>
  <c r="T5" i="10" s="1"/>
  <c r="O5" i="10"/>
  <c r="P5" i="11" s="1"/>
  <c r="N5" i="10"/>
  <c r="M5" i="10"/>
  <c r="F5" i="10"/>
  <c r="Z4" i="10"/>
  <c r="Y4" i="10"/>
  <c r="X4" i="10"/>
  <c r="R4" i="10"/>
  <c r="Q4" i="10"/>
  <c r="O4" i="10"/>
  <c r="P4" i="11" s="1"/>
  <c r="N4" i="10"/>
  <c r="M4" i="10"/>
  <c r="G4" i="10"/>
  <c r="F4" i="10"/>
  <c r="F80" i="9"/>
  <c r="L61" i="9"/>
  <c r="J61" i="9"/>
  <c r="E61" i="9"/>
  <c r="C61" i="9"/>
  <c r="F61" i="9" s="1"/>
  <c r="L60" i="9"/>
  <c r="J60" i="9"/>
  <c r="E60" i="9"/>
  <c r="C60" i="9"/>
  <c r="F60" i="9" s="1"/>
  <c r="L59" i="9"/>
  <c r="J59" i="9"/>
  <c r="E59" i="9"/>
  <c r="C59" i="9"/>
  <c r="F59" i="9" s="1"/>
  <c r="L58" i="9"/>
  <c r="J58" i="9"/>
  <c r="E58" i="9"/>
  <c r="C58" i="9"/>
  <c r="F58" i="9" s="1"/>
  <c r="L57" i="9"/>
  <c r="J57" i="9"/>
  <c r="E57" i="9"/>
  <c r="C57" i="9"/>
  <c r="C66" i="10" s="1"/>
  <c r="M54" i="9"/>
  <c r="L54" i="9"/>
  <c r="K54" i="9"/>
  <c r="J54" i="9"/>
  <c r="E65" i="10" s="1"/>
  <c r="E54" i="9"/>
  <c r="D54" i="9"/>
  <c r="R54" i="9" s="1"/>
  <c r="C54" i="9"/>
  <c r="C65" i="9" s="1"/>
  <c r="Z53" i="9"/>
  <c r="Y53" i="9"/>
  <c r="X53" i="9"/>
  <c r="R53" i="9"/>
  <c r="Q53" i="9"/>
  <c r="S53" i="9" s="1"/>
  <c r="T53" i="9" s="1"/>
  <c r="O53" i="9"/>
  <c r="P53" i="10" s="1"/>
  <c r="M53" i="9"/>
  <c r="N53" i="9" s="1"/>
  <c r="H53" i="9"/>
  <c r="I53" i="10" s="1"/>
  <c r="G53" i="9"/>
  <c r="F53" i="9"/>
  <c r="Z52" i="9"/>
  <c r="Y52" i="9"/>
  <c r="X52" i="9"/>
  <c r="T52" i="9"/>
  <c r="S52" i="9"/>
  <c r="R52" i="9"/>
  <c r="Q52" i="9"/>
  <c r="N52" i="9"/>
  <c r="M52" i="9"/>
  <c r="O52" i="9" s="1"/>
  <c r="P52" i="10" s="1"/>
  <c r="H52" i="9"/>
  <c r="G52" i="9"/>
  <c r="F52" i="9"/>
  <c r="Z51" i="9"/>
  <c r="Y51" i="9"/>
  <c r="X51" i="9"/>
  <c r="R51" i="9"/>
  <c r="Q51" i="9"/>
  <c r="S51" i="9" s="1"/>
  <c r="T51" i="9" s="1"/>
  <c r="O51" i="9"/>
  <c r="P51" i="10" s="1"/>
  <c r="N51" i="9"/>
  <c r="M51" i="9"/>
  <c r="H51" i="9"/>
  <c r="F51" i="9"/>
  <c r="G51" i="9" s="1"/>
  <c r="Z50" i="9"/>
  <c r="Y50" i="9"/>
  <c r="X50" i="9"/>
  <c r="T50" i="9"/>
  <c r="S50" i="9"/>
  <c r="R50" i="9"/>
  <c r="Q50" i="9"/>
  <c r="O50" i="9"/>
  <c r="U50" i="9" s="1"/>
  <c r="W50" i="9" s="1"/>
  <c r="N50" i="9"/>
  <c r="M50" i="9"/>
  <c r="H50" i="9"/>
  <c r="G50" i="9"/>
  <c r="F50" i="9"/>
  <c r="Z49" i="9"/>
  <c r="Y49" i="9"/>
  <c r="X49" i="9"/>
  <c r="S49" i="9"/>
  <c r="T49" i="9" s="1"/>
  <c r="R49" i="9"/>
  <c r="Q49" i="9"/>
  <c r="O49" i="9"/>
  <c r="P49" i="10" s="1"/>
  <c r="N49" i="9"/>
  <c r="M49" i="9"/>
  <c r="F49" i="9"/>
  <c r="G49" i="9" s="1"/>
  <c r="Z48" i="9"/>
  <c r="Y48" i="9"/>
  <c r="X48" i="9"/>
  <c r="T48" i="9"/>
  <c r="R48" i="9"/>
  <c r="Q48" i="9"/>
  <c r="S48" i="9" s="1"/>
  <c r="O48" i="9"/>
  <c r="P48" i="10" s="1"/>
  <c r="N48" i="9"/>
  <c r="M48" i="9"/>
  <c r="G48" i="9"/>
  <c r="F48" i="9"/>
  <c r="H48" i="9" s="1"/>
  <c r="Z47" i="9"/>
  <c r="Y47" i="9"/>
  <c r="X47" i="9"/>
  <c r="S47" i="9"/>
  <c r="T47" i="9" s="1"/>
  <c r="R47" i="9"/>
  <c r="Q47" i="9"/>
  <c r="M47" i="9"/>
  <c r="N47" i="9" s="1"/>
  <c r="F47" i="9"/>
  <c r="H47" i="9" s="1"/>
  <c r="Z46" i="9"/>
  <c r="Y46" i="9"/>
  <c r="X46" i="9"/>
  <c r="R46" i="9"/>
  <c r="Q46" i="9"/>
  <c r="S46" i="9" s="1"/>
  <c r="T46" i="9" s="1"/>
  <c r="O46" i="9"/>
  <c r="N46" i="9"/>
  <c r="M46" i="9"/>
  <c r="F46" i="9"/>
  <c r="H46" i="9" s="1"/>
  <c r="Z45" i="9"/>
  <c r="Y45" i="9"/>
  <c r="X45" i="9"/>
  <c r="R45" i="9"/>
  <c r="Q45" i="9"/>
  <c r="S45" i="9" s="1"/>
  <c r="T45" i="9" s="1"/>
  <c r="O45" i="9"/>
  <c r="P45" i="10" s="1"/>
  <c r="M45" i="9"/>
  <c r="N45" i="9" s="1"/>
  <c r="H45" i="9"/>
  <c r="I45" i="10" s="1"/>
  <c r="G45" i="9"/>
  <c r="F45" i="9"/>
  <c r="Z44" i="9"/>
  <c r="Y44" i="9"/>
  <c r="X44" i="9"/>
  <c r="R44" i="9"/>
  <c r="Q44" i="9"/>
  <c r="S44" i="9" s="1"/>
  <c r="T44" i="9" s="1"/>
  <c r="N44" i="9"/>
  <c r="M44" i="9"/>
  <c r="O44" i="9" s="1"/>
  <c r="P44" i="10" s="1"/>
  <c r="H44" i="9"/>
  <c r="I44" i="10" s="1"/>
  <c r="G44" i="9"/>
  <c r="F44" i="9"/>
  <c r="Z43" i="9"/>
  <c r="Y43" i="9"/>
  <c r="X43" i="9"/>
  <c r="R43" i="9"/>
  <c r="Q43" i="9"/>
  <c r="S43" i="9" s="1"/>
  <c r="T43" i="9" s="1"/>
  <c r="O43" i="9"/>
  <c r="P43" i="10" s="1"/>
  <c r="N43" i="9"/>
  <c r="M43" i="9"/>
  <c r="H43" i="9"/>
  <c r="I43" i="10" s="1"/>
  <c r="G43" i="9"/>
  <c r="F43" i="9"/>
  <c r="Z42" i="9"/>
  <c r="Y42" i="9"/>
  <c r="X42" i="9"/>
  <c r="T42" i="9"/>
  <c r="S42" i="9"/>
  <c r="R42" i="9"/>
  <c r="Q42" i="9"/>
  <c r="O42" i="9"/>
  <c r="N42" i="9"/>
  <c r="M42" i="9"/>
  <c r="H42" i="9"/>
  <c r="G42" i="9"/>
  <c r="F42" i="9"/>
  <c r="Z41" i="9"/>
  <c r="Y41" i="9"/>
  <c r="X41" i="9"/>
  <c r="R41" i="9"/>
  <c r="Q41" i="9"/>
  <c r="S41" i="9" s="1"/>
  <c r="T41" i="9" s="1"/>
  <c r="M41" i="9"/>
  <c r="O41" i="9" s="1"/>
  <c r="P41" i="10" s="1"/>
  <c r="F41" i="9"/>
  <c r="G41" i="9" s="1"/>
  <c r="Z40" i="9"/>
  <c r="Y40" i="9"/>
  <c r="X40" i="9"/>
  <c r="U40" i="9"/>
  <c r="W40" i="9" s="1"/>
  <c r="R40" i="9"/>
  <c r="Q40" i="9"/>
  <c r="S40" i="9" s="1"/>
  <c r="T40" i="9" s="1"/>
  <c r="O40" i="9"/>
  <c r="P40" i="10" s="1"/>
  <c r="N40" i="9"/>
  <c r="M40" i="9"/>
  <c r="G40" i="9"/>
  <c r="F40" i="9"/>
  <c r="H40" i="9" s="1"/>
  <c r="I40" i="10" s="1"/>
  <c r="Z39" i="9"/>
  <c r="Y39" i="9"/>
  <c r="X39" i="9"/>
  <c r="S39" i="9"/>
  <c r="T39" i="9" s="1"/>
  <c r="R39" i="9"/>
  <c r="Q39" i="9"/>
  <c r="O39" i="9"/>
  <c r="P39" i="10" s="1"/>
  <c r="N39" i="9"/>
  <c r="M39" i="9"/>
  <c r="G39" i="9"/>
  <c r="F39" i="9"/>
  <c r="H39" i="9" s="1"/>
  <c r="Z38" i="9"/>
  <c r="Y38" i="9"/>
  <c r="X38" i="9"/>
  <c r="R38" i="9"/>
  <c r="Q38" i="9"/>
  <c r="S38" i="9" s="1"/>
  <c r="T38" i="9" s="1"/>
  <c r="O38" i="9"/>
  <c r="N38" i="9"/>
  <c r="M38" i="9"/>
  <c r="G38" i="9"/>
  <c r="F38" i="9"/>
  <c r="H38" i="9" s="1"/>
  <c r="Z37" i="9"/>
  <c r="Y37" i="9"/>
  <c r="X37" i="9"/>
  <c r="R37" i="9"/>
  <c r="Q37" i="9"/>
  <c r="S37" i="9" s="1"/>
  <c r="T37" i="9" s="1"/>
  <c r="O37" i="9"/>
  <c r="M37" i="9"/>
  <c r="N37" i="9" s="1"/>
  <c r="F37" i="9"/>
  <c r="H37" i="9" s="1"/>
  <c r="Z36" i="9"/>
  <c r="Y36" i="9"/>
  <c r="X36" i="9"/>
  <c r="R36" i="9"/>
  <c r="Q36" i="9"/>
  <c r="S36" i="9" s="1"/>
  <c r="T36" i="9" s="1"/>
  <c r="N36" i="9"/>
  <c r="M36" i="9"/>
  <c r="O36" i="9" s="1"/>
  <c r="P36" i="10" s="1"/>
  <c r="F36" i="9"/>
  <c r="H36" i="9" s="1"/>
  <c r="Z35" i="9"/>
  <c r="Y35" i="9"/>
  <c r="X35" i="9"/>
  <c r="R35" i="9"/>
  <c r="Q35" i="9"/>
  <c r="S35" i="9" s="1"/>
  <c r="T35" i="9" s="1"/>
  <c r="N35" i="9"/>
  <c r="M35" i="9"/>
  <c r="O35" i="9" s="1"/>
  <c r="P35" i="10" s="1"/>
  <c r="F35" i="9"/>
  <c r="H35" i="9" s="1"/>
  <c r="Z34" i="9"/>
  <c r="Y34" i="9"/>
  <c r="X34" i="9"/>
  <c r="T34" i="9"/>
  <c r="S34" i="9"/>
  <c r="R34" i="9"/>
  <c r="Q34" i="9"/>
  <c r="O34" i="9"/>
  <c r="P34" i="10" s="1"/>
  <c r="N34" i="9"/>
  <c r="M34" i="9"/>
  <c r="H34" i="9"/>
  <c r="G34" i="9"/>
  <c r="F34" i="9"/>
  <c r="Z33" i="9"/>
  <c r="Y33" i="9"/>
  <c r="X33" i="9"/>
  <c r="S33" i="9"/>
  <c r="T33" i="9" s="1"/>
  <c r="R33" i="9"/>
  <c r="Q33" i="9"/>
  <c r="O33" i="9"/>
  <c r="P33" i="10" s="1"/>
  <c r="N33" i="9"/>
  <c r="M33" i="9"/>
  <c r="H33" i="9"/>
  <c r="I33" i="10" s="1"/>
  <c r="F33" i="9"/>
  <c r="G33" i="9" s="1"/>
  <c r="Z32" i="9"/>
  <c r="Y32" i="9"/>
  <c r="X32" i="9"/>
  <c r="R32" i="9"/>
  <c r="Q32" i="9"/>
  <c r="S32" i="9" s="1"/>
  <c r="T32" i="9" s="1"/>
  <c r="O32" i="9"/>
  <c r="P32" i="10" s="1"/>
  <c r="N32" i="9"/>
  <c r="M32" i="9"/>
  <c r="F32" i="9"/>
  <c r="H32" i="9" s="1"/>
  <c r="I32" i="10" s="1"/>
  <c r="Z31" i="9"/>
  <c r="Y31" i="9"/>
  <c r="X31" i="9"/>
  <c r="R31" i="9"/>
  <c r="Q31" i="9"/>
  <c r="S31" i="9" s="1"/>
  <c r="T31" i="9" s="1"/>
  <c r="N31" i="9"/>
  <c r="M31" i="9"/>
  <c r="O31" i="9" s="1"/>
  <c r="P31" i="10" s="1"/>
  <c r="H31" i="9"/>
  <c r="I31" i="10" s="1"/>
  <c r="G31" i="9"/>
  <c r="F31" i="9"/>
  <c r="Z29" i="9"/>
  <c r="Y29" i="9"/>
  <c r="X29" i="9"/>
  <c r="T29" i="9"/>
  <c r="S29" i="9"/>
  <c r="R29" i="9"/>
  <c r="Q29" i="9"/>
  <c r="M29" i="9"/>
  <c r="O29" i="9" s="1"/>
  <c r="H29" i="9"/>
  <c r="G29" i="9"/>
  <c r="F29" i="9"/>
  <c r="Z28" i="9"/>
  <c r="Y28" i="9"/>
  <c r="X28" i="9"/>
  <c r="R28" i="9"/>
  <c r="Q28" i="9"/>
  <c r="S28" i="9" s="1"/>
  <c r="T28" i="9" s="1"/>
  <c r="N28" i="9"/>
  <c r="M28" i="9"/>
  <c r="O28" i="9" s="1"/>
  <c r="P28" i="10" s="1"/>
  <c r="F28" i="9"/>
  <c r="H28" i="9" s="1"/>
  <c r="Z27" i="9"/>
  <c r="Y27" i="9"/>
  <c r="X27" i="9"/>
  <c r="R27" i="9"/>
  <c r="Q27" i="9"/>
  <c r="S27" i="9" s="1"/>
  <c r="T27" i="9" s="1"/>
  <c r="O27" i="9"/>
  <c r="P27" i="10" s="1"/>
  <c r="N27" i="9"/>
  <c r="M27" i="9"/>
  <c r="G27" i="9"/>
  <c r="F27" i="9"/>
  <c r="H27" i="9" s="1"/>
  <c r="Z26" i="9"/>
  <c r="Y26" i="9"/>
  <c r="X26" i="9"/>
  <c r="S26" i="9"/>
  <c r="T26" i="9" s="1"/>
  <c r="R26" i="9"/>
  <c r="Q26" i="9"/>
  <c r="O26" i="9"/>
  <c r="P26" i="10" s="1"/>
  <c r="N26" i="9"/>
  <c r="M26" i="9"/>
  <c r="H26" i="9"/>
  <c r="G26" i="9"/>
  <c r="F26" i="9"/>
  <c r="Z25" i="9"/>
  <c r="Y25" i="9"/>
  <c r="X25" i="9"/>
  <c r="R25" i="9"/>
  <c r="Q25" i="9"/>
  <c r="S25" i="9" s="1"/>
  <c r="T25" i="9" s="1"/>
  <c r="O25" i="9"/>
  <c r="P25" i="10" s="1"/>
  <c r="N25" i="9"/>
  <c r="M25" i="9"/>
  <c r="F25" i="9"/>
  <c r="H25" i="9" s="1"/>
  <c r="Z24" i="9"/>
  <c r="Y24" i="9"/>
  <c r="X24" i="9"/>
  <c r="R24" i="9"/>
  <c r="Q24" i="9"/>
  <c r="S24" i="9" s="1"/>
  <c r="T24" i="9" s="1"/>
  <c r="M24" i="9"/>
  <c r="O24" i="9" s="1"/>
  <c r="P24" i="10" s="1"/>
  <c r="G24" i="9"/>
  <c r="F24" i="9"/>
  <c r="H24" i="9" s="1"/>
  <c r="Z23" i="9"/>
  <c r="Y23" i="9"/>
  <c r="X23" i="9"/>
  <c r="S23" i="9"/>
  <c r="T23" i="9" s="1"/>
  <c r="R23" i="9"/>
  <c r="Q23" i="9"/>
  <c r="N23" i="9"/>
  <c r="M23" i="9"/>
  <c r="O23" i="9" s="1"/>
  <c r="P23" i="10" s="1"/>
  <c r="H23" i="9"/>
  <c r="I23" i="10" s="1"/>
  <c r="F23" i="9"/>
  <c r="G23" i="9" s="1"/>
  <c r="Z22" i="9"/>
  <c r="Y22" i="9"/>
  <c r="X22" i="9"/>
  <c r="T22" i="9"/>
  <c r="S22" i="9"/>
  <c r="R22" i="9"/>
  <c r="Q22" i="9"/>
  <c r="O22" i="9"/>
  <c r="P22" i="10" s="1"/>
  <c r="N22" i="9"/>
  <c r="M22" i="9"/>
  <c r="H22" i="9"/>
  <c r="I22" i="10" s="1"/>
  <c r="G22" i="9"/>
  <c r="F22" i="9"/>
  <c r="Z21" i="9"/>
  <c r="Y21" i="9"/>
  <c r="X21" i="9"/>
  <c r="T21" i="9"/>
  <c r="S21" i="9"/>
  <c r="R21" i="9"/>
  <c r="Q21" i="9"/>
  <c r="M21" i="9"/>
  <c r="O21" i="9" s="1"/>
  <c r="H21" i="9"/>
  <c r="G21" i="9"/>
  <c r="F21" i="9"/>
  <c r="Z20" i="9"/>
  <c r="Y20" i="9"/>
  <c r="X20" i="9"/>
  <c r="R20" i="9"/>
  <c r="Q20" i="9"/>
  <c r="S20" i="9" s="1"/>
  <c r="T20" i="9" s="1"/>
  <c r="N20" i="9"/>
  <c r="M20" i="9"/>
  <c r="O20" i="9" s="1"/>
  <c r="P20" i="10" s="1"/>
  <c r="F20" i="9"/>
  <c r="H20" i="9" s="1"/>
  <c r="Z19" i="9"/>
  <c r="Y19" i="9"/>
  <c r="X19" i="9"/>
  <c r="R19" i="9"/>
  <c r="Q19" i="9"/>
  <c r="S19" i="9" s="1"/>
  <c r="T19" i="9" s="1"/>
  <c r="O19" i="9"/>
  <c r="P19" i="10" s="1"/>
  <c r="M19" i="9"/>
  <c r="N19" i="9" s="1"/>
  <c r="G19" i="9"/>
  <c r="F19" i="9"/>
  <c r="H19" i="9" s="1"/>
  <c r="Z18" i="9"/>
  <c r="Y18" i="9"/>
  <c r="X18" i="9"/>
  <c r="S18" i="9"/>
  <c r="T18" i="9" s="1"/>
  <c r="R18" i="9"/>
  <c r="Q18" i="9"/>
  <c r="O18" i="9"/>
  <c r="P18" i="10" s="1"/>
  <c r="N18" i="9"/>
  <c r="M18" i="9"/>
  <c r="H18" i="9"/>
  <c r="I18" i="10" s="1"/>
  <c r="G18" i="9"/>
  <c r="F18" i="9"/>
  <c r="Z17" i="9"/>
  <c r="Y17" i="9"/>
  <c r="X17" i="9"/>
  <c r="R17" i="9"/>
  <c r="Q17" i="9"/>
  <c r="S17" i="9" s="1"/>
  <c r="T17" i="9" s="1"/>
  <c r="O17" i="9"/>
  <c r="N17" i="9"/>
  <c r="M17" i="9"/>
  <c r="F17" i="9"/>
  <c r="H17" i="9" s="1"/>
  <c r="Z16" i="9"/>
  <c r="Y16" i="9"/>
  <c r="X16" i="9"/>
  <c r="R16" i="9"/>
  <c r="Q16" i="9"/>
  <c r="S16" i="9" s="1"/>
  <c r="T16" i="9" s="1"/>
  <c r="M16" i="9"/>
  <c r="O16" i="9" s="1"/>
  <c r="P16" i="10" s="1"/>
  <c r="G16" i="9"/>
  <c r="F16" i="9"/>
  <c r="H16" i="9" s="1"/>
  <c r="Z15" i="9"/>
  <c r="Y15" i="9"/>
  <c r="X15" i="9"/>
  <c r="S15" i="9"/>
  <c r="T15" i="9" s="1"/>
  <c r="R15" i="9"/>
  <c r="Q15" i="9"/>
  <c r="N15" i="9"/>
  <c r="M15" i="9"/>
  <c r="O15" i="9" s="1"/>
  <c r="P15" i="10" s="1"/>
  <c r="H15" i="9"/>
  <c r="I15" i="10" s="1"/>
  <c r="G15" i="9"/>
  <c r="F15" i="9"/>
  <c r="Z14" i="9"/>
  <c r="Y14" i="9"/>
  <c r="X14" i="9"/>
  <c r="T14" i="9"/>
  <c r="S14" i="9"/>
  <c r="R14" i="9"/>
  <c r="Q14" i="9"/>
  <c r="O14" i="9"/>
  <c r="P14" i="10" s="1"/>
  <c r="N14" i="9"/>
  <c r="M14" i="9"/>
  <c r="H14" i="9"/>
  <c r="I14" i="10" s="1"/>
  <c r="G14" i="9"/>
  <c r="F14" i="9"/>
  <c r="Z13" i="9"/>
  <c r="Y13" i="9"/>
  <c r="X13" i="9"/>
  <c r="T13" i="9"/>
  <c r="S13" i="9"/>
  <c r="R13" i="9"/>
  <c r="Q13" i="9"/>
  <c r="M13" i="9"/>
  <c r="O13" i="9" s="1"/>
  <c r="H13" i="9"/>
  <c r="G13" i="9"/>
  <c r="F13" i="9"/>
  <c r="Z12" i="9"/>
  <c r="Y12" i="9"/>
  <c r="X12" i="9"/>
  <c r="R12" i="9"/>
  <c r="Q12" i="9"/>
  <c r="S12" i="9" s="1"/>
  <c r="T12" i="9" s="1"/>
  <c r="N12" i="9"/>
  <c r="M12" i="9"/>
  <c r="O12" i="9" s="1"/>
  <c r="P12" i="10" s="1"/>
  <c r="F12" i="9"/>
  <c r="H12" i="9" s="1"/>
  <c r="Z11" i="9"/>
  <c r="Y11" i="9"/>
  <c r="X11" i="9"/>
  <c r="R11" i="9"/>
  <c r="Q11" i="9"/>
  <c r="S11" i="9" s="1"/>
  <c r="T11" i="9" s="1"/>
  <c r="O11" i="9"/>
  <c r="P11" i="10" s="1"/>
  <c r="N11" i="9"/>
  <c r="M11" i="9"/>
  <c r="G11" i="9"/>
  <c r="F11" i="9"/>
  <c r="H11" i="9" s="1"/>
  <c r="Z10" i="9"/>
  <c r="Y10" i="9"/>
  <c r="X10" i="9"/>
  <c r="S10" i="9"/>
  <c r="T10" i="9" s="1"/>
  <c r="R10" i="9"/>
  <c r="Q10" i="9"/>
  <c r="O10" i="9"/>
  <c r="P10" i="10" s="1"/>
  <c r="N10" i="9"/>
  <c r="M10" i="9"/>
  <c r="H10" i="9"/>
  <c r="U10" i="9" s="1"/>
  <c r="W10" i="9" s="1"/>
  <c r="G10" i="9"/>
  <c r="F10" i="9"/>
  <c r="Z9" i="9"/>
  <c r="Y9" i="9"/>
  <c r="X9" i="9"/>
  <c r="R9" i="9"/>
  <c r="Q9" i="9"/>
  <c r="S9" i="9" s="1"/>
  <c r="T9" i="9" s="1"/>
  <c r="O9" i="9"/>
  <c r="N9" i="9"/>
  <c r="M9" i="9"/>
  <c r="F9" i="9"/>
  <c r="H9" i="9" s="1"/>
  <c r="Z8" i="9"/>
  <c r="Y8" i="9"/>
  <c r="X8" i="9"/>
  <c r="R8" i="9"/>
  <c r="Q8" i="9"/>
  <c r="S8" i="9" s="1"/>
  <c r="T8" i="9" s="1"/>
  <c r="M8" i="9"/>
  <c r="O8" i="9" s="1"/>
  <c r="P8" i="10" s="1"/>
  <c r="G8" i="9"/>
  <c r="F8" i="9"/>
  <c r="H8" i="9" s="1"/>
  <c r="Z7" i="9"/>
  <c r="Y7" i="9"/>
  <c r="X7" i="9"/>
  <c r="S7" i="9"/>
  <c r="T7" i="9" s="1"/>
  <c r="R7" i="9"/>
  <c r="Q7" i="9"/>
  <c r="N7" i="9"/>
  <c r="M7" i="9"/>
  <c r="O7" i="9" s="1"/>
  <c r="P7" i="10" s="1"/>
  <c r="H7" i="9"/>
  <c r="I7" i="10" s="1"/>
  <c r="G7" i="9"/>
  <c r="F7" i="9"/>
  <c r="Z6" i="9"/>
  <c r="Y6" i="9"/>
  <c r="X6" i="9"/>
  <c r="T6" i="9"/>
  <c r="S6" i="9"/>
  <c r="R6" i="9"/>
  <c r="Q6" i="9"/>
  <c r="O6" i="9"/>
  <c r="P6" i="10" s="1"/>
  <c r="N6" i="9"/>
  <c r="M6" i="9"/>
  <c r="H6" i="9"/>
  <c r="I6" i="10" s="1"/>
  <c r="G6" i="9"/>
  <c r="F6" i="9"/>
  <c r="Z5" i="9"/>
  <c r="Y5" i="9"/>
  <c r="X5" i="9"/>
  <c r="T5" i="9"/>
  <c r="F85" i="9" s="1"/>
  <c r="S5" i="9"/>
  <c r="R5" i="9"/>
  <c r="Q5" i="9"/>
  <c r="M5" i="9"/>
  <c r="O5" i="9" s="1"/>
  <c r="H5" i="9"/>
  <c r="G5" i="9"/>
  <c r="F5" i="9"/>
  <c r="Z4" i="9"/>
  <c r="Z54" i="9" s="1"/>
  <c r="Y4" i="9"/>
  <c r="Y54" i="9" s="1"/>
  <c r="X4" i="9"/>
  <c r="R4" i="9"/>
  <c r="Q4" i="9"/>
  <c r="Q54" i="9" s="1"/>
  <c r="N4" i="9"/>
  <c r="M4" i="9"/>
  <c r="E89" i="9" s="1"/>
  <c r="F4" i="9"/>
  <c r="C89" i="9" s="1"/>
  <c r="F80" i="8"/>
  <c r="L61" i="8"/>
  <c r="J61" i="8"/>
  <c r="M61" i="8" s="1"/>
  <c r="E61" i="8"/>
  <c r="C61" i="8"/>
  <c r="F61" i="8" s="1"/>
  <c r="L60" i="8"/>
  <c r="M60" i="8" s="1"/>
  <c r="J60" i="8"/>
  <c r="E60" i="8"/>
  <c r="C60" i="8"/>
  <c r="C68" i="9" s="1"/>
  <c r="L59" i="8"/>
  <c r="J59" i="8"/>
  <c r="M59" i="8" s="1"/>
  <c r="E59" i="8"/>
  <c r="C59" i="8"/>
  <c r="L58" i="8"/>
  <c r="J58" i="8"/>
  <c r="E58" i="8"/>
  <c r="C58" i="8"/>
  <c r="F58" i="8" s="1"/>
  <c r="L57" i="8"/>
  <c r="J57" i="8"/>
  <c r="M57" i="8" s="1"/>
  <c r="E57" i="8"/>
  <c r="C57" i="8"/>
  <c r="M54" i="8"/>
  <c r="L54" i="8"/>
  <c r="K54" i="8"/>
  <c r="J54" i="8"/>
  <c r="E65" i="9" s="1"/>
  <c r="E54" i="8"/>
  <c r="D54" i="8"/>
  <c r="C54" i="8"/>
  <c r="F54" i="8" s="1"/>
  <c r="Z53" i="8"/>
  <c r="Y53" i="8"/>
  <c r="X53" i="8"/>
  <c r="R53" i="8"/>
  <c r="Q53" i="8"/>
  <c r="S53" i="8" s="1"/>
  <c r="T53" i="8" s="1"/>
  <c r="O53" i="8"/>
  <c r="P53" i="9" s="1"/>
  <c r="M53" i="8"/>
  <c r="N53" i="8" s="1"/>
  <c r="G53" i="8"/>
  <c r="F53" i="8"/>
  <c r="H53" i="8" s="1"/>
  <c r="Z52" i="8"/>
  <c r="Y52" i="8"/>
  <c r="X52" i="8"/>
  <c r="S52" i="8"/>
  <c r="T52" i="8" s="1"/>
  <c r="R52" i="8"/>
  <c r="Q52" i="8"/>
  <c r="N52" i="8"/>
  <c r="M52" i="8"/>
  <c r="O52" i="8" s="1"/>
  <c r="P52" i="9" s="1"/>
  <c r="H52" i="8"/>
  <c r="G52" i="8"/>
  <c r="F52" i="8"/>
  <c r="Z51" i="8"/>
  <c r="Y51" i="8"/>
  <c r="X51" i="8"/>
  <c r="T51" i="8"/>
  <c r="R51" i="8"/>
  <c r="Q51" i="8"/>
  <c r="S51" i="8" s="1"/>
  <c r="O51" i="8"/>
  <c r="P51" i="9" s="1"/>
  <c r="N51" i="8"/>
  <c r="M51" i="8"/>
  <c r="F51" i="8"/>
  <c r="Z50" i="8"/>
  <c r="Y50" i="8"/>
  <c r="X50" i="8"/>
  <c r="T50" i="8"/>
  <c r="S50" i="8"/>
  <c r="R50" i="8"/>
  <c r="Q50" i="8"/>
  <c r="M50" i="8"/>
  <c r="H50" i="8"/>
  <c r="I50" i="9" s="1"/>
  <c r="G50" i="8"/>
  <c r="F50" i="8"/>
  <c r="Z49" i="8"/>
  <c r="Y49" i="8"/>
  <c r="X49" i="8"/>
  <c r="S49" i="8"/>
  <c r="T49" i="8" s="1"/>
  <c r="R49" i="8"/>
  <c r="Q49" i="8"/>
  <c r="N49" i="8"/>
  <c r="M49" i="8"/>
  <c r="O49" i="8" s="1"/>
  <c r="P49" i="9" s="1"/>
  <c r="H49" i="8"/>
  <c r="F49" i="8"/>
  <c r="G49" i="8" s="1"/>
  <c r="Z48" i="8"/>
  <c r="Y48" i="8"/>
  <c r="X48" i="8"/>
  <c r="T48" i="8"/>
  <c r="R48" i="8"/>
  <c r="Q48" i="8"/>
  <c r="S48" i="8" s="1"/>
  <c r="O48" i="8"/>
  <c r="P48" i="9" s="1"/>
  <c r="N48" i="8"/>
  <c r="M48" i="8"/>
  <c r="G48" i="8"/>
  <c r="F48" i="8"/>
  <c r="H48" i="8" s="1"/>
  <c r="Z47" i="8"/>
  <c r="Y47" i="8"/>
  <c r="X47" i="8"/>
  <c r="S47" i="8"/>
  <c r="T47" i="8" s="1"/>
  <c r="R47" i="8"/>
  <c r="Q47" i="8"/>
  <c r="M47" i="8"/>
  <c r="H47" i="8"/>
  <c r="G47" i="8"/>
  <c r="F47" i="8"/>
  <c r="Z46" i="8"/>
  <c r="Y46" i="8"/>
  <c r="X46" i="8"/>
  <c r="R46" i="8"/>
  <c r="Q46" i="8"/>
  <c r="S46" i="8" s="1"/>
  <c r="T46" i="8" s="1"/>
  <c r="O46" i="8"/>
  <c r="P46" i="9" s="1"/>
  <c r="N46" i="8"/>
  <c r="M46" i="8"/>
  <c r="F46" i="8"/>
  <c r="Z45" i="8"/>
  <c r="Y45" i="8"/>
  <c r="X45" i="8"/>
  <c r="R45" i="8"/>
  <c r="Q45" i="8"/>
  <c r="S45" i="8" s="1"/>
  <c r="T45" i="8" s="1"/>
  <c r="M45" i="8"/>
  <c r="N45" i="8" s="1"/>
  <c r="G45" i="8"/>
  <c r="F45" i="8"/>
  <c r="H45" i="8" s="1"/>
  <c r="Z44" i="8"/>
  <c r="Y44" i="8"/>
  <c r="X44" i="8"/>
  <c r="S44" i="8"/>
  <c r="T44" i="8" s="1"/>
  <c r="R44" i="8"/>
  <c r="Q44" i="8"/>
  <c r="N44" i="8"/>
  <c r="M44" i="8"/>
  <c r="O44" i="8" s="1"/>
  <c r="P44" i="9" s="1"/>
  <c r="H44" i="8"/>
  <c r="G44" i="8"/>
  <c r="F44" i="8"/>
  <c r="Z43" i="8"/>
  <c r="Y43" i="8"/>
  <c r="X43" i="8"/>
  <c r="T43" i="8"/>
  <c r="R43" i="8"/>
  <c r="Q43" i="8"/>
  <c r="S43" i="8" s="1"/>
  <c r="O43" i="8"/>
  <c r="P43" i="9" s="1"/>
  <c r="N43" i="8"/>
  <c r="M43" i="8"/>
  <c r="F43" i="8"/>
  <c r="Z42" i="8"/>
  <c r="Y42" i="8"/>
  <c r="X42" i="8"/>
  <c r="T42" i="8"/>
  <c r="S42" i="8"/>
  <c r="R42" i="8"/>
  <c r="Q42" i="8"/>
  <c r="M42" i="8"/>
  <c r="H42" i="8"/>
  <c r="I42" i="9" s="1"/>
  <c r="G42" i="8"/>
  <c r="F42" i="8"/>
  <c r="Z41" i="8"/>
  <c r="Y41" i="8"/>
  <c r="X41" i="8"/>
  <c r="R41" i="8"/>
  <c r="Q41" i="8"/>
  <c r="S41" i="8" s="1"/>
  <c r="T41" i="8" s="1"/>
  <c r="N41" i="8"/>
  <c r="M41" i="8"/>
  <c r="O41" i="8" s="1"/>
  <c r="P41" i="9" s="1"/>
  <c r="H41" i="8"/>
  <c r="F41" i="8"/>
  <c r="G41" i="8" s="1"/>
  <c r="Z40" i="8"/>
  <c r="Y40" i="8"/>
  <c r="X40" i="8"/>
  <c r="T40" i="8"/>
  <c r="R40" i="8"/>
  <c r="Q40" i="8"/>
  <c r="S40" i="8" s="1"/>
  <c r="O40" i="8"/>
  <c r="P40" i="9" s="1"/>
  <c r="N40" i="8"/>
  <c r="M40" i="8"/>
  <c r="G40" i="8"/>
  <c r="F40" i="8"/>
  <c r="H40" i="8" s="1"/>
  <c r="Z39" i="8"/>
  <c r="Y39" i="8"/>
  <c r="X39" i="8"/>
  <c r="S39" i="8"/>
  <c r="T39" i="8" s="1"/>
  <c r="R39" i="8"/>
  <c r="Q39" i="8"/>
  <c r="M39" i="8"/>
  <c r="H39" i="8"/>
  <c r="I39" i="9" s="1"/>
  <c r="G39" i="8"/>
  <c r="F39" i="8"/>
  <c r="Z38" i="8"/>
  <c r="Y38" i="8"/>
  <c r="X38" i="8"/>
  <c r="R38" i="8"/>
  <c r="Q38" i="8"/>
  <c r="S38" i="8" s="1"/>
  <c r="T38" i="8" s="1"/>
  <c r="O38" i="8"/>
  <c r="P38" i="9" s="1"/>
  <c r="N38" i="8"/>
  <c r="M38" i="8"/>
  <c r="F38" i="8"/>
  <c r="Z37" i="8"/>
  <c r="Y37" i="8"/>
  <c r="X37" i="8"/>
  <c r="R37" i="8"/>
  <c r="Q37" i="8"/>
  <c r="S37" i="8" s="1"/>
  <c r="T37" i="8" s="1"/>
  <c r="M37" i="8"/>
  <c r="G37" i="8"/>
  <c r="F37" i="8"/>
  <c r="H37" i="8" s="1"/>
  <c r="Z36" i="8"/>
  <c r="Y36" i="8"/>
  <c r="X36" i="8"/>
  <c r="S36" i="8"/>
  <c r="T36" i="8" s="1"/>
  <c r="R36" i="8"/>
  <c r="Q36" i="8"/>
  <c r="N36" i="8"/>
  <c r="M36" i="8"/>
  <c r="O36" i="8" s="1"/>
  <c r="P36" i="9" s="1"/>
  <c r="H36" i="8"/>
  <c r="G36" i="8"/>
  <c r="F36" i="8"/>
  <c r="Z35" i="8"/>
  <c r="Y35" i="8"/>
  <c r="X35" i="8"/>
  <c r="T35" i="8"/>
  <c r="R35" i="8"/>
  <c r="Q35" i="8"/>
  <c r="S35" i="8" s="1"/>
  <c r="O35" i="8"/>
  <c r="P35" i="9" s="1"/>
  <c r="N35" i="8"/>
  <c r="M35" i="8"/>
  <c r="F35" i="8"/>
  <c r="Z34" i="8"/>
  <c r="Y34" i="8"/>
  <c r="X34" i="8"/>
  <c r="T34" i="8"/>
  <c r="S34" i="8"/>
  <c r="R34" i="8"/>
  <c r="Q34" i="8"/>
  <c r="M34" i="8"/>
  <c r="H34" i="8"/>
  <c r="I34" i="9" s="1"/>
  <c r="G34" i="8"/>
  <c r="F34" i="8"/>
  <c r="Z33" i="8"/>
  <c r="Y33" i="8"/>
  <c r="X33" i="8"/>
  <c r="S33" i="8"/>
  <c r="T33" i="8" s="1"/>
  <c r="R33" i="8"/>
  <c r="Q33" i="8"/>
  <c r="N33" i="8"/>
  <c r="M33" i="8"/>
  <c r="O33" i="8" s="1"/>
  <c r="P33" i="9" s="1"/>
  <c r="F33" i="8"/>
  <c r="Z32" i="8"/>
  <c r="Y32" i="8"/>
  <c r="X32" i="8"/>
  <c r="T32" i="8"/>
  <c r="R32" i="8"/>
  <c r="Q32" i="8"/>
  <c r="S32" i="8" s="1"/>
  <c r="O32" i="8"/>
  <c r="P32" i="9" s="1"/>
  <c r="N32" i="8"/>
  <c r="M32" i="8"/>
  <c r="G32" i="8"/>
  <c r="F32" i="8"/>
  <c r="H32" i="8" s="1"/>
  <c r="Z31" i="8"/>
  <c r="Y31" i="8"/>
  <c r="X31" i="8"/>
  <c r="S31" i="8"/>
  <c r="T31" i="8" s="1"/>
  <c r="R31" i="8"/>
  <c r="Q31" i="8"/>
  <c r="M31" i="8"/>
  <c r="N31" i="8" s="1"/>
  <c r="H31" i="8"/>
  <c r="G31" i="8"/>
  <c r="F31" i="8"/>
  <c r="Z30" i="8"/>
  <c r="Y30" i="8"/>
  <c r="X30" i="8"/>
  <c r="P30" i="8"/>
  <c r="I30" i="8"/>
  <c r="Z29" i="8"/>
  <c r="Y29" i="8"/>
  <c r="X29" i="8"/>
  <c r="S29" i="8"/>
  <c r="T29" i="8" s="1"/>
  <c r="R29" i="8"/>
  <c r="Q29" i="8"/>
  <c r="N29" i="8"/>
  <c r="M29" i="8"/>
  <c r="O29" i="8" s="1"/>
  <c r="H29" i="8"/>
  <c r="I29" i="9" s="1"/>
  <c r="F29" i="8"/>
  <c r="G29" i="8" s="1"/>
  <c r="Z28" i="8"/>
  <c r="Y28" i="8"/>
  <c r="X28" i="8"/>
  <c r="T28" i="8"/>
  <c r="R28" i="8"/>
  <c r="Q28" i="8"/>
  <c r="S28" i="8" s="1"/>
  <c r="O28" i="8"/>
  <c r="P28" i="9" s="1"/>
  <c r="N28" i="8"/>
  <c r="M28" i="8"/>
  <c r="G28" i="8"/>
  <c r="F28" i="8"/>
  <c r="H28" i="8" s="1"/>
  <c r="Z27" i="8"/>
  <c r="Y27" i="8"/>
  <c r="X27" i="8"/>
  <c r="S27" i="8"/>
  <c r="T27" i="8" s="1"/>
  <c r="R27" i="8"/>
  <c r="Q27" i="8"/>
  <c r="M27" i="8"/>
  <c r="N27" i="8" s="1"/>
  <c r="H27" i="8"/>
  <c r="G27" i="8"/>
  <c r="F27" i="8"/>
  <c r="Z26" i="8"/>
  <c r="Y26" i="8"/>
  <c r="X26" i="8"/>
  <c r="T26" i="8"/>
  <c r="R26" i="8"/>
  <c r="Q26" i="8"/>
  <c r="S26" i="8" s="1"/>
  <c r="O26" i="8"/>
  <c r="P26" i="9" s="1"/>
  <c r="N26" i="8"/>
  <c r="M26" i="8"/>
  <c r="F26" i="8"/>
  <c r="Z25" i="8"/>
  <c r="Y25" i="8"/>
  <c r="X25" i="8"/>
  <c r="R25" i="8"/>
  <c r="Q25" i="8"/>
  <c r="S25" i="8" s="1"/>
  <c r="T25" i="8" s="1"/>
  <c r="M25" i="8"/>
  <c r="N25" i="8" s="1"/>
  <c r="F25" i="8"/>
  <c r="H25" i="8" s="1"/>
  <c r="I25" i="9" s="1"/>
  <c r="Z24" i="8"/>
  <c r="Y24" i="8"/>
  <c r="X24" i="8"/>
  <c r="S24" i="8"/>
  <c r="T24" i="8" s="1"/>
  <c r="R24" i="8"/>
  <c r="Q24" i="8"/>
  <c r="N24" i="8"/>
  <c r="M24" i="8"/>
  <c r="O24" i="8" s="1"/>
  <c r="H24" i="8"/>
  <c r="G24" i="8"/>
  <c r="F24" i="8"/>
  <c r="Z23" i="8"/>
  <c r="Y23" i="8"/>
  <c r="X23" i="8"/>
  <c r="T23" i="8"/>
  <c r="R23" i="8"/>
  <c r="Q23" i="8"/>
  <c r="S23" i="8" s="1"/>
  <c r="O23" i="8"/>
  <c r="P23" i="9" s="1"/>
  <c r="N23" i="8"/>
  <c r="M23" i="8"/>
  <c r="H23" i="8"/>
  <c r="F23" i="8"/>
  <c r="G23" i="8" s="1"/>
  <c r="Z22" i="8"/>
  <c r="Y22" i="8"/>
  <c r="X22" i="8"/>
  <c r="T22" i="8"/>
  <c r="S22" i="8"/>
  <c r="R22" i="8"/>
  <c r="Q22" i="8"/>
  <c r="M22" i="8"/>
  <c r="H22" i="8"/>
  <c r="I22" i="9" s="1"/>
  <c r="G22" i="8"/>
  <c r="F22" i="8"/>
  <c r="Z21" i="8"/>
  <c r="Y21" i="8"/>
  <c r="X21" i="8"/>
  <c r="S21" i="8"/>
  <c r="T21" i="8" s="1"/>
  <c r="R21" i="8"/>
  <c r="Q21" i="8"/>
  <c r="N21" i="8"/>
  <c r="M21" i="8"/>
  <c r="O21" i="8" s="1"/>
  <c r="P21" i="9" s="1"/>
  <c r="F21" i="8"/>
  <c r="Z20" i="8"/>
  <c r="Y20" i="8"/>
  <c r="X20" i="8"/>
  <c r="T20" i="8"/>
  <c r="R20" i="8"/>
  <c r="Q20" i="8"/>
  <c r="S20" i="8" s="1"/>
  <c r="O20" i="8"/>
  <c r="P20" i="9" s="1"/>
  <c r="N20" i="8"/>
  <c r="M20" i="8"/>
  <c r="G20" i="8"/>
  <c r="F20" i="8"/>
  <c r="H20" i="8" s="1"/>
  <c r="Z19" i="8"/>
  <c r="Y19" i="8"/>
  <c r="X19" i="8"/>
  <c r="S19" i="8"/>
  <c r="T19" i="8" s="1"/>
  <c r="R19" i="8"/>
  <c r="Q19" i="8"/>
  <c r="M19" i="8"/>
  <c r="N19" i="8" s="1"/>
  <c r="H19" i="8"/>
  <c r="G19" i="8"/>
  <c r="F19" i="8"/>
  <c r="Z18" i="8"/>
  <c r="Y18" i="8"/>
  <c r="X18" i="8"/>
  <c r="R18" i="8"/>
  <c r="Q18" i="8"/>
  <c r="S18" i="8" s="1"/>
  <c r="T18" i="8" s="1"/>
  <c r="O18" i="8"/>
  <c r="P18" i="9" s="1"/>
  <c r="N18" i="8"/>
  <c r="M18" i="8"/>
  <c r="F18" i="8"/>
  <c r="Z17" i="8"/>
  <c r="Y17" i="8"/>
  <c r="X17" i="8"/>
  <c r="R17" i="8"/>
  <c r="Q17" i="8"/>
  <c r="S17" i="8" s="1"/>
  <c r="T17" i="8" s="1"/>
  <c r="M17" i="8"/>
  <c r="N17" i="8" s="1"/>
  <c r="G17" i="8"/>
  <c r="F17" i="8"/>
  <c r="H17" i="8" s="1"/>
  <c r="I17" i="9" s="1"/>
  <c r="Z16" i="8"/>
  <c r="Y16" i="8"/>
  <c r="X16" i="8"/>
  <c r="S16" i="8"/>
  <c r="T16" i="8" s="1"/>
  <c r="R16" i="8"/>
  <c r="Q16" i="8"/>
  <c r="N16" i="8"/>
  <c r="M16" i="8"/>
  <c r="O16" i="8" s="1"/>
  <c r="H16" i="8"/>
  <c r="G16" i="8"/>
  <c r="F16" i="8"/>
  <c r="Z15" i="8"/>
  <c r="Y15" i="8"/>
  <c r="X15" i="8"/>
  <c r="R15" i="8"/>
  <c r="Q15" i="8"/>
  <c r="S15" i="8" s="1"/>
  <c r="T15" i="8" s="1"/>
  <c r="O15" i="8"/>
  <c r="N15" i="8"/>
  <c r="M15" i="8"/>
  <c r="H15" i="8"/>
  <c r="F15" i="8"/>
  <c r="G15" i="8" s="1"/>
  <c r="Z14" i="8"/>
  <c r="Y14" i="8"/>
  <c r="X14" i="8"/>
  <c r="S14" i="8"/>
  <c r="T14" i="8" s="1"/>
  <c r="R14" i="8"/>
  <c r="Q14" i="8"/>
  <c r="M14" i="8"/>
  <c r="H14" i="8"/>
  <c r="I14" i="9" s="1"/>
  <c r="G14" i="8"/>
  <c r="F14" i="8"/>
  <c r="Z13" i="8"/>
  <c r="Y13" i="8"/>
  <c r="X13" i="8"/>
  <c r="T13" i="8"/>
  <c r="S13" i="8"/>
  <c r="R13" i="8"/>
  <c r="Q13" i="8"/>
  <c r="N13" i="8"/>
  <c r="M13" i="8"/>
  <c r="O13" i="8" s="1"/>
  <c r="H13" i="8"/>
  <c r="F13" i="8"/>
  <c r="G13" i="8" s="1"/>
  <c r="Z12" i="8"/>
  <c r="Y12" i="8"/>
  <c r="X12" i="8"/>
  <c r="R12" i="8"/>
  <c r="Q12" i="8"/>
  <c r="S12" i="8" s="1"/>
  <c r="T12" i="8" s="1"/>
  <c r="O12" i="8"/>
  <c r="P12" i="9" s="1"/>
  <c r="M12" i="8"/>
  <c r="N12" i="8" s="1"/>
  <c r="F12" i="8"/>
  <c r="H12" i="8" s="1"/>
  <c r="Z11" i="8"/>
  <c r="Y11" i="8"/>
  <c r="X11" i="8"/>
  <c r="S11" i="8"/>
  <c r="T11" i="8" s="1"/>
  <c r="R11" i="8"/>
  <c r="Q11" i="8"/>
  <c r="O11" i="8"/>
  <c r="P11" i="9" s="1"/>
  <c r="N11" i="8"/>
  <c r="M11" i="8"/>
  <c r="H11" i="8"/>
  <c r="I11" i="9" s="1"/>
  <c r="G11" i="8"/>
  <c r="F11" i="8"/>
  <c r="Z10" i="8"/>
  <c r="Y10" i="8"/>
  <c r="X10" i="8"/>
  <c r="S10" i="8"/>
  <c r="T10" i="8" s="1"/>
  <c r="R10" i="8"/>
  <c r="Q10" i="8"/>
  <c r="O10" i="8"/>
  <c r="P10" i="9" s="1"/>
  <c r="N10" i="8"/>
  <c r="M10" i="8"/>
  <c r="F10" i="8"/>
  <c r="Z9" i="8"/>
  <c r="Y9" i="8"/>
  <c r="X9" i="8"/>
  <c r="T9" i="8"/>
  <c r="R9" i="8"/>
  <c r="Q9" i="8"/>
  <c r="S9" i="8" s="1"/>
  <c r="M9" i="8"/>
  <c r="N9" i="8" s="1"/>
  <c r="F9" i="8"/>
  <c r="H9" i="8" s="1"/>
  <c r="I9" i="9" s="1"/>
  <c r="Z8" i="8"/>
  <c r="Y8" i="8"/>
  <c r="X8" i="8"/>
  <c r="S8" i="8"/>
  <c r="T8" i="8" s="1"/>
  <c r="R8" i="8"/>
  <c r="Q8" i="8"/>
  <c r="M8" i="8"/>
  <c r="F8" i="8"/>
  <c r="Z7" i="8"/>
  <c r="Y7" i="8"/>
  <c r="X7" i="8"/>
  <c r="T7" i="8"/>
  <c r="R7" i="8"/>
  <c r="Q7" i="8"/>
  <c r="S7" i="8" s="1"/>
  <c r="O7" i="8"/>
  <c r="P7" i="9" s="1"/>
  <c r="N7" i="8"/>
  <c r="M7" i="8"/>
  <c r="H7" i="8"/>
  <c r="F7" i="8"/>
  <c r="G7" i="8" s="1"/>
  <c r="Z6" i="8"/>
  <c r="Y6" i="8"/>
  <c r="X6" i="8"/>
  <c r="S6" i="8"/>
  <c r="T6" i="8" s="1"/>
  <c r="R6" i="8"/>
  <c r="Q6" i="8"/>
  <c r="M6" i="8"/>
  <c r="N6" i="8" s="1"/>
  <c r="H6" i="8"/>
  <c r="I6" i="9" s="1"/>
  <c r="G6" i="8"/>
  <c r="F6" i="8"/>
  <c r="Z5" i="8"/>
  <c r="Y5" i="8"/>
  <c r="Y54" i="8" s="1"/>
  <c r="X5" i="8"/>
  <c r="S5" i="8"/>
  <c r="T5" i="8" s="1"/>
  <c r="R5" i="8"/>
  <c r="Q5" i="8"/>
  <c r="P5" i="8"/>
  <c r="M5" i="8"/>
  <c r="O5" i="8" s="1"/>
  <c r="P5" i="9" s="1"/>
  <c r="F5" i="8"/>
  <c r="Z4" i="8"/>
  <c r="Y4" i="8"/>
  <c r="X4" i="8"/>
  <c r="X54" i="8" s="1"/>
  <c r="R4" i="8"/>
  <c r="Q4" i="8"/>
  <c r="M4" i="8"/>
  <c r="G4" i="8"/>
  <c r="F4" i="8"/>
  <c r="F80" i="7"/>
  <c r="L61" i="7"/>
  <c r="J61" i="7"/>
  <c r="E61" i="7"/>
  <c r="F61" i="7" s="1"/>
  <c r="C61" i="7"/>
  <c r="L60" i="7"/>
  <c r="J60" i="7"/>
  <c r="E60" i="7"/>
  <c r="C60" i="7"/>
  <c r="L59" i="7"/>
  <c r="J59" i="7"/>
  <c r="E59" i="7"/>
  <c r="C59" i="7"/>
  <c r="L58" i="7"/>
  <c r="J58" i="7"/>
  <c r="E58" i="7"/>
  <c r="C58" i="7"/>
  <c r="L57" i="7"/>
  <c r="J57" i="7"/>
  <c r="E57" i="7"/>
  <c r="C57" i="7"/>
  <c r="L54" i="7"/>
  <c r="M54" i="7" s="1"/>
  <c r="K54" i="7"/>
  <c r="J54" i="7"/>
  <c r="F54" i="7"/>
  <c r="E54" i="7"/>
  <c r="D54" i="7"/>
  <c r="R54" i="7" s="1"/>
  <c r="C54" i="7"/>
  <c r="Y53" i="7"/>
  <c r="Z53" i="7" s="1"/>
  <c r="X53" i="7"/>
  <c r="T53" i="7"/>
  <c r="R53" i="7"/>
  <c r="Q53" i="7"/>
  <c r="S53" i="7" s="1"/>
  <c r="M53" i="7"/>
  <c r="F53" i="7"/>
  <c r="H53" i="7" s="1"/>
  <c r="I53" i="8" s="1"/>
  <c r="Z52" i="7"/>
  <c r="Y52" i="7"/>
  <c r="X52" i="7"/>
  <c r="U52" i="7"/>
  <c r="W52" i="7" s="1"/>
  <c r="R52" i="7"/>
  <c r="Q52" i="7"/>
  <c r="S52" i="7" s="1"/>
  <c r="T52" i="7" s="1"/>
  <c r="N52" i="7"/>
  <c r="M52" i="7"/>
  <c r="O52" i="7" s="1"/>
  <c r="P52" i="8" s="1"/>
  <c r="H52" i="7"/>
  <c r="I52" i="8" s="1"/>
  <c r="G52" i="7"/>
  <c r="F52" i="7"/>
  <c r="Z51" i="7"/>
  <c r="Y51" i="7"/>
  <c r="X51" i="7"/>
  <c r="S51" i="7"/>
  <c r="T51" i="7" s="1"/>
  <c r="R51" i="7"/>
  <c r="Q51" i="7"/>
  <c r="O51" i="7"/>
  <c r="P51" i="8" s="1"/>
  <c r="N51" i="7"/>
  <c r="M51" i="7"/>
  <c r="F51" i="7"/>
  <c r="Y50" i="7"/>
  <c r="X50" i="7"/>
  <c r="Z50" i="7" s="1"/>
  <c r="S50" i="7"/>
  <c r="T50" i="7" s="1"/>
  <c r="R50" i="7"/>
  <c r="Q50" i="7"/>
  <c r="M50" i="7"/>
  <c r="N50" i="7" s="1"/>
  <c r="H50" i="7"/>
  <c r="I50" i="8" s="1"/>
  <c r="G50" i="7"/>
  <c r="F50" i="7"/>
  <c r="Y49" i="7"/>
  <c r="Z49" i="7" s="1"/>
  <c r="X49" i="7"/>
  <c r="U49" i="7"/>
  <c r="W49" i="7" s="1"/>
  <c r="R49" i="7"/>
  <c r="Q49" i="7"/>
  <c r="S49" i="7" s="1"/>
  <c r="T49" i="7" s="1"/>
  <c r="M49" i="7"/>
  <c r="O49" i="7" s="1"/>
  <c r="P49" i="8" s="1"/>
  <c r="H49" i="7"/>
  <c r="I49" i="8" s="1"/>
  <c r="F49" i="7"/>
  <c r="G49" i="7" s="1"/>
  <c r="Y48" i="7"/>
  <c r="X48" i="7"/>
  <c r="Z48" i="7" s="1"/>
  <c r="T48" i="7"/>
  <c r="R48" i="7"/>
  <c r="Q48" i="7"/>
  <c r="S48" i="7" s="1"/>
  <c r="M48" i="7"/>
  <c r="F48" i="7"/>
  <c r="H48" i="7" s="1"/>
  <c r="Y47" i="7"/>
  <c r="X47" i="7"/>
  <c r="S47" i="7"/>
  <c r="T47" i="7" s="1"/>
  <c r="R47" i="7"/>
  <c r="Q47" i="7"/>
  <c r="O47" i="7"/>
  <c r="N47" i="7"/>
  <c r="M47" i="7"/>
  <c r="H47" i="7"/>
  <c r="I47" i="8" s="1"/>
  <c r="G47" i="7"/>
  <c r="F47" i="7"/>
  <c r="Y46" i="7"/>
  <c r="Z46" i="7" s="1"/>
  <c r="X46" i="7"/>
  <c r="S46" i="7"/>
  <c r="T46" i="7" s="1"/>
  <c r="R46" i="7"/>
  <c r="Q46" i="7"/>
  <c r="O46" i="7"/>
  <c r="P46" i="8" s="1"/>
  <c r="N46" i="7"/>
  <c r="M46" i="7"/>
  <c r="F46" i="7"/>
  <c r="Y45" i="7"/>
  <c r="X45" i="7"/>
  <c r="Z45" i="7" s="1"/>
  <c r="R45" i="7"/>
  <c r="Q45" i="7"/>
  <c r="S45" i="7" s="1"/>
  <c r="T45" i="7" s="1"/>
  <c r="M45" i="7"/>
  <c r="N45" i="7" s="1"/>
  <c r="G45" i="7"/>
  <c r="F45" i="7"/>
  <c r="H45" i="7" s="1"/>
  <c r="I45" i="8" s="1"/>
  <c r="Y44" i="7"/>
  <c r="Z44" i="7" s="1"/>
  <c r="X44" i="7"/>
  <c r="S44" i="7"/>
  <c r="T44" i="7" s="1"/>
  <c r="R44" i="7"/>
  <c r="Q44" i="7"/>
  <c r="M44" i="7"/>
  <c r="F44" i="7"/>
  <c r="H44" i="7" s="1"/>
  <c r="Z43" i="7"/>
  <c r="Y43" i="7"/>
  <c r="X43" i="7"/>
  <c r="U43" i="7"/>
  <c r="W43" i="7" s="1"/>
  <c r="S43" i="7"/>
  <c r="T43" i="7" s="1"/>
  <c r="R43" i="7"/>
  <c r="Q43" i="7"/>
  <c r="M43" i="7"/>
  <c r="O43" i="7" s="1"/>
  <c r="P43" i="8" s="1"/>
  <c r="F43" i="7"/>
  <c r="H43" i="7" s="1"/>
  <c r="Y42" i="7"/>
  <c r="X42" i="7"/>
  <c r="T42" i="7"/>
  <c r="S42" i="7"/>
  <c r="R42" i="7"/>
  <c r="Q42" i="7"/>
  <c r="M42" i="7"/>
  <c r="O42" i="7" s="1"/>
  <c r="H42" i="7"/>
  <c r="I42" i="8" s="1"/>
  <c r="G42" i="7"/>
  <c r="F42" i="7"/>
  <c r="Y41" i="7"/>
  <c r="Z41" i="7" s="1"/>
  <c r="X41" i="7"/>
  <c r="S41" i="7"/>
  <c r="T41" i="7" s="1"/>
  <c r="R41" i="7"/>
  <c r="Q41" i="7"/>
  <c r="M41" i="7"/>
  <c r="F41" i="7"/>
  <c r="G41" i="7" s="1"/>
  <c r="Y40" i="7"/>
  <c r="Z40" i="7" s="1"/>
  <c r="X40" i="7"/>
  <c r="R40" i="7"/>
  <c r="Q40" i="7"/>
  <c r="S40" i="7" s="1"/>
  <c r="T40" i="7" s="1"/>
  <c r="M40" i="7"/>
  <c r="O40" i="7" s="1"/>
  <c r="P40" i="8" s="1"/>
  <c r="F40" i="7"/>
  <c r="H40" i="7" s="1"/>
  <c r="I40" i="8" s="1"/>
  <c r="Z39" i="7"/>
  <c r="Y39" i="7"/>
  <c r="X39" i="7"/>
  <c r="S39" i="7"/>
  <c r="T39" i="7" s="1"/>
  <c r="R39" i="7"/>
  <c r="Q39" i="7"/>
  <c r="O39" i="7"/>
  <c r="N39" i="7"/>
  <c r="M39" i="7"/>
  <c r="H39" i="7"/>
  <c r="I39" i="8" s="1"/>
  <c r="G39" i="7"/>
  <c r="F39" i="7"/>
  <c r="Y38" i="7"/>
  <c r="Z38" i="7" s="1"/>
  <c r="X38" i="7"/>
  <c r="S38" i="7"/>
  <c r="T38" i="7" s="1"/>
  <c r="R38" i="7"/>
  <c r="Q38" i="7"/>
  <c r="O38" i="7"/>
  <c r="P38" i="8" s="1"/>
  <c r="N38" i="7"/>
  <c r="M38" i="7"/>
  <c r="H38" i="7"/>
  <c r="G38" i="7"/>
  <c r="F38" i="7"/>
  <c r="Y37" i="7"/>
  <c r="Z37" i="7" s="1"/>
  <c r="X37" i="7"/>
  <c r="S37" i="7"/>
  <c r="T37" i="7" s="1"/>
  <c r="R37" i="7"/>
  <c r="Q37" i="7"/>
  <c r="O37" i="7"/>
  <c r="M37" i="7"/>
  <c r="N37" i="7" s="1"/>
  <c r="F37" i="7"/>
  <c r="Y36" i="7"/>
  <c r="Z36" i="7" s="1"/>
  <c r="X36" i="7"/>
  <c r="S36" i="7"/>
  <c r="T36" i="7" s="1"/>
  <c r="R36" i="7"/>
  <c r="Q36" i="7"/>
  <c r="N36" i="7"/>
  <c r="M36" i="7"/>
  <c r="O36" i="7" s="1"/>
  <c r="P36" i="8" s="1"/>
  <c r="F36" i="7"/>
  <c r="Y35" i="7"/>
  <c r="X35" i="7"/>
  <c r="Z35" i="7" s="1"/>
  <c r="S35" i="7"/>
  <c r="T35" i="7" s="1"/>
  <c r="R35" i="7"/>
  <c r="Q35" i="7"/>
  <c r="O35" i="7"/>
  <c r="P35" i="8" s="1"/>
  <c r="N35" i="7"/>
  <c r="M35" i="7"/>
  <c r="F35" i="7"/>
  <c r="Y34" i="7"/>
  <c r="X34" i="7"/>
  <c r="Z34" i="7" s="1"/>
  <c r="T34" i="7"/>
  <c r="S34" i="7"/>
  <c r="R34" i="7"/>
  <c r="Q34" i="7"/>
  <c r="O34" i="7"/>
  <c r="U34" i="7" s="1"/>
  <c r="W34" i="7" s="1"/>
  <c r="N34" i="7"/>
  <c r="M34" i="7"/>
  <c r="H34" i="7"/>
  <c r="I34" i="8" s="1"/>
  <c r="G34" i="7"/>
  <c r="F34" i="7"/>
  <c r="Y33" i="7"/>
  <c r="X33" i="7"/>
  <c r="Z33" i="7" s="1"/>
  <c r="S33" i="7"/>
  <c r="T33" i="7" s="1"/>
  <c r="R33" i="7"/>
  <c r="Q33" i="7"/>
  <c r="O33" i="7"/>
  <c r="P33" i="8" s="1"/>
  <c r="N33" i="7"/>
  <c r="M33" i="7"/>
  <c r="F33" i="7"/>
  <c r="Y32" i="7"/>
  <c r="X32" i="7"/>
  <c r="Z32" i="7" s="1"/>
  <c r="R32" i="7"/>
  <c r="Q32" i="7"/>
  <c r="S32" i="7" s="1"/>
  <c r="T32" i="7" s="1"/>
  <c r="O32" i="7"/>
  <c r="P32" i="8" s="1"/>
  <c r="N32" i="7"/>
  <c r="M32" i="7"/>
  <c r="F32" i="7"/>
  <c r="H32" i="7" s="1"/>
  <c r="I32" i="8" s="1"/>
  <c r="Z31" i="7"/>
  <c r="Y31" i="7"/>
  <c r="X31" i="7"/>
  <c r="R31" i="7"/>
  <c r="Q31" i="7"/>
  <c r="S31" i="7" s="1"/>
  <c r="T31" i="7" s="1"/>
  <c r="M31" i="7"/>
  <c r="O31" i="7" s="1"/>
  <c r="H31" i="7"/>
  <c r="I31" i="8" s="1"/>
  <c r="G31" i="7"/>
  <c r="F31" i="7"/>
  <c r="P30" i="7"/>
  <c r="I30" i="7"/>
  <c r="Y29" i="7"/>
  <c r="Z29" i="7" s="1"/>
  <c r="X29" i="7"/>
  <c r="S29" i="7"/>
  <c r="T29" i="7" s="1"/>
  <c r="R29" i="7"/>
  <c r="Q29" i="7"/>
  <c r="N29" i="7"/>
  <c r="M29" i="7"/>
  <c r="O29" i="7" s="1"/>
  <c r="P29" i="8" s="1"/>
  <c r="F29" i="7"/>
  <c r="Y28" i="7"/>
  <c r="X28" i="7"/>
  <c r="Z28" i="7" s="1"/>
  <c r="S28" i="7"/>
  <c r="T28" i="7" s="1"/>
  <c r="R28" i="7"/>
  <c r="Q28" i="7"/>
  <c r="O28" i="7"/>
  <c r="P28" i="8" s="1"/>
  <c r="N28" i="7"/>
  <c r="M28" i="7"/>
  <c r="F28" i="7"/>
  <c r="Y27" i="7"/>
  <c r="X27" i="7"/>
  <c r="Z27" i="7" s="1"/>
  <c r="T27" i="7"/>
  <c r="S27" i="7"/>
  <c r="R27" i="7"/>
  <c r="Q27" i="7"/>
  <c r="O27" i="7"/>
  <c r="N27" i="7"/>
  <c r="M27" i="7"/>
  <c r="H27" i="7"/>
  <c r="I27" i="8" s="1"/>
  <c r="G27" i="7"/>
  <c r="F27" i="7"/>
  <c r="Y26" i="7"/>
  <c r="X26" i="7"/>
  <c r="Z26" i="7" s="1"/>
  <c r="S26" i="7"/>
  <c r="T26" i="7" s="1"/>
  <c r="R26" i="7"/>
  <c r="Q26" i="7"/>
  <c r="O26" i="7"/>
  <c r="P26" i="8" s="1"/>
  <c r="N26" i="7"/>
  <c r="M26" i="7"/>
  <c r="F26" i="7"/>
  <c r="Y25" i="7"/>
  <c r="X25" i="7"/>
  <c r="Z25" i="7" s="1"/>
  <c r="R25" i="7"/>
  <c r="Q25" i="7"/>
  <c r="S25" i="7" s="1"/>
  <c r="T25" i="7" s="1"/>
  <c r="O25" i="7"/>
  <c r="N25" i="7"/>
  <c r="M25" i="7"/>
  <c r="F25" i="7"/>
  <c r="H25" i="7" s="1"/>
  <c r="I25" i="8" s="1"/>
  <c r="Z24" i="7"/>
  <c r="Y24" i="7"/>
  <c r="X24" i="7"/>
  <c r="R24" i="7"/>
  <c r="Q24" i="7"/>
  <c r="S24" i="7" s="1"/>
  <c r="T24" i="7" s="1"/>
  <c r="M24" i="7"/>
  <c r="O24" i="7" s="1"/>
  <c r="P24" i="8" s="1"/>
  <c r="H24" i="7"/>
  <c r="I24" i="8" s="1"/>
  <c r="G24" i="7"/>
  <c r="F24" i="7"/>
  <c r="Y23" i="7"/>
  <c r="Z23" i="7" s="1"/>
  <c r="X23" i="7"/>
  <c r="T23" i="7"/>
  <c r="S23" i="7"/>
  <c r="R23" i="7"/>
  <c r="Q23" i="7"/>
  <c r="O23" i="7"/>
  <c r="P23" i="8" s="1"/>
  <c r="N23" i="7"/>
  <c r="M23" i="7"/>
  <c r="H23" i="7"/>
  <c r="G23" i="7"/>
  <c r="F23" i="7"/>
  <c r="Y22" i="7"/>
  <c r="Z22" i="7" s="1"/>
  <c r="X22" i="7"/>
  <c r="T22" i="7"/>
  <c r="S22" i="7"/>
  <c r="R22" i="7"/>
  <c r="Q22" i="7"/>
  <c r="O22" i="7"/>
  <c r="M22" i="7"/>
  <c r="N22" i="7" s="1"/>
  <c r="H22" i="7"/>
  <c r="I22" i="8" s="1"/>
  <c r="G22" i="7"/>
  <c r="F22" i="7"/>
  <c r="Y21" i="7"/>
  <c r="Z21" i="7" s="1"/>
  <c r="X21" i="7"/>
  <c r="T21" i="7"/>
  <c r="S21" i="7"/>
  <c r="R21" i="7"/>
  <c r="Q21" i="7"/>
  <c r="N21" i="7"/>
  <c r="M21" i="7"/>
  <c r="O21" i="7" s="1"/>
  <c r="P21" i="8" s="1"/>
  <c r="H21" i="7"/>
  <c r="G21" i="7"/>
  <c r="F21" i="7"/>
  <c r="Y20" i="7"/>
  <c r="X20" i="7"/>
  <c r="Z20" i="7" s="1"/>
  <c r="T20" i="7"/>
  <c r="S20" i="7"/>
  <c r="R20" i="7"/>
  <c r="Q20" i="7"/>
  <c r="O20" i="7"/>
  <c r="M20" i="7"/>
  <c r="N20" i="7" s="1"/>
  <c r="H20" i="7"/>
  <c r="I20" i="8" s="1"/>
  <c r="G20" i="7"/>
  <c r="F20" i="7"/>
  <c r="Y19" i="7"/>
  <c r="Z19" i="7" s="1"/>
  <c r="X19" i="7"/>
  <c r="R19" i="7"/>
  <c r="Q19" i="7"/>
  <c r="S19" i="7" s="1"/>
  <c r="T19" i="7" s="1"/>
  <c r="M19" i="7"/>
  <c r="F19" i="7"/>
  <c r="H19" i="7" s="1"/>
  <c r="Z18" i="7"/>
  <c r="Y18" i="7"/>
  <c r="X18" i="7"/>
  <c r="R18" i="7"/>
  <c r="Q18" i="7"/>
  <c r="S18" i="7" s="1"/>
  <c r="T18" i="7" s="1"/>
  <c r="O18" i="7"/>
  <c r="P18" i="8" s="1"/>
  <c r="N18" i="7"/>
  <c r="M18" i="7"/>
  <c r="F18" i="7"/>
  <c r="Y17" i="7"/>
  <c r="X17" i="7"/>
  <c r="Z17" i="7" s="1"/>
  <c r="S17" i="7"/>
  <c r="T17" i="7" s="1"/>
  <c r="R17" i="7"/>
  <c r="Q17" i="7"/>
  <c r="O17" i="7"/>
  <c r="N17" i="7"/>
  <c r="M17" i="7"/>
  <c r="H17" i="7"/>
  <c r="I17" i="8" s="1"/>
  <c r="G17" i="7"/>
  <c r="F17" i="7"/>
  <c r="Y16" i="7"/>
  <c r="Z16" i="7" s="1"/>
  <c r="X16" i="7"/>
  <c r="S16" i="7"/>
  <c r="T16" i="7" s="1"/>
  <c r="R16" i="7"/>
  <c r="Q16" i="7"/>
  <c r="Q60" i="7" s="1"/>
  <c r="O16" i="7"/>
  <c r="P16" i="8" s="1"/>
  <c r="N16" i="7"/>
  <c r="M16" i="7"/>
  <c r="H16" i="7"/>
  <c r="F16" i="7"/>
  <c r="G16" i="7" s="1"/>
  <c r="Z15" i="7"/>
  <c r="Y15" i="7"/>
  <c r="X15" i="7"/>
  <c r="R15" i="7"/>
  <c r="Q15" i="7"/>
  <c r="S15" i="7" s="1"/>
  <c r="T15" i="7" s="1"/>
  <c r="M15" i="7"/>
  <c r="O15" i="7" s="1"/>
  <c r="P15" i="8" s="1"/>
  <c r="F15" i="7"/>
  <c r="Z14" i="7"/>
  <c r="Y14" i="7"/>
  <c r="X14" i="7"/>
  <c r="S14" i="7"/>
  <c r="T14" i="7" s="1"/>
  <c r="R14" i="7"/>
  <c r="Q14" i="7"/>
  <c r="M14" i="7"/>
  <c r="H14" i="7"/>
  <c r="I14" i="8" s="1"/>
  <c r="G14" i="7"/>
  <c r="F14" i="7"/>
  <c r="Y13" i="7"/>
  <c r="X13" i="7"/>
  <c r="Z13" i="7" s="1"/>
  <c r="S13" i="7"/>
  <c r="T13" i="7" s="1"/>
  <c r="R13" i="7"/>
  <c r="Q13" i="7"/>
  <c r="O13" i="7"/>
  <c r="P13" i="8" s="1"/>
  <c r="N13" i="7"/>
  <c r="M13" i="7"/>
  <c r="H13" i="7"/>
  <c r="G13" i="7"/>
  <c r="F13" i="7"/>
  <c r="Y12" i="7"/>
  <c r="X12" i="7"/>
  <c r="Z12" i="7" s="1"/>
  <c r="T12" i="7"/>
  <c r="S12" i="7"/>
  <c r="R12" i="7"/>
  <c r="Q12" i="7"/>
  <c r="O12" i="7"/>
  <c r="M12" i="7"/>
  <c r="N12" i="7" s="1"/>
  <c r="H12" i="7"/>
  <c r="I12" i="8" s="1"/>
  <c r="G12" i="7"/>
  <c r="F12" i="7"/>
  <c r="Y11" i="7"/>
  <c r="Z11" i="7" s="1"/>
  <c r="X11" i="7"/>
  <c r="U11" i="7"/>
  <c r="W11" i="7" s="1"/>
  <c r="R11" i="7"/>
  <c r="Q11" i="7"/>
  <c r="S11" i="7" s="1"/>
  <c r="T11" i="7" s="1"/>
  <c r="M11" i="7"/>
  <c r="O11" i="7" s="1"/>
  <c r="P11" i="8" s="1"/>
  <c r="F11" i="7"/>
  <c r="H11" i="7" s="1"/>
  <c r="I11" i="8" s="1"/>
  <c r="Z10" i="7"/>
  <c r="Y10" i="7"/>
  <c r="X10" i="7"/>
  <c r="R10" i="7"/>
  <c r="Q10" i="7"/>
  <c r="O10" i="7"/>
  <c r="P10" i="8" s="1"/>
  <c r="N10" i="7"/>
  <c r="M10" i="7"/>
  <c r="F10" i="7"/>
  <c r="Y9" i="7"/>
  <c r="X9" i="7"/>
  <c r="Z9" i="7" s="1"/>
  <c r="S9" i="7"/>
  <c r="T9" i="7" s="1"/>
  <c r="R9" i="7"/>
  <c r="Q9" i="7"/>
  <c r="O9" i="7"/>
  <c r="N9" i="7"/>
  <c r="M9" i="7"/>
  <c r="H9" i="7"/>
  <c r="I9" i="8" s="1"/>
  <c r="G9" i="7"/>
  <c r="F9" i="7"/>
  <c r="Z8" i="7"/>
  <c r="Y8" i="7"/>
  <c r="X8" i="7"/>
  <c r="S8" i="7"/>
  <c r="T8" i="7" s="1"/>
  <c r="R8" i="7"/>
  <c r="Q8" i="7"/>
  <c r="O8" i="7"/>
  <c r="N8" i="7"/>
  <c r="M8" i="7"/>
  <c r="F8" i="7"/>
  <c r="Z7" i="7"/>
  <c r="Y7" i="7"/>
  <c r="X7" i="7"/>
  <c r="R7" i="7"/>
  <c r="Q7" i="7"/>
  <c r="S7" i="7" s="1"/>
  <c r="T7" i="7" s="1"/>
  <c r="M7" i="7"/>
  <c r="O7" i="7" s="1"/>
  <c r="P7" i="8" s="1"/>
  <c r="F7" i="7"/>
  <c r="H7" i="7" s="1"/>
  <c r="Z6" i="7"/>
  <c r="Y6" i="7"/>
  <c r="X6" i="7"/>
  <c r="S6" i="7"/>
  <c r="T6" i="7" s="1"/>
  <c r="R6" i="7"/>
  <c r="Q6" i="7"/>
  <c r="M6" i="7"/>
  <c r="H6" i="7"/>
  <c r="I6" i="8" s="1"/>
  <c r="G6" i="7"/>
  <c r="F6" i="7"/>
  <c r="Y5" i="7"/>
  <c r="X5" i="7"/>
  <c r="Z5" i="7" s="1"/>
  <c r="S5" i="7"/>
  <c r="T5" i="7" s="1"/>
  <c r="R5" i="7"/>
  <c r="Q5" i="7"/>
  <c r="O5" i="7"/>
  <c r="N5" i="7"/>
  <c r="M5" i="7"/>
  <c r="H5" i="7"/>
  <c r="G5" i="7"/>
  <c r="F5" i="7"/>
  <c r="Y4" i="7"/>
  <c r="X4" i="7"/>
  <c r="T4" i="7"/>
  <c r="S4" i="7"/>
  <c r="R4" i="7"/>
  <c r="Q4" i="7"/>
  <c r="Q57" i="7" s="1"/>
  <c r="S57" i="7" s="1"/>
  <c r="M4" i="7"/>
  <c r="H4" i="7"/>
  <c r="G4" i="7"/>
  <c r="F4" i="7"/>
  <c r="F80" i="6"/>
  <c r="L61" i="6"/>
  <c r="J61" i="6"/>
  <c r="E61" i="6"/>
  <c r="C61" i="6"/>
  <c r="L60" i="6"/>
  <c r="J60" i="6"/>
  <c r="E60" i="6"/>
  <c r="C60" i="6"/>
  <c r="L59" i="6"/>
  <c r="J59" i="6"/>
  <c r="E67" i="7" s="1"/>
  <c r="E59" i="6"/>
  <c r="C59" i="6"/>
  <c r="C67" i="6" s="1"/>
  <c r="L58" i="6"/>
  <c r="J58" i="6"/>
  <c r="E58" i="6"/>
  <c r="C58" i="6"/>
  <c r="F58" i="6" s="1"/>
  <c r="L57" i="6"/>
  <c r="J57" i="6"/>
  <c r="E57" i="6"/>
  <c r="C57" i="6"/>
  <c r="L54" i="6"/>
  <c r="M54" i="6" s="1"/>
  <c r="K54" i="6"/>
  <c r="J54" i="6"/>
  <c r="E65" i="7" s="1"/>
  <c r="E54" i="6"/>
  <c r="D54" i="6"/>
  <c r="C54" i="6"/>
  <c r="Y53" i="6"/>
  <c r="Z53" i="6" s="1"/>
  <c r="X53" i="6"/>
  <c r="R53" i="6"/>
  <c r="Q53" i="6"/>
  <c r="S53" i="6" s="1"/>
  <c r="T53" i="6" s="1"/>
  <c r="O53" i="6"/>
  <c r="U53" i="6" s="1"/>
  <c r="W53" i="6" s="1"/>
  <c r="N53" i="6"/>
  <c r="M53" i="6"/>
  <c r="G53" i="6"/>
  <c r="F53" i="6"/>
  <c r="H53" i="6" s="1"/>
  <c r="I53" i="7" s="1"/>
  <c r="Z52" i="6"/>
  <c r="Y52" i="6"/>
  <c r="X52" i="6"/>
  <c r="S52" i="6"/>
  <c r="T52" i="6" s="1"/>
  <c r="R52" i="6"/>
  <c r="Q52" i="6"/>
  <c r="O52" i="6"/>
  <c r="P52" i="7" s="1"/>
  <c r="N52" i="6"/>
  <c r="M52" i="6"/>
  <c r="F52" i="6"/>
  <c r="H52" i="6" s="1"/>
  <c r="Y51" i="6"/>
  <c r="X51" i="6"/>
  <c r="R51" i="6"/>
  <c r="Q51" i="6"/>
  <c r="S51" i="6" s="1"/>
  <c r="T51" i="6" s="1"/>
  <c r="O51" i="6"/>
  <c r="P51" i="7" s="1"/>
  <c r="N51" i="6"/>
  <c r="M51" i="6"/>
  <c r="F51" i="6"/>
  <c r="H51" i="6" s="1"/>
  <c r="Y50" i="6"/>
  <c r="X50" i="6"/>
  <c r="R50" i="6"/>
  <c r="Q50" i="6"/>
  <c r="S50" i="6" s="1"/>
  <c r="T50" i="6" s="1"/>
  <c r="O50" i="6"/>
  <c r="M50" i="6"/>
  <c r="N50" i="6" s="1"/>
  <c r="F50" i="6"/>
  <c r="H50" i="6" s="1"/>
  <c r="Y49" i="6"/>
  <c r="X49" i="6"/>
  <c r="S49" i="6"/>
  <c r="T49" i="6" s="1"/>
  <c r="R49" i="6"/>
  <c r="Q49" i="6"/>
  <c r="O49" i="6"/>
  <c r="P49" i="7" s="1"/>
  <c r="N49" i="6"/>
  <c r="M49" i="6"/>
  <c r="H49" i="6"/>
  <c r="I49" i="7" s="1"/>
  <c r="G49" i="6"/>
  <c r="F49" i="6"/>
  <c r="Z48" i="6"/>
  <c r="Y48" i="6"/>
  <c r="X48" i="6"/>
  <c r="R48" i="6"/>
  <c r="Q48" i="6"/>
  <c r="S48" i="6" s="1"/>
  <c r="T48" i="6" s="1"/>
  <c r="O48" i="6"/>
  <c r="N48" i="6"/>
  <c r="M48" i="6"/>
  <c r="F48" i="6"/>
  <c r="Y47" i="6"/>
  <c r="Z47" i="6" s="1"/>
  <c r="X47" i="6"/>
  <c r="R47" i="6"/>
  <c r="Q47" i="6"/>
  <c r="S47" i="6" s="1"/>
  <c r="T47" i="6" s="1"/>
  <c r="M47" i="6"/>
  <c r="O47" i="6" s="1"/>
  <c r="P47" i="7" s="1"/>
  <c r="G47" i="6"/>
  <c r="F47" i="6"/>
  <c r="H47" i="6" s="1"/>
  <c r="Z46" i="6"/>
  <c r="Y46" i="6"/>
  <c r="X46" i="6"/>
  <c r="S46" i="6"/>
  <c r="T46" i="6" s="1"/>
  <c r="R46" i="6"/>
  <c r="Q46" i="6"/>
  <c r="M46" i="6"/>
  <c r="O46" i="6" s="1"/>
  <c r="P46" i="7" s="1"/>
  <c r="H46" i="6"/>
  <c r="F46" i="6"/>
  <c r="G46" i="6" s="1"/>
  <c r="Y45" i="6"/>
  <c r="X45" i="6"/>
  <c r="Z45" i="6" s="1"/>
  <c r="T45" i="6"/>
  <c r="S45" i="6"/>
  <c r="R45" i="6"/>
  <c r="Q45" i="6"/>
  <c r="O45" i="6"/>
  <c r="N45" i="6"/>
  <c r="M45" i="6"/>
  <c r="H45" i="6"/>
  <c r="I45" i="7" s="1"/>
  <c r="G45" i="6"/>
  <c r="F45" i="6"/>
  <c r="Y44" i="6"/>
  <c r="X44" i="6"/>
  <c r="Z44" i="6" s="1"/>
  <c r="S44" i="6"/>
  <c r="T44" i="6" s="1"/>
  <c r="R44" i="6"/>
  <c r="Q44" i="6"/>
  <c r="M44" i="6"/>
  <c r="H44" i="6"/>
  <c r="I44" i="7" s="1"/>
  <c r="G44" i="6"/>
  <c r="F44" i="6"/>
  <c r="Y43" i="6"/>
  <c r="Z43" i="6" s="1"/>
  <c r="X43" i="6"/>
  <c r="T43" i="6"/>
  <c r="R43" i="6"/>
  <c r="Q43" i="6"/>
  <c r="S43" i="6" s="1"/>
  <c r="N43" i="6"/>
  <c r="M43" i="6"/>
  <c r="O43" i="6" s="1"/>
  <c r="P43" i="7" s="1"/>
  <c r="F43" i="6"/>
  <c r="H43" i="6" s="1"/>
  <c r="Y42" i="6"/>
  <c r="X42" i="6"/>
  <c r="Z42" i="6" s="1"/>
  <c r="U42" i="6"/>
  <c r="W42" i="6" s="1"/>
  <c r="R42" i="6"/>
  <c r="Q42" i="6"/>
  <c r="S42" i="6" s="1"/>
  <c r="T42" i="6" s="1"/>
  <c r="O42" i="6"/>
  <c r="P42" i="7" s="1"/>
  <c r="M42" i="6"/>
  <c r="N42" i="6" s="1"/>
  <c r="F42" i="6"/>
  <c r="H42" i="6" s="1"/>
  <c r="I42" i="7" s="1"/>
  <c r="Y41" i="6"/>
  <c r="X41" i="6"/>
  <c r="Z41" i="6" s="1"/>
  <c r="S41" i="6"/>
  <c r="T41" i="6" s="1"/>
  <c r="R41" i="6"/>
  <c r="Q41" i="6"/>
  <c r="O41" i="6"/>
  <c r="N41" i="6"/>
  <c r="M41" i="6"/>
  <c r="H41" i="6"/>
  <c r="G41" i="6"/>
  <c r="F41" i="6"/>
  <c r="Z40" i="6"/>
  <c r="Y40" i="6"/>
  <c r="X40" i="6"/>
  <c r="R40" i="6"/>
  <c r="Q40" i="6"/>
  <c r="S40" i="6" s="1"/>
  <c r="T40" i="6" s="1"/>
  <c r="O40" i="6"/>
  <c r="P40" i="7" s="1"/>
  <c r="N40" i="6"/>
  <c r="M40" i="6"/>
  <c r="F40" i="6"/>
  <c r="Y39" i="6"/>
  <c r="Z39" i="6" s="1"/>
  <c r="X39" i="6"/>
  <c r="R39" i="6"/>
  <c r="Q39" i="6"/>
  <c r="S39" i="6" s="1"/>
  <c r="T39" i="6" s="1"/>
  <c r="P39" i="6"/>
  <c r="M39" i="6"/>
  <c r="O39" i="6" s="1"/>
  <c r="P39" i="7" s="1"/>
  <c r="G39" i="6"/>
  <c r="F39" i="6"/>
  <c r="H39" i="6" s="1"/>
  <c r="Z38" i="6"/>
  <c r="Y38" i="6"/>
  <c r="X38" i="6"/>
  <c r="S38" i="6"/>
  <c r="T38" i="6" s="1"/>
  <c r="R38" i="6"/>
  <c r="Q38" i="6"/>
  <c r="M38" i="6"/>
  <c r="O38" i="6" s="1"/>
  <c r="P38" i="7" s="1"/>
  <c r="H38" i="6"/>
  <c r="F38" i="6"/>
  <c r="G38" i="6" s="1"/>
  <c r="Y37" i="6"/>
  <c r="X37" i="6"/>
  <c r="Z37" i="6" s="1"/>
  <c r="T37" i="6"/>
  <c r="S37" i="6"/>
  <c r="R37" i="6"/>
  <c r="Q37" i="6"/>
  <c r="O37" i="6"/>
  <c r="P37" i="7" s="1"/>
  <c r="N37" i="6"/>
  <c r="M37" i="6"/>
  <c r="H37" i="6"/>
  <c r="U37" i="6" s="1"/>
  <c r="W37" i="6" s="1"/>
  <c r="G37" i="6"/>
  <c r="F37" i="6"/>
  <c r="Y36" i="6"/>
  <c r="X36" i="6"/>
  <c r="Z36" i="6" s="1"/>
  <c r="S36" i="6"/>
  <c r="T36" i="6" s="1"/>
  <c r="R36" i="6"/>
  <c r="Q36" i="6"/>
  <c r="M36" i="6"/>
  <c r="H36" i="6"/>
  <c r="G36" i="6"/>
  <c r="F36" i="6"/>
  <c r="Y35" i="6"/>
  <c r="Z35" i="6" s="1"/>
  <c r="X35" i="6"/>
  <c r="T35" i="6"/>
  <c r="R35" i="6"/>
  <c r="Q35" i="6"/>
  <c r="S35" i="6" s="1"/>
  <c r="N35" i="6"/>
  <c r="M35" i="6"/>
  <c r="O35" i="6" s="1"/>
  <c r="P35" i="7" s="1"/>
  <c r="F35" i="6"/>
  <c r="H35" i="6" s="1"/>
  <c r="Y34" i="6"/>
  <c r="X34" i="6"/>
  <c r="Z34" i="6" s="1"/>
  <c r="U34" i="6"/>
  <c r="W34" i="6" s="1"/>
  <c r="R34" i="6"/>
  <c r="Q34" i="6"/>
  <c r="S34" i="6" s="1"/>
  <c r="T34" i="6" s="1"/>
  <c r="O34" i="6"/>
  <c r="P34" i="7" s="1"/>
  <c r="M34" i="6"/>
  <c r="N34" i="6" s="1"/>
  <c r="F34" i="6"/>
  <c r="H34" i="6" s="1"/>
  <c r="I34" i="7" s="1"/>
  <c r="Y33" i="6"/>
  <c r="X33" i="6"/>
  <c r="Z33" i="6" s="1"/>
  <c r="S33" i="6"/>
  <c r="T33" i="6" s="1"/>
  <c r="R33" i="6"/>
  <c r="Q33" i="6"/>
  <c r="O33" i="6"/>
  <c r="P33" i="7" s="1"/>
  <c r="N33" i="6"/>
  <c r="M33" i="6"/>
  <c r="H33" i="6"/>
  <c r="G33" i="6"/>
  <c r="F33" i="6"/>
  <c r="Z32" i="6"/>
  <c r="Y32" i="6"/>
  <c r="X32" i="6"/>
  <c r="R32" i="6"/>
  <c r="Q32" i="6"/>
  <c r="S32" i="6" s="1"/>
  <c r="T32" i="6" s="1"/>
  <c r="O32" i="6"/>
  <c r="P32" i="7" s="1"/>
  <c r="N32" i="6"/>
  <c r="M32" i="6"/>
  <c r="F32" i="6"/>
  <c r="Y31" i="6"/>
  <c r="Z31" i="6" s="1"/>
  <c r="X31" i="6"/>
  <c r="R31" i="6"/>
  <c r="Q31" i="6"/>
  <c r="S31" i="6" s="1"/>
  <c r="T31" i="6" s="1"/>
  <c r="M31" i="6"/>
  <c r="O31" i="6" s="1"/>
  <c r="P31" i="7" s="1"/>
  <c r="G31" i="6"/>
  <c r="F31" i="6"/>
  <c r="H31" i="6" s="1"/>
  <c r="Z30" i="6"/>
  <c r="Y30" i="6"/>
  <c r="X30" i="6"/>
  <c r="P30" i="6"/>
  <c r="I30" i="6"/>
  <c r="Y29" i="6"/>
  <c r="X29" i="6"/>
  <c r="S29" i="6"/>
  <c r="T29" i="6" s="1"/>
  <c r="R29" i="6"/>
  <c r="Q29" i="6"/>
  <c r="P29" i="6"/>
  <c r="O29" i="6"/>
  <c r="P29" i="7" s="1"/>
  <c r="N29" i="6"/>
  <c r="M29" i="6"/>
  <c r="H29" i="6"/>
  <c r="G29" i="6"/>
  <c r="F29" i="6"/>
  <c r="Y28" i="6"/>
  <c r="X28" i="6"/>
  <c r="Z28" i="6" s="1"/>
  <c r="R28" i="6"/>
  <c r="Q28" i="6"/>
  <c r="S28" i="6" s="1"/>
  <c r="T28" i="6" s="1"/>
  <c r="O28" i="6"/>
  <c r="P28" i="7" s="1"/>
  <c r="N28" i="6"/>
  <c r="M28" i="6"/>
  <c r="F28" i="6"/>
  <c r="Y27" i="6"/>
  <c r="Z27" i="6" s="1"/>
  <c r="X27" i="6"/>
  <c r="R27" i="6"/>
  <c r="Q27" i="6"/>
  <c r="S27" i="6" s="1"/>
  <c r="T27" i="6" s="1"/>
  <c r="M27" i="6"/>
  <c r="O27" i="6" s="1"/>
  <c r="P27" i="7" s="1"/>
  <c r="G27" i="6"/>
  <c r="F27" i="6"/>
  <c r="H27" i="6" s="1"/>
  <c r="Z26" i="6"/>
  <c r="Y26" i="6"/>
  <c r="X26" i="6"/>
  <c r="R26" i="6"/>
  <c r="Q26" i="6"/>
  <c r="S26" i="6" s="1"/>
  <c r="T26" i="6" s="1"/>
  <c r="M26" i="6"/>
  <c r="O26" i="6" s="1"/>
  <c r="P26" i="7" s="1"/>
  <c r="F26" i="6"/>
  <c r="Y25" i="6"/>
  <c r="X25" i="6"/>
  <c r="Z25" i="6" s="1"/>
  <c r="T25" i="6"/>
  <c r="S25" i="6"/>
  <c r="R25" i="6"/>
  <c r="Q25" i="6"/>
  <c r="O25" i="6"/>
  <c r="P25" i="7" s="1"/>
  <c r="N25" i="6"/>
  <c r="M25" i="6"/>
  <c r="H25" i="6"/>
  <c r="I25" i="7" s="1"/>
  <c r="G25" i="6"/>
  <c r="F25" i="6"/>
  <c r="Y24" i="6"/>
  <c r="X24" i="6"/>
  <c r="Z24" i="6" s="1"/>
  <c r="S24" i="6"/>
  <c r="T24" i="6" s="1"/>
  <c r="R24" i="6"/>
  <c r="Q24" i="6"/>
  <c r="M24" i="6"/>
  <c r="H24" i="6"/>
  <c r="I24" i="7" s="1"/>
  <c r="G24" i="6"/>
  <c r="F24" i="6"/>
  <c r="Y23" i="6"/>
  <c r="Z23" i="6" s="1"/>
  <c r="X23" i="6"/>
  <c r="R23" i="6"/>
  <c r="Q23" i="6"/>
  <c r="S23" i="6" s="1"/>
  <c r="T23" i="6" s="1"/>
  <c r="N23" i="6"/>
  <c r="M23" i="6"/>
  <c r="O23" i="6" s="1"/>
  <c r="P23" i="7" s="1"/>
  <c r="I23" i="6"/>
  <c r="F23" i="6"/>
  <c r="H23" i="6" s="1"/>
  <c r="Y22" i="6"/>
  <c r="X22" i="6"/>
  <c r="Z22" i="6" s="1"/>
  <c r="R22" i="6"/>
  <c r="Q22" i="6"/>
  <c r="S22" i="6" s="1"/>
  <c r="T22" i="6" s="1"/>
  <c r="M22" i="6"/>
  <c r="F22" i="6"/>
  <c r="H22" i="6" s="1"/>
  <c r="I22" i="7" s="1"/>
  <c r="Y21" i="6"/>
  <c r="X21" i="6"/>
  <c r="S21" i="6"/>
  <c r="T21" i="6" s="1"/>
  <c r="R21" i="6"/>
  <c r="Q21" i="6"/>
  <c r="P21" i="6"/>
  <c r="O21" i="6"/>
  <c r="P21" i="7" s="1"/>
  <c r="N21" i="6"/>
  <c r="M21" i="6"/>
  <c r="I21" i="6"/>
  <c r="F21" i="6"/>
  <c r="G21" i="6" s="1"/>
  <c r="Y20" i="6"/>
  <c r="X20" i="6"/>
  <c r="Z20" i="6" s="1"/>
  <c r="S20" i="6"/>
  <c r="T20" i="6" s="1"/>
  <c r="R20" i="6"/>
  <c r="Q20" i="6"/>
  <c r="O20" i="6"/>
  <c r="P20" i="7" s="1"/>
  <c r="N20" i="6"/>
  <c r="M20" i="6"/>
  <c r="H20" i="6"/>
  <c r="U20" i="6" s="1"/>
  <c r="W20" i="6" s="1"/>
  <c r="G20" i="6"/>
  <c r="F20" i="6"/>
  <c r="Y19" i="6"/>
  <c r="X19" i="6"/>
  <c r="Z19" i="6" s="1"/>
  <c r="R19" i="6"/>
  <c r="Q19" i="6"/>
  <c r="S19" i="6" s="1"/>
  <c r="T19" i="6" s="1"/>
  <c r="O19" i="6"/>
  <c r="N19" i="6"/>
  <c r="M19" i="6"/>
  <c r="F19" i="6"/>
  <c r="Y18" i="6"/>
  <c r="Z18" i="6" s="1"/>
  <c r="X18" i="6"/>
  <c r="R18" i="6"/>
  <c r="Q18" i="6"/>
  <c r="S18" i="6" s="1"/>
  <c r="T18" i="6" s="1"/>
  <c r="M18" i="6"/>
  <c r="O18" i="6" s="1"/>
  <c r="P18" i="7" s="1"/>
  <c r="G18" i="6"/>
  <c r="F18" i="6"/>
  <c r="H18" i="6" s="1"/>
  <c r="Z17" i="6"/>
  <c r="Y17" i="6"/>
  <c r="X17" i="6"/>
  <c r="R17" i="6"/>
  <c r="Q17" i="6"/>
  <c r="S17" i="6" s="1"/>
  <c r="T17" i="6" s="1"/>
  <c r="M17" i="6"/>
  <c r="O17" i="6" s="1"/>
  <c r="F17" i="6"/>
  <c r="G17" i="6" s="1"/>
  <c r="Y16" i="6"/>
  <c r="X16" i="6"/>
  <c r="Z16" i="6" s="1"/>
  <c r="T16" i="6"/>
  <c r="S16" i="6"/>
  <c r="R16" i="6"/>
  <c r="Q16" i="6"/>
  <c r="O16" i="6"/>
  <c r="P16" i="7" s="1"/>
  <c r="N16" i="6"/>
  <c r="M16" i="6"/>
  <c r="H16" i="6"/>
  <c r="I16" i="7" s="1"/>
  <c r="G16" i="6"/>
  <c r="F16" i="6"/>
  <c r="Y15" i="6"/>
  <c r="X15" i="6"/>
  <c r="Z15" i="6" s="1"/>
  <c r="S15" i="6"/>
  <c r="T15" i="6" s="1"/>
  <c r="R15" i="6"/>
  <c r="Q15" i="6"/>
  <c r="M15" i="6"/>
  <c r="H15" i="6"/>
  <c r="G15" i="6"/>
  <c r="F15" i="6"/>
  <c r="Y14" i="6"/>
  <c r="Z14" i="6" s="1"/>
  <c r="X14" i="6"/>
  <c r="R14" i="6"/>
  <c r="Q14" i="6"/>
  <c r="S14" i="6" s="1"/>
  <c r="T14" i="6" s="1"/>
  <c r="N14" i="6"/>
  <c r="M14" i="6"/>
  <c r="O14" i="6" s="1"/>
  <c r="F14" i="6"/>
  <c r="H14" i="6" s="1"/>
  <c r="Y13" i="6"/>
  <c r="X13" i="6"/>
  <c r="Z13" i="6" s="1"/>
  <c r="R13" i="6"/>
  <c r="Q13" i="6"/>
  <c r="S13" i="6" s="1"/>
  <c r="T13" i="6" s="1"/>
  <c r="M13" i="6"/>
  <c r="N13" i="6" s="1"/>
  <c r="F13" i="6"/>
  <c r="H13" i="6" s="1"/>
  <c r="I13" i="7" s="1"/>
  <c r="Y12" i="6"/>
  <c r="X12" i="6"/>
  <c r="Z12" i="6" s="1"/>
  <c r="S12" i="6"/>
  <c r="T12" i="6" s="1"/>
  <c r="R12" i="6"/>
  <c r="Q12" i="6"/>
  <c r="O12" i="6"/>
  <c r="P12" i="7" s="1"/>
  <c r="N12" i="6"/>
  <c r="M12" i="6"/>
  <c r="H12" i="6"/>
  <c r="I12" i="7" s="1"/>
  <c r="G12" i="6"/>
  <c r="F12" i="6"/>
  <c r="Y11" i="6"/>
  <c r="X11" i="6"/>
  <c r="Z11" i="6" s="1"/>
  <c r="R11" i="6"/>
  <c r="Q11" i="6"/>
  <c r="S11" i="6" s="1"/>
  <c r="T11" i="6" s="1"/>
  <c r="P11" i="6"/>
  <c r="O11" i="6"/>
  <c r="P11" i="7" s="1"/>
  <c r="N11" i="6"/>
  <c r="M11" i="6"/>
  <c r="F11" i="6"/>
  <c r="Z10" i="6"/>
  <c r="Y10" i="6"/>
  <c r="X10" i="6"/>
  <c r="R10" i="6"/>
  <c r="Q10" i="6"/>
  <c r="M10" i="6"/>
  <c r="O10" i="6" s="1"/>
  <c r="P10" i="7" s="1"/>
  <c r="G10" i="6"/>
  <c r="F10" i="6"/>
  <c r="H10" i="6" s="1"/>
  <c r="Z9" i="6"/>
  <c r="Y9" i="6"/>
  <c r="X9" i="6"/>
  <c r="S9" i="6"/>
  <c r="T9" i="6" s="1"/>
  <c r="R9" i="6"/>
  <c r="Q9" i="6"/>
  <c r="N9" i="6"/>
  <c r="M9" i="6"/>
  <c r="O9" i="6" s="1"/>
  <c r="P9" i="7" s="1"/>
  <c r="F9" i="6"/>
  <c r="Y8" i="6"/>
  <c r="X8" i="6"/>
  <c r="Z8" i="6" s="1"/>
  <c r="S8" i="6"/>
  <c r="T8" i="6" s="1"/>
  <c r="R8" i="6"/>
  <c r="Q8" i="6"/>
  <c r="O8" i="6"/>
  <c r="P8" i="7" s="1"/>
  <c r="N8" i="6"/>
  <c r="M8" i="6"/>
  <c r="H8" i="6"/>
  <c r="G8" i="6"/>
  <c r="F8" i="6"/>
  <c r="Y7" i="6"/>
  <c r="X7" i="6"/>
  <c r="Z7" i="6" s="1"/>
  <c r="T7" i="6"/>
  <c r="S7" i="6"/>
  <c r="R7" i="6"/>
  <c r="Q7" i="6"/>
  <c r="M7" i="6"/>
  <c r="H7" i="6"/>
  <c r="I7" i="7" s="1"/>
  <c r="G7" i="6"/>
  <c r="F7" i="6"/>
  <c r="Z6" i="6"/>
  <c r="Y6" i="6"/>
  <c r="X6" i="6"/>
  <c r="R6" i="6"/>
  <c r="Q6" i="6"/>
  <c r="S6" i="6" s="1"/>
  <c r="T6" i="6" s="1"/>
  <c r="N6" i="6"/>
  <c r="M6" i="6"/>
  <c r="O6" i="6" s="1"/>
  <c r="F6" i="6"/>
  <c r="H6" i="6" s="1"/>
  <c r="I6" i="7" s="1"/>
  <c r="Y5" i="6"/>
  <c r="X5" i="6"/>
  <c r="Z5" i="6" s="1"/>
  <c r="R5" i="6"/>
  <c r="Q5" i="6"/>
  <c r="S5" i="6" s="1"/>
  <c r="T5" i="6" s="1"/>
  <c r="O5" i="6"/>
  <c r="P5" i="7" s="1"/>
  <c r="N5" i="6"/>
  <c r="M5" i="6"/>
  <c r="G5" i="6"/>
  <c r="F5" i="6"/>
  <c r="H5" i="6" s="1"/>
  <c r="Y4" i="6"/>
  <c r="X4" i="6"/>
  <c r="S4" i="6"/>
  <c r="R4" i="6"/>
  <c r="Q4" i="6"/>
  <c r="Q57" i="6" s="1"/>
  <c r="O4" i="6"/>
  <c r="N4" i="6"/>
  <c r="M4" i="6"/>
  <c r="H4" i="6"/>
  <c r="G4" i="6"/>
  <c r="F4" i="6"/>
  <c r="F80" i="5"/>
  <c r="E67" i="5"/>
  <c r="L61" i="5"/>
  <c r="J61" i="5"/>
  <c r="E61" i="5"/>
  <c r="C61" i="5"/>
  <c r="C69" i="5" s="1"/>
  <c r="L60" i="5"/>
  <c r="J60" i="5"/>
  <c r="E60" i="5"/>
  <c r="C60" i="5"/>
  <c r="F60" i="5" s="1"/>
  <c r="L59" i="5"/>
  <c r="J59" i="5"/>
  <c r="E59" i="5"/>
  <c r="C59" i="5"/>
  <c r="L58" i="5"/>
  <c r="J58" i="5"/>
  <c r="M58" i="5" s="1"/>
  <c r="E58" i="5"/>
  <c r="C58" i="5"/>
  <c r="F58" i="5" s="1"/>
  <c r="L57" i="5"/>
  <c r="J57" i="5"/>
  <c r="E57" i="5"/>
  <c r="C57" i="5"/>
  <c r="F57" i="5" s="1"/>
  <c r="L54" i="5"/>
  <c r="M54" i="5" s="1"/>
  <c r="K54" i="5"/>
  <c r="J54" i="5"/>
  <c r="E54" i="5"/>
  <c r="D54" i="5"/>
  <c r="R54" i="5" s="1"/>
  <c r="C54" i="5"/>
  <c r="Y53" i="5"/>
  <c r="Z53" i="5" s="1"/>
  <c r="X53" i="5"/>
  <c r="R53" i="5"/>
  <c r="Q53" i="5"/>
  <c r="S53" i="5" s="1"/>
  <c r="T53" i="5" s="1"/>
  <c r="M53" i="5"/>
  <c r="F53" i="5"/>
  <c r="H53" i="5" s="1"/>
  <c r="I53" i="6" s="1"/>
  <c r="Z52" i="5"/>
  <c r="Y52" i="5"/>
  <c r="X52" i="5"/>
  <c r="R52" i="5"/>
  <c r="Q52" i="5"/>
  <c r="S52" i="5" s="1"/>
  <c r="T52" i="5" s="1"/>
  <c r="M52" i="5"/>
  <c r="O52" i="5" s="1"/>
  <c r="P52" i="6" s="1"/>
  <c r="H52" i="5"/>
  <c r="G52" i="5"/>
  <c r="F52" i="5"/>
  <c r="Y51" i="5"/>
  <c r="X51" i="5"/>
  <c r="Z51" i="5" s="1"/>
  <c r="S51" i="5"/>
  <c r="T51" i="5" s="1"/>
  <c r="R51" i="5"/>
  <c r="Q51" i="5"/>
  <c r="O51" i="5"/>
  <c r="P51" i="6" s="1"/>
  <c r="N51" i="5"/>
  <c r="M51" i="5"/>
  <c r="H51" i="5"/>
  <c r="G51" i="5"/>
  <c r="F51" i="5"/>
  <c r="Y50" i="5"/>
  <c r="X50" i="5"/>
  <c r="S50" i="5"/>
  <c r="T50" i="5" s="1"/>
  <c r="R50" i="5"/>
  <c r="Q50" i="5"/>
  <c r="O50" i="5"/>
  <c r="P50" i="6" s="1"/>
  <c r="M50" i="5"/>
  <c r="N50" i="5" s="1"/>
  <c r="H50" i="5"/>
  <c r="I50" i="6" s="1"/>
  <c r="G50" i="5"/>
  <c r="F50" i="5"/>
  <c r="Y49" i="5"/>
  <c r="Z49" i="5" s="1"/>
  <c r="X49" i="5"/>
  <c r="R49" i="5"/>
  <c r="Q49" i="5"/>
  <c r="S49" i="5" s="1"/>
  <c r="T49" i="5" s="1"/>
  <c r="N49" i="5"/>
  <c r="M49" i="5"/>
  <c r="O49" i="5" s="1"/>
  <c r="P49" i="6" s="1"/>
  <c r="F49" i="5"/>
  <c r="Y48" i="5"/>
  <c r="X48" i="5"/>
  <c r="Z48" i="5" s="1"/>
  <c r="U48" i="5"/>
  <c r="W48" i="5" s="1"/>
  <c r="R48" i="5"/>
  <c r="Q48" i="5"/>
  <c r="S48" i="5" s="1"/>
  <c r="T48" i="5" s="1"/>
  <c r="M48" i="5"/>
  <c r="O48" i="5" s="1"/>
  <c r="P48" i="6" s="1"/>
  <c r="F48" i="5"/>
  <c r="H48" i="5" s="1"/>
  <c r="Y47" i="5"/>
  <c r="X47" i="5"/>
  <c r="S47" i="5"/>
  <c r="T47" i="5" s="1"/>
  <c r="R47" i="5"/>
  <c r="Q47" i="5"/>
  <c r="O47" i="5"/>
  <c r="P47" i="6" s="1"/>
  <c r="N47" i="5"/>
  <c r="M47" i="5"/>
  <c r="H47" i="5"/>
  <c r="I47" i="6" s="1"/>
  <c r="G47" i="5"/>
  <c r="F47" i="5"/>
  <c r="Y46" i="5"/>
  <c r="X46" i="5"/>
  <c r="Z46" i="5" s="1"/>
  <c r="R46" i="5"/>
  <c r="Q46" i="5"/>
  <c r="S46" i="5" s="1"/>
  <c r="T46" i="5" s="1"/>
  <c r="O46" i="5"/>
  <c r="P46" i="6" s="1"/>
  <c r="N46" i="5"/>
  <c r="M46" i="5"/>
  <c r="H46" i="5"/>
  <c r="F46" i="5"/>
  <c r="G46" i="5" s="1"/>
  <c r="Y45" i="5"/>
  <c r="X45" i="5"/>
  <c r="Z45" i="5" s="1"/>
  <c r="T45" i="5"/>
  <c r="R45" i="5"/>
  <c r="Q45" i="5"/>
  <c r="S45" i="5" s="1"/>
  <c r="M45" i="5"/>
  <c r="N45" i="5" s="1"/>
  <c r="G45" i="5"/>
  <c r="F45" i="5"/>
  <c r="H45" i="5" s="1"/>
  <c r="I45" i="6" s="1"/>
  <c r="Y44" i="5"/>
  <c r="Z44" i="5" s="1"/>
  <c r="X44" i="5"/>
  <c r="R44" i="5"/>
  <c r="Q44" i="5"/>
  <c r="S44" i="5" s="1"/>
  <c r="T44" i="5" s="1"/>
  <c r="N44" i="5"/>
  <c r="M44" i="5"/>
  <c r="O44" i="5" s="1"/>
  <c r="F44" i="5"/>
  <c r="H44" i="5" s="1"/>
  <c r="Z43" i="5"/>
  <c r="Y43" i="5"/>
  <c r="X43" i="5"/>
  <c r="R43" i="5"/>
  <c r="Q43" i="5"/>
  <c r="S43" i="5" s="1"/>
  <c r="T43" i="5" s="1"/>
  <c r="O43" i="5"/>
  <c r="P43" i="6" s="1"/>
  <c r="N43" i="5"/>
  <c r="M43" i="5"/>
  <c r="F43" i="5"/>
  <c r="H43" i="5" s="1"/>
  <c r="Y42" i="5"/>
  <c r="X42" i="5"/>
  <c r="Z42" i="5" s="1"/>
  <c r="S42" i="5"/>
  <c r="T42" i="5" s="1"/>
  <c r="R42" i="5"/>
  <c r="Q42" i="5"/>
  <c r="M42" i="5"/>
  <c r="H42" i="5"/>
  <c r="I42" i="6" s="1"/>
  <c r="G42" i="5"/>
  <c r="F42" i="5"/>
  <c r="Y41" i="5"/>
  <c r="Z41" i="5" s="1"/>
  <c r="X41" i="5"/>
  <c r="S41" i="5"/>
  <c r="T41" i="5" s="1"/>
  <c r="R41" i="5"/>
  <c r="Q41" i="5"/>
  <c r="M41" i="5"/>
  <c r="F41" i="5"/>
  <c r="G41" i="5" s="1"/>
  <c r="Y40" i="5"/>
  <c r="X40" i="5"/>
  <c r="Z40" i="5" s="1"/>
  <c r="T40" i="5"/>
  <c r="R40" i="5"/>
  <c r="Q40" i="5"/>
  <c r="S40" i="5" s="1"/>
  <c r="M40" i="5"/>
  <c r="O40" i="5" s="1"/>
  <c r="G40" i="5"/>
  <c r="F40" i="5"/>
  <c r="H40" i="5" s="1"/>
  <c r="Y39" i="5"/>
  <c r="X39" i="5"/>
  <c r="Z39" i="5" s="1"/>
  <c r="S39" i="5"/>
  <c r="T39" i="5" s="1"/>
  <c r="R39" i="5"/>
  <c r="Q39" i="5"/>
  <c r="O39" i="5"/>
  <c r="N39" i="5"/>
  <c r="M39" i="5"/>
  <c r="H39" i="5"/>
  <c r="I39" i="6" s="1"/>
  <c r="G39" i="5"/>
  <c r="F39" i="5"/>
  <c r="Z38" i="5"/>
  <c r="Y38" i="5"/>
  <c r="X38" i="5"/>
  <c r="R38" i="5"/>
  <c r="Q38" i="5"/>
  <c r="S38" i="5" s="1"/>
  <c r="T38" i="5" s="1"/>
  <c r="O38" i="5"/>
  <c r="P38" i="6" s="1"/>
  <c r="N38" i="5"/>
  <c r="M38" i="5"/>
  <c r="F38" i="5"/>
  <c r="G38" i="5" s="1"/>
  <c r="Y37" i="5"/>
  <c r="X37" i="5"/>
  <c r="T37" i="5"/>
  <c r="R37" i="5"/>
  <c r="Q37" i="5"/>
  <c r="S37" i="5" s="1"/>
  <c r="M37" i="5"/>
  <c r="F37" i="5"/>
  <c r="H37" i="5" s="1"/>
  <c r="Y36" i="5"/>
  <c r="Z36" i="5" s="1"/>
  <c r="X36" i="5"/>
  <c r="U36" i="5"/>
  <c r="W36" i="5" s="1"/>
  <c r="S36" i="5"/>
  <c r="T36" i="5" s="1"/>
  <c r="R36" i="5"/>
  <c r="Q36" i="5"/>
  <c r="M36" i="5"/>
  <c r="O36" i="5" s="1"/>
  <c r="G36" i="5"/>
  <c r="F36" i="5"/>
  <c r="H36" i="5" s="1"/>
  <c r="I36" i="6" s="1"/>
  <c r="Z35" i="5"/>
  <c r="Y35" i="5"/>
  <c r="X35" i="5"/>
  <c r="R35" i="5"/>
  <c r="Q35" i="5"/>
  <c r="S35" i="5" s="1"/>
  <c r="T35" i="5" s="1"/>
  <c r="O35" i="5"/>
  <c r="P35" i="6" s="1"/>
  <c r="N35" i="5"/>
  <c r="M35" i="5"/>
  <c r="F35" i="5"/>
  <c r="Y34" i="5"/>
  <c r="X34" i="5"/>
  <c r="S34" i="5"/>
  <c r="T34" i="5" s="1"/>
  <c r="R34" i="5"/>
  <c r="Q34" i="5"/>
  <c r="O34" i="5"/>
  <c r="M34" i="5"/>
  <c r="N34" i="5" s="1"/>
  <c r="H34" i="5"/>
  <c r="I34" i="6" s="1"/>
  <c r="G34" i="5"/>
  <c r="F34" i="5"/>
  <c r="Y33" i="5"/>
  <c r="Z33" i="5" s="1"/>
  <c r="X33" i="5"/>
  <c r="R33" i="5"/>
  <c r="Q33" i="5"/>
  <c r="S33" i="5" s="1"/>
  <c r="T33" i="5" s="1"/>
  <c r="P33" i="5"/>
  <c r="N33" i="5"/>
  <c r="M33" i="5"/>
  <c r="O33" i="5" s="1"/>
  <c r="P33" i="6" s="1"/>
  <c r="F33" i="5"/>
  <c r="G33" i="5" s="1"/>
  <c r="Y32" i="5"/>
  <c r="X32" i="5"/>
  <c r="Z32" i="5" s="1"/>
  <c r="T32" i="5"/>
  <c r="R32" i="5"/>
  <c r="Q32" i="5"/>
  <c r="S32" i="5" s="1"/>
  <c r="M32" i="5"/>
  <c r="F32" i="5"/>
  <c r="H32" i="5" s="1"/>
  <c r="Y31" i="5"/>
  <c r="X31" i="5"/>
  <c r="Z31" i="5" s="1"/>
  <c r="S31" i="5"/>
  <c r="T31" i="5" s="1"/>
  <c r="R31" i="5"/>
  <c r="Q31" i="5"/>
  <c r="M31" i="5"/>
  <c r="O31" i="5" s="1"/>
  <c r="P31" i="6" s="1"/>
  <c r="H31" i="5"/>
  <c r="I31" i="6" s="1"/>
  <c r="G31" i="5"/>
  <c r="F31" i="5"/>
  <c r="P30" i="5"/>
  <c r="I30" i="5"/>
  <c r="Y29" i="5"/>
  <c r="Z29" i="5" s="1"/>
  <c r="X29" i="5"/>
  <c r="S29" i="5"/>
  <c r="T29" i="5" s="1"/>
  <c r="R29" i="5"/>
  <c r="Q29" i="5"/>
  <c r="M29" i="5"/>
  <c r="O29" i="5" s="1"/>
  <c r="F29" i="5"/>
  <c r="Z28" i="5"/>
  <c r="Y28" i="5"/>
  <c r="X28" i="5"/>
  <c r="R28" i="5"/>
  <c r="Q28" i="5"/>
  <c r="S28" i="5" s="1"/>
  <c r="T28" i="5" s="1"/>
  <c r="O28" i="5"/>
  <c r="P28" i="6" s="1"/>
  <c r="N28" i="5"/>
  <c r="M28" i="5"/>
  <c r="F28" i="5"/>
  <c r="Y27" i="5"/>
  <c r="X27" i="5"/>
  <c r="S27" i="5"/>
  <c r="T27" i="5" s="1"/>
  <c r="R27" i="5"/>
  <c r="Q27" i="5"/>
  <c r="O27" i="5"/>
  <c r="M27" i="5"/>
  <c r="N27" i="5" s="1"/>
  <c r="H27" i="5"/>
  <c r="I27" i="6" s="1"/>
  <c r="G27" i="5"/>
  <c r="F27" i="5"/>
  <c r="Y26" i="5"/>
  <c r="Z26" i="5" s="1"/>
  <c r="X26" i="5"/>
  <c r="R26" i="5"/>
  <c r="Q26" i="5"/>
  <c r="S26" i="5" s="1"/>
  <c r="T26" i="5" s="1"/>
  <c r="N26" i="5"/>
  <c r="M26" i="5"/>
  <c r="O26" i="5" s="1"/>
  <c r="P26" i="6" s="1"/>
  <c r="F26" i="5"/>
  <c r="G26" i="5" s="1"/>
  <c r="Y25" i="5"/>
  <c r="X25" i="5"/>
  <c r="Z25" i="5" s="1"/>
  <c r="T25" i="5"/>
  <c r="R25" i="5"/>
  <c r="Q25" i="5"/>
  <c r="S25" i="5" s="1"/>
  <c r="M25" i="5"/>
  <c r="F25" i="5"/>
  <c r="H25" i="5" s="1"/>
  <c r="I25" i="6" s="1"/>
  <c r="Y24" i="5"/>
  <c r="X24" i="5"/>
  <c r="Z24" i="5" s="1"/>
  <c r="S24" i="5"/>
  <c r="T24" i="5" s="1"/>
  <c r="R24" i="5"/>
  <c r="Q24" i="5"/>
  <c r="M24" i="5"/>
  <c r="O24" i="5" s="1"/>
  <c r="H24" i="5"/>
  <c r="G24" i="5"/>
  <c r="F24" i="5"/>
  <c r="Y23" i="5"/>
  <c r="Z23" i="5" s="1"/>
  <c r="X23" i="5"/>
  <c r="T23" i="5"/>
  <c r="S23" i="5"/>
  <c r="R23" i="5"/>
  <c r="Q23" i="5"/>
  <c r="M23" i="5"/>
  <c r="O23" i="5" s="1"/>
  <c r="P23" i="6" s="1"/>
  <c r="H23" i="5"/>
  <c r="F23" i="5"/>
  <c r="G23" i="5" s="1"/>
  <c r="Y22" i="5"/>
  <c r="Z22" i="5" s="1"/>
  <c r="X22" i="5"/>
  <c r="T22" i="5"/>
  <c r="R22" i="5"/>
  <c r="Q22" i="5"/>
  <c r="S22" i="5" s="1"/>
  <c r="O22" i="5"/>
  <c r="M22" i="5"/>
  <c r="N22" i="5" s="1"/>
  <c r="F22" i="5"/>
  <c r="H22" i="5" s="1"/>
  <c r="Y21" i="5"/>
  <c r="X21" i="5"/>
  <c r="Z21" i="5" s="1"/>
  <c r="U21" i="5"/>
  <c r="W21" i="5" s="1"/>
  <c r="R21" i="5"/>
  <c r="Q21" i="5"/>
  <c r="S21" i="5" s="1"/>
  <c r="T21" i="5" s="1"/>
  <c r="O21" i="5"/>
  <c r="N21" i="5"/>
  <c r="M21" i="5"/>
  <c r="F21" i="5"/>
  <c r="G21" i="5" s="1"/>
  <c r="Y20" i="5"/>
  <c r="Z20" i="5" s="1"/>
  <c r="X20" i="5"/>
  <c r="R20" i="5"/>
  <c r="Q20" i="5"/>
  <c r="S20" i="5" s="1"/>
  <c r="T20" i="5" s="1"/>
  <c r="O20" i="5"/>
  <c r="P20" i="6" s="1"/>
  <c r="M20" i="5"/>
  <c r="N20" i="5" s="1"/>
  <c r="H20" i="5"/>
  <c r="I20" i="6" s="1"/>
  <c r="F20" i="5"/>
  <c r="G20" i="5" s="1"/>
  <c r="Y19" i="5"/>
  <c r="X19" i="5"/>
  <c r="Z19" i="5" s="1"/>
  <c r="S19" i="5"/>
  <c r="T19" i="5" s="1"/>
  <c r="R19" i="5"/>
  <c r="Q19" i="5"/>
  <c r="O19" i="5"/>
  <c r="P19" i="6" s="1"/>
  <c r="N19" i="5"/>
  <c r="M19" i="5"/>
  <c r="H19" i="5"/>
  <c r="F19" i="5"/>
  <c r="G19" i="5" s="1"/>
  <c r="Y18" i="5"/>
  <c r="X18" i="5"/>
  <c r="Z18" i="5" s="1"/>
  <c r="S18" i="5"/>
  <c r="T18" i="5" s="1"/>
  <c r="R18" i="5"/>
  <c r="Q18" i="5"/>
  <c r="O18" i="5"/>
  <c r="P18" i="6" s="1"/>
  <c r="M18" i="5"/>
  <c r="N18" i="5" s="1"/>
  <c r="H18" i="5"/>
  <c r="I18" i="6" s="1"/>
  <c r="G18" i="5"/>
  <c r="F18" i="5"/>
  <c r="Y17" i="5"/>
  <c r="Z17" i="5" s="1"/>
  <c r="X17" i="5"/>
  <c r="S17" i="5"/>
  <c r="T17" i="5" s="1"/>
  <c r="R17" i="5"/>
  <c r="Q17" i="5"/>
  <c r="M17" i="5"/>
  <c r="H17" i="5"/>
  <c r="G17" i="5"/>
  <c r="F17" i="5"/>
  <c r="Y16" i="5"/>
  <c r="X16" i="5"/>
  <c r="Z16" i="5" s="1"/>
  <c r="W16" i="5"/>
  <c r="S16" i="5"/>
  <c r="T16" i="5" s="1"/>
  <c r="R16" i="5"/>
  <c r="Q16" i="5"/>
  <c r="M16" i="5"/>
  <c r="O16" i="5" s="1"/>
  <c r="P16" i="6" s="1"/>
  <c r="H16" i="5"/>
  <c r="U16" i="5" s="1"/>
  <c r="G16" i="5"/>
  <c r="F16" i="5"/>
  <c r="Y15" i="5"/>
  <c r="X15" i="5"/>
  <c r="Z15" i="5" s="1"/>
  <c r="S15" i="5"/>
  <c r="T15" i="5" s="1"/>
  <c r="R15" i="5"/>
  <c r="Q15" i="5"/>
  <c r="N15" i="5"/>
  <c r="M15" i="5"/>
  <c r="O15" i="5" s="1"/>
  <c r="H15" i="5"/>
  <c r="G15" i="5"/>
  <c r="F15" i="5"/>
  <c r="Y14" i="5"/>
  <c r="X14" i="5"/>
  <c r="Z14" i="5" s="1"/>
  <c r="S14" i="5"/>
  <c r="T14" i="5" s="1"/>
  <c r="R14" i="5"/>
  <c r="Q14" i="5"/>
  <c r="O14" i="5"/>
  <c r="P14" i="6" s="1"/>
  <c r="N14" i="5"/>
  <c r="M14" i="5"/>
  <c r="H14" i="5"/>
  <c r="F14" i="5"/>
  <c r="G14" i="5" s="1"/>
  <c r="Y13" i="5"/>
  <c r="X13" i="5"/>
  <c r="Z13" i="5" s="1"/>
  <c r="T13" i="5"/>
  <c r="R13" i="5"/>
  <c r="Q13" i="5"/>
  <c r="S13" i="5" s="1"/>
  <c r="N13" i="5"/>
  <c r="M13" i="5"/>
  <c r="O13" i="5" s="1"/>
  <c r="F13" i="5"/>
  <c r="H13" i="5" s="1"/>
  <c r="I13" i="6" s="1"/>
  <c r="Y12" i="5"/>
  <c r="X12" i="5"/>
  <c r="Z12" i="5" s="1"/>
  <c r="R12" i="5"/>
  <c r="Q12" i="5"/>
  <c r="S12" i="5" s="1"/>
  <c r="T12" i="5" s="1"/>
  <c r="M12" i="5"/>
  <c r="H12" i="5"/>
  <c r="I12" i="6" s="1"/>
  <c r="F12" i="5"/>
  <c r="G12" i="5" s="1"/>
  <c r="Z11" i="5"/>
  <c r="Y11" i="5"/>
  <c r="X11" i="5"/>
  <c r="S11" i="5"/>
  <c r="T11" i="5" s="1"/>
  <c r="R11" i="5"/>
  <c r="Q11" i="5"/>
  <c r="O11" i="5"/>
  <c r="N11" i="5"/>
  <c r="M11" i="5"/>
  <c r="H11" i="5"/>
  <c r="F11" i="5"/>
  <c r="G11" i="5" s="1"/>
  <c r="Z10" i="5"/>
  <c r="Y10" i="5"/>
  <c r="X10" i="5"/>
  <c r="S10" i="5"/>
  <c r="T10" i="5" s="1"/>
  <c r="R10" i="5"/>
  <c r="Q10" i="5"/>
  <c r="M10" i="5"/>
  <c r="N10" i="5" s="1"/>
  <c r="H10" i="5"/>
  <c r="G10" i="5"/>
  <c r="F10" i="5"/>
  <c r="Y9" i="5"/>
  <c r="Z9" i="5" s="1"/>
  <c r="X9" i="5"/>
  <c r="S9" i="5"/>
  <c r="T9" i="5" s="1"/>
  <c r="R9" i="5"/>
  <c r="Q9" i="5"/>
  <c r="M9" i="5"/>
  <c r="O9" i="5" s="1"/>
  <c r="P9" i="6" s="1"/>
  <c r="H9" i="5"/>
  <c r="G9" i="5"/>
  <c r="F9" i="5"/>
  <c r="Z8" i="5"/>
  <c r="Y8" i="5"/>
  <c r="X8" i="5"/>
  <c r="S8" i="5"/>
  <c r="T8" i="5" s="1"/>
  <c r="R8" i="5"/>
  <c r="Q8" i="5"/>
  <c r="O8" i="5"/>
  <c r="P8" i="6" s="1"/>
  <c r="M8" i="5"/>
  <c r="N8" i="5" s="1"/>
  <c r="H8" i="5"/>
  <c r="G8" i="5"/>
  <c r="F8" i="5"/>
  <c r="Y7" i="5"/>
  <c r="X7" i="5"/>
  <c r="Z7" i="5" s="1"/>
  <c r="S7" i="5"/>
  <c r="T7" i="5" s="1"/>
  <c r="R7" i="5"/>
  <c r="Q7" i="5"/>
  <c r="O7" i="5"/>
  <c r="M7" i="5"/>
  <c r="N7" i="5" s="1"/>
  <c r="H7" i="5"/>
  <c r="G7" i="5"/>
  <c r="F7" i="5"/>
  <c r="Y6" i="5"/>
  <c r="Z6" i="5" s="1"/>
  <c r="X6" i="5"/>
  <c r="S6" i="5"/>
  <c r="T6" i="5" s="1"/>
  <c r="R6" i="5"/>
  <c r="Q6" i="5"/>
  <c r="M6" i="5"/>
  <c r="O6" i="5" s="1"/>
  <c r="P6" i="6" s="1"/>
  <c r="H6" i="5"/>
  <c r="F6" i="5"/>
  <c r="G6" i="5" s="1"/>
  <c r="Y5" i="5"/>
  <c r="Z5" i="5" s="1"/>
  <c r="X5" i="5"/>
  <c r="R5" i="5"/>
  <c r="Q5" i="5"/>
  <c r="O5" i="5"/>
  <c r="P5" i="6" s="1"/>
  <c r="M5" i="5"/>
  <c r="N5" i="5" s="1"/>
  <c r="G5" i="5"/>
  <c r="F5" i="5"/>
  <c r="H5" i="5" s="1"/>
  <c r="Y4" i="5"/>
  <c r="X4" i="5"/>
  <c r="R4" i="5"/>
  <c r="Q4" i="5"/>
  <c r="O4" i="5"/>
  <c r="N4" i="5"/>
  <c r="M4" i="5"/>
  <c r="F4" i="5"/>
  <c r="F80" i="4"/>
  <c r="L61" i="4"/>
  <c r="J61" i="4"/>
  <c r="E61" i="4"/>
  <c r="C61" i="4"/>
  <c r="L60" i="4"/>
  <c r="J60" i="4"/>
  <c r="M60" i="4" s="1"/>
  <c r="E60" i="4"/>
  <c r="C60" i="4"/>
  <c r="L59" i="4"/>
  <c r="J59" i="4"/>
  <c r="E59" i="4"/>
  <c r="C59" i="4"/>
  <c r="L58" i="4"/>
  <c r="J58" i="4"/>
  <c r="E58" i="4"/>
  <c r="C58" i="4"/>
  <c r="L57" i="4"/>
  <c r="J57" i="4"/>
  <c r="E66" i="5" s="1"/>
  <c r="E57" i="4"/>
  <c r="C57" i="4"/>
  <c r="L54" i="4"/>
  <c r="M54" i="4" s="1"/>
  <c r="K54" i="4"/>
  <c r="J54" i="4"/>
  <c r="E65" i="5" s="1"/>
  <c r="E54" i="4"/>
  <c r="D54" i="4"/>
  <c r="R54" i="4" s="1"/>
  <c r="C54" i="4"/>
  <c r="Y53" i="4"/>
  <c r="Z53" i="4" s="1"/>
  <c r="X53" i="4"/>
  <c r="R53" i="4"/>
  <c r="Q53" i="4"/>
  <c r="S53" i="4" s="1"/>
  <c r="T53" i="4" s="1"/>
  <c r="M53" i="4"/>
  <c r="F53" i="4"/>
  <c r="H53" i="4" s="1"/>
  <c r="I53" i="5" s="1"/>
  <c r="Z52" i="4"/>
  <c r="Y52" i="4"/>
  <c r="X52" i="4"/>
  <c r="S52" i="4"/>
  <c r="T52" i="4" s="1"/>
  <c r="R52" i="4"/>
  <c r="Q52" i="4"/>
  <c r="N52" i="4"/>
  <c r="M52" i="4"/>
  <c r="O52" i="4" s="1"/>
  <c r="P52" i="5" s="1"/>
  <c r="G52" i="4"/>
  <c r="F52" i="4"/>
  <c r="H52" i="4" s="1"/>
  <c r="Y51" i="4"/>
  <c r="X51" i="4"/>
  <c r="Z51" i="4" s="1"/>
  <c r="S51" i="4"/>
  <c r="T51" i="4" s="1"/>
  <c r="R51" i="4"/>
  <c r="Q51" i="4"/>
  <c r="O51" i="4"/>
  <c r="P51" i="5" s="1"/>
  <c r="N51" i="4"/>
  <c r="M51" i="4"/>
  <c r="I51" i="4"/>
  <c r="H51" i="4"/>
  <c r="G51" i="4"/>
  <c r="F51" i="4"/>
  <c r="Y50" i="4"/>
  <c r="X50" i="4"/>
  <c r="Z50" i="4" s="1"/>
  <c r="S50" i="4"/>
  <c r="T50" i="4" s="1"/>
  <c r="R50" i="4"/>
  <c r="Q50" i="4"/>
  <c r="M50" i="4"/>
  <c r="H50" i="4"/>
  <c r="I50" i="5" s="1"/>
  <c r="G50" i="4"/>
  <c r="F50" i="4"/>
  <c r="Z49" i="4"/>
  <c r="Y49" i="4"/>
  <c r="X49" i="4"/>
  <c r="R49" i="4"/>
  <c r="Q49" i="4"/>
  <c r="S49" i="4" s="1"/>
  <c r="T49" i="4" s="1"/>
  <c r="M49" i="4"/>
  <c r="O49" i="4" s="1"/>
  <c r="P49" i="5" s="1"/>
  <c r="F49" i="4"/>
  <c r="Y48" i="4"/>
  <c r="X48" i="4"/>
  <c r="Z48" i="4" s="1"/>
  <c r="R48" i="4"/>
  <c r="Q48" i="4"/>
  <c r="S48" i="4" s="1"/>
  <c r="T48" i="4" s="1"/>
  <c r="M48" i="4"/>
  <c r="O48" i="4" s="1"/>
  <c r="P48" i="5" s="1"/>
  <c r="G48" i="4"/>
  <c r="F48" i="4"/>
  <c r="H48" i="4" s="1"/>
  <c r="I48" i="5" s="1"/>
  <c r="Y47" i="4"/>
  <c r="X47" i="4"/>
  <c r="S47" i="4"/>
  <c r="T47" i="4" s="1"/>
  <c r="R47" i="4"/>
  <c r="Q47" i="4"/>
  <c r="O47" i="4"/>
  <c r="P47" i="5" s="1"/>
  <c r="N47" i="4"/>
  <c r="M47" i="4"/>
  <c r="H47" i="4"/>
  <c r="G47" i="4"/>
  <c r="F47" i="4"/>
  <c r="Y46" i="4"/>
  <c r="X46" i="4"/>
  <c r="Z46" i="4" s="1"/>
  <c r="T46" i="4"/>
  <c r="R46" i="4"/>
  <c r="Q46" i="4"/>
  <c r="S46" i="4" s="1"/>
  <c r="O46" i="4"/>
  <c r="P46" i="5" s="1"/>
  <c r="N46" i="4"/>
  <c r="M46" i="4"/>
  <c r="F46" i="4"/>
  <c r="Y45" i="4"/>
  <c r="Z45" i="4" s="1"/>
  <c r="X45" i="4"/>
  <c r="R45" i="4"/>
  <c r="Q45" i="4"/>
  <c r="S45" i="4" s="1"/>
  <c r="T45" i="4" s="1"/>
  <c r="M45" i="4"/>
  <c r="F45" i="4"/>
  <c r="H45" i="4" s="1"/>
  <c r="I45" i="5" s="1"/>
  <c r="Z44" i="4"/>
  <c r="Y44" i="4"/>
  <c r="X44" i="4"/>
  <c r="S44" i="4"/>
  <c r="T44" i="4" s="1"/>
  <c r="R44" i="4"/>
  <c r="Q44" i="4"/>
  <c r="N44" i="4"/>
  <c r="M44" i="4"/>
  <c r="O44" i="4" s="1"/>
  <c r="P44" i="5" s="1"/>
  <c r="G44" i="4"/>
  <c r="F44" i="4"/>
  <c r="H44" i="4" s="1"/>
  <c r="Y43" i="4"/>
  <c r="X43" i="4"/>
  <c r="Z43" i="4" s="1"/>
  <c r="S43" i="4"/>
  <c r="T43" i="4" s="1"/>
  <c r="R43" i="4"/>
  <c r="Q43" i="4"/>
  <c r="O43" i="4"/>
  <c r="P43" i="5" s="1"/>
  <c r="N43" i="4"/>
  <c r="M43" i="4"/>
  <c r="H43" i="4"/>
  <c r="G43" i="4"/>
  <c r="F43" i="4"/>
  <c r="Y42" i="4"/>
  <c r="X42" i="4"/>
  <c r="Z42" i="4" s="1"/>
  <c r="S42" i="4"/>
  <c r="T42" i="4" s="1"/>
  <c r="R42" i="4"/>
  <c r="Q42" i="4"/>
  <c r="M42" i="4"/>
  <c r="H42" i="4"/>
  <c r="I42" i="5" s="1"/>
  <c r="G42" i="4"/>
  <c r="F42" i="4"/>
  <c r="Z41" i="4"/>
  <c r="Y41" i="4"/>
  <c r="X41" i="4"/>
  <c r="R41" i="4"/>
  <c r="Q41" i="4"/>
  <c r="S41" i="4" s="1"/>
  <c r="T41" i="4" s="1"/>
  <c r="M41" i="4"/>
  <c r="O41" i="4" s="1"/>
  <c r="F41" i="4"/>
  <c r="Y40" i="4"/>
  <c r="X40" i="4"/>
  <c r="Z40" i="4" s="1"/>
  <c r="R40" i="4"/>
  <c r="Q40" i="4"/>
  <c r="S40" i="4" s="1"/>
  <c r="T40" i="4" s="1"/>
  <c r="M40" i="4"/>
  <c r="O40" i="4" s="1"/>
  <c r="P40" i="5" s="1"/>
  <c r="G40" i="4"/>
  <c r="F40" i="4"/>
  <c r="H40" i="4" s="1"/>
  <c r="I40" i="5" s="1"/>
  <c r="Y39" i="4"/>
  <c r="X39" i="4"/>
  <c r="S39" i="4"/>
  <c r="T39" i="4" s="1"/>
  <c r="R39" i="4"/>
  <c r="Q39" i="4"/>
  <c r="O39" i="4"/>
  <c r="P39" i="5" s="1"/>
  <c r="N39" i="4"/>
  <c r="M39" i="4"/>
  <c r="H39" i="4"/>
  <c r="G39" i="4"/>
  <c r="F39" i="4"/>
  <c r="Y38" i="4"/>
  <c r="X38" i="4"/>
  <c r="Z38" i="4" s="1"/>
  <c r="T38" i="4"/>
  <c r="R38" i="4"/>
  <c r="Q38" i="4"/>
  <c r="S38" i="4" s="1"/>
  <c r="O38" i="4"/>
  <c r="P38" i="5" s="1"/>
  <c r="N38" i="4"/>
  <c r="M38" i="4"/>
  <c r="F38" i="4"/>
  <c r="Y37" i="4"/>
  <c r="Z37" i="4" s="1"/>
  <c r="X37" i="4"/>
  <c r="R37" i="4"/>
  <c r="Q37" i="4"/>
  <c r="S37" i="4" s="1"/>
  <c r="T37" i="4" s="1"/>
  <c r="M37" i="4"/>
  <c r="F37" i="4"/>
  <c r="H37" i="4" s="1"/>
  <c r="I37" i="5" s="1"/>
  <c r="Z36" i="4"/>
  <c r="Y36" i="4"/>
  <c r="X36" i="4"/>
  <c r="S36" i="4"/>
  <c r="T36" i="4" s="1"/>
  <c r="R36" i="4"/>
  <c r="Q36" i="4"/>
  <c r="N36" i="4"/>
  <c r="M36" i="4"/>
  <c r="O36" i="4" s="1"/>
  <c r="P36" i="5" s="1"/>
  <c r="G36" i="4"/>
  <c r="F36" i="4"/>
  <c r="H36" i="4" s="1"/>
  <c r="Y35" i="4"/>
  <c r="X35" i="4"/>
  <c r="Z35" i="4" s="1"/>
  <c r="S35" i="4"/>
  <c r="T35" i="4" s="1"/>
  <c r="R35" i="4"/>
  <c r="Q35" i="4"/>
  <c r="O35" i="4"/>
  <c r="P35" i="5" s="1"/>
  <c r="N35" i="4"/>
  <c r="M35" i="4"/>
  <c r="H35" i="4"/>
  <c r="G35" i="4"/>
  <c r="F35" i="4"/>
  <c r="Y34" i="4"/>
  <c r="X34" i="4"/>
  <c r="Z34" i="4" s="1"/>
  <c r="S34" i="4"/>
  <c r="T34" i="4" s="1"/>
  <c r="R34" i="4"/>
  <c r="Q34" i="4"/>
  <c r="M34" i="4"/>
  <c r="H34" i="4"/>
  <c r="I34" i="5" s="1"/>
  <c r="G34" i="4"/>
  <c r="F34" i="4"/>
  <c r="Z33" i="4"/>
  <c r="Y33" i="4"/>
  <c r="X33" i="4"/>
  <c r="R33" i="4"/>
  <c r="Q33" i="4"/>
  <c r="S33" i="4" s="1"/>
  <c r="T33" i="4" s="1"/>
  <c r="M33" i="4"/>
  <c r="O33" i="4" s="1"/>
  <c r="F33" i="4"/>
  <c r="Y32" i="4"/>
  <c r="X32" i="4"/>
  <c r="Z32" i="4" s="1"/>
  <c r="R32" i="4"/>
  <c r="Q32" i="4"/>
  <c r="S32" i="4" s="1"/>
  <c r="T32" i="4" s="1"/>
  <c r="M32" i="4"/>
  <c r="O32" i="4" s="1"/>
  <c r="G32" i="4"/>
  <c r="F32" i="4"/>
  <c r="H32" i="4" s="1"/>
  <c r="I32" i="5" s="1"/>
  <c r="Y31" i="4"/>
  <c r="X31" i="4"/>
  <c r="S31" i="4"/>
  <c r="T31" i="4" s="1"/>
  <c r="R31" i="4"/>
  <c r="Q31" i="4"/>
  <c r="O31" i="4"/>
  <c r="P31" i="5" s="1"/>
  <c r="N31" i="4"/>
  <c r="M31" i="4"/>
  <c r="H31" i="4"/>
  <c r="G31" i="4"/>
  <c r="F31" i="4"/>
  <c r="X30" i="4"/>
  <c r="P30" i="4"/>
  <c r="I30" i="4"/>
  <c r="Y29" i="4"/>
  <c r="X29" i="4"/>
  <c r="Z29" i="4" s="1"/>
  <c r="S29" i="4"/>
  <c r="T29" i="4" s="1"/>
  <c r="R29" i="4"/>
  <c r="Q29" i="4"/>
  <c r="O29" i="4"/>
  <c r="N29" i="4"/>
  <c r="M29" i="4"/>
  <c r="F29" i="4"/>
  <c r="G29" i="4" s="1"/>
  <c r="Y28" i="4"/>
  <c r="X28" i="4"/>
  <c r="Z28" i="4" s="1"/>
  <c r="S28" i="4"/>
  <c r="T28" i="4" s="1"/>
  <c r="R28" i="4"/>
  <c r="Q28" i="4"/>
  <c r="O28" i="4"/>
  <c r="P28" i="5" s="1"/>
  <c r="N28" i="4"/>
  <c r="M28" i="4"/>
  <c r="H28" i="4"/>
  <c r="G28" i="4"/>
  <c r="F28" i="4"/>
  <c r="Y27" i="4"/>
  <c r="X27" i="4"/>
  <c r="Z27" i="4" s="1"/>
  <c r="S27" i="4"/>
  <c r="T27" i="4" s="1"/>
  <c r="R27" i="4"/>
  <c r="Q27" i="4"/>
  <c r="M27" i="4"/>
  <c r="H27" i="4"/>
  <c r="I27" i="5" s="1"/>
  <c r="G27" i="4"/>
  <c r="F27" i="4"/>
  <c r="Z26" i="4"/>
  <c r="Y26" i="4"/>
  <c r="X26" i="4"/>
  <c r="R26" i="4"/>
  <c r="Q26" i="4"/>
  <c r="S26" i="4" s="1"/>
  <c r="T26" i="4" s="1"/>
  <c r="M26" i="4"/>
  <c r="F26" i="4"/>
  <c r="Y25" i="4"/>
  <c r="X25" i="4"/>
  <c r="Z25" i="4" s="1"/>
  <c r="R25" i="4"/>
  <c r="Q25" i="4"/>
  <c r="S25" i="4" s="1"/>
  <c r="T25" i="4" s="1"/>
  <c r="O25" i="4"/>
  <c r="M25" i="4"/>
  <c r="N25" i="4" s="1"/>
  <c r="G25" i="4"/>
  <c r="F25" i="4"/>
  <c r="H25" i="4" s="1"/>
  <c r="I25" i="5" s="1"/>
  <c r="Y24" i="4"/>
  <c r="X24" i="4"/>
  <c r="S24" i="4"/>
  <c r="T24" i="4" s="1"/>
  <c r="R24" i="4"/>
  <c r="Q24" i="4"/>
  <c r="O24" i="4"/>
  <c r="P24" i="5" s="1"/>
  <c r="N24" i="4"/>
  <c r="M24" i="4"/>
  <c r="H24" i="4"/>
  <c r="G24" i="4"/>
  <c r="F24" i="4"/>
  <c r="Y23" i="4"/>
  <c r="Z23" i="4" s="1"/>
  <c r="X23" i="4"/>
  <c r="R23" i="4"/>
  <c r="Q23" i="4"/>
  <c r="S23" i="4" s="1"/>
  <c r="T23" i="4" s="1"/>
  <c r="P23" i="4"/>
  <c r="O23" i="4"/>
  <c r="P23" i="5" s="1"/>
  <c r="N23" i="4"/>
  <c r="M23" i="4"/>
  <c r="F23" i="4"/>
  <c r="Y22" i="4"/>
  <c r="Z22" i="4" s="1"/>
  <c r="X22" i="4"/>
  <c r="R22" i="4"/>
  <c r="Q22" i="4"/>
  <c r="S22" i="4" s="1"/>
  <c r="T22" i="4" s="1"/>
  <c r="M22" i="4"/>
  <c r="F22" i="4"/>
  <c r="Z21" i="4"/>
  <c r="Y21" i="4"/>
  <c r="X21" i="4"/>
  <c r="R21" i="4"/>
  <c r="Q21" i="4"/>
  <c r="S21" i="4" s="1"/>
  <c r="T21" i="4" s="1"/>
  <c r="N21" i="4"/>
  <c r="M21" i="4"/>
  <c r="O21" i="4" s="1"/>
  <c r="P21" i="5" s="1"/>
  <c r="F21" i="4"/>
  <c r="H21" i="4" s="1"/>
  <c r="Y20" i="4"/>
  <c r="X20" i="4"/>
  <c r="Z20" i="4" s="1"/>
  <c r="S20" i="4"/>
  <c r="T20" i="4" s="1"/>
  <c r="R20" i="4"/>
  <c r="Q20" i="4"/>
  <c r="O20" i="4"/>
  <c r="N20" i="4"/>
  <c r="M20" i="4"/>
  <c r="H20" i="4"/>
  <c r="G20" i="4"/>
  <c r="F20" i="4"/>
  <c r="Y19" i="4"/>
  <c r="X19" i="4"/>
  <c r="Z19" i="4" s="1"/>
  <c r="S19" i="4"/>
  <c r="T19" i="4" s="1"/>
  <c r="R19" i="4"/>
  <c r="Q19" i="4"/>
  <c r="M19" i="4"/>
  <c r="H19" i="4"/>
  <c r="I19" i="5" s="1"/>
  <c r="G19" i="4"/>
  <c r="F19" i="4"/>
  <c r="Z18" i="4"/>
  <c r="Y18" i="4"/>
  <c r="X18" i="4"/>
  <c r="R18" i="4"/>
  <c r="Q18" i="4"/>
  <c r="S18" i="4" s="1"/>
  <c r="T18" i="4" s="1"/>
  <c r="M18" i="4"/>
  <c r="F18" i="4"/>
  <c r="Y17" i="4"/>
  <c r="X17" i="4"/>
  <c r="Z17" i="4" s="1"/>
  <c r="R17" i="4"/>
  <c r="Q17" i="4"/>
  <c r="S17" i="4" s="1"/>
  <c r="T17" i="4" s="1"/>
  <c r="O17" i="4"/>
  <c r="M17" i="4"/>
  <c r="N17" i="4" s="1"/>
  <c r="G17" i="4"/>
  <c r="F17" i="4"/>
  <c r="H17" i="4" s="1"/>
  <c r="I17" i="5" s="1"/>
  <c r="Y16" i="4"/>
  <c r="X16" i="4"/>
  <c r="S16" i="4"/>
  <c r="T16" i="4" s="1"/>
  <c r="R16" i="4"/>
  <c r="Q16" i="4"/>
  <c r="O16" i="4"/>
  <c r="P16" i="5" s="1"/>
  <c r="N16" i="4"/>
  <c r="M16" i="4"/>
  <c r="H16" i="4"/>
  <c r="G16" i="4"/>
  <c r="F16" i="4"/>
  <c r="Y15" i="4"/>
  <c r="Z15" i="4" s="1"/>
  <c r="X15" i="4"/>
  <c r="R15" i="4"/>
  <c r="Q15" i="4"/>
  <c r="S15" i="4" s="1"/>
  <c r="T15" i="4" s="1"/>
  <c r="P15" i="4"/>
  <c r="O15" i="4"/>
  <c r="P15" i="5" s="1"/>
  <c r="N15" i="4"/>
  <c r="M15" i="4"/>
  <c r="F15" i="4"/>
  <c r="Y14" i="4"/>
  <c r="Z14" i="4" s="1"/>
  <c r="X14" i="4"/>
  <c r="R14" i="4"/>
  <c r="Q14" i="4"/>
  <c r="S14" i="4" s="1"/>
  <c r="T14" i="4" s="1"/>
  <c r="M14" i="4"/>
  <c r="F14" i="4"/>
  <c r="Z13" i="4"/>
  <c r="Y13" i="4"/>
  <c r="X13" i="4"/>
  <c r="R13" i="4"/>
  <c r="Q13" i="4"/>
  <c r="S13" i="4" s="1"/>
  <c r="T13" i="4" s="1"/>
  <c r="N13" i="4"/>
  <c r="M13" i="4"/>
  <c r="O13" i="4" s="1"/>
  <c r="P13" i="5" s="1"/>
  <c r="F13" i="4"/>
  <c r="H13" i="4" s="1"/>
  <c r="Y12" i="4"/>
  <c r="X12" i="4"/>
  <c r="Z12" i="4" s="1"/>
  <c r="S12" i="4"/>
  <c r="T12" i="4" s="1"/>
  <c r="R12" i="4"/>
  <c r="Q12" i="4"/>
  <c r="O12" i="4"/>
  <c r="N12" i="4"/>
  <c r="M12" i="4"/>
  <c r="H12" i="4"/>
  <c r="G12" i="4"/>
  <c r="F12" i="4"/>
  <c r="Y11" i="4"/>
  <c r="X11" i="4"/>
  <c r="Z11" i="4" s="1"/>
  <c r="S11" i="4"/>
  <c r="T11" i="4" s="1"/>
  <c r="R11" i="4"/>
  <c r="Q11" i="4"/>
  <c r="M11" i="4"/>
  <c r="H11" i="4"/>
  <c r="I11" i="5" s="1"/>
  <c r="G11" i="4"/>
  <c r="F11" i="4"/>
  <c r="Z10" i="4"/>
  <c r="Y10" i="4"/>
  <c r="X10" i="4"/>
  <c r="R10" i="4"/>
  <c r="Q10" i="4"/>
  <c r="M10" i="4"/>
  <c r="F10" i="4"/>
  <c r="Y9" i="4"/>
  <c r="X9" i="4"/>
  <c r="Z9" i="4" s="1"/>
  <c r="R9" i="4"/>
  <c r="Q9" i="4"/>
  <c r="S9" i="4" s="1"/>
  <c r="T9" i="4" s="1"/>
  <c r="O9" i="4"/>
  <c r="M9" i="4"/>
  <c r="N9" i="4" s="1"/>
  <c r="G9" i="4"/>
  <c r="F9" i="4"/>
  <c r="H9" i="4" s="1"/>
  <c r="I9" i="5" s="1"/>
  <c r="Y8" i="4"/>
  <c r="X8" i="4"/>
  <c r="S8" i="4"/>
  <c r="T8" i="4" s="1"/>
  <c r="R8" i="4"/>
  <c r="Q8" i="4"/>
  <c r="O8" i="4"/>
  <c r="P8" i="5" s="1"/>
  <c r="N8" i="4"/>
  <c r="M8" i="4"/>
  <c r="H8" i="4"/>
  <c r="G8" i="4"/>
  <c r="F8" i="4"/>
  <c r="Y7" i="4"/>
  <c r="Z7" i="4" s="1"/>
  <c r="X7" i="4"/>
  <c r="R7" i="4"/>
  <c r="Q7" i="4"/>
  <c r="S7" i="4" s="1"/>
  <c r="T7" i="4" s="1"/>
  <c r="P7" i="4"/>
  <c r="O7" i="4"/>
  <c r="P7" i="5" s="1"/>
  <c r="N7" i="4"/>
  <c r="M7" i="4"/>
  <c r="F7" i="4"/>
  <c r="Y6" i="4"/>
  <c r="Z6" i="4" s="1"/>
  <c r="X6" i="4"/>
  <c r="R6" i="4"/>
  <c r="Q6" i="4"/>
  <c r="S6" i="4" s="1"/>
  <c r="T6" i="4" s="1"/>
  <c r="M6" i="4"/>
  <c r="F6" i="4"/>
  <c r="Z5" i="4"/>
  <c r="Y5" i="4"/>
  <c r="X5" i="4"/>
  <c r="R5" i="4"/>
  <c r="Q5" i="4"/>
  <c r="N5" i="4"/>
  <c r="M5" i="4"/>
  <c r="O5" i="4" s="1"/>
  <c r="P5" i="5" s="1"/>
  <c r="F5" i="4"/>
  <c r="H5" i="4" s="1"/>
  <c r="Y4" i="4"/>
  <c r="X4" i="4"/>
  <c r="S4" i="4"/>
  <c r="R4" i="4"/>
  <c r="Q4" i="4"/>
  <c r="O4" i="4"/>
  <c r="N4" i="4"/>
  <c r="M4" i="4"/>
  <c r="H4" i="4"/>
  <c r="G4" i="4"/>
  <c r="F4" i="4"/>
  <c r="F80" i="3"/>
  <c r="L61" i="3"/>
  <c r="J61" i="3"/>
  <c r="E69" i="4" s="1"/>
  <c r="E61" i="3"/>
  <c r="C61" i="3"/>
  <c r="L60" i="3"/>
  <c r="J60" i="3"/>
  <c r="E60" i="3"/>
  <c r="C60" i="3"/>
  <c r="L59" i="3"/>
  <c r="J59" i="3"/>
  <c r="E67" i="4" s="1"/>
  <c r="E59" i="3"/>
  <c r="C59" i="3"/>
  <c r="L58" i="3"/>
  <c r="J58" i="3"/>
  <c r="E58" i="3"/>
  <c r="C58" i="3"/>
  <c r="F58" i="3" s="1"/>
  <c r="L57" i="3"/>
  <c r="J57" i="3"/>
  <c r="E66" i="4" s="1"/>
  <c r="E57" i="3"/>
  <c r="C57" i="3"/>
  <c r="F57" i="3" s="1"/>
  <c r="L54" i="3"/>
  <c r="M54" i="3" s="1"/>
  <c r="K54" i="3"/>
  <c r="J54" i="3"/>
  <c r="E65" i="4" s="1"/>
  <c r="E54" i="3"/>
  <c r="D54" i="3"/>
  <c r="R54" i="3" s="1"/>
  <c r="C54" i="3"/>
  <c r="Y53" i="3"/>
  <c r="Z53" i="3" s="1"/>
  <c r="X53" i="3"/>
  <c r="R53" i="3"/>
  <c r="Q53" i="3"/>
  <c r="S53" i="3" s="1"/>
  <c r="T53" i="3" s="1"/>
  <c r="M53" i="3"/>
  <c r="O53" i="3" s="1"/>
  <c r="F53" i="3"/>
  <c r="H53" i="3" s="1"/>
  <c r="I53" i="4" s="1"/>
  <c r="Y52" i="3"/>
  <c r="X52" i="3"/>
  <c r="Z52" i="3" s="1"/>
  <c r="R52" i="3"/>
  <c r="Q52" i="3"/>
  <c r="S52" i="3" s="1"/>
  <c r="T52" i="3" s="1"/>
  <c r="N52" i="3"/>
  <c r="M52" i="3"/>
  <c r="O52" i="3" s="1"/>
  <c r="P52" i="4" s="1"/>
  <c r="H52" i="3"/>
  <c r="I52" i="4" s="1"/>
  <c r="G52" i="3"/>
  <c r="F52" i="3"/>
  <c r="Y51" i="3"/>
  <c r="X51" i="3"/>
  <c r="Z51" i="3" s="1"/>
  <c r="T51" i="3"/>
  <c r="S51" i="3"/>
  <c r="R51" i="3"/>
  <c r="Q51" i="3"/>
  <c r="O51" i="3"/>
  <c r="P51" i="4" s="1"/>
  <c r="N51" i="3"/>
  <c r="M51" i="3"/>
  <c r="H51" i="3"/>
  <c r="G51" i="3"/>
  <c r="F51" i="3"/>
  <c r="Y50" i="3"/>
  <c r="X50" i="3"/>
  <c r="Z50" i="3" s="1"/>
  <c r="R50" i="3"/>
  <c r="Q50" i="3"/>
  <c r="S50" i="3" s="1"/>
  <c r="T50" i="3" s="1"/>
  <c r="M50" i="3"/>
  <c r="N50" i="3" s="1"/>
  <c r="H50" i="3"/>
  <c r="F50" i="3"/>
  <c r="G50" i="3" s="1"/>
  <c r="Y49" i="3"/>
  <c r="Z49" i="3" s="1"/>
  <c r="X49" i="3"/>
  <c r="R49" i="3"/>
  <c r="Q49" i="3"/>
  <c r="S49" i="3" s="1"/>
  <c r="T49" i="3" s="1"/>
  <c r="N49" i="3"/>
  <c r="M49" i="3"/>
  <c r="O49" i="3" s="1"/>
  <c r="P49" i="4" s="1"/>
  <c r="F49" i="3"/>
  <c r="H49" i="3" s="1"/>
  <c r="Y48" i="3"/>
  <c r="X48" i="3"/>
  <c r="Z48" i="3" s="1"/>
  <c r="R48" i="3"/>
  <c r="Q48" i="3"/>
  <c r="S48" i="3" s="1"/>
  <c r="T48" i="3" s="1"/>
  <c r="O48" i="3"/>
  <c r="N48" i="3"/>
  <c r="M48" i="3"/>
  <c r="F48" i="3"/>
  <c r="H48" i="3" s="1"/>
  <c r="Y47" i="3"/>
  <c r="X47" i="3"/>
  <c r="Z47" i="3" s="1"/>
  <c r="S47" i="3"/>
  <c r="T47" i="3" s="1"/>
  <c r="R47" i="3"/>
  <c r="Q47" i="3"/>
  <c r="O47" i="3"/>
  <c r="N47" i="3"/>
  <c r="M47" i="3"/>
  <c r="H47" i="3"/>
  <c r="I47" i="4" s="1"/>
  <c r="G47" i="3"/>
  <c r="F47" i="3"/>
  <c r="Y46" i="3"/>
  <c r="X46" i="3"/>
  <c r="Z46" i="3" s="1"/>
  <c r="R46" i="3"/>
  <c r="Q46" i="3"/>
  <c r="S46" i="3" s="1"/>
  <c r="T46" i="3" s="1"/>
  <c r="O46" i="3"/>
  <c r="P46" i="4" s="1"/>
  <c r="M46" i="3"/>
  <c r="N46" i="3" s="1"/>
  <c r="F46" i="3"/>
  <c r="G46" i="3" s="1"/>
  <c r="Y45" i="3"/>
  <c r="X45" i="3"/>
  <c r="Z45" i="3" s="1"/>
  <c r="R45" i="3"/>
  <c r="Q45" i="3"/>
  <c r="S45" i="3" s="1"/>
  <c r="T45" i="3" s="1"/>
  <c r="O45" i="3"/>
  <c r="U45" i="3" s="1"/>
  <c r="W45" i="3" s="1"/>
  <c r="N45" i="3"/>
  <c r="M45" i="3"/>
  <c r="G45" i="3"/>
  <c r="F45" i="3"/>
  <c r="H45" i="3" s="1"/>
  <c r="I45" i="4" s="1"/>
  <c r="Y44" i="3"/>
  <c r="X44" i="3"/>
  <c r="Z44" i="3" s="1"/>
  <c r="S44" i="3"/>
  <c r="T44" i="3" s="1"/>
  <c r="R44" i="3"/>
  <c r="Q44" i="3"/>
  <c r="N44" i="3"/>
  <c r="M44" i="3"/>
  <c r="O44" i="3" s="1"/>
  <c r="P44" i="4" s="1"/>
  <c r="F44" i="3"/>
  <c r="H44" i="3" s="1"/>
  <c r="Y43" i="3"/>
  <c r="X43" i="3"/>
  <c r="Z43" i="3" s="1"/>
  <c r="R43" i="3"/>
  <c r="Q43" i="3"/>
  <c r="S43" i="3" s="1"/>
  <c r="T43" i="3" s="1"/>
  <c r="O43" i="3"/>
  <c r="P43" i="4" s="1"/>
  <c r="N43" i="3"/>
  <c r="M43" i="3"/>
  <c r="F43" i="3"/>
  <c r="H43" i="3" s="1"/>
  <c r="U43" i="3" s="1"/>
  <c r="W43" i="3" s="1"/>
  <c r="Y42" i="3"/>
  <c r="X42" i="3"/>
  <c r="Z42" i="3" s="1"/>
  <c r="U42" i="3"/>
  <c r="W42" i="3" s="1"/>
  <c r="T42" i="3"/>
  <c r="R42" i="3"/>
  <c r="Q42" i="3"/>
  <c r="S42" i="3" s="1"/>
  <c r="O42" i="3"/>
  <c r="M42" i="3"/>
  <c r="N42" i="3" s="1"/>
  <c r="H42" i="3"/>
  <c r="I42" i="4" s="1"/>
  <c r="F42" i="3"/>
  <c r="G42" i="3" s="1"/>
  <c r="Z41" i="3"/>
  <c r="Y41" i="3"/>
  <c r="X41" i="3"/>
  <c r="U41" i="3"/>
  <c r="W41" i="3" s="1"/>
  <c r="T41" i="3"/>
  <c r="R41" i="3"/>
  <c r="Q41" i="3"/>
  <c r="S41" i="3" s="1"/>
  <c r="N41" i="3"/>
  <c r="M41" i="3"/>
  <c r="O41" i="3" s="1"/>
  <c r="P41" i="4" s="1"/>
  <c r="H41" i="3"/>
  <c r="F41" i="3"/>
  <c r="G41" i="3" s="1"/>
  <c r="Y40" i="3"/>
  <c r="X40" i="3"/>
  <c r="Z40" i="3" s="1"/>
  <c r="T40" i="3"/>
  <c r="R40" i="3"/>
  <c r="Q40" i="3"/>
  <c r="S40" i="3" s="1"/>
  <c r="N40" i="3"/>
  <c r="M40" i="3"/>
  <c r="O40" i="3" s="1"/>
  <c r="P40" i="4" s="1"/>
  <c r="H40" i="3"/>
  <c r="I40" i="4" s="1"/>
  <c r="F40" i="3"/>
  <c r="G40" i="3" s="1"/>
  <c r="Y39" i="3"/>
  <c r="X39" i="3"/>
  <c r="T39" i="3"/>
  <c r="S39" i="3"/>
  <c r="R39" i="3"/>
  <c r="Q39" i="3"/>
  <c r="N39" i="3"/>
  <c r="M39" i="3"/>
  <c r="O39" i="3" s="1"/>
  <c r="P39" i="4" s="1"/>
  <c r="H39" i="3"/>
  <c r="G39" i="3"/>
  <c r="F39" i="3"/>
  <c r="Y38" i="3"/>
  <c r="X38" i="3"/>
  <c r="Z38" i="3" s="1"/>
  <c r="T38" i="3"/>
  <c r="R38" i="3"/>
  <c r="Q38" i="3"/>
  <c r="S38" i="3" s="1"/>
  <c r="M38" i="3"/>
  <c r="F38" i="3"/>
  <c r="G38" i="3" s="1"/>
  <c r="Y37" i="3"/>
  <c r="X37" i="3"/>
  <c r="Z37" i="3" s="1"/>
  <c r="U37" i="3"/>
  <c r="W37" i="3" s="1"/>
  <c r="T37" i="3"/>
  <c r="R37" i="3"/>
  <c r="Q37" i="3"/>
  <c r="S37" i="3" s="1"/>
  <c r="N37" i="3"/>
  <c r="M37" i="3"/>
  <c r="O37" i="3" s="1"/>
  <c r="G37" i="3"/>
  <c r="F37" i="3"/>
  <c r="H37" i="3" s="1"/>
  <c r="I37" i="4" s="1"/>
  <c r="Y36" i="3"/>
  <c r="Z36" i="3" s="1"/>
  <c r="X36" i="3"/>
  <c r="S36" i="3"/>
  <c r="T36" i="3" s="1"/>
  <c r="R36" i="3"/>
  <c r="Q36" i="3"/>
  <c r="M36" i="3"/>
  <c r="O36" i="3" s="1"/>
  <c r="P36" i="4" s="1"/>
  <c r="F36" i="3"/>
  <c r="H36" i="3" s="1"/>
  <c r="Y35" i="3"/>
  <c r="X35" i="3"/>
  <c r="Z35" i="3" s="1"/>
  <c r="R35" i="3"/>
  <c r="Q35" i="3"/>
  <c r="S35" i="3" s="1"/>
  <c r="T35" i="3" s="1"/>
  <c r="O35" i="3"/>
  <c r="P35" i="4" s="1"/>
  <c r="N35" i="3"/>
  <c r="M35" i="3"/>
  <c r="F35" i="3"/>
  <c r="H35" i="3" s="1"/>
  <c r="U35" i="3" s="1"/>
  <c r="W35" i="3" s="1"/>
  <c r="Y34" i="3"/>
  <c r="X34" i="3"/>
  <c r="Z34" i="3" s="1"/>
  <c r="R34" i="3"/>
  <c r="Q34" i="3"/>
  <c r="S34" i="3" s="1"/>
  <c r="T34" i="3" s="1"/>
  <c r="M34" i="3"/>
  <c r="N34" i="3" s="1"/>
  <c r="F34" i="3"/>
  <c r="Z33" i="3"/>
  <c r="Y33" i="3"/>
  <c r="X33" i="3"/>
  <c r="R33" i="3"/>
  <c r="Q33" i="3"/>
  <c r="S33" i="3" s="1"/>
  <c r="T33" i="3" s="1"/>
  <c r="M33" i="3"/>
  <c r="O33" i="3" s="1"/>
  <c r="P33" i="4" s="1"/>
  <c r="F33" i="3"/>
  <c r="Z32" i="3"/>
  <c r="Y32" i="3"/>
  <c r="X32" i="3"/>
  <c r="R32" i="3"/>
  <c r="Q32" i="3"/>
  <c r="S32" i="3" s="1"/>
  <c r="T32" i="3" s="1"/>
  <c r="M32" i="3"/>
  <c r="O32" i="3" s="1"/>
  <c r="F32" i="3"/>
  <c r="Z31" i="3"/>
  <c r="Y31" i="3"/>
  <c r="X31" i="3"/>
  <c r="R31" i="3"/>
  <c r="Q31" i="3"/>
  <c r="S31" i="3" s="1"/>
  <c r="T31" i="3" s="1"/>
  <c r="O31" i="3"/>
  <c r="N31" i="3"/>
  <c r="M31" i="3"/>
  <c r="G31" i="3"/>
  <c r="F31" i="3"/>
  <c r="H31" i="3" s="1"/>
  <c r="P30" i="3"/>
  <c r="Y29" i="3"/>
  <c r="Z29" i="3" s="1"/>
  <c r="X29" i="3"/>
  <c r="T29" i="3"/>
  <c r="S29" i="3"/>
  <c r="R29" i="3"/>
  <c r="Q29" i="3"/>
  <c r="N29" i="3"/>
  <c r="M29" i="3"/>
  <c r="O29" i="3" s="1"/>
  <c r="P29" i="4" s="1"/>
  <c r="I29" i="3"/>
  <c r="H29" i="3"/>
  <c r="F29" i="3"/>
  <c r="G29" i="3" s="1"/>
  <c r="Y28" i="3"/>
  <c r="X28" i="3"/>
  <c r="Z28" i="3" s="1"/>
  <c r="R28" i="3"/>
  <c r="Q28" i="3"/>
  <c r="S28" i="3" s="1"/>
  <c r="T28" i="3" s="1"/>
  <c r="M28" i="3"/>
  <c r="F28" i="3"/>
  <c r="H28" i="3" s="1"/>
  <c r="I28" i="4" s="1"/>
  <c r="Y27" i="3"/>
  <c r="X27" i="3"/>
  <c r="Z27" i="3" s="1"/>
  <c r="U27" i="3"/>
  <c r="W27" i="3" s="1"/>
  <c r="S27" i="3"/>
  <c r="T27" i="3" s="1"/>
  <c r="R27" i="3"/>
  <c r="Q27" i="3"/>
  <c r="M27" i="3"/>
  <c r="O27" i="3" s="1"/>
  <c r="H27" i="3"/>
  <c r="I27" i="4" s="1"/>
  <c r="G27" i="3"/>
  <c r="F27" i="3"/>
  <c r="Y26" i="3"/>
  <c r="X26" i="3"/>
  <c r="Z26" i="3" s="1"/>
  <c r="R26" i="3"/>
  <c r="Q26" i="3"/>
  <c r="S26" i="3" s="1"/>
  <c r="T26" i="3" s="1"/>
  <c r="O26" i="3"/>
  <c r="N26" i="3"/>
  <c r="M26" i="3"/>
  <c r="F26" i="3"/>
  <c r="H26" i="3" s="1"/>
  <c r="U26" i="3" s="1"/>
  <c r="W26" i="3" s="1"/>
  <c r="Y25" i="3"/>
  <c r="X25" i="3"/>
  <c r="Z25" i="3" s="1"/>
  <c r="R25" i="3"/>
  <c r="Q25" i="3"/>
  <c r="S25" i="3" s="1"/>
  <c r="T25" i="3" s="1"/>
  <c r="O25" i="3"/>
  <c r="P25" i="4" s="1"/>
  <c r="M25" i="3"/>
  <c r="N25" i="3" s="1"/>
  <c r="G25" i="3"/>
  <c r="F25" i="3"/>
  <c r="H25" i="3" s="1"/>
  <c r="Z24" i="3"/>
  <c r="Y24" i="3"/>
  <c r="X24" i="3"/>
  <c r="R24" i="3"/>
  <c r="Q24" i="3"/>
  <c r="S24" i="3" s="1"/>
  <c r="T24" i="3" s="1"/>
  <c r="M24" i="3"/>
  <c r="O24" i="3" s="1"/>
  <c r="P24" i="4" s="1"/>
  <c r="F24" i="3"/>
  <c r="Z23" i="3"/>
  <c r="Y23" i="3"/>
  <c r="X23" i="3"/>
  <c r="R23" i="3"/>
  <c r="Q23" i="3"/>
  <c r="S23" i="3" s="1"/>
  <c r="T23" i="3" s="1"/>
  <c r="O23" i="3"/>
  <c r="N23" i="3"/>
  <c r="M23" i="3"/>
  <c r="G23" i="3"/>
  <c r="F23" i="3"/>
  <c r="H23" i="3" s="1"/>
  <c r="Y22" i="3"/>
  <c r="X22" i="3"/>
  <c r="Z22" i="3" s="1"/>
  <c r="S22" i="3"/>
  <c r="T22" i="3" s="1"/>
  <c r="R22" i="3"/>
  <c r="Q22" i="3"/>
  <c r="M22" i="3"/>
  <c r="O22" i="3" s="1"/>
  <c r="H22" i="3"/>
  <c r="G22" i="3"/>
  <c r="F22" i="3"/>
  <c r="Y21" i="3"/>
  <c r="Z21" i="3" s="1"/>
  <c r="X21" i="3"/>
  <c r="S21" i="3"/>
  <c r="T21" i="3" s="1"/>
  <c r="R21" i="3"/>
  <c r="Q21" i="3"/>
  <c r="N21" i="3"/>
  <c r="M21" i="3"/>
  <c r="O21" i="3" s="1"/>
  <c r="H21" i="3"/>
  <c r="F21" i="3"/>
  <c r="G21" i="3" s="1"/>
  <c r="Y20" i="3"/>
  <c r="X20" i="3"/>
  <c r="Z20" i="3" s="1"/>
  <c r="R20" i="3"/>
  <c r="Q20" i="3"/>
  <c r="S20" i="3" s="1"/>
  <c r="T20" i="3" s="1"/>
  <c r="M20" i="3"/>
  <c r="F20" i="3"/>
  <c r="H20" i="3" s="1"/>
  <c r="I20" i="4" s="1"/>
  <c r="Y19" i="3"/>
  <c r="X19" i="3"/>
  <c r="Z19" i="3" s="1"/>
  <c r="S19" i="3"/>
  <c r="T19" i="3" s="1"/>
  <c r="R19" i="3"/>
  <c r="Q19" i="3"/>
  <c r="N19" i="3"/>
  <c r="M19" i="3"/>
  <c r="O19" i="3" s="1"/>
  <c r="H19" i="3"/>
  <c r="I19" i="4" s="1"/>
  <c r="G19" i="3"/>
  <c r="F19" i="3"/>
  <c r="Y18" i="3"/>
  <c r="X18" i="3"/>
  <c r="Z18" i="3" s="1"/>
  <c r="R18" i="3"/>
  <c r="Q18" i="3"/>
  <c r="S18" i="3" s="1"/>
  <c r="T18" i="3" s="1"/>
  <c r="O18" i="3"/>
  <c r="N18" i="3"/>
  <c r="M18" i="3"/>
  <c r="F18" i="3"/>
  <c r="H18" i="3" s="1"/>
  <c r="U18" i="3" s="1"/>
  <c r="W18" i="3" s="1"/>
  <c r="Y17" i="3"/>
  <c r="X17" i="3"/>
  <c r="R17" i="3"/>
  <c r="Q17" i="3"/>
  <c r="S17" i="3" s="1"/>
  <c r="T17" i="3" s="1"/>
  <c r="O17" i="3"/>
  <c r="P17" i="4" s="1"/>
  <c r="M17" i="3"/>
  <c r="N17" i="3" s="1"/>
  <c r="G17" i="3"/>
  <c r="F17" i="3"/>
  <c r="H17" i="3" s="1"/>
  <c r="Y16" i="3"/>
  <c r="Z16" i="3" s="1"/>
  <c r="X16" i="3"/>
  <c r="R16" i="3"/>
  <c r="Q16" i="3"/>
  <c r="M16" i="3"/>
  <c r="O16" i="3" s="1"/>
  <c r="P16" i="4" s="1"/>
  <c r="F16" i="3"/>
  <c r="Z15" i="3"/>
  <c r="Y15" i="3"/>
  <c r="X15" i="3"/>
  <c r="R15" i="3"/>
  <c r="Q15" i="3"/>
  <c r="S15" i="3" s="1"/>
  <c r="T15" i="3" s="1"/>
  <c r="O15" i="3"/>
  <c r="N15" i="3"/>
  <c r="M15" i="3"/>
  <c r="F15" i="3"/>
  <c r="H15" i="3" s="1"/>
  <c r="Y14" i="3"/>
  <c r="X14" i="3"/>
  <c r="Z14" i="3" s="1"/>
  <c r="S14" i="3"/>
  <c r="T14" i="3" s="1"/>
  <c r="R14" i="3"/>
  <c r="Q14" i="3"/>
  <c r="M14" i="3"/>
  <c r="O14" i="3" s="1"/>
  <c r="H14" i="3"/>
  <c r="G14" i="3"/>
  <c r="F14" i="3"/>
  <c r="Y13" i="3"/>
  <c r="Z13" i="3" s="1"/>
  <c r="X13" i="3"/>
  <c r="S13" i="3"/>
  <c r="T13" i="3" s="1"/>
  <c r="R13" i="3"/>
  <c r="Q13" i="3"/>
  <c r="N13" i="3"/>
  <c r="M13" i="3"/>
  <c r="O13" i="3" s="1"/>
  <c r="H13" i="3"/>
  <c r="F13" i="3"/>
  <c r="G13" i="3" s="1"/>
  <c r="Y12" i="3"/>
  <c r="X12" i="3"/>
  <c r="Z12" i="3" s="1"/>
  <c r="T12" i="3"/>
  <c r="R12" i="3"/>
  <c r="Q12" i="3"/>
  <c r="S12" i="3" s="1"/>
  <c r="M12" i="3"/>
  <c r="F12" i="3"/>
  <c r="H12" i="3" s="1"/>
  <c r="I12" i="4" s="1"/>
  <c r="Y11" i="3"/>
  <c r="X11" i="3"/>
  <c r="Z11" i="3" s="1"/>
  <c r="S11" i="3"/>
  <c r="T11" i="3" s="1"/>
  <c r="R11" i="3"/>
  <c r="Q11" i="3"/>
  <c r="N11" i="3"/>
  <c r="M11" i="3"/>
  <c r="O11" i="3" s="1"/>
  <c r="U11" i="3" s="1"/>
  <c r="W11" i="3" s="1"/>
  <c r="H11" i="3"/>
  <c r="I11" i="4" s="1"/>
  <c r="G11" i="3"/>
  <c r="F11" i="3"/>
  <c r="Y10" i="3"/>
  <c r="X10" i="3"/>
  <c r="Z10" i="3" s="1"/>
  <c r="R10" i="3"/>
  <c r="Q10" i="3"/>
  <c r="O10" i="3"/>
  <c r="N10" i="3"/>
  <c r="M10" i="3"/>
  <c r="F10" i="3"/>
  <c r="H10" i="3" s="1"/>
  <c r="Y9" i="3"/>
  <c r="X9" i="3"/>
  <c r="Z9" i="3" s="1"/>
  <c r="R9" i="3"/>
  <c r="Q9" i="3"/>
  <c r="S9" i="3" s="1"/>
  <c r="T9" i="3" s="1"/>
  <c r="O9" i="3"/>
  <c r="P9" i="4" s="1"/>
  <c r="M9" i="3"/>
  <c r="N9" i="3" s="1"/>
  <c r="G9" i="3"/>
  <c r="F9" i="3"/>
  <c r="H9" i="3" s="1"/>
  <c r="Y8" i="3"/>
  <c r="Z8" i="3" s="1"/>
  <c r="X8" i="3"/>
  <c r="R8" i="3"/>
  <c r="Q8" i="3"/>
  <c r="S8" i="3" s="1"/>
  <c r="T8" i="3" s="1"/>
  <c r="M8" i="3"/>
  <c r="O8" i="3" s="1"/>
  <c r="P8" i="4" s="1"/>
  <c r="F8" i="3"/>
  <c r="Z7" i="3"/>
  <c r="Y7" i="3"/>
  <c r="X7" i="3"/>
  <c r="R7" i="3"/>
  <c r="Q7" i="3"/>
  <c r="S7" i="3" s="1"/>
  <c r="T7" i="3" s="1"/>
  <c r="O7" i="3"/>
  <c r="N7" i="3"/>
  <c r="M7" i="3"/>
  <c r="F7" i="3"/>
  <c r="H7" i="3" s="1"/>
  <c r="Y6" i="3"/>
  <c r="X6" i="3"/>
  <c r="Z6" i="3" s="1"/>
  <c r="S6" i="3"/>
  <c r="T6" i="3" s="1"/>
  <c r="R6" i="3"/>
  <c r="Q6" i="3"/>
  <c r="M6" i="3"/>
  <c r="O6" i="3" s="1"/>
  <c r="H6" i="3"/>
  <c r="G6" i="3"/>
  <c r="F6" i="3"/>
  <c r="Y5" i="3"/>
  <c r="Z5" i="3" s="1"/>
  <c r="X5" i="3"/>
  <c r="S5" i="3"/>
  <c r="T5" i="3" s="1"/>
  <c r="R5" i="3"/>
  <c r="Q5" i="3"/>
  <c r="N5" i="3"/>
  <c r="M5" i="3"/>
  <c r="O5" i="3" s="1"/>
  <c r="H5" i="3"/>
  <c r="F5" i="3"/>
  <c r="G5" i="3" s="1"/>
  <c r="Y4" i="3"/>
  <c r="X4" i="3"/>
  <c r="R4" i="3"/>
  <c r="Q4" i="3"/>
  <c r="M4" i="3"/>
  <c r="F4" i="3"/>
  <c r="H4" i="3" s="1"/>
  <c r="F80" i="2"/>
  <c r="L61" i="2"/>
  <c r="J61" i="2"/>
  <c r="E69" i="2" s="1"/>
  <c r="F61" i="2"/>
  <c r="E61" i="2"/>
  <c r="C61" i="2"/>
  <c r="C69" i="2" s="1"/>
  <c r="L60" i="2"/>
  <c r="J60" i="2"/>
  <c r="E60" i="2"/>
  <c r="C60" i="2"/>
  <c r="C68" i="2" s="1"/>
  <c r="L59" i="2"/>
  <c r="J59" i="2"/>
  <c r="E67" i="2" s="1"/>
  <c r="E59" i="2"/>
  <c r="C59" i="2"/>
  <c r="C67" i="2" s="1"/>
  <c r="L58" i="2"/>
  <c r="J58" i="2"/>
  <c r="M58" i="2" s="1"/>
  <c r="E58" i="2"/>
  <c r="F58" i="2" s="1"/>
  <c r="C58" i="2"/>
  <c r="L57" i="2"/>
  <c r="J57" i="2"/>
  <c r="E66" i="2" s="1"/>
  <c r="E57" i="2"/>
  <c r="C57" i="2"/>
  <c r="C66" i="2" s="1"/>
  <c r="L54" i="2"/>
  <c r="K54" i="2"/>
  <c r="J54" i="2"/>
  <c r="E65" i="2" s="1"/>
  <c r="F54" i="2"/>
  <c r="E54" i="2"/>
  <c r="D54" i="2"/>
  <c r="R54" i="2" s="1"/>
  <c r="C54" i="2"/>
  <c r="C65" i="2" s="1"/>
  <c r="S53" i="2"/>
  <c r="T53" i="2" s="1"/>
  <c r="R53" i="2"/>
  <c r="Q53" i="2"/>
  <c r="P53" i="2"/>
  <c r="O53" i="2"/>
  <c r="P53" i="3" s="1"/>
  <c r="N53" i="2"/>
  <c r="M53" i="2"/>
  <c r="H53" i="2"/>
  <c r="I53" i="3" s="1"/>
  <c r="G53" i="2"/>
  <c r="F53" i="2"/>
  <c r="R52" i="2"/>
  <c r="Q52" i="2"/>
  <c r="S52" i="2" s="1"/>
  <c r="T52" i="2" s="1"/>
  <c r="M52" i="2"/>
  <c r="O52" i="2" s="1"/>
  <c r="P52" i="3" s="1"/>
  <c r="H52" i="2"/>
  <c r="I52" i="3" s="1"/>
  <c r="F52" i="2"/>
  <c r="G52" i="2" s="1"/>
  <c r="T51" i="2"/>
  <c r="S51" i="2"/>
  <c r="R51" i="2"/>
  <c r="Q51" i="2"/>
  <c r="P51" i="2"/>
  <c r="O51" i="2"/>
  <c r="P51" i="3" s="1"/>
  <c r="N51" i="2"/>
  <c r="M51" i="2"/>
  <c r="I51" i="2"/>
  <c r="H51" i="2"/>
  <c r="G51" i="2"/>
  <c r="F51" i="2"/>
  <c r="R50" i="2"/>
  <c r="Q50" i="2"/>
  <c r="S50" i="2" s="1"/>
  <c r="T50" i="2" s="1"/>
  <c r="O50" i="2"/>
  <c r="P50" i="2" s="1"/>
  <c r="M50" i="2"/>
  <c r="N50" i="2" s="1"/>
  <c r="F50" i="2"/>
  <c r="H50" i="2" s="1"/>
  <c r="I50" i="3" s="1"/>
  <c r="T49" i="2"/>
  <c r="S49" i="2"/>
  <c r="R49" i="2"/>
  <c r="Q49" i="2"/>
  <c r="O49" i="2"/>
  <c r="P49" i="3" s="1"/>
  <c r="N49" i="2"/>
  <c r="M49" i="2"/>
  <c r="I49" i="2"/>
  <c r="H49" i="2"/>
  <c r="I49" i="3" s="1"/>
  <c r="G49" i="2"/>
  <c r="F49" i="2"/>
  <c r="T48" i="2"/>
  <c r="S48" i="2"/>
  <c r="R48" i="2"/>
  <c r="Q48" i="2"/>
  <c r="P48" i="2"/>
  <c r="M48" i="2"/>
  <c r="O48" i="2" s="1"/>
  <c r="P48" i="3" s="1"/>
  <c r="F48" i="2"/>
  <c r="H48" i="2" s="1"/>
  <c r="R47" i="2"/>
  <c r="Q47" i="2"/>
  <c r="S47" i="2" s="1"/>
  <c r="T47" i="2" s="1"/>
  <c r="P47" i="2"/>
  <c r="O47" i="2"/>
  <c r="P47" i="3" s="1"/>
  <c r="N47" i="2"/>
  <c r="M47" i="2"/>
  <c r="F47" i="2"/>
  <c r="H47" i="2" s="1"/>
  <c r="T46" i="2"/>
  <c r="R46" i="2"/>
  <c r="Q46" i="2"/>
  <c r="S46" i="2" s="1"/>
  <c r="N46" i="2"/>
  <c r="M46" i="2"/>
  <c r="O46" i="2" s="1"/>
  <c r="I46" i="2"/>
  <c r="G46" i="2"/>
  <c r="F46" i="2"/>
  <c r="H46" i="2" s="1"/>
  <c r="S45" i="2"/>
  <c r="T45" i="2" s="1"/>
  <c r="R45" i="2"/>
  <c r="Q45" i="2"/>
  <c r="P45" i="2"/>
  <c r="O45" i="2"/>
  <c r="P45" i="3" s="1"/>
  <c r="N45" i="2"/>
  <c r="M45" i="2"/>
  <c r="H45" i="2"/>
  <c r="I45" i="3" s="1"/>
  <c r="G45" i="2"/>
  <c r="F45" i="2"/>
  <c r="R44" i="2"/>
  <c r="Q44" i="2"/>
  <c r="S44" i="2" s="1"/>
  <c r="T44" i="2" s="1"/>
  <c r="M44" i="2"/>
  <c r="O44" i="2" s="1"/>
  <c r="P44" i="3" s="1"/>
  <c r="H44" i="2"/>
  <c r="I44" i="3" s="1"/>
  <c r="F44" i="2"/>
  <c r="G44" i="2" s="1"/>
  <c r="W43" i="2"/>
  <c r="T43" i="2"/>
  <c r="S43" i="2"/>
  <c r="R43" i="2"/>
  <c r="Q43" i="2"/>
  <c r="P43" i="2"/>
  <c r="O43" i="2"/>
  <c r="P43" i="3" s="1"/>
  <c r="N43" i="2"/>
  <c r="M43" i="2"/>
  <c r="I43" i="2"/>
  <c r="H43" i="2"/>
  <c r="U43" i="2" s="1"/>
  <c r="G43" i="2"/>
  <c r="F43" i="2"/>
  <c r="R42" i="2"/>
  <c r="Q42" i="2"/>
  <c r="S42" i="2" s="1"/>
  <c r="T42" i="2" s="1"/>
  <c r="O42" i="2"/>
  <c r="P42" i="3" s="1"/>
  <c r="M42" i="2"/>
  <c r="N42" i="2" s="1"/>
  <c r="F42" i="2"/>
  <c r="H42" i="2" s="1"/>
  <c r="U42" i="2" s="1"/>
  <c r="W42" i="2" s="1"/>
  <c r="T41" i="2"/>
  <c r="S41" i="2"/>
  <c r="R41" i="2"/>
  <c r="Q41" i="2"/>
  <c r="O41" i="2"/>
  <c r="P41" i="3" s="1"/>
  <c r="N41" i="2"/>
  <c r="M41" i="2"/>
  <c r="I41" i="2"/>
  <c r="H41" i="2"/>
  <c r="I41" i="3" s="1"/>
  <c r="G41" i="2"/>
  <c r="F41" i="2"/>
  <c r="T40" i="2"/>
  <c r="S40" i="2"/>
  <c r="R40" i="2"/>
  <c r="Q40" i="2"/>
  <c r="P40" i="2"/>
  <c r="M40" i="2"/>
  <c r="O40" i="2" s="1"/>
  <c r="P40" i="3" s="1"/>
  <c r="F40" i="2"/>
  <c r="H40" i="2" s="1"/>
  <c r="R39" i="2"/>
  <c r="Q39" i="2"/>
  <c r="S39" i="2" s="1"/>
  <c r="T39" i="2" s="1"/>
  <c r="P39" i="2"/>
  <c r="O39" i="2"/>
  <c r="P39" i="3" s="1"/>
  <c r="N39" i="2"/>
  <c r="M39" i="2"/>
  <c r="F39" i="2"/>
  <c r="H39" i="2" s="1"/>
  <c r="T38" i="2"/>
  <c r="R38" i="2"/>
  <c r="Q38" i="2"/>
  <c r="S38" i="2" s="1"/>
  <c r="M38" i="2"/>
  <c r="O38" i="2" s="1"/>
  <c r="I38" i="2"/>
  <c r="G38" i="2"/>
  <c r="F38" i="2"/>
  <c r="H38" i="2" s="1"/>
  <c r="S37" i="2"/>
  <c r="T37" i="2" s="1"/>
  <c r="R37" i="2"/>
  <c r="Q37" i="2"/>
  <c r="P37" i="2"/>
  <c r="O37" i="2"/>
  <c r="P37" i="3" s="1"/>
  <c r="N37" i="2"/>
  <c r="M37" i="2"/>
  <c r="H37" i="2"/>
  <c r="U37" i="2" s="1"/>
  <c r="W37" i="2" s="1"/>
  <c r="G37" i="2"/>
  <c r="F37" i="2"/>
  <c r="R36" i="2"/>
  <c r="Q36" i="2"/>
  <c r="S36" i="2" s="1"/>
  <c r="T36" i="2" s="1"/>
  <c r="M36" i="2"/>
  <c r="O36" i="2" s="1"/>
  <c r="P36" i="3" s="1"/>
  <c r="H36" i="2"/>
  <c r="I36" i="3" s="1"/>
  <c r="F36" i="2"/>
  <c r="G36" i="2" s="1"/>
  <c r="T35" i="2"/>
  <c r="S35" i="2"/>
  <c r="R35" i="2"/>
  <c r="Q35" i="2"/>
  <c r="P35" i="2"/>
  <c r="O35" i="2"/>
  <c r="P35" i="3" s="1"/>
  <c r="N35" i="2"/>
  <c r="M35" i="2"/>
  <c r="I35" i="2"/>
  <c r="H35" i="2"/>
  <c r="G35" i="2"/>
  <c r="F35" i="2"/>
  <c r="R34" i="2"/>
  <c r="Q34" i="2"/>
  <c r="S34" i="2" s="1"/>
  <c r="T34" i="2" s="1"/>
  <c r="O34" i="2"/>
  <c r="P34" i="2" s="1"/>
  <c r="M34" i="2"/>
  <c r="N34" i="2" s="1"/>
  <c r="F34" i="2"/>
  <c r="H34" i="2" s="1"/>
  <c r="T33" i="2"/>
  <c r="S33" i="2"/>
  <c r="R33" i="2"/>
  <c r="Q33" i="2"/>
  <c r="O33" i="2"/>
  <c r="P33" i="3" s="1"/>
  <c r="N33" i="2"/>
  <c r="M33" i="2"/>
  <c r="I33" i="2"/>
  <c r="H33" i="2"/>
  <c r="G33" i="2"/>
  <c r="F33" i="2"/>
  <c r="T32" i="2"/>
  <c r="S32" i="2"/>
  <c r="R32" i="2"/>
  <c r="Q32" i="2"/>
  <c r="P32" i="2"/>
  <c r="M32" i="2"/>
  <c r="O32" i="2" s="1"/>
  <c r="P32" i="3" s="1"/>
  <c r="F32" i="2"/>
  <c r="H32" i="2" s="1"/>
  <c r="R31" i="2"/>
  <c r="Q31" i="2"/>
  <c r="S31" i="2" s="1"/>
  <c r="T31" i="2" s="1"/>
  <c r="P31" i="2"/>
  <c r="O31" i="2"/>
  <c r="P31" i="3" s="1"/>
  <c r="N31" i="2"/>
  <c r="M31" i="2"/>
  <c r="F31" i="2"/>
  <c r="H31" i="2" s="1"/>
  <c r="R30" i="2"/>
  <c r="P30" i="2"/>
  <c r="I30" i="2"/>
  <c r="R29" i="2"/>
  <c r="Q29" i="2"/>
  <c r="S29" i="2" s="1"/>
  <c r="T29" i="2" s="1"/>
  <c r="M29" i="2"/>
  <c r="N29" i="2" s="1"/>
  <c r="H29" i="2"/>
  <c r="F29" i="2"/>
  <c r="G29" i="2" s="1"/>
  <c r="S28" i="2"/>
  <c r="T28" i="2" s="1"/>
  <c r="R28" i="2"/>
  <c r="Q28" i="2"/>
  <c r="M28" i="2"/>
  <c r="O28" i="2" s="1"/>
  <c r="F28" i="2"/>
  <c r="H28" i="2" s="1"/>
  <c r="R27" i="2"/>
  <c r="Q27" i="2"/>
  <c r="S27" i="2" s="1"/>
  <c r="T27" i="2" s="1"/>
  <c r="O27" i="2"/>
  <c r="P27" i="3" s="1"/>
  <c r="M27" i="2"/>
  <c r="N27" i="2" s="1"/>
  <c r="F27" i="2"/>
  <c r="G27" i="2" s="1"/>
  <c r="T26" i="2"/>
  <c r="S26" i="2"/>
  <c r="R26" i="2"/>
  <c r="Q26" i="2"/>
  <c r="M26" i="2"/>
  <c r="N26" i="2" s="1"/>
  <c r="H26" i="2"/>
  <c r="I26" i="3" s="1"/>
  <c r="F26" i="2"/>
  <c r="G26" i="2" s="1"/>
  <c r="S25" i="2"/>
  <c r="T25" i="2" s="1"/>
  <c r="R25" i="2"/>
  <c r="Q25" i="2"/>
  <c r="M25" i="2"/>
  <c r="N25" i="2" s="1"/>
  <c r="F25" i="2"/>
  <c r="G25" i="2" s="1"/>
  <c r="S24" i="2"/>
  <c r="T24" i="2" s="1"/>
  <c r="R24" i="2"/>
  <c r="Q24" i="2"/>
  <c r="O24" i="2"/>
  <c r="P24" i="2" s="1"/>
  <c r="N24" i="2"/>
  <c r="M24" i="2"/>
  <c r="H24" i="2"/>
  <c r="U24" i="2" s="1"/>
  <c r="W24" i="2" s="1"/>
  <c r="F24" i="2"/>
  <c r="G24" i="2" s="1"/>
  <c r="R23" i="2"/>
  <c r="Q23" i="2"/>
  <c r="S23" i="2" s="1"/>
  <c r="T23" i="2" s="1"/>
  <c r="O23" i="2"/>
  <c r="P23" i="3" s="1"/>
  <c r="M23" i="2"/>
  <c r="N23" i="2" s="1"/>
  <c r="H23" i="2"/>
  <c r="I23" i="3" s="1"/>
  <c r="F23" i="2"/>
  <c r="G23" i="2" s="1"/>
  <c r="R22" i="2"/>
  <c r="Q22" i="2"/>
  <c r="S22" i="2" s="1"/>
  <c r="T22" i="2" s="1"/>
  <c r="M22" i="2"/>
  <c r="O22" i="2" s="1"/>
  <c r="H22" i="2"/>
  <c r="I22" i="3" s="1"/>
  <c r="F22" i="2"/>
  <c r="G22" i="2" s="1"/>
  <c r="T21" i="2"/>
  <c r="S21" i="2"/>
  <c r="R21" i="2"/>
  <c r="Q21" i="2"/>
  <c r="M21" i="2"/>
  <c r="N21" i="2" s="1"/>
  <c r="F21" i="2"/>
  <c r="H21" i="2" s="1"/>
  <c r="R20" i="2"/>
  <c r="Q20" i="2"/>
  <c r="S20" i="2" s="1"/>
  <c r="T20" i="2" s="1"/>
  <c r="P20" i="2"/>
  <c r="O20" i="2"/>
  <c r="N20" i="2"/>
  <c r="M20" i="2"/>
  <c r="H20" i="2"/>
  <c r="I20" i="2" s="1"/>
  <c r="F20" i="2"/>
  <c r="G20" i="2" s="1"/>
  <c r="S19" i="2"/>
  <c r="T19" i="2" s="1"/>
  <c r="R19" i="2"/>
  <c r="Q19" i="2"/>
  <c r="M19" i="2"/>
  <c r="O19" i="2" s="1"/>
  <c r="H19" i="2"/>
  <c r="I19" i="3" s="1"/>
  <c r="F19" i="2"/>
  <c r="G19" i="2" s="1"/>
  <c r="S18" i="2"/>
  <c r="T18" i="2" s="1"/>
  <c r="R18" i="2"/>
  <c r="Q18" i="2"/>
  <c r="O18" i="2"/>
  <c r="M18" i="2"/>
  <c r="N18" i="2" s="1"/>
  <c r="F18" i="2"/>
  <c r="H18" i="2" s="1"/>
  <c r="T17" i="2"/>
  <c r="S17" i="2"/>
  <c r="R17" i="2"/>
  <c r="Q17" i="2"/>
  <c r="M17" i="2"/>
  <c r="N17" i="2" s="1"/>
  <c r="H17" i="2"/>
  <c r="I17" i="3" s="1"/>
  <c r="F17" i="2"/>
  <c r="G17" i="2" s="1"/>
  <c r="S16" i="2"/>
  <c r="T16" i="2" s="1"/>
  <c r="R16" i="2"/>
  <c r="Q16" i="2"/>
  <c r="Q60" i="2" s="1"/>
  <c r="S60" i="2" s="1"/>
  <c r="P16" i="2"/>
  <c r="O16" i="2"/>
  <c r="P16" i="3" s="1"/>
  <c r="N16" i="2"/>
  <c r="M16" i="2"/>
  <c r="F16" i="2"/>
  <c r="H16" i="2" s="1"/>
  <c r="S15" i="2"/>
  <c r="T15" i="2" s="1"/>
  <c r="R15" i="2"/>
  <c r="Q15" i="2"/>
  <c r="M15" i="2"/>
  <c r="O15" i="2" s="1"/>
  <c r="H15" i="2"/>
  <c r="F15" i="2"/>
  <c r="G15" i="2" s="1"/>
  <c r="T14" i="2"/>
  <c r="S14" i="2"/>
  <c r="R14" i="2"/>
  <c r="Q14" i="2"/>
  <c r="O14" i="2"/>
  <c r="M14" i="2"/>
  <c r="N14" i="2" s="1"/>
  <c r="F14" i="2"/>
  <c r="H14" i="2" s="1"/>
  <c r="R13" i="2"/>
  <c r="Q13" i="2"/>
  <c r="S13" i="2" s="1"/>
  <c r="T13" i="2" s="1"/>
  <c r="O13" i="2"/>
  <c r="P13" i="3" s="1"/>
  <c r="M13" i="2"/>
  <c r="N13" i="2" s="1"/>
  <c r="F13" i="2"/>
  <c r="H13" i="2" s="1"/>
  <c r="S12" i="2"/>
  <c r="T12" i="2" s="1"/>
  <c r="R12" i="2"/>
  <c r="Q12" i="2"/>
  <c r="M12" i="2"/>
  <c r="O12" i="2" s="1"/>
  <c r="H12" i="2"/>
  <c r="I12" i="2" s="1"/>
  <c r="F12" i="2"/>
  <c r="G12" i="2" s="1"/>
  <c r="S11" i="2"/>
  <c r="T11" i="2" s="1"/>
  <c r="R11" i="2"/>
  <c r="Q11" i="2"/>
  <c r="M11" i="2"/>
  <c r="N11" i="2" s="1"/>
  <c r="H11" i="2"/>
  <c r="I11" i="3" s="1"/>
  <c r="F11" i="2"/>
  <c r="G11" i="2" s="1"/>
  <c r="R10" i="2"/>
  <c r="Q10" i="2"/>
  <c r="Q59" i="2" s="1"/>
  <c r="F67" i="2" s="1"/>
  <c r="O10" i="2"/>
  <c r="P10" i="3" s="1"/>
  <c r="M10" i="2"/>
  <c r="N10" i="2" s="1"/>
  <c r="F10" i="2"/>
  <c r="H10" i="2" s="1"/>
  <c r="R9" i="2"/>
  <c r="Q9" i="2"/>
  <c r="S9" i="2" s="1"/>
  <c r="T9" i="2" s="1"/>
  <c r="O9" i="2"/>
  <c r="P9" i="3" s="1"/>
  <c r="M9" i="2"/>
  <c r="N9" i="2" s="1"/>
  <c r="F9" i="2"/>
  <c r="G9" i="2" s="1"/>
  <c r="S8" i="2"/>
  <c r="T8" i="2" s="1"/>
  <c r="R8" i="2"/>
  <c r="Q8" i="2"/>
  <c r="M8" i="2"/>
  <c r="O8" i="2" s="1"/>
  <c r="H8" i="2"/>
  <c r="F8" i="2"/>
  <c r="G8" i="2" s="1"/>
  <c r="S7" i="2"/>
  <c r="T7" i="2" s="1"/>
  <c r="R7" i="2"/>
  <c r="Q7" i="2"/>
  <c r="M7" i="2"/>
  <c r="O7" i="2" s="1"/>
  <c r="H7" i="2"/>
  <c r="I7" i="3" s="1"/>
  <c r="F7" i="2"/>
  <c r="G7" i="2" s="1"/>
  <c r="R6" i="2"/>
  <c r="Q6" i="2"/>
  <c r="S6" i="2" s="1"/>
  <c r="T6" i="2" s="1"/>
  <c r="O6" i="2"/>
  <c r="P6" i="3" s="1"/>
  <c r="M6" i="2"/>
  <c r="N6" i="2" s="1"/>
  <c r="F6" i="2"/>
  <c r="H6" i="2" s="1"/>
  <c r="R5" i="2"/>
  <c r="Q5" i="2"/>
  <c r="O5" i="2"/>
  <c r="P5" i="3" s="1"/>
  <c r="M5" i="2"/>
  <c r="N5" i="2" s="1"/>
  <c r="F5" i="2"/>
  <c r="H5" i="2" s="1"/>
  <c r="S4" i="2"/>
  <c r="R4" i="2"/>
  <c r="Q4" i="2"/>
  <c r="M4" i="2"/>
  <c r="O4" i="2" s="1"/>
  <c r="H4" i="2"/>
  <c r="I4" i="3" s="1"/>
  <c r="F4" i="2"/>
  <c r="G4" i="2" s="1"/>
  <c r="G7" i="24" l="1"/>
  <c r="L11" i="24"/>
  <c r="P11" i="24" s="1"/>
  <c r="R11" i="24" s="1"/>
  <c r="F36" i="24"/>
  <c r="G14" i="24"/>
  <c r="G48" i="24"/>
  <c r="P48" i="24" s="1"/>
  <c r="R48" i="24" s="1"/>
  <c r="K48" i="24"/>
  <c r="F46" i="24"/>
  <c r="F22" i="24"/>
  <c r="K19" i="24"/>
  <c r="F37" i="24"/>
  <c r="K34" i="24"/>
  <c r="G6" i="24"/>
  <c r="G26" i="24"/>
  <c r="P26" i="24" s="1"/>
  <c r="R26" i="24" s="1"/>
  <c r="K17" i="24"/>
  <c r="K23" i="24"/>
  <c r="L52" i="24"/>
  <c r="P52" i="24" s="1"/>
  <c r="R52" i="24" s="1"/>
  <c r="L14" i="24"/>
  <c r="F49" i="24"/>
  <c r="G49" i="24"/>
  <c r="P49" i="24" s="1"/>
  <c r="R49" i="24" s="1"/>
  <c r="J54" i="24"/>
  <c r="K6" i="24"/>
  <c r="L6" i="24"/>
  <c r="K40" i="24"/>
  <c r="L22" i="24"/>
  <c r="P22" i="24" s="1"/>
  <c r="R22" i="24" s="1"/>
  <c r="K32" i="24"/>
  <c r="F38" i="24"/>
  <c r="F41" i="24"/>
  <c r="G41" i="24"/>
  <c r="P41" i="24" s="1"/>
  <c r="R41" i="24" s="1"/>
  <c r="K46" i="24"/>
  <c r="G10" i="24"/>
  <c r="P10" i="24" s="1"/>
  <c r="R10" i="24" s="1"/>
  <c r="P50" i="24"/>
  <c r="R50" i="24" s="1"/>
  <c r="K15" i="24"/>
  <c r="G18" i="24"/>
  <c r="P18" i="24" s="1"/>
  <c r="R18" i="24" s="1"/>
  <c r="F29" i="24"/>
  <c r="K10" i="24"/>
  <c r="K26" i="24"/>
  <c r="K29" i="24"/>
  <c r="L29" i="24"/>
  <c r="P29" i="24" s="1"/>
  <c r="R29" i="24" s="1"/>
  <c r="K50" i="24"/>
  <c r="F53" i="24"/>
  <c r="K18" i="24"/>
  <c r="F42" i="24"/>
  <c r="N5" i="24"/>
  <c r="O5" i="24" s="1"/>
  <c r="P34" i="24"/>
  <c r="R34" i="24" s="1"/>
  <c r="F45" i="24"/>
  <c r="F34" i="24"/>
  <c r="K42" i="24"/>
  <c r="K8" i="24"/>
  <c r="K16" i="24"/>
  <c r="G25" i="24"/>
  <c r="P25" i="24" s="1"/>
  <c r="R25" i="24" s="1"/>
  <c r="K27" i="24"/>
  <c r="G33" i="24"/>
  <c r="P33" i="24" s="1"/>
  <c r="R33" i="24" s="1"/>
  <c r="F35" i="24"/>
  <c r="K41" i="24"/>
  <c r="L45" i="24"/>
  <c r="P45" i="24" s="1"/>
  <c r="R45" i="24" s="1"/>
  <c r="K49" i="24"/>
  <c r="L53" i="24"/>
  <c r="F21" i="24"/>
  <c r="L37" i="24"/>
  <c r="P37" i="24" s="1"/>
  <c r="R37" i="24" s="1"/>
  <c r="F13" i="24"/>
  <c r="F23" i="24"/>
  <c r="K25" i="24"/>
  <c r="K33" i="24"/>
  <c r="K39" i="24"/>
  <c r="K47" i="24"/>
  <c r="F5" i="24"/>
  <c r="F15" i="24"/>
  <c r="G17" i="24"/>
  <c r="P17" i="24" s="1"/>
  <c r="R17" i="24" s="1"/>
  <c r="L21" i="24"/>
  <c r="P21" i="24" s="1"/>
  <c r="R21" i="24" s="1"/>
  <c r="F52" i="24"/>
  <c r="K9" i="24"/>
  <c r="F11" i="24"/>
  <c r="F28" i="24"/>
  <c r="F44" i="24"/>
  <c r="E54" i="24"/>
  <c r="F60" i="2"/>
  <c r="E69" i="3"/>
  <c r="C68" i="6"/>
  <c r="M60" i="2"/>
  <c r="M58" i="3"/>
  <c r="S60" i="7"/>
  <c r="C67" i="8"/>
  <c r="M57" i="2"/>
  <c r="F59" i="2"/>
  <c r="M60" i="3"/>
  <c r="M61" i="4"/>
  <c r="M58" i="6"/>
  <c r="M60" i="6"/>
  <c r="M59" i="2"/>
  <c r="M57" i="5"/>
  <c r="M58" i="8"/>
  <c r="F60" i="8"/>
  <c r="F58" i="7"/>
  <c r="F60" i="7"/>
  <c r="E68" i="9"/>
  <c r="M59" i="3"/>
  <c r="F59" i="8"/>
  <c r="F57" i="9"/>
  <c r="G4" i="24"/>
  <c r="P15" i="24"/>
  <c r="R15" i="24" s="1"/>
  <c r="F19" i="24"/>
  <c r="L36" i="24"/>
  <c r="P36" i="24" s="1"/>
  <c r="R36" i="24" s="1"/>
  <c r="G39" i="24"/>
  <c r="P39" i="24" s="1"/>
  <c r="R39" i="24" s="1"/>
  <c r="F39" i="24"/>
  <c r="P42" i="24"/>
  <c r="R42" i="24" s="1"/>
  <c r="F43" i="24"/>
  <c r="L20" i="24"/>
  <c r="P20" i="24" s="1"/>
  <c r="R20" i="24" s="1"/>
  <c r="K20" i="24"/>
  <c r="P38" i="24"/>
  <c r="R38" i="24" s="1"/>
  <c r="G24" i="24"/>
  <c r="P24" i="24" s="1"/>
  <c r="R24" i="24" s="1"/>
  <c r="F24" i="24"/>
  <c r="P27" i="24"/>
  <c r="R27" i="24" s="1"/>
  <c r="L43" i="24"/>
  <c r="K43" i="24"/>
  <c r="L4" i="24"/>
  <c r="K4" i="24"/>
  <c r="G9" i="24"/>
  <c r="P9" i="24" s="1"/>
  <c r="R9" i="24" s="1"/>
  <c r="N16" i="24"/>
  <c r="O16" i="24" s="1"/>
  <c r="F27" i="24"/>
  <c r="K38" i="24"/>
  <c r="L44" i="24"/>
  <c r="P44" i="24" s="1"/>
  <c r="R44" i="24" s="1"/>
  <c r="G47" i="24"/>
  <c r="P47" i="24" s="1"/>
  <c r="R47" i="24" s="1"/>
  <c r="F47" i="24"/>
  <c r="F51" i="24"/>
  <c r="M54" i="24"/>
  <c r="L5" i="24"/>
  <c r="P5" i="24" s="1"/>
  <c r="R5" i="24" s="1"/>
  <c r="G8" i="24"/>
  <c r="P8" i="24" s="1"/>
  <c r="R8" i="24" s="1"/>
  <c r="F8" i="24"/>
  <c r="F12" i="24"/>
  <c r="K24" i="24"/>
  <c r="L28" i="24"/>
  <c r="P28" i="24" s="1"/>
  <c r="R28" i="24" s="1"/>
  <c r="K28" i="24"/>
  <c r="G32" i="24"/>
  <c r="P32" i="24" s="1"/>
  <c r="R32" i="24" s="1"/>
  <c r="P46" i="24"/>
  <c r="R46" i="24" s="1"/>
  <c r="F50" i="24"/>
  <c r="O4" i="24"/>
  <c r="P7" i="24"/>
  <c r="R7" i="24" s="1"/>
  <c r="G31" i="24"/>
  <c r="P31" i="24" s="1"/>
  <c r="R31" i="24" s="1"/>
  <c r="F31" i="24"/>
  <c r="L51" i="24"/>
  <c r="P51" i="24" s="1"/>
  <c r="R51" i="24" s="1"/>
  <c r="K51" i="24"/>
  <c r="L12" i="24"/>
  <c r="P12" i="24" s="1"/>
  <c r="R12" i="24" s="1"/>
  <c r="K12" i="24"/>
  <c r="K7" i="24"/>
  <c r="L13" i="24"/>
  <c r="P13" i="24" s="1"/>
  <c r="R13" i="24" s="1"/>
  <c r="G16" i="24"/>
  <c r="P16" i="24" s="1"/>
  <c r="R16" i="24" s="1"/>
  <c r="F16" i="24"/>
  <c r="P19" i="24"/>
  <c r="R19" i="24" s="1"/>
  <c r="F20" i="24"/>
  <c r="K31" i="24"/>
  <c r="L35" i="24"/>
  <c r="P35" i="24" s="1"/>
  <c r="R35" i="24" s="1"/>
  <c r="K35" i="24"/>
  <c r="G40" i="24"/>
  <c r="P40" i="24" s="1"/>
  <c r="R40" i="24" s="1"/>
  <c r="P8" i="3"/>
  <c r="P8" i="2"/>
  <c r="U8" i="2"/>
  <c r="W8" i="2" s="1"/>
  <c r="I10" i="3"/>
  <c r="U10" i="2"/>
  <c r="W10" i="2" s="1"/>
  <c r="I10" i="2"/>
  <c r="I10" i="4"/>
  <c r="P4" i="2"/>
  <c r="U4" i="2"/>
  <c r="P7" i="3"/>
  <c r="P7" i="2"/>
  <c r="U13" i="2"/>
  <c r="W13" i="2" s="1"/>
  <c r="I13" i="3"/>
  <c r="I13" i="2"/>
  <c r="P28" i="2"/>
  <c r="P38" i="2"/>
  <c r="U38" i="2"/>
  <c r="W38" i="2" s="1"/>
  <c r="I28" i="2"/>
  <c r="I28" i="3"/>
  <c r="U28" i="2"/>
  <c r="W28" i="2" s="1"/>
  <c r="I6" i="3"/>
  <c r="U6" i="2"/>
  <c r="W6" i="2" s="1"/>
  <c r="I6" i="2"/>
  <c r="I18" i="3"/>
  <c r="U18" i="2"/>
  <c r="W18" i="2" s="1"/>
  <c r="I18" i="2"/>
  <c r="P19" i="3"/>
  <c r="P19" i="2"/>
  <c r="P46" i="2"/>
  <c r="P46" i="3"/>
  <c r="U46" i="2"/>
  <c r="W46" i="2" s="1"/>
  <c r="I47" i="3"/>
  <c r="U47" i="2"/>
  <c r="W47" i="2" s="1"/>
  <c r="I47" i="2"/>
  <c r="I16" i="2"/>
  <c r="U16" i="2"/>
  <c r="W16" i="2" s="1"/>
  <c r="I32" i="3"/>
  <c r="I32" i="2"/>
  <c r="U32" i="2"/>
  <c r="W32" i="2" s="1"/>
  <c r="I40" i="3"/>
  <c r="U40" i="2"/>
  <c r="W40" i="2" s="1"/>
  <c r="I40" i="2"/>
  <c r="P15" i="3"/>
  <c r="P15" i="2"/>
  <c r="U15" i="2"/>
  <c r="W15" i="2" s="1"/>
  <c r="U5" i="2"/>
  <c r="W5" i="2" s="1"/>
  <c r="I5" i="2"/>
  <c r="I5" i="3"/>
  <c r="P12" i="2"/>
  <c r="U12" i="2"/>
  <c r="W12" i="2" s="1"/>
  <c r="U31" i="2"/>
  <c r="W31" i="2" s="1"/>
  <c r="I31" i="3"/>
  <c r="I31" i="2"/>
  <c r="U39" i="2"/>
  <c r="W39" i="2" s="1"/>
  <c r="I39" i="2"/>
  <c r="I39" i="3"/>
  <c r="I14" i="3"/>
  <c r="U14" i="2"/>
  <c r="W14" i="2" s="1"/>
  <c r="I14" i="2"/>
  <c r="I21" i="2"/>
  <c r="I21" i="3"/>
  <c r="P22" i="3"/>
  <c r="P22" i="2"/>
  <c r="U29" i="2"/>
  <c r="W29" i="2" s="1"/>
  <c r="I38" i="3"/>
  <c r="I48" i="3"/>
  <c r="U48" i="2"/>
  <c r="W48" i="2" s="1"/>
  <c r="I48" i="2"/>
  <c r="P18" i="2"/>
  <c r="P18" i="3"/>
  <c r="H35" i="5"/>
  <c r="G35" i="5"/>
  <c r="I37" i="10"/>
  <c r="U37" i="9"/>
  <c r="W37" i="9" s="1"/>
  <c r="N4" i="2"/>
  <c r="P5" i="2"/>
  <c r="G6" i="2"/>
  <c r="I7" i="2"/>
  <c r="N8" i="2"/>
  <c r="E85" i="2" s="1"/>
  <c r="P9" i="2"/>
  <c r="G10" i="2"/>
  <c r="I11" i="2"/>
  <c r="N12" i="2"/>
  <c r="P13" i="2"/>
  <c r="G14" i="2"/>
  <c r="N15" i="2"/>
  <c r="I17" i="2"/>
  <c r="U17" i="2"/>
  <c r="W17" i="2" s="1"/>
  <c r="I19" i="2"/>
  <c r="G21" i="2"/>
  <c r="N22" i="2"/>
  <c r="I26" i="2"/>
  <c r="P27" i="2"/>
  <c r="G28" i="2"/>
  <c r="O29" i="2"/>
  <c r="G32" i="2"/>
  <c r="U33" i="2"/>
  <c r="W33" i="2" s="1"/>
  <c r="U35" i="2"/>
  <c r="W35" i="2" s="1"/>
  <c r="I35" i="3"/>
  <c r="N36" i="2"/>
  <c r="G40" i="2"/>
  <c r="U41" i="2"/>
  <c r="W41" i="2" s="1"/>
  <c r="P42" i="2"/>
  <c r="N44" i="2"/>
  <c r="G48" i="2"/>
  <c r="U49" i="2"/>
  <c r="W49" i="2" s="1"/>
  <c r="U51" i="2"/>
  <c r="W51" i="2" s="1"/>
  <c r="I51" i="3"/>
  <c r="N52" i="2"/>
  <c r="E68" i="2"/>
  <c r="Q54" i="3"/>
  <c r="U14" i="3"/>
  <c r="W14" i="3" s="1"/>
  <c r="G15" i="3"/>
  <c r="Z17" i="3"/>
  <c r="I20" i="3"/>
  <c r="P24" i="3"/>
  <c r="G35" i="3"/>
  <c r="I36" i="4"/>
  <c r="U36" i="3"/>
  <c r="W36" i="3" s="1"/>
  <c r="U40" i="3"/>
  <c r="W40" i="3" s="1"/>
  <c r="H46" i="4"/>
  <c r="G46" i="4"/>
  <c r="F58" i="4"/>
  <c r="G22" i="5"/>
  <c r="I27" i="10"/>
  <c r="U27" i="9"/>
  <c r="W27" i="9" s="1"/>
  <c r="P36" i="2"/>
  <c r="P44" i="2"/>
  <c r="P52" i="2"/>
  <c r="F68" i="2"/>
  <c r="P5" i="4"/>
  <c r="H16" i="3"/>
  <c r="G16" i="3"/>
  <c r="I17" i="4"/>
  <c r="U17" i="3"/>
  <c r="W17" i="3" s="1"/>
  <c r="O20" i="3"/>
  <c r="P20" i="4" s="1"/>
  <c r="N20" i="3"/>
  <c r="I21" i="4"/>
  <c r="U21" i="3"/>
  <c r="W21" i="3" s="1"/>
  <c r="I31" i="4"/>
  <c r="U31" i="3"/>
  <c r="W31" i="3" s="1"/>
  <c r="H34" i="3"/>
  <c r="G34" i="3"/>
  <c r="G36" i="3"/>
  <c r="I42" i="3"/>
  <c r="C65" i="3"/>
  <c r="F61" i="3"/>
  <c r="C69" i="3"/>
  <c r="P20" i="5"/>
  <c r="I24" i="3"/>
  <c r="I24" i="2"/>
  <c r="E89" i="3"/>
  <c r="O4" i="3"/>
  <c r="N4" i="3"/>
  <c r="I44" i="5"/>
  <c r="U44" i="4"/>
  <c r="W44" i="4" s="1"/>
  <c r="I22" i="6"/>
  <c r="U22" i="5"/>
  <c r="W22" i="5" s="1"/>
  <c r="I12" i="10"/>
  <c r="U12" i="9"/>
  <c r="W12" i="9" s="1"/>
  <c r="I38" i="10"/>
  <c r="U38" i="9"/>
  <c r="W38" i="9" s="1"/>
  <c r="Q61" i="2"/>
  <c r="Q58" i="2"/>
  <c r="S58" i="2" s="1"/>
  <c r="U7" i="2"/>
  <c r="W7" i="2" s="1"/>
  <c r="G16" i="2"/>
  <c r="G18" i="2"/>
  <c r="N38" i="2"/>
  <c r="M61" i="2"/>
  <c r="U7" i="3"/>
  <c r="W7" i="3" s="1"/>
  <c r="P26" i="4"/>
  <c r="H33" i="3"/>
  <c r="I33" i="3" s="1"/>
  <c r="G33" i="3"/>
  <c r="I37" i="3"/>
  <c r="U32" i="4"/>
  <c r="W32" i="4" s="1"/>
  <c r="I35" i="4"/>
  <c r="O45" i="4"/>
  <c r="P45" i="5" s="1"/>
  <c r="N45" i="4"/>
  <c r="U48" i="4"/>
  <c r="W48" i="4" s="1"/>
  <c r="Q54" i="4"/>
  <c r="I5" i="4"/>
  <c r="U5" i="3"/>
  <c r="W5" i="3" s="1"/>
  <c r="I19" i="10"/>
  <c r="U19" i="9"/>
  <c r="W19" i="9" s="1"/>
  <c r="U36" i="9"/>
  <c r="W36" i="9" s="1"/>
  <c r="I36" i="10"/>
  <c r="G5" i="2"/>
  <c r="N7" i="2"/>
  <c r="G13" i="2"/>
  <c r="C84" i="2" s="1"/>
  <c r="O17" i="2"/>
  <c r="N19" i="2"/>
  <c r="I23" i="2"/>
  <c r="Q57" i="2"/>
  <c r="S5" i="2"/>
  <c r="T5" i="2" s="1"/>
  <c r="H9" i="2"/>
  <c r="O11" i="2"/>
  <c r="E76" i="2" s="1"/>
  <c r="U23" i="2"/>
  <c r="W23" i="2" s="1"/>
  <c r="H25" i="2"/>
  <c r="O26" i="2"/>
  <c r="H27" i="2"/>
  <c r="C77" i="2" s="1"/>
  <c r="N28" i="2"/>
  <c r="G31" i="2"/>
  <c r="P33" i="2"/>
  <c r="G34" i="2"/>
  <c r="I37" i="2"/>
  <c r="G39" i="2"/>
  <c r="P41" i="2"/>
  <c r="G42" i="2"/>
  <c r="I45" i="2"/>
  <c r="G47" i="2"/>
  <c r="P49" i="2"/>
  <c r="G50" i="2"/>
  <c r="I53" i="2"/>
  <c r="F57" i="2"/>
  <c r="C89" i="2"/>
  <c r="I6" i="4"/>
  <c r="U6" i="3"/>
  <c r="W6" i="3" s="1"/>
  <c r="G7" i="3"/>
  <c r="I12" i="3"/>
  <c r="U19" i="3"/>
  <c r="W19" i="3" s="1"/>
  <c r="P21" i="4"/>
  <c r="H32" i="3"/>
  <c r="G32" i="3"/>
  <c r="P42" i="4"/>
  <c r="I43" i="3"/>
  <c r="I48" i="4"/>
  <c r="U48" i="3"/>
  <c r="W48" i="3" s="1"/>
  <c r="U49" i="3"/>
  <c r="W49" i="3" s="1"/>
  <c r="T4" i="4"/>
  <c r="O10" i="4"/>
  <c r="P10" i="5" s="1"/>
  <c r="N10" i="4"/>
  <c r="E85" i="4" s="1"/>
  <c r="O18" i="4"/>
  <c r="P18" i="5" s="1"/>
  <c r="N18" i="4"/>
  <c r="O26" i="4"/>
  <c r="P26" i="5" s="1"/>
  <c r="N26" i="4"/>
  <c r="I36" i="5"/>
  <c r="U36" i="4"/>
  <c r="W36" i="4" s="1"/>
  <c r="P45" i="4"/>
  <c r="I52" i="5"/>
  <c r="U52" i="4"/>
  <c r="W52" i="4" s="1"/>
  <c r="O17" i="5"/>
  <c r="P17" i="6" s="1"/>
  <c r="N17" i="5"/>
  <c r="H28" i="5"/>
  <c r="G28" i="5"/>
  <c r="C65" i="5"/>
  <c r="S10" i="2"/>
  <c r="T10" i="2" s="1"/>
  <c r="U19" i="2"/>
  <c r="W19" i="2" s="1"/>
  <c r="O21" i="2"/>
  <c r="U21" i="2" s="1"/>
  <c r="W21" i="2" s="1"/>
  <c r="N32" i="2"/>
  <c r="I34" i="2"/>
  <c r="U34" i="2"/>
  <c r="W34" i="2" s="1"/>
  <c r="N40" i="2"/>
  <c r="I42" i="2"/>
  <c r="U45" i="2"/>
  <c r="W45" i="2" s="1"/>
  <c r="N48" i="2"/>
  <c r="I50" i="2"/>
  <c r="U50" i="2"/>
  <c r="W50" i="2" s="1"/>
  <c r="U53" i="2"/>
  <c r="W53" i="2" s="1"/>
  <c r="E89" i="2"/>
  <c r="X54" i="3"/>
  <c r="P6" i="4"/>
  <c r="H8" i="3"/>
  <c r="C77" i="3" s="1"/>
  <c r="G8" i="3"/>
  <c r="I9" i="4"/>
  <c r="U9" i="3"/>
  <c r="W9" i="3" s="1"/>
  <c r="O12" i="3"/>
  <c r="P12" i="4" s="1"/>
  <c r="N12" i="3"/>
  <c r="I13" i="4"/>
  <c r="U13" i="3"/>
  <c r="W13" i="3" s="1"/>
  <c r="Q60" i="3"/>
  <c r="S16" i="3"/>
  <c r="T16" i="3" s="1"/>
  <c r="U23" i="3"/>
  <c r="W23" i="3" s="1"/>
  <c r="N27" i="3"/>
  <c r="P32" i="4"/>
  <c r="P47" i="4"/>
  <c r="N53" i="3"/>
  <c r="P9" i="5"/>
  <c r="U9" i="4"/>
  <c r="W9" i="4" s="1"/>
  <c r="P17" i="5"/>
  <c r="U17" i="4"/>
  <c r="W17" i="4" s="1"/>
  <c r="U25" i="4"/>
  <c r="W25" i="4" s="1"/>
  <c r="H38" i="4"/>
  <c r="G38" i="4"/>
  <c r="C65" i="4"/>
  <c r="F54" i="4"/>
  <c r="H29" i="5"/>
  <c r="G29" i="5"/>
  <c r="U43" i="5"/>
  <c r="W43" i="5" s="1"/>
  <c r="I43" i="6"/>
  <c r="U15" i="6"/>
  <c r="W15" i="6" s="1"/>
  <c r="P14" i="3"/>
  <c r="P14" i="2"/>
  <c r="U20" i="2"/>
  <c r="W20" i="2" s="1"/>
  <c r="M54" i="2"/>
  <c r="S59" i="2"/>
  <c r="I4" i="4"/>
  <c r="C76" i="3"/>
  <c r="U10" i="3"/>
  <c r="W10" i="3" s="1"/>
  <c r="P18" i="4"/>
  <c r="U20" i="3"/>
  <c r="W20" i="3" s="1"/>
  <c r="U22" i="3"/>
  <c r="W22" i="3" s="1"/>
  <c r="P31" i="4"/>
  <c r="O38" i="3"/>
  <c r="P38" i="4" s="1"/>
  <c r="N38" i="3"/>
  <c r="I44" i="4"/>
  <c r="U44" i="3"/>
  <c r="W44" i="3" s="1"/>
  <c r="C66" i="3"/>
  <c r="I6" i="6"/>
  <c r="U6" i="5"/>
  <c r="W6" i="5" s="1"/>
  <c r="U27" i="5"/>
  <c r="W27" i="5" s="1"/>
  <c r="P27" i="6"/>
  <c r="O41" i="5"/>
  <c r="P41" i="6" s="1"/>
  <c r="N41" i="5"/>
  <c r="I15" i="4"/>
  <c r="U15" i="3"/>
  <c r="W15" i="3" s="1"/>
  <c r="U8" i="4"/>
  <c r="W8" i="4" s="1"/>
  <c r="I8" i="5"/>
  <c r="I16" i="5"/>
  <c r="U16" i="4"/>
  <c r="W16" i="4" s="1"/>
  <c r="U24" i="4"/>
  <c r="W24" i="4" s="1"/>
  <c r="I24" i="5"/>
  <c r="I35" i="10"/>
  <c r="U35" i="9"/>
  <c r="W35" i="9" s="1"/>
  <c r="T87" i="2"/>
  <c r="I8" i="3"/>
  <c r="I15" i="3"/>
  <c r="I4" i="2"/>
  <c r="T4" i="2"/>
  <c r="P6" i="2"/>
  <c r="I8" i="2"/>
  <c r="P10" i="2"/>
  <c r="I15" i="2"/>
  <c r="I22" i="2"/>
  <c r="U22" i="2"/>
  <c r="W22" i="2" s="1"/>
  <c r="P23" i="2"/>
  <c r="O25" i="2"/>
  <c r="I29" i="2"/>
  <c r="I36" i="2"/>
  <c r="U36" i="2"/>
  <c r="W36" i="2" s="1"/>
  <c r="I44" i="2"/>
  <c r="U44" i="2"/>
  <c r="W44" i="2" s="1"/>
  <c r="I52" i="2"/>
  <c r="U52" i="2"/>
  <c r="W52" i="2" s="1"/>
  <c r="Q54" i="2"/>
  <c r="P13" i="4"/>
  <c r="H24" i="3"/>
  <c r="G24" i="3"/>
  <c r="I25" i="4"/>
  <c r="U25" i="3"/>
  <c r="W25" i="3" s="1"/>
  <c r="O28" i="3"/>
  <c r="N28" i="3"/>
  <c r="I29" i="4"/>
  <c r="U29" i="3"/>
  <c r="W29" i="3" s="1"/>
  <c r="I39" i="4"/>
  <c r="U39" i="3"/>
  <c r="W39" i="3" s="1"/>
  <c r="P48" i="4"/>
  <c r="U52" i="3"/>
  <c r="W52" i="3" s="1"/>
  <c r="E66" i="3"/>
  <c r="U5" i="4"/>
  <c r="W5" i="4" s="1"/>
  <c r="I5" i="5"/>
  <c r="H6" i="4"/>
  <c r="G6" i="4"/>
  <c r="I13" i="5"/>
  <c r="U13" i="4"/>
  <c r="W13" i="4" s="1"/>
  <c r="H14" i="4"/>
  <c r="G14" i="4"/>
  <c r="I21" i="5"/>
  <c r="U21" i="4"/>
  <c r="W21" i="4" s="1"/>
  <c r="H22" i="4"/>
  <c r="I22" i="4" s="1"/>
  <c r="G22" i="4"/>
  <c r="O37" i="4"/>
  <c r="N37" i="4"/>
  <c r="U40" i="4"/>
  <c r="W40" i="4" s="1"/>
  <c r="I43" i="4"/>
  <c r="O53" i="4"/>
  <c r="U53" i="4" s="1"/>
  <c r="W53" i="4" s="1"/>
  <c r="N53" i="4"/>
  <c r="Z37" i="5"/>
  <c r="P40" i="6"/>
  <c r="U40" i="5"/>
  <c r="W40" i="5" s="1"/>
  <c r="U51" i="3"/>
  <c r="W51" i="3" s="1"/>
  <c r="F60" i="3"/>
  <c r="I4" i="5"/>
  <c r="C76" i="4"/>
  <c r="U4" i="4"/>
  <c r="Q61" i="4"/>
  <c r="Q58" i="4"/>
  <c r="S58" i="4" s="1"/>
  <c r="Z8" i="4"/>
  <c r="I12" i="5"/>
  <c r="U12" i="4"/>
  <c r="W12" i="4" s="1"/>
  <c r="Z16" i="4"/>
  <c r="I20" i="5"/>
  <c r="U20" i="4"/>
  <c r="W20" i="4" s="1"/>
  <c r="Z24" i="4"/>
  <c r="I28" i="5"/>
  <c r="U28" i="4"/>
  <c r="W28" i="4" s="1"/>
  <c r="P29" i="5"/>
  <c r="U29" i="4"/>
  <c r="W29" i="4" s="1"/>
  <c r="U34" i="4"/>
  <c r="W34" i="4" s="1"/>
  <c r="U42" i="4"/>
  <c r="W42" i="4" s="1"/>
  <c r="M58" i="4"/>
  <c r="F60" i="4"/>
  <c r="C68" i="4"/>
  <c r="I9" i="6"/>
  <c r="U9" i="5"/>
  <c r="W9" i="5" s="1"/>
  <c r="P15" i="6"/>
  <c r="U23" i="5"/>
  <c r="W23" i="5" s="1"/>
  <c r="P34" i="6"/>
  <c r="U34" i="5"/>
  <c r="W34" i="5" s="1"/>
  <c r="I44" i="6"/>
  <c r="U44" i="5"/>
  <c r="W44" i="5" s="1"/>
  <c r="O15" i="6"/>
  <c r="P15" i="7" s="1"/>
  <c r="N15" i="6"/>
  <c r="I51" i="7"/>
  <c r="U51" i="6"/>
  <c r="W51" i="6" s="1"/>
  <c r="I52" i="7"/>
  <c r="U52" i="6"/>
  <c r="W52" i="6" s="1"/>
  <c r="I19" i="8"/>
  <c r="Q59" i="3"/>
  <c r="E67" i="3"/>
  <c r="Z4" i="4"/>
  <c r="X54" i="4"/>
  <c r="O6" i="4"/>
  <c r="P6" i="5" s="1"/>
  <c r="N6" i="4"/>
  <c r="H7" i="4"/>
  <c r="G7" i="4"/>
  <c r="C84" i="4" s="1"/>
  <c r="Q59" i="4"/>
  <c r="S10" i="4"/>
  <c r="T10" i="4" s="1"/>
  <c r="O14" i="4"/>
  <c r="P14" i="5" s="1"/>
  <c r="N14" i="4"/>
  <c r="H15" i="4"/>
  <c r="G15" i="4"/>
  <c r="O22" i="4"/>
  <c r="P22" i="5" s="1"/>
  <c r="N22" i="4"/>
  <c r="H23" i="4"/>
  <c r="G23" i="4"/>
  <c r="I50" i="4"/>
  <c r="C66" i="4"/>
  <c r="F57" i="4"/>
  <c r="Q57" i="5"/>
  <c r="Q54" i="5"/>
  <c r="S4" i="5"/>
  <c r="U37" i="5"/>
  <c r="W37" i="5" s="1"/>
  <c r="N42" i="5"/>
  <c r="O42" i="5"/>
  <c r="U5" i="6"/>
  <c r="W5" i="6" s="1"/>
  <c r="I5" i="7"/>
  <c r="H9" i="6"/>
  <c r="G9" i="6"/>
  <c r="N22" i="6"/>
  <c r="O22" i="6"/>
  <c r="P22" i="7" s="1"/>
  <c r="Y54" i="3"/>
  <c r="N6" i="3"/>
  <c r="G10" i="3"/>
  <c r="N14" i="3"/>
  <c r="G18" i="3"/>
  <c r="N22" i="3"/>
  <c r="G26" i="3"/>
  <c r="N36" i="3"/>
  <c r="Z39" i="3"/>
  <c r="H46" i="3"/>
  <c r="I46" i="3" s="1"/>
  <c r="G48" i="3"/>
  <c r="G49" i="3"/>
  <c r="M57" i="3"/>
  <c r="F59" i="3"/>
  <c r="C67" i="3"/>
  <c r="E68" i="3"/>
  <c r="M61" i="3"/>
  <c r="Y54" i="4"/>
  <c r="S5" i="4"/>
  <c r="T5" i="4" s="1"/>
  <c r="N32" i="4"/>
  <c r="H33" i="4"/>
  <c r="G33" i="4"/>
  <c r="O34" i="4"/>
  <c r="P34" i="5" s="1"/>
  <c r="N34" i="4"/>
  <c r="U37" i="4"/>
  <c r="W37" i="4" s="1"/>
  <c r="N40" i="4"/>
  <c r="H41" i="4"/>
  <c r="I41" i="4" s="1"/>
  <c r="G41" i="4"/>
  <c r="O42" i="4"/>
  <c r="P42" i="5" s="1"/>
  <c r="N42" i="4"/>
  <c r="N48" i="4"/>
  <c r="H49" i="4"/>
  <c r="I49" i="4" s="1"/>
  <c r="G49" i="4"/>
  <c r="O50" i="4"/>
  <c r="P50" i="5" s="1"/>
  <c r="N50" i="4"/>
  <c r="I7" i="6"/>
  <c r="U7" i="5"/>
  <c r="W7" i="5" s="1"/>
  <c r="I10" i="6"/>
  <c r="U10" i="5"/>
  <c r="W10" i="5" s="1"/>
  <c r="O12" i="5"/>
  <c r="P12" i="6" s="1"/>
  <c r="N12" i="5"/>
  <c r="N37" i="5"/>
  <c r="O37" i="5"/>
  <c r="P37" i="6" s="1"/>
  <c r="I52" i="6"/>
  <c r="U52" i="5"/>
  <c r="W52" i="5" s="1"/>
  <c r="Q57" i="3"/>
  <c r="Z4" i="3"/>
  <c r="S10" i="3"/>
  <c r="T10" i="3" s="1"/>
  <c r="F85" i="3" s="1"/>
  <c r="C68" i="3"/>
  <c r="U19" i="4"/>
  <c r="W19" i="4" s="1"/>
  <c r="U27" i="4"/>
  <c r="W27" i="4" s="1"/>
  <c r="C67" i="4"/>
  <c r="F59" i="4"/>
  <c r="U14" i="5"/>
  <c r="W14" i="5" s="1"/>
  <c r="I24" i="6"/>
  <c r="U24" i="5"/>
  <c r="W24" i="5" s="1"/>
  <c r="E76" i="6"/>
  <c r="G4" i="3"/>
  <c r="Q61" i="3"/>
  <c r="Q58" i="3"/>
  <c r="S58" i="3" s="1"/>
  <c r="N8" i="3"/>
  <c r="E85" i="3" s="1"/>
  <c r="G12" i="3"/>
  <c r="N16" i="3"/>
  <c r="G20" i="3"/>
  <c r="N24" i="3"/>
  <c r="G28" i="3"/>
  <c r="N32" i="3"/>
  <c r="N33" i="3"/>
  <c r="O34" i="3"/>
  <c r="P34" i="4" s="1"/>
  <c r="G43" i="3"/>
  <c r="G44" i="3"/>
  <c r="C85" i="3" s="1"/>
  <c r="O50" i="3"/>
  <c r="P50" i="4" s="1"/>
  <c r="G53" i="3"/>
  <c r="U53" i="3"/>
  <c r="W53" i="3" s="1"/>
  <c r="F54" i="3"/>
  <c r="C89" i="3"/>
  <c r="F89" i="3" s="1"/>
  <c r="P4" i="5"/>
  <c r="G5" i="4"/>
  <c r="P12" i="5"/>
  <c r="G13" i="4"/>
  <c r="Q60" i="4"/>
  <c r="G21" i="4"/>
  <c r="I31" i="5"/>
  <c r="U31" i="4"/>
  <c r="W31" i="4" s="1"/>
  <c r="I39" i="5"/>
  <c r="U39" i="4"/>
  <c r="W39" i="4" s="1"/>
  <c r="P41" i="5"/>
  <c r="I47" i="5"/>
  <c r="U47" i="4"/>
  <c r="W47" i="4" s="1"/>
  <c r="I8" i="6"/>
  <c r="U8" i="5"/>
  <c r="W8" i="5" s="1"/>
  <c r="I11" i="6"/>
  <c r="U11" i="5"/>
  <c r="W11" i="5" s="1"/>
  <c r="P24" i="6"/>
  <c r="O25" i="5"/>
  <c r="P25" i="6" s="1"/>
  <c r="N25" i="5"/>
  <c r="Q58" i="6"/>
  <c r="S58" i="6" s="1"/>
  <c r="G26" i="6"/>
  <c r="H26" i="6"/>
  <c r="S4" i="3"/>
  <c r="H38" i="3"/>
  <c r="U47" i="3"/>
  <c r="W47" i="3" s="1"/>
  <c r="E65" i="3"/>
  <c r="Q57" i="4"/>
  <c r="H10" i="4"/>
  <c r="G10" i="4"/>
  <c r="O11" i="4"/>
  <c r="P11" i="5" s="1"/>
  <c r="N11" i="4"/>
  <c r="H18" i="4"/>
  <c r="I18" i="4" s="1"/>
  <c r="G18" i="4"/>
  <c r="O19" i="4"/>
  <c r="P19" i="5" s="1"/>
  <c r="N19" i="4"/>
  <c r="H26" i="4"/>
  <c r="I26" i="4" s="1"/>
  <c r="G26" i="4"/>
  <c r="O27" i="4"/>
  <c r="P27" i="5" s="1"/>
  <c r="N27" i="4"/>
  <c r="E84" i="4" s="1"/>
  <c r="Z31" i="4"/>
  <c r="N33" i="4"/>
  <c r="U35" i="4"/>
  <c r="W35" i="4" s="1"/>
  <c r="G37" i="4"/>
  <c r="Z39" i="4"/>
  <c r="N41" i="4"/>
  <c r="I43" i="5"/>
  <c r="U43" i="4"/>
  <c r="W43" i="4" s="1"/>
  <c r="G45" i="4"/>
  <c r="Z47" i="4"/>
  <c r="N49" i="4"/>
  <c r="I51" i="5"/>
  <c r="U51" i="4"/>
  <c r="W51" i="4" s="1"/>
  <c r="G53" i="4"/>
  <c r="M59" i="4"/>
  <c r="C69" i="4"/>
  <c r="F61" i="4"/>
  <c r="C89" i="5"/>
  <c r="H4" i="5"/>
  <c r="G4" i="5"/>
  <c r="I5" i="6"/>
  <c r="U5" i="5"/>
  <c r="W5" i="5" s="1"/>
  <c r="U12" i="5"/>
  <c r="W12" i="5" s="1"/>
  <c r="U15" i="5"/>
  <c r="W15" i="5" s="1"/>
  <c r="N16" i="5"/>
  <c r="O32" i="5"/>
  <c r="P32" i="6" s="1"/>
  <c r="N32" i="5"/>
  <c r="U31" i="5"/>
  <c r="W31" i="5" s="1"/>
  <c r="E69" i="5"/>
  <c r="M61" i="5"/>
  <c r="P4" i="6"/>
  <c r="I27" i="7"/>
  <c r="U27" i="6"/>
  <c r="W27" i="6" s="1"/>
  <c r="H28" i="6"/>
  <c r="G28" i="6"/>
  <c r="I37" i="6"/>
  <c r="I50" i="7"/>
  <c r="U50" i="6"/>
  <c r="W50" i="6" s="1"/>
  <c r="P17" i="8"/>
  <c r="E68" i="4"/>
  <c r="N6" i="5"/>
  <c r="E85" i="5" s="1"/>
  <c r="Q60" i="5"/>
  <c r="N23" i="5"/>
  <c r="G44" i="5"/>
  <c r="G48" i="5"/>
  <c r="I51" i="6"/>
  <c r="U51" i="5"/>
  <c r="W51" i="5" s="1"/>
  <c r="N52" i="5"/>
  <c r="F54" i="5"/>
  <c r="C68" i="5"/>
  <c r="S57" i="6"/>
  <c r="F66" i="6"/>
  <c r="U6" i="6"/>
  <c r="W6" i="6" s="1"/>
  <c r="I16" i="6"/>
  <c r="U35" i="6"/>
  <c r="W35" i="6" s="1"/>
  <c r="U43" i="6"/>
  <c r="W43" i="6" s="1"/>
  <c r="I43" i="7"/>
  <c r="Q54" i="6"/>
  <c r="H10" i="7"/>
  <c r="G10" i="7"/>
  <c r="C85" i="7" s="1"/>
  <c r="O41" i="7"/>
  <c r="P41" i="8" s="1"/>
  <c r="N41" i="7"/>
  <c r="E89" i="5"/>
  <c r="N9" i="5"/>
  <c r="O10" i="5"/>
  <c r="P10" i="6" s="1"/>
  <c r="N24" i="5"/>
  <c r="N29" i="5"/>
  <c r="N31" i="5"/>
  <c r="N36" i="5"/>
  <c r="H38" i="5"/>
  <c r="U39" i="5"/>
  <c r="W39" i="5" s="1"/>
  <c r="N40" i="5"/>
  <c r="G43" i="5"/>
  <c r="O45" i="5"/>
  <c r="U53" i="5"/>
  <c r="W53" i="5" s="1"/>
  <c r="C89" i="6"/>
  <c r="O7" i="6"/>
  <c r="N7" i="6"/>
  <c r="E84" i="6" s="1"/>
  <c r="U10" i="6"/>
  <c r="W10" i="6" s="1"/>
  <c r="I14" i="7"/>
  <c r="U14" i="6"/>
  <c r="W14" i="6" s="1"/>
  <c r="P50" i="7"/>
  <c r="H36" i="7"/>
  <c r="G36" i="7"/>
  <c r="H37" i="7"/>
  <c r="G37" i="7"/>
  <c r="E89" i="4"/>
  <c r="E84" i="5"/>
  <c r="X54" i="5"/>
  <c r="P7" i="6"/>
  <c r="U19" i="5"/>
  <c r="W19" i="5" s="1"/>
  <c r="U20" i="5"/>
  <c r="W20" i="5" s="1"/>
  <c r="H26" i="5"/>
  <c r="H33" i="5"/>
  <c r="N48" i="5"/>
  <c r="G53" i="5"/>
  <c r="M60" i="5"/>
  <c r="E68" i="5"/>
  <c r="H11" i="6"/>
  <c r="G11" i="6"/>
  <c r="I14" i="6"/>
  <c r="O24" i="6"/>
  <c r="N24" i="6"/>
  <c r="I31" i="7"/>
  <c r="U31" i="6"/>
  <c r="W31" i="6" s="1"/>
  <c r="H32" i="6"/>
  <c r="G32" i="6"/>
  <c r="I38" i="7"/>
  <c r="U38" i="6"/>
  <c r="W38" i="6" s="1"/>
  <c r="I39" i="7"/>
  <c r="U39" i="6"/>
  <c r="W39" i="6" s="1"/>
  <c r="H40" i="6"/>
  <c r="G40" i="6"/>
  <c r="I46" i="7"/>
  <c r="U46" i="6"/>
  <c r="W46" i="6" s="1"/>
  <c r="I47" i="7"/>
  <c r="U47" i="6"/>
  <c r="W47" i="6" s="1"/>
  <c r="H48" i="6"/>
  <c r="I48" i="6" s="1"/>
  <c r="G48" i="6"/>
  <c r="C65" i="6"/>
  <c r="F54" i="6"/>
  <c r="C69" i="6"/>
  <c r="P9" i="8"/>
  <c r="G26" i="7"/>
  <c r="H26" i="7"/>
  <c r="M57" i="4"/>
  <c r="Y54" i="5"/>
  <c r="Q59" i="5"/>
  <c r="G13" i="5"/>
  <c r="I15" i="6"/>
  <c r="I17" i="6"/>
  <c r="I32" i="6"/>
  <c r="U46" i="5"/>
  <c r="W46" i="5" s="1"/>
  <c r="I46" i="6"/>
  <c r="U47" i="5"/>
  <c r="W47" i="5" s="1"/>
  <c r="H49" i="5"/>
  <c r="G49" i="5"/>
  <c r="U50" i="5"/>
  <c r="W50" i="5" s="1"/>
  <c r="C67" i="5"/>
  <c r="F59" i="5"/>
  <c r="C76" i="6"/>
  <c r="F85" i="6"/>
  <c r="I8" i="7"/>
  <c r="U8" i="6"/>
  <c r="W8" i="6" s="1"/>
  <c r="O13" i="6"/>
  <c r="P13" i="6" s="1"/>
  <c r="P14" i="7"/>
  <c r="H17" i="6"/>
  <c r="U18" i="6"/>
  <c r="W18" i="6" s="1"/>
  <c r="H19" i="6"/>
  <c r="G19" i="6"/>
  <c r="Z21" i="6"/>
  <c r="Z29" i="6"/>
  <c r="E66" i="6"/>
  <c r="G8" i="7"/>
  <c r="H8" i="7"/>
  <c r="C89" i="4"/>
  <c r="Z4" i="5"/>
  <c r="Q61" i="5"/>
  <c r="Q58" i="5"/>
  <c r="S58" i="5" s="1"/>
  <c r="S5" i="5"/>
  <c r="T5" i="5" s="1"/>
  <c r="F85" i="5" s="1"/>
  <c r="U13" i="5"/>
  <c r="W13" i="5" s="1"/>
  <c r="U17" i="5"/>
  <c r="W17" i="5" s="1"/>
  <c r="U18" i="5"/>
  <c r="W18" i="5" s="1"/>
  <c r="G25" i="5"/>
  <c r="C85" i="5" s="1"/>
  <c r="Z27" i="5"/>
  <c r="G32" i="5"/>
  <c r="U32" i="5"/>
  <c r="W32" i="5" s="1"/>
  <c r="Z34" i="5"/>
  <c r="G37" i="5"/>
  <c r="H41" i="5"/>
  <c r="Z50" i="5"/>
  <c r="O53" i="5"/>
  <c r="P53" i="6" s="1"/>
  <c r="N53" i="5"/>
  <c r="C66" i="5"/>
  <c r="E89" i="6"/>
  <c r="X54" i="6"/>
  <c r="Z4" i="6"/>
  <c r="Q60" i="6"/>
  <c r="P17" i="7"/>
  <c r="I36" i="7"/>
  <c r="Z50" i="6"/>
  <c r="Z51" i="6"/>
  <c r="E69" i="6"/>
  <c r="O48" i="7"/>
  <c r="P48" i="8" s="1"/>
  <c r="N48" i="7"/>
  <c r="I40" i="6"/>
  <c r="Z47" i="5"/>
  <c r="M59" i="5"/>
  <c r="F61" i="5"/>
  <c r="Y54" i="6"/>
  <c r="Q59" i="6"/>
  <c r="S10" i="6"/>
  <c r="T10" i="6" s="1"/>
  <c r="I23" i="7"/>
  <c r="U23" i="6"/>
  <c r="W23" i="6" s="1"/>
  <c r="O36" i="6"/>
  <c r="P36" i="6" s="1"/>
  <c r="N36" i="6"/>
  <c r="O44" i="6"/>
  <c r="N44" i="6"/>
  <c r="Z49" i="6"/>
  <c r="U16" i="6"/>
  <c r="W16" i="6" s="1"/>
  <c r="U25" i="6"/>
  <c r="W25" i="6" s="1"/>
  <c r="U45" i="6"/>
  <c r="W45" i="6" s="1"/>
  <c r="R54" i="6"/>
  <c r="M57" i="6"/>
  <c r="C67" i="7"/>
  <c r="F67" i="7" s="1"/>
  <c r="F59" i="6"/>
  <c r="E68" i="6"/>
  <c r="M61" i="6"/>
  <c r="T88" i="7"/>
  <c r="F84" i="7"/>
  <c r="P12" i="8"/>
  <c r="U12" i="7"/>
  <c r="W12" i="7" s="1"/>
  <c r="I16" i="8"/>
  <c r="U16" i="7"/>
  <c r="W16" i="7" s="1"/>
  <c r="O19" i="7"/>
  <c r="P19" i="7" s="1"/>
  <c r="N19" i="7"/>
  <c r="H51" i="7"/>
  <c r="G51" i="7"/>
  <c r="O50" i="8"/>
  <c r="N50" i="8"/>
  <c r="Q61" i="6"/>
  <c r="I13" i="8"/>
  <c r="U13" i="7"/>
  <c r="W13" i="7" s="1"/>
  <c r="G33" i="7"/>
  <c r="H33" i="7"/>
  <c r="I43" i="8"/>
  <c r="C77" i="6"/>
  <c r="T87" i="6"/>
  <c r="G13" i="6"/>
  <c r="N17" i="6"/>
  <c r="G22" i="6"/>
  <c r="N26" i="6"/>
  <c r="I33" i="7"/>
  <c r="G34" i="6"/>
  <c r="C85" i="6" s="1"/>
  <c r="N38" i="6"/>
  <c r="G42" i="6"/>
  <c r="N46" i="6"/>
  <c r="G50" i="6"/>
  <c r="G51" i="6"/>
  <c r="G52" i="6"/>
  <c r="E67" i="6"/>
  <c r="I4" i="7"/>
  <c r="X54" i="7"/>
  <c r="Z4" i="7"/>
  <c r="I20" i="7"/>
  <c r="U42" i="7"/>
  <c r="W42" i="7" s="1"/>
  <c r="G46" i="7"/>
  <c r="H46" i="7"/>
  <c r="T4" i="6"/>
  <c r="G6" i="6"/>
  <c r="N10" i="6"/>
  <c r="E85" i="6" s="1"/>
  <c r="G14" i="6"/>
  <c r="N18" i="6"/>
  <c r="G23" i="6"/>
  <c r="N27" i="6"/>
  <c r="N31" i="6"/>
  <c r="G35" i="6"/>
  <c r="N39" i="6"/>
  <c r="G43" i="6"/>
  <c r="N47" i="6"/>
  <c r="E65" i="6"/>
  <c r="E89" i="7"/>
  <c r="N4" i="7"/>
  <c r="Y54" i="7"/>
  <c r="Q61" i="7"/>
  <c r="S61" i="7" s="1"/>
  <c r="Q59" i="7"/>
  <c r="S59" i="7" s="1"/>
  <c r="S10" i="7"/>
  <c r="T10" i="7" s="1"/>
  <c r="F85" i="7" s="1"/>
  <c r="N11" i="7"/>
  <c r="U40" i="7"/>
  <c r="W40" i="7" s="1"/>
  <c r="I44" i="8"/>
  <c r="C66" i="7"/>
  <c r="F66" i="7" s="1"/>
  <c r="U4" i="6"/>
  <c r="U12" i="6"/>
  <c r="W12" i="6" s="1"/>
  <c r="U21" i="6"/>
  <c r="W21" i="6" s="1"/>
  <c r="U29" i="6"/>
  <c r="W29" i="6" s="1"/>
  <c r="U33" i="6"/>
  <c r="W33" i="6" s="1"/>
  <c r="U41" i="6"/>
  <c r="W41" i="6" s="1"/>
  <c r="U49" i="6"/>
  <c r="W49" i="6" s="1"/>
  <c r="F57" i="6"/>
  <c r="M59" i="6"/>
  <c r="C69" i="7"/>
  <c r="F61" i="6"/>
  <c r="C66" i="6"/>
  <c r="O4" i="7"/>
  <c r="P4" i="7" s="1"/>
  <c r="P20" i="8"/>
  <c r="U20" i="7"/>
  <c r="W20" i="7" s="1"/>
  <c r="H28" i="7"/>
  <c r="G28" i="7"/>
  <c r="O44" i="7"/>
  <c r="P44" i="8" s="1"/>
  <c r="N44" i="7"/>
  <c r="P53" i="7"/>
  <c r="O6" i="7"/>
  <c r="N6" i="7"/>
  <c r="I7" i="8"/>
  <c r="U7" i="7"/>
  <c r="W7" i="7" s="1"/>
  <c r="H18" i="7"/>
  <c r="G18" i="7"/>
  <c r="U21" i="7"/>
  <c r="W21" i="7" s="1"/>
  <c r="I21" i="7"/>
  <c r="H29" i="7"/>
  <c r="I29" i="7" s="1"/>
  <c r="G29" i="7"/>
  <c r="E89" i="8"/>
  <c r="O4" i="8"/>
  <c r="N4" i="8"/>
  <c r="I19" i="9"/>
  <c r="U19" i="8"/>
  <c r="W19" i="8" s="1"/>
  <c r="H38" i="8"/>
  <c r="G38" i="8"/>
  <c r="I37" i="7"/>
  <c r="P41" i="7"/>
  <c r="F60" i="6"/>
  <c r="C68" i="7"/>
  <c r="I5" i="8"/>
  <c r="U5" i="7"/>
  <c r="W5" i="7" s="1"/>
  <c r="G7" i="7"/>
  <c r="C84" i="7" s="1"/>
  <c r="O14" i="7"/>
  <c r="N14" i="7"/>
  <c r="E85" i="7" s="1"/>
  <c r="H15" i="7"/>
  <c r="G15" i="7"/>
  <c r="H35" i="7"/>
  <c r="G35" i="7"/>
  <c r="N53" i="7"/>
  <c r="O53" i="7"/>
  <c r="P53" i="8" s="1"/>
  <c r="U38" i="7"/>
  <c r="W38" i="7" s="1"/>
  <c r="I38" i="8"/>
  <c r="U39" i="7"/>
  <c r="W39" i="7" s="1"/>
  <c r="U47" i="7"/>
  <c r="W47" i="7" s="1"/>
  <c r="M57" i="7"/>
  <c r="E66" i="7"/>
  <c r="Q58" i="7"/>
  <c r="S58" i="7" s="1"/>
  <c r="E69" i="8"/>
  <c r="E69" i="7"/>
  <c r="M61" i="7"/>
  <c r="Q57" i="8"/>
  <c r="S57" i="8" s="1"/>
  <c r="S4" i="8"/>
  <c r="Q54" i="8"/>
  <c r="I13" i="9"/>
  <c r="U13" i="8"/>
  <c r="W13" i="8" s="1"/>
  <c r="I20" i="9"/>
  <c r="U20" i="8"/>
  <c r="W20" i="8" s="1"/>
  <c r="O22" i="8"/>
  <c r="N22" i="8"/>
  <c r="I31" i="9"/>
  <c r="U31" i="8"/>
  <c r="W31" i="8" s="1"/>
  <c r="U41" i="8"/>
  <c r="W41" i="8" s="1"/>
  <c r="I48" i="8"/>
  <c r="C89" i="7"/>
  <c r="N7" i="7"/>
  <c r="G11" i="7"/>
  <c r="N15" i="7"/>
  <c r="G19" i="7"/>
  <c r="G25" i="7"/>
  <c r="G32" i="7"/>
  <c r="N40" i="7"/>
  <c r="N42" i="7"/>
  <c r="N43" i="7"/>
  <c r="C65" i="7"/>
  <c r="Q54" i="7"/>
  <c r="U23" i="8"/>
  <c r="W23" i="8" s="1"/>
  <c r="I23" i="9"/>
  <c r="I32" i="9"/>
  <c r="U32" i="8"/>
  <c r="W32" i="8" s="1"/>
  <c r="N37" i="8"/>
  <c r="O37" i="8"/>
  <c r="P37" i="9" s="1"/>
  <c r="U9" i="7"/>
  <c r="W9" i="7" s="1"/>
  <c r="U17" i="7"/>
  <c r="W17" i="7" s="1"/>
  <c r="U25" i="7"/>
  <c r="W25" i="7" s="1"/>
  <c r="U32" i="7"/>
  <c r="W32" i="7" s="1"/>
  <c r="Z42" i="7"/>
  <c r="Z47" i="7"/>
  <c r="E68" i="8"/>
  <c r="M60" i="7"/>
  <c r="E68" i="7"/>
  <c r="F85" i="8"/>
  <c r="U7" i="8"/>
  <c r="W7" i="8" s="1"/>
  <c r="I7" i="9"/>
  <c r="U14" i="8"/>
  <c r="W14" i="8" s="1"/>
  <c r="P8" i="8"/>
  <c r="U23" i="7"/>
  <c r="W23" i="7" s="1"/>
  <c r="I23" i="8"/>
  <c r="U24" i="7"/>
  <c r="W24" i="7" s="1"/>
  <c r="U27" i="7"/>
  <c r="W27" i="7" s="1"/>
  <c r="U31" i="7"/>
  <c r="W31" i="7" s="1"/>
  <c r="G21" i="8"/>
  <c r="H21" i="8"/>
  <c r="I21" i="8" s="1"/>
  <c r="H46" i="8"/>
  <c r="G46" i="8"/>
  <c r="U49" i="8"/>
  <c r="W49" i="8" s="1"/>
  <c r="P37" i="8"/>
  <c r="E67" i="8"/>
  <c r="F67" i="8" s="1"/>
  <c r="M59" i="7"/>
  <c r="H8" i="8"/>
  <c r="G8" i="8"/>
  <c r="I28" i="9"/>
  <c r="U28" i="8"/>
  <c r="W28" i="8" s="1"/>
  <c r="G33" i="8"/>
  <c r="H33" i="8"/>
  <c r="I40" i="9"/>
  <c r="U40" i="8"/>
  <c r="W40" i="8" s="1"/>
  <c r="U53" i="8"/>
  <c r="W53" i="8" s="1"/>
  <c r="I53" i="9"/>
  <c r="U22" i="7"/>
  <c r="W22" i="7" s="1"/>
  <c r="N24" i="7"/>
  <c r="P25" i="8"/>
  <c r="N31" i="7"/>
  <c r="H41" i="7"/>
  <c r="G43" i="7"/>
  <c r="G44" i="7"/>
  <c r="G48" i="7"/>
  <c r="G53" i="7"/>
  <c r="G5" i="8"/>
  <c r="H5" i="8"/>
  <c r="O8" i="8"/>
  <c r="P8" i="9" s="1"/>
  <c r="N8" i="8"/>
  <c r="Q60" i="8"/>
  <c r="S60" i="8" s="1"/>
  <c r="G40" i="7"/>
  <c r="O45" i="7"/>
  <c r="P45" i="7" s="1"/>
  <c r="N49" i="7"/>
  <c r="O50" i="7"/>
  <c r="F57" i="7"/>
  <c r="M58" i="7"/>
  <c r="G10" i="8"/>
  <c r="H10" i="8"/>
  <c r="U11" i="8"/>
  <c r="W11" i="8" s="1"/>
  <c r="U16" i="8"/>
  <c r="W16" i="8" s="1"/>
  <c r="I16" i="9"/>
  <c r="U29" i="8"/>
  <c r="W29" i="8" s="1"/>
  <c r="I44" i="9"/>
  <c r="U44" i="8"/>
  <c r="W44" i="8" s="1"/>
  <c r="S54" i="9"/>
  <c r="F65" i="9"/>
  <c r="P5" i="10"/>
  <c r="U5" i="9"/>
  <c r="W5" i="9" s="1"/>
  <c r="I8" i="10"/>
  <c r="U8" i="9"/>
  <c r="W8" i="9" s="1"/>
  <c r="I9" i="10"/>
  <c r="U9" i="9"/>
  <c r="W9" i="9" s="1"/>
  <c r="I20" i="10"/>
  <c r="U20" i="9"/>
  <c r="W20" i="9" s="1"/>
  <c r="C89" i="8"/>
  <c r="F89" i="8" s="1"/>
  <c r="H4" i="8"/>
  <c r="U6" i="8"/>
  <c r="W6" i="8" s="1"/>
  <c r="P16" i="9"/>
  <c r="G25" i="8"/>
  <c r="I27" i="9"/>
  <c r="O42" i="8"/>
  <c r="N42" i="8"/>
  <c r="O47" i="8"/>
  <c r="P47" i="8" s="1"/>
  <c r="N47" i="8"/>
  <c r="F68" i="9"/>
  <c r="I28" i="10"/>
  <c r="U28" i="9"/>
  <c r="W28" i="9" s="1"/>
  <c r="I39" i="10"/>
  <c r="U39" i="9"/>
  <c r="W39" i="9" s="1"/>
  <c r="U15" i="8"/>
  <c r="W15" i="8" s="1"/>
  <c r="I15" i="9"/>
  <c r="H26" i="8"/>
  <c r="G26" i="8"/>
  <c r="I36" i="9"/>
  <c r="U36" i="8"/>
  <c r="W36" i="8" s="1"/>
  <c r="I48" i="9"/>
  <c r="U48" i="8"/>
  <c r="W48" i="8" s="1"/>
  <c r="I52" i="9"/>
  <c r="U52" i="8"/>
  <c r="W52" i="8" s="1"/>
  <c r="P13" i="10"/>
  <c r="U13" i="9"/>
  <c r="W13" i="9" s="1"/>
  <c r="I16" i="10"/>
  <c r="U16" i="9"/>
  <c r="W16" i="9" s="1"/>
  <c r="U17" i="9"/>
  <c r="W17" i="9" s="1"/>
  <c r="I17" i="10"/>
  <c r="I24" i="10"/>
  <c r="U24" i="9"/>
  <c r="W24" i="9" s="1"/>
  <c r="I25" i="10"/>
  <c r="U25" i="9"/>
  <c r="W25" i="9" s="1"/>
  <c r="U46" i="9"/>
  <c r="W46" i="9" s="1"/>
  <c r="F59" i="7"/>
  <c r="N5" i="8"/>
  <c r="O6" i="8"/>
  <c r="P6" i="9" s="1"/>
  <c r="G9" i="8"/>
  <c r="U9" i="8"/>
  <c r="W9" i="8" s="1"/>
  <c r="O25" i="8"/>
  <c r="P25" i="9" s="1"/>
  <c r="O27" i="8"/>
  <c r="P29" i="9"/>
  <c r="O34" i="8"/>
  <c r="N34" i="8"/>
  <c r="H43" i="8"/>
  <c r="G43" i="8"/>
  <c r="I45" i="9"/>
  <c r="P21" i="10"/>
  <c r="U21" i="9"/>
  <c r="W21" i="9" s="1"/>
  <c r="I47" i="10"/>
  <c r="Q61" i="8"/>
  <c r="S61" i="8" s="1"/>
  <c r="Q58" i="8"/>
  <c r="S58" i="8" s="1"/>
  <c r="I12" i="9"/>
  <c r="H18" i="8"/>
  <c r="G18" i="8"/>
  <c r="U24" i="8"/>
  <c r="W24" i="8" s="1"/>
  <c r="I24" i="9"/>
  <c r="H35" i="8"/>
  <c r="G35" i="8"/>
  <c r="I37" i="9"/>
  <c r="H51" i="8"/>
  <c r="G51" i="8"/>
  <c r="C66" i="8"/>
  <c r="I11" i="10"/>
  <c r="U11" i="9"/>
  <c r="W11" i="9" s="1"/>
  <c r="Z54" i="8"/>
  <c r="O9" i="8"/>
  <c r="P9" i="9" s="1"/>
  <c r="Q59" i="8"/>
  <c r="S59" i="8" s="1"/>
  <c r="G12" i="8"/>
  <c r="C84" i="8" s="1"/>
  <c r="U12" i="8"/>
  <c r="W12" i="8" s="1"/>
  <c r="P13" i="9"/>
  <c r="O14" i="8"/>
  <c r="P14" i="9" s="1"/>
  <c r="N14" i="8"/>
  <c r="P15" i="9"/>
  <c r="O17" i="8"/>
  <c r="P17" i="9" s="1"/>
  <c r="O19" i="8"/>
  <c r="P19" i="9" s="1"/>
  <c r="P24" i="9"/>
  <c r="U25" i="8"/>
  <c r="W25" i="8" s="1"/>
  <c r="O31" i="8"/>
  <c r="P31" i="9" s="1"/>
  <c r="O39" i="8"/>
  <c r="P39" i="9" s="1"/>
  <c r="N39" i="8"/>
  <c r="O45" i="8"/>
  <c r="P45" i="9" s="1"/>
  <c r="R54" i="8"/>
  <c r="C69" i="8"/>
  <c r="E84" i="9"/>
  <c r="P37" i="10"/>
  <c r="R54" i="10"/>
  <c r="U8" i="10"/>
  <c r="W8" i="10" s="1"/>
  <c r="O9" i="10"/>
  <c r="N9" i="10"/>
  <c r="I20" i="11"/>
  <c r="U20" i="10"/>
  <c r="W20" i="10" s="1"/>
  <c r="P23" i="11"/>
  <c r="I32" i="11"/>
  <c r="U32" i="10"/>
  <c r="W32" i="10" s="1"/>
  <c r="O37" i="10"/>
  <c r="P37" i="11" s="1"/>
  <c r="N37" i="10"/>
  <c r="H39" i="10"/>
  <c r="G39" i="10"/>
  <c r="P43" i="11"/>
  <c r="U43" i="10"/>
  <c r="W43" i="10" s="1"/>
  <c r="H51" i="10"/>
  <c r="G51" i="10"/>
  <c r="C65" i="8"/>
  <c r="O4" i="9"/>
  <c r="X54" i="9"/>
  <c r="N5" i="9"/>
  <c r="U6" i="9"/>
  <c r="W6" i="9" s="1"/>
  <c r="G9" i="9"/>
  <c r="C85" i="9" s="1"/>
  <c r="Q59" i="9"/>
  <c r="S59" i="9" s="1"/>
  <c r="N13" i="9"/>
  <c r="U14" i="9"/>
  <c r="W14" i="9" s="1"/>
  <c r="G17" i="9"/>
  <c r="N21" i="9"/>
  <c r="U22" i="9"/>
  <c r="W22" i="9" s="1"/>
  <c r="G25" i="9"/>
  <c r="N29" i="9"/>
  <c r="H41" i="9"/>
  <c r="G46" i="9"/>
  <c r="G47" i="9"/>
  <c r="Q57" i="9"/>
  <c r="S57" i="9" s="1"/>
  <c r="C69" i="9"/>
  <c r="C66" i="9"/>
  <c r="F85" i="10"/>
  <c r="U10" i="10"/>
  <c r="W10" i="10" s="1"/>
  <c r="I14" i="11"/>
  <c r="U14" i="10"/>
  <c r="W14" i="10" s="1"/>
  <c r="I19" i="11"/>
  <c r="U19" i="10"/>
  <c r="W19" i="10" s="1"/>
  <c r="G20" i="10"/>
  <c r="U36" i="10"/>
  <c r="W36" i="10" s="1"/>
  <c r="U38" i="10"/>
  <c r="W38" i="10" s="1"/>
  <c r="I47" i="11"/>
  <c r="U47" i="10"/>
  <c r="W47" i="10" s="1"/>
  <c r="G11" i="11"/>
  <c r="H11" i="11"/>
  <c r="U11" i="11" s="1"/>
  <c r="W11" i="11" s="1"/>
  <c r="E65" i="8"/>
  <c r="C68" i="8"/>
  <c r="F68" i="8" s="1"/>
  <c r="U7" i="9"/>
  <c r="W7" i="9" s="1"/>
  <c r="U15" i="9"/>
  <c r="W15" i="9" s="1"/>
  <c r="U23" i="9"/>
  <c r="W23" i="9" s="1"/>
  <c r="F54" i="9"/>
  <c r="E67" i="9"/>
  <c r="M59" i="9"/>
  <c r="E89" i="10"/>
  <c r="C89" i="10"/>
  <c r="H4" i="10"/>
  <c r="I10" i="10"/>
  <c r="I15" i="11"/>
  <c r="U15" i="10"/>
  <c r="W15" i="10" s="1"/>
  <c r="H21" i="10"/>
  <c r="I21" i="10" s="1"/>
  <c r="G21" i="10"/>
  <c r="O38" i="10"/>
  <c r="N38" i="10"/>
  <c r="I40" i="11"/>
  <c r="U40" i="10"/>
  <c r="W40" i="10" s="1"/>
  <c r="C65" i="10"/>
  <c r="F65" i="10" s="1"/>
  <c r="F54" i="10"/>
  <c r="F85" i="11"/>
  <c r="I10" i="11"/>
  <c r="O11" i="11"/>
  <c r="N11" i="11"/>
  <c r="F57" i="8"/>
  <c r="F89" i="9"/>
  <c r="I51" i="10"/>
  <c r="I52" i="10"/>
  <c r="U53" i="9"/>
  <c r="W53" i="9" s="1"/>
  <c r="Z54" i="10"/>
  <c r="U16" i="10"/>
  <c r="W16" i="10" s="1"/>
  <c r="O17" i="10"/>
  <c r="N17" i="10"/>
  <c r="P50" i="10"/>
  <c r="G4" i="9"/>
  <c r="Q61" i="9"/>
  <c r="S61" i="9" s="1"/>
  <c r="Q58" i="9"/>
  <c r="S58" i="9" s="1"/>
  <c r="N8" i="9"/>
  <c r="G12" i="9"/>
  <c r="N16" i="9"/>
  <c r="G20" i="9"/>
  <c r="N24" i="9"/>
  <c r="G28" i="9"/>
  <c r="G32" i="9"/>
  <c r="G35" i="9"/>
  <c r="G36" i="9"/>
  <c r="G37" i="9"/>
  <c r="N41" i="9"/>
  <c r="U42" i="9"/>
  <c r="W42" i="9" s="1"/>
  <c r="U43" i="9"/>
  <c r="W43" i="9" s="1"/>
  <c r="U44" i="9"/>
  <c r="W44" i="9" s="1"/>
  <c r="U45" i="9"/>
  <c r="W45" i="9" s="1"/>
  <c r="O47" i="9"/>
  <c r="P47" i="10" s="1"/>
  <c r="H49" i="9"/>
  <c r="I49" i="9" s="1"/>
  <c r="U51" i="9"/>
  <c r="W51" i="9" s="1"/>
  <c r="U52" i="9"/>
  <c r="W52" i="9" s="1"/>
  <c r="E69" i="9"/>
  <c r="M61" i="9"/>
  <c r="H5" i="10"/>
  <c r="G5" i="10"/>
  <c r="N8" i="10"/>
  <c r="P14" i="11"/>
  <c r="I18" i="11"/>
  <c r="U18" i="10"/>
  <c r="W18" i="10" s="1"/>
  <c r="U22" i="10"/>
  <c r="W22" i="10" s="1"/>
  <c r="H34" i="10"/>
  <c r="I34" i="10" s="1"/>
  <c r="G34" i="10"/>
  <c r="I47" i="9"/>
  <c r="E66" i="8"/>
  <c r="H4" i="9"/>
  <c r="S4" i="9"/>
  <c r="U18" i="9"/>
  <c r="W18" i="9" s="1"/>
  <c r="U26" i="9"/>
  <c r="W26" i="9" s="1"/>
  <c r="U32" i="9"/>
  <c r="W32" i="9" s="1"/>
  <c r="U33" i="9"/>
  <c r="W33" i="9" s="1"/>
  <c r="I48" i="10"/>
  <c r="U48" i="9"/>
  <c r="W48" i="9" s="1"/>
  <c r="M58" i="9"/>
  <c r="Z5" i="10"/>
  <c r="Z6" i="10"/>
  <c r="I12" i="11"/>
  <c r="U12" i="10"/>
  <c r="W12" i="10" s="1"/>
  <c r="P15" i="11"/>
  <c r="I23" i="11"/>
  <c r="U23" i="10"/>
  <c r="W23" i="10" s="1"/>
  <c r="P25" i="11"/>
  <c r="U25" i="10"/>
  <c r="W25" i="10" s="1"/>
  <c r="I35" i="11"/>
  <c r="U35" i="10"/>
  <c r="W35" i="10" s="1"/>
  <c r="H42" i="10"/>
  <c r="G42" i="10"/>
  <c r="P44" i="11"/>
  <c r="U44" i="10"/>
  <c r="W44" i="10" s="1"/>
  <c r="P9" i="10"/>
  <c r="P17" i="10"/>
  <c r="I29" i="10"/>
  <c r="U29" i="9"/>
  <c r="W29" i="9" s="1"/>
  <c r="U31" i="9"/>
  <c r="W31" i="9" s="1"/>
  <c r="U34" i="9"/>
  <c r="W34" i="9" s="1"/>
  <c r="U6" i="10"/>
  <c r="W6" i="10" s="1"/>
  <c r="I11" i="11"/>
  <c r="U11" i="10"/>
  <c r="W11" i="10" s="1"/>
  <c r="I31" i="11"/>
  <c r="U31" i="10"/>
  <c r="W31" i="10" s="1"/>
  <c r="O42" i="10"/>
  <c r="P42" i="11" s="1"/>
  <c r="N42" i="10"/>
  <c r="X54" i="10"/>
  <c r="E69" i="10"/>
  <c r="U14" i="11"/>
  <c r="W14" i="11" s="1"/>
  <c r="Q60" i="9"/>
  <c r="S60" i="9" s="1"/>
  <c r="M57" i="9"/>
  <c r="E66" i="9"/>
  <c r="C67" i="9"/>
  <c r="E68" i="10"/>
  <c r="M60" i="9"/>
  <c r="Q54" i="10"/>
  <c r="S54" i="10" s="1"/>
  <c r="S4" i="10"/>
  <c r="T4" i="10" s="1"/>
  <c r="U7" i="10"/>
  <c r="W7" i="10" s="1"/>
  <c r="P11" i="11"/>
  <c r="H13" i="10"/>
  <c r="G13" i="10"/>
  <c r="N16" i="10"/>
  <c r="P27" i="11"/>
  <c r="U27" i="10"/>
  <c r="W27" i="10" s="1"/>
  <c r="I28" i="11"/>
  <c r="U28" i="10"/>
  <c r="W28" i="10" s="1"/>
  <c r="G31" i="10"/>
  <c r="H46" i="10"/>
  <c r="I46" i="10" s="1"/>
  <c r="G46" i="10"/>
  <c r="H49" i="10"/>
  <c r="G49" i="10"/>
  <c r="E66" i="10"/>
  <c r="F66" i="10" s="1"/>
  <c r="U8" i="11"/>
  <c r="W8" i="11" s="1"/>
  <c r="O14" i="11"/>
  <c r="N14" i="11"/>
  <c r="H52" i="10"/>
  <c r="G52" i="10"/>
  <c r="E67" i="10"/>
  <c r="C69" i="10"/>
  <c r="F69" i="10" s="1"/>
  <c r="Y54" i="11"/>
  <c r="H7" i="11"/>
  <c r="U7" i="11" s="1"/>
  <c r="W7" i="11" s="1"/>
  <c r="G7" i="11"/>
  <c r="C84" i="11" s="1"/>
  <c r="G7" i="10"/>
  <c r="C84" i="10" s="1"/>
  <c r="N11" i="10"/>
  <c r="G15" i="10"/>
  <c r="N19" i="10"/>
  <c r="E85" i="10" s="1"/>
  <c r="G23" i="10"/>
  <c r="H26" i="10"/>
  <c r="G28" i="10"/>
  <c r="U33" i="10"/>
  <c r="W33" i="10" s="1"/>
  <c r="N34" i="10"/>
  <c r="Z35" i="10"/>
  <c r="I41" i="11"/>
  <c r="U41" i="10"/>
  <c r="W41" i="10" s="1"/>
  <c r="U45" i="10"/>
  <c r="W45" i="10" s="1"/>
  <c r="M59" i="10"/>
  <c r="F61" i="10"/>
  <c r="E89" i="11"/>
  <c r="C89" i="11"/>
  <c r="H5" i="11"/>
  <c r="U5" i="11" s="1"/>
  <c r="W5" i="11" s="1"/>
  <c r="G5" i="11"/>
  <c r="H6" i="11"/>
  <c r="U6" i="11" s="1"/>
  <c r="W6" i="11" s="1"/>
  <c r="G6" i="11"/>
  <c r="I24" i="11"/>
  <c r="O46" i="10"/>
  <c r="P46" i="11" s="1"/>
  <c r="N46" i="10"/>
  <c r="H50" i="10"/>
  <c r="I50" i="10" s="1"/>
  <c r="G50" i="10"/>
  <c r="I53" i="11"/>
  <c r="U53" i="10"/>
  <c r="W53" i="10" s="1"/>
  <c r="Q59" i="10"/>
  <c r="S59" i="10" s="1"/>
  <c r="E69" i="11"/>
  <c r="M61" i="10"/>
  <c r="Q54" i="11"/>
  <c r="S54" i="11" s="1"/>
  <c r="O29" i="10"/>
  <c r="P29" i="11" s="1"/>
  <c r="N29" i="10"/>
  <c r="I48" i="11"/>
  <c r="U48" i="10"/>
  <c r="W48" i="10" s="1"/>
  <c r="R54" i="11"/>
  <c r="H17" i="11"/>
  <c r="U17" i="11" s="1"/>
  <c r="W17" i="11" s="1"/>
  <c r="G17" i="11"/>
  <c r="P13" i="11"/>
  <c r="U37" i="10"/>
  <c r="W37" i="10" s="1"/>
  <c r="N45" i="10"/>
  <c r="E84" i="10" s="1"/>
  <c r="C68" i="10"/>
  <c r="O18" i="11"/>
  <c r="P18" i="11" s="1"/>
  <c r="N18" i="11"/>
  <c r="H22" i="11"/>
  <c r="U22" i="11" s="1"/>
  <c r="W22" i="11" s="1"/>
  <c r="G22" i="11"/>
  <c r="O46" i="11"/>
  <c r="N46" i="11"/>
  <c r="O50" i="11"/>
  <c r="P50" i="11" s="1"/>
  <c r="N50" i="11"/>
  <c r="U52" i="11"/>
  <c r="W52" i="11" s="1"/>
  <c r="E65" i="11"/>
  <c r="N22" i="11"/>
  <c r="H34" i="11"/>
  <c r="U34" i="11" s="1"/>
  <c r="W34" i="11" s="1"/>
  <c r="G34" i="11"/>
  <c r="O38" i="11"/>
  <c r="N38" i="11"/>
  <c r="H42" i="11"/>
  <c r="U42" i="11" s="1"/>
  <c r="W42" i="11" s="1"/>
  <c r="G42" i="11"/>
  <c r="Z43" i="11"/>
  <c r="G45" i="11"/>
  <c r="U48" i="11"/>
  <c r="W48" i="11" s="1"/>
  <c r="F58" i="11"/>
  <c r="Z4" i="11"/>
  <c r="X54" i="11"/>
  <c r="Q60" i="11"/>
  <c r="S60" i="11" s="1"/>
  <c r="M60" i="11"/>
  <c r="G10" i="11"/>
  <c r="O15" i="11"/>
  <c r="U15" i="11" s="1"/>
  <c r="W15" i="11" s="1"/>
  <c r="N15" i="11"/>
  <c r="G18" i="11"/>
  <c r="Z20" i="11"/>
  <c r="H27" i="11"/>
  <c r="G27" i="11"/>
  <c r="G53" i="11"/>
  <c r="C67" i="11"/>
  <c r="C69" i="11"/>
  <c r="F61" i="11"/>
  <c r="C68" i="11"/>
  <c r="C67" i="10"/>
  <c r="N37" i="11"/>
  <c r="U39" i="11"/>
  <c r="W39" i="11" s="1"/>
  <c r="N53" i="11"/>
  <c r="C65" i="11"/>
  <c r="F54" i="11"/>
  <c r="E67" i="11"/>
  <c r="E68" i="11"/>
  <c r="Q57" i="10"/>
  <c r="S57" i="10" s="1"/>
  <c r="F60" i="10"/>
  <c r="N10" i="11"/>
  <c r="E85" i="11" s="1"/>
  <c r="N12" i="11"/>
  <c r="E84" i="11" s="1"/>
  <c r="N13" i="11"/>
  <c r="G16" i="11"/>
  <c r="N27" i="11"/>
  <c r="N28" i="11"/>
  <c r="N29" i="11"/>
  <c r="G33" i="11"/>
  <c r="G41" i="11"/>
  <c r="U43" i="11"/>
  <c r="W43" i="11" s="1"/>
  <c r="H46" i="11"/>
  <c r="H50" i="11"/>
  <c r="U50" i="11" s="1"/>
  <c r="W50" i="11" s="1"/>
  <c r="G50" i="11"/>
  <c r="E66" i="11"/>
  <c r="Q57" i="11"/>
  <c r="S57" i="11" s="1"/>
  <c r="F84" i="11"/>
  <c r="T54" i="11"/>
  <c r="Z12" i="11"/>
  <c r="H19" i="11"/>
  <c r="U19" i="11" s="1"/>
  <c r="W19" i="11" s="1"/>
  <c r="G19" i="11"/>
  <c r="O23" i="11"/>
  <c r="U23" i="11" s="1"/>
  <c r="W23" i="11" s="1"/>
  <c r="N23" i="11"/>
  <c r="G26" i="11"/>
  <c r="Z28" i="11"/>
  <c r="U35" i="11"/>
  <c r="W35" i="11" s="1"/>
  <c r="H38" i="11"/>
  <c r="I38" i="11" s="1"/>
  <c r="M57" i="11"/>
  <c r="Q59" i="11"/>
  <c r="S59" i="11" s="1"/>
  <c r="Q61" i="11"/>
  <c r="S61" i="11" s="1"/>
  <c r="C66" i="11"/>
  <c r="F66" i="11" s="1"/>
  <c r="P14" i="24" l="1"/>
  <c r="R14" i="24" s="1"/>
  <c r="P6" i="24"/>
  <c r="R6" i="24" s="1"/>
  <c r="D68" i="24"/>
  <c r="P53" i="24"/>
  <c r="R53" i="24" s="1"/>
  <c r="C68" i="24"/>
  <c r="C67" i="24"/>
  <c r="E68" i="24"/>
  <c r="F67" i="9"/>
  <c r="D60" i="24"/>
  <c r="D59" i="24"/>
  <c r="P43" i="24"/>
  <c r="R43" i="24" s="1"/>
  <c r="E67" i="24"/>
  <c r="O54" i="24"/>
  <c r="C60" i="24"/>
  <c r="C59" i="24"/>
  <c r="P4" i="24"/>
  <c r="F89" i="6"/>
  <c r="N54" i="24"/>
  <c r="D67" i="24"/>
  <c r="C74" i="3"/>
  <c r="T54" i="10"/>
  <c r="F84" i="10"/>
  <c r="U10" i="8"/>
  <c r="W10" i="8" s="1"/>
  <c r="I10" i="9"/>
  <c r="S54" i="8"/>
  <c r="F65" i="8"/>
  <c r="S61" i="6"/>
  <c r="F69" i="6"/>
  <c r="U34" i="3"/>
  <c r="W34" i="3" s="1"/>
  <c r="I34" i="4"/>
  <c r="F65" i="7"/>
  <c r="S54" i="7"/>
  <c r="I10" i="8"/>
  <c r="U10" i="7"/>
  <c r="W10" i="7" s="1"/>
  <c r="F67" i="3"/>
  <c r="S59" i="3"/>
  <c r="U35" i="5"/>
  <c r="W35" i="5" s="1"/>
  <c r="I35" i="6"/>
  <c r="U27" i="11"/>
  <c r="W27" i="11" s="1"/>
  <c r="I27" i="11"/>
  <c r="F68" i="10"/>
  <c r="I42" i="11"/>
  <c r="U42" i="10"/>
  <c r="W42" i="10" s="1"/>
  <c r="C85" i="10"/>
  <c r="F66" i="9"/>
  <c r="E85" i="9"/>
  <c r="F69" i="8"/>
  <c r="P27" i="9"/>
  <c r="U27" i="8"/>
  <c r="W27" i="8" s="1"/>
  <c r="E84" i="8"/>
  <c r="P48" i="7"/>
  <c r="P31" i="8"/>
  <c r="I33" i="8"/>
  <c r="U33" i="7"/>
  <c r="W33" i="7" s="1"/>
  <c r="P50" i="9"/>
  <c r="U50" i="8"/>
  <c r="W50" i="8" s="1"/>
  <c r="P44" i="7"/>
  <c r="U44" i="6"/>
  <c r="W44" i="6" s="1"/>
  <c r="I32" i="7"/>
  <c r="U32" i="6"/>
  <c r="W32" i="6" s="1"/>
  <c r="I11" i="7"/>
  <c r="U11" i="6"/>
  <c r="W11" i="6" s="1"/>
  <c r="P22" i="6"/>
  <c r="P39" i="8"/>
  <c r="P45" i="6"/>
  <c r="U45" i="5"/>
  <c r="W45" i="5" s="1"/>
  <c r="T87" i="7"/>
  <c r="T87" i="3"/>
  <c r="T4" i="3"/>
  <c r="E76" i="4"/>
  <c r="U45" i="4"/>
  <c r="W45" i="4" s="1"/>
  <c r="T87" i="5"/>
  <c r="T4" i="5"/>
  <c r="P28" i="4"/>
  <c r="U28" i="3"/>
  <c r="W28" i="3" s="1"/>
  <c r="P25" i="5"/>
  <c r="F84" i="4"/>
  <c r="T88" i="4"/>
  <c r="T54" i="4"/>
  <c r="F89" i="2"/>
  <c r="P26" i="2"/>
  <c r="P26" i="3"/>
  <c r="I16" i="4"/>
  <c r="U16" i="3"/>
  <c r="W16" i="3" s="1"/>
  <c r="E77" i="4"/>
  <c r="U26" i="2"/>
  <c r="W26" i="2" s="1"/>
  <c r="P32" i="5"/>
  <c r="P38" i="3"/>
  <c r="W4" i="2"/>
  <c r="U18" i="8"/>
  <c r="W18" i="8" s="1"/>
  <c r="I18" i="9"/>
  <c r="P34" i="9"/>
  <c r="U34" i="8"/>
  <c r="W34" i="8" s="1"/>
  <c r="P6" i="8"/>
  <c r="U6" i="7"/>
  <c r="W6" i="7" s="1"/>
  <c r="F66" i="2"/>
  <c r="S57" i="2"/>
  <c r="I35" i="8"/>
  <c r="U35" i="7"/>
  <c r="W35" i="7" s="1"/>
  <c r="I26" i="6"/>
  <c r="U26" i="5"/>
  <c r="W26" i="5" s="1"/>
  <c r="F67" i="4"/>
  <c r="S59" i="4"/>
  <c r="F67" i="10"/>
  <c r="Z54" i="11"/>
  <c r="I52" i="11"/>
  <c r="U52" i="10"/>
  <c r="W52" i="10" s="1"/>
  <c r="I46" i="11"/>
  <c r="U46" i="10"/>
  <c r="W46" i="10" s="1"/>
  <c r="I6" i="11"/>
  <c r="I34" i="11"/>
  <c r="U34" i="10"/>
  <c r="W34" i="10" s="1"/>
  <c r="I5" i="11"/>
  <c r="U5" i="10"/>
  <c r="W5" i="10" s="1"/>
  <c r="P38" i="11"/>
  <c r="F69" i="9"/>
  <c r="I39" i="11"/>
  <c r="U39" i="10"/>
  <c r="W39" i="10" s="1"/>
  <c r="U45" i="8"/>
  <c r="W45" i="8" s="1"/>
  <c r="U17" i="8"/>
  <c r="W17" i="8" s="1"/>
  <c r="I5" i="9"/>
  <c r="U5" i="8"/>
  <c r="W5" i="8" s="1"/>
  <c r="I41" i="8"/>
  <c r="U41" i="7"/>
  <c r="W41" i="7" s="1"/>
  <c r="P34" i="8"/>
  <c r="P22" i="9"/>
  <c r="U22" i="8"/>
  <c r="W22" i="8" s="1"/>
  <c r="I15" i="8"/>
  <c r="U15" i="7"/>
  <c r="W15" i="7" s="1"/>
  <c r="E76" i="8"/>
  <c r="P4" i="9"/>
  <c r="E77" i="8"/>
  <c r="P22" i="8"/>
  <c r="T54" i="7"/>
  <c r="F69" i="5"/>
  <c r="S61" i="5"/>
  <c r="I49" i="6"/>
  <c r="U49" i="5"/>
  <c r="W49" i="5" s="1"/>
  <c r="F67" i="5"/>
  <c r="S59" i="5"/>
  <c r="F65" i="6"/>
  <c r="S54" i="6"/>
  <c r="I26" i="7"/>
  <c r="U26" i="6"/>
  <c r="W26" i="6" s="1"/>
  <c r="E74" i="5"/>
  <c r="E76" i="5"/>
  <c r="U11" i="4"/>
  <c r="W11" i="4" s="1"/>
  <c r="F65" i="5"/>
  <c r="S54" i="5"/>
  <c r="U7" i="4"/>
  <c r="W7" i="4" s="1"/>
  <c r="I7" i="5"/>
  <c r="U19" i="7"/>
  <c r="W19" i="7" s="1"/>
  <c r="E77" i="5"/>
  <c r="I14" i="5"/>
  <c r="U14" i="4"/>
  <c r="W14" i="4" s="1"/>
  <c r="S54" i="2"/>
  <c r="F65" i="2"/>
  <c r="P11" i="4"/>
  <c r="T87" i="4"/>
  <c r="I32" i="4"/>
  <c r="U32" i="3"/>
  <c r="W32" i="3" s="1"/>
  <c r="C92" i="3" s="1"/>
  <c r="I25" i="3"/>
  <c r="U25" i="2"/>
  <c r="W25" i="2" s="1"/>
  <c r="I25" i="2"/>
  <c r="P17" i="3"/>
  <c r="P17" i="2"/>
  <c r="I7" i="4"/>
  <c r="C74" i="4" s="1"/>
  <c r="F69" i="2"/>
  <c r="S61" i="2"/>
  <c r="P14" i="4"/>
  <c r="P50" i="3"/>
  <c r="P19" i="4"/>
  <c r="I33" i="6"/>
  <c r="U33" i="5"/>
  <c r="W33" i="5" s="1"/>
  <c r="H76" i="4"/>
  <c r="U38" i="4"/>
  <c r="W38" i="4" s="1"/>
  <c r="I38" i="5"/>
  <c r="E77" i="6"/>
  <c r="U23" i="4"/>
  <c r="W23" i="4" s="1"/>
  <c r="I23" i="5"/>
  <c r="C84" i="9"/>
  <c r="P4" i="10"/>
  <c r="E76" i="9"/>
  <c r="E77" i="9"/>
  <c r="U9" i="10"/>
  <c r="W9" i="10" s="1"/>
  <c r="P9" i="11"/>
  <c r="I35" i="9"/>
  <c r="U35" i="8"/>
  <c r="W35" i="8" s="1"/>
  <c r="U26" i="8"/>
  <c r="W26" i="8" s="1"/>
  <c r="I26" i="9"/>
  <c r="P50" i="8"/>
  <c r="U50" i="7"/>
  <c r="W50" i="7" s="1"/>
  <c r="C85" i="8"/>
  <c r="I33" i="9"/>
  <c r="U33" i="8"/>
  <c r="W33" i="8" s="1"/>
  <c r="F89" i="7"/>
  <c r="I18" i="8"/>
  <c r="U18" i="7"/>
  <c r="W18" i="7" s="1"/>
  <c r="F69" i="7"/>
  <c r="I51" i="8"/>
  <c r="U51" i="7"/>
  <c r="W51" i="7" s="1"/>
  <c r="P36" i="7"/>
  <c r="U36" i="6"/>
  <c r="W36" i="6" s="1"/>
  <c r="U25" i="5"/>
  <c r="W25" i="5" s="1"/>
  <c r="C92" i="5" s="1"/>
  <c r="Z54" i="5"/>
  <c r="I19" i="7"/>
  <c r="U19" i="6"/>
  <c r="W19" i="6" s="1"/>
  <c r="P6" i="7"/>
  <c r="E74" i="7" s="1"/>
  <c r="U40" i="6"/>
  <c r="W40" i="6" s="1"/>
  <c r="I40" i="7"/>
  <c r="I37" i="8"/>
  <c r="U37" i="7"/>
  <c r="W37" i="7" s="1"/>
  <c r="I10" i="7"/>
  <c r="I33" i="5"/>
  <c r="U33" i="4"/>
  <c r="W33" i="4" s="1"/>
  <c r="I9" i="7"/>
  <c r="U9" i="6"/>
  <c r="W9" i="6" s="1"/>
  <c r="F66" i="5"/>
  <c r="S57" i="5"/>
  <c r="I29" i="6"/>
  <c r="I29" i="5"/>
  <c r="U29" i="5"/>
  <c r="W29" i="5" s="1"/>
  <c r="C76" i="2"/>
  <c r="I28" i="6"/>
  <c r="U28" i="5"/>
  <c r="W28" i="5" s="1"/>
  <c r="E84" i="3"/>
  <c r="P34" i="3"/>
  <c r="I14" i="4"/>
  <c r="I16" i="3"/>
  <c r="P28" i="3"/>
  <c r="P42" i="9"/>
  <c r="U42" i="8"/>
  <c r="W42" i="8" s="1"/>
  <c r="S59" i="6"/>
  <c r="F67" i="6"/>
  <c r="S57" i="3"/>
  <c r="F66" i="3"/>
  <c r="I8" i="4"/>
  <c r="U8" i="3"/>
  <c r="W8" i="3" s="1"/>
  <c r="I33" i="4"/>
  <c r="U33" i="3"/>
  <c r="W33" i="3" s="1"/>
  <c r="I46" i="5"/>
  <c r="U46" i="4"/>
  <c r="W46" i="4" s="1"/>
  <c r="I4" i="11"/>
  <c r="U4" i="10"/>
  <c r="W4" i="10" s="1"/>
  <c r="I51" i="9"/>
  <c r="U51" i="8"/>
  <c r="W51" i="8" s="1"/>
  <c r="I8" i="9"/>
  <c r="U8" i="8"/>
  <c r="W8" i="8" s="1"/>
  <c r="T87" i="8"/>
  <c r="T4" i="8"/>
  <c r="F68" i="7"/>
  <c r="P42" i="8"/>
  <c r="C85" i="4"/>
  <c r="I17" i="11"/>
  <c r="P42" i="10"/>
  <c r="I22" i="11"/>
  <c r="I21" i="11"/>
  <c r="U21" i="10"/>
  <c r="W21" i="10" s="1"/>
  <c r="P29" i="10"/>
  <c r="I43" i="9"/>
  <c r="U43" i="8"/>
  <c r="W43" i="8" s="1"/>
  <c r="C76" i="7"/>
  <c r="P14" i="8"/>
  <c r="U14" i="7"/>
  <c r="W14" i="7" s="1"/>
  <c r="W4" i="6"/>
  <c r="F84" i="6"/>
  <c r="T88" i="6"/>
  <c r="T54" i="6"/>
  <c r="Z54" i="7"/>
  <c r="F89" i="4"/>
  <c r="I48" i="7"/>
  <c r="U48" i="6"/>
  <c r="W48" i="6" s="1"/>
  <c r="I19" i="6"/>
  <c r="S60" i="5"/>
  <c r="F68" i="5"/>
  <c r="I28" i="7"/>
  <c r="U28" i="6"/>
  <c r="W28" i="6" s="1"/>
  <c r="C84" i="5"/>
  <c r="I26" i="5"/>
  <c r="U26" i="4"/>
  <c r="W26" i="4" s="1"/>
  <c r="I10" i="5"/>
  <c r="U10" i="4"/>
  <c r="W10" i="4" s="1"/>
  <c r="F69" i="3"/>
  <c r="S61" i="3"/>
  <c r="I15" i="5"/>
  <c r="U15" i="4"/>
  <c r="W15" i="4" s="1"/>
  <c r="P37" i="5"/>
  <c r="P37" i="4"/>
  <c r="P25" i="3"/>
  <c r="P25" i="2"/>
  <c r="T88" i="2"/>
  <c r="F84" i="2"/>
  <c r="T54" i="2"/>
  <c r="U50" i="3"/>
  <c r="W50" i="3" s="1"/>
  <c r="P11" i="3"/>
  <c r="P11" i="2"/>
  <c r="E74" i="2" s="1"/>
  <c r="P4" i="4"/>
  <c r="E77" i="3"/>
  <c r="H77" i="3" s="1"/>
  <c r="E76" i="3"/>
  <c r="H76" i="3" s="1"/>
  <c r="U12" i="3"/>
  <c r="W12" i="3" s="1"/>
  <c r="E84" i="2"/>
  <c r="P12" i="3"/>
  <c r="E77" i="2"/>
  <c r="C85" i="11"/>
  <c r="I49" i="11"/>
  <c r="U49" i="10"/>
  <c r="W49" i="10" s="1"/>
  <c r="P13" i="7"/>
  <c r="U13" i="6"/>
  <c r="W13" i="6" s="1"/>
  <c r="I18" i="5"/>
  <c r="U18" i="4"/>
  <c r="W18" i="4" s="1"/>
  <c r="I38" i="4"/>
  <c r="U38" i="3"/>
  <c r="W38" i="3" s="1"/>
  <c r="C74" i="5"/>
  <c r="F74" i="5" s="1"/>
  <c r="P53" i="5"/>
  <c r="P53" i="4"/>
  <c r="F68" i="11"/>
  <c r="U29" i="10"/>
  <c r="W29" i="10" s="1"/>
  <c r="U46" i="11"/>
  <c r="W46" i="11" s="1"/>
  <c r="F65" i="11"/>
  <c r="F69" i="11"/>
  <c r="I26" i="11"/>
  <c r="U26" i="10"/>
  <c r="W26" i="10" s="1"/>
  <c r="I5" i="10"/>
  <c r="T4" i="9"/>
  <c r="T87" i="9"/>
  <c r="I26" i="10"/>
  <c r="U47" i="9"/>
  <c r="W47" i="9" s="1"/>
  <c r="U39" i="8"/>
  <c r="W39" i="8" s="1"/>
  <c r="P47" i="9"/>
  <c r="U47" i="8"/>
  <c r="W47" i="8" s="1"/>
  <c r="I4" i="9"/>
  <c r="C76" i="8"/>
  <c r="C77" i="8"/>
  <c r="H77" i="8" s="1"/>
  <c r="U4" i="8"/>
  <c r="P45" i="8"/>
  <c r="U45" i="7"/>
  <c r="W45" i="7" s="1"/>
  <c r="U53" i="7"/>
  <c r="W53" i="7" s="1"/>
  <c r="U38" i="8"/>
  <c r="W38" i="8" s="1"/>
  <c r="I38" i="9"/>
  <c r="I29" i="8"/>
  <c r="U29" i="7"/>
  <c r="W29" i="7" s="1"/>
  <c r="I28" i="8"/>
  <c r="U28" i="7"/>
  <c r="W28" i="7" s="1"/>
  <c r="I46" i="8"/>
  <c r="U46" i="7"/>
  <c r="W46" i="7" s="1"/>
  <c r="I41" i="7"/>
  <c r="C84" i="6"/>
  <c r="P19" i="8"/>
  <c r="S60" i="6"/>
  <c r="F68" i="6"/>
  <c r="I41" i="6"/>
  <c r="U41" i="5"/>
  <c r="W41" i="5" s="1"/>
  <c r="I8" i="8"/>
  <c r="U8" i="7"/>
  <c r="W8" i="7" s="1"/>
  <c r="C92" i="7" s="1"/>
  <c r="I18" i="7"/>
  <c r="H76" i="6"/>
  <c r="I26" i="8"/>
  <c r="U26" i="7"/>
  <c r="W26" i="7" s="1"/>
  <c r="P24" i="7"/>
  <c r="U24" i="6"/>
  <c r="W24" i="6" s="1"/>
  <c r="I36" i="8"/>
  <c r="U36" i="7"/>
  <c r="W36" i="7" s="1"/>
  <c r="P7" i="7"/>
  <c r="U7" i="6"/>
  <c r="W7" i="6" s="1"/>
  <c r="U38" i="5"/>
  <c r="W38" i="5" s="1"/>
  <c r="I38" i="6"/>
  <c r="I4" i="6"/>
  <c r="C74" i="6" s="1"/>
  <c r="C76" i="5"/>
  <c r="H76" i="5" s="1"/>
  <c r="U4" i="5"/>
  <c r="C77" i="5"/>
  <c r="F66" i="4"/>
  <c r="S57" i="4"/>
  <c r="F68" i="4"/>
  <c r="S60" i="4"/>
  <c r="C84" i="3"/>
  <c r="I41" i="5"/>
  <c r="U41" i="4"/>
  <c r="W41" i="4" s="1"/>
  <c r="F85" i="4"/>
  <c r="F69" i="4"/>
  <c r="S61" i="4"/>
  <c r="I24" i="4"/>
  <c r="U24" i="3"/>
  <c r="W24" i="3" s="1"/>
  <c r="C74" i="2"/>
  <c r="I23" i="4"/>
  <c r="I9" i="3"/>
  <c r="U9" i="2"/>
  <c r="W9" i="2" s="1"/>
  <c r="I9" i="2"/>
  <c r="C85" i="2"/>
  <c r="S54" i="4"/>
  <c r="F65" i="4"/>
  <c r="I34" i="3"/>
  <c r="P10" i="4"/>
  <c r="P20" i="3"/>
  <c r="P4" i="3"/>
  <c r="I49" i="10"/>
  <c r="U49" i="9"/>
  <c r="W49" i="9" s="1"/>
  <c r="U46" i="8"/>
  <c r="W46" i="8" s="1"/>
  <c r="I46" i="9"/>
  <c r="H77" i="6"/>
  <c r="I49" i="5"/>
  <c r="U49" i="4"/>
  <c r="W49" i="4" s="1"/>
  <c r="S60" i="3"/>
  <c r="F68" i="3"/>
  <c r="I50" i="11"/>
  <c r="U50" i="10"/>
  <c r="W50" i="10" s="1"/>
  <c r="I21" i="9"/>
  <c r="U21" i="8"/>
  <c r="W21" i="8" s="1"/>
  <c r="P4" i="8"/>
  <c r="E76" i="7"/>
  <c r="E77" i="7"/>
  <c r="U4" i="7"/>
  <c r="I27" i="3"/>
  <c r="U27" i="2"/>
  <c r="W27" i="2" s="1"/>
  <c r="I27" i="2"/>
  <c r="I13" i="11"/>
  <c r="U13" i="10"/>
  <c r="W13" i="10" s="1"/>
  <c r="P46" i="10"/>
  <c r="I13" i="10"/>
  <c r="U38" i="11"/>
  <c r="W38" i="11" s="1"/>
  <c r="F67" i="11"/>
  <c r="U18" i="11"/>
  <c r="W18" i="11" s="1"/>
  <c r="I7" i="11"/>
  <c r="C77" i="9"/>
  <c r="I4" i="10"/>
  <c r="U4" i="9"/>
  <c r="C76" i="9"/>
  <c r="H76" i="9" s="1"/>
  <c r="P17" i="11"/>
  <c r="U17" i="10"/>
  <c r="W17" i="10" s="1"/>
  <c r="I42" i="10"/>
  <c r="I41" i="10"/>
  <c r="U41" i="9"/>
  <c r="W41" i="9" s="1"/>
  <c r="C92" i="9" s="1"/>
  <c r="U51" i="10"/>
  <c r="W51" i="10" s="1"/>
  <c r="I51" i="11"/>
  <c r="P38" i="10"/>
  <c r="F66" i="8"/>
  <c r="E85" i="8"/>
  <c r="I41" i="9"/>
  <c r="U48" i="7"/>
  <c r="W48" i="7" s="1"/>
  <c r="U37" i="8"/>
  <c r="W37" i="8" s="1"/>
  <c r="P27" i="8"/>
  <c r="U44" i="7"/>
  <c r="W44" i="7" s="1"/>
  <c r="E84" i="7"/>
  <c r="I4" i="8"/>
  <c r="Z54" i="6"/>
  <c r="I17" i="7"/>
  <c r="C74" i="7" s="1"/>
  <c r="U17" i="6"/>
  <c r="W17" i="6" s="1"/>
  <c r="U22" i="6"/>
  <c r="W22" i="6" s="1"/>
  <c r="P44" i="6"/>
  <c r="E74" i="6" s="1"/>
  <c r="I15" i="7"/>
  <c r="I35" i="7"/>
  <c r="F89" i="5"/>
  <c r="I35" i="5"/>
  <c r="C77" i="7"/>
  <c r="Z54" i="3"/>
  <c r="U46" i="3"/>
  <c r="W46" i="3" s="1"/>
  <c r="I46" i="4"/>
  <c r="P42" i="6"/>
  <c r="U42" i="5"/>
  <c r="W42" i="5" s="1"/>
  <c r="Z54" i="4"/>
  <c r="U50" i="4"/>
  <c r="W50" i="4" s="1"/>
  <c r="W4" i="4"/>
  <c r="I22" i="5"/>
  <c r="U22" i="4"/>
  <c r="W22" i="4" s="1"/>
  <c r="U6" i="4"/>
  <c r="W6" i="4" s="1"/>
  <c r="I6" i="5"/>
  <c r="C77" i="4"/>
  <c r="H77" i="4" s="1"/>
  <c r="P22" i="4"/>
  <c r="P21" i="3"/>
  <c r="P21" i="2"/>
  <c r="F85" i="2"/>
  <c r="U11" i="2"/>
  <c r="W11" i="2" s="1"/>
  <c r="C92" i="2" s="1"/>
  <c r="F65" i="3"/>
  <c r="S54" i="3"/>
  <c r="P29" i="3"/>
  <c r="P29" i="2"/>
  <c r="U4" i="3"/>
  <c r="P27" i="4"/>
  <c r="H77" i="7" l="1"/>
  <c r="H76" i="8"/>
  <c r="E59" i="24"/>
  <c r="E61" i="24"/>
  <c r="E60" i="24"/>
  <c r="R4" i="24"/>
  <c r="F74" i="7"/>
  <c r="F76" i="8"/>
  <c r="F78" i="8"/>
  <c r="F77" i="8"/>
  <c r="W4" i="8"/>
  <c r="F76" i="7"/>
  <c r="F77" i="7"/>
  <c r="W4" i="7"/>
  <c r="F78" i="7"/>
  <c r="C74" i="9"/>
  <c r="C92" i="8"/>
  <c r="E74" i="9"/>
  <c r="F77" i="4"/>
  <c r="F76" i="9"/>
  <c r="F78" i="9"/>
  <c r="F77" i="9"/>
  <c r="W4" i="9"/>
  <c r="E74" i="3"/>
  <c r="F74" i="3" s="1"/>
  <c r="H77" i="5"/>
  <c r="F84" i="3"/>
  <c r="T88" i="3"/>
  <c r="T54" i="3"/>
  <c r="H76" i="7"/>
  <c r="C93" i="2"/>
  <c r="F72" i="2"/>
  <c r="F78" i="4"/>
  <c r="H77" i="9"/>
  <c r="E74" i="8"/>
  <c r="E74" i="4"/>
  <c r="F74" i="4" s="1"/>
  <c r="F72" i="6"/>
  <c r="C93" i="6"/>
  <c r="F76" i="2"/>
  <c r="F74" i="6"/>
  <c r="F76" i="6"/>
  <c r="F77" i="2"/>
  <c r="F72" i="4"/>
  <c r="C93" i="4"/>
  <c r="F76" i="5"/>
  <c r="F78" i="5"/>
  <c r="F77" i="5"/>
  <c r="W4" i="5"/>
  <c r="F77" i="6"/>
  <c r="F78" i="2"/>
  <c r="T88" i="5"/>
  <c r="F84" i="5"/>
  <c r="T54" i="5"/>
  <c r="C92" i="4"/>
  <c r="C74" i="8"/>
  <c r="F78" i="6"/>
  <c r="T88" i="8"/>
  <c r="T54" i="8"/>
  <c r="F84" i="8"/>
  <c r="F77" i="3"/>
  <c r="F76" i="3"/>
  <c r="W4" i="3"/>
  <c r="F78" i="3"/>
  <c r="F76" i="4"/>
  <c r="C92" i="6"/>
  <c r="F84" i="9"/>
  <c r="T88" i="9"/>
  <c r="T54" i="9"/>
  <c r="F74" i="8" l="1"/>
  <c r="C93" i="8"/>
  <c r="F72" i="8"/>
  <c r="F72" i="5"/>
  <c r="C93" i="5"/>
  <c r="F74" i="9"/>
  <c r="C93" i="9"/>
  <c r="F72" i="9"/>
  <c r="C93" i="3"/>
  <c r="F72" i="3"/>
  <c r="C93" i="7"/>
  <c r="F72" i="7"/>
</calcChain>
</file>

<file path=xl/sharedStrings.xml><?xml version="1.0" encoding="utf-8"?>
<sst xmlns="http://schemas.openxmlformats.org/spreadsheetml/2006/main" count="2632" uniqueCount="124">
  <si>
    <t>House</t>
  </si>
  <si>
    <t>Senate</t>
  </si>
  <si>
    <t>Total</t>
  </si>
  <si>
    <t>RG</t>
  </si>
  <si>
    <t>HD</t>
  </si>
  <si>
    <t>HR</t>
  </si>
  <si>
    <t>HTot</t>
  </si>
  <si>
    <t>%H D</t>
  </si>
  <si>
    <t>HMargin</t>
  </si>
  <si>
    <t>HCntrl</t>
  </si>
  <si>
    <t>HSwch</t>
  </si>
  <si>
    <t>SD</t>
  </si>
  <si>
    <t>SR</t>
  </si>
  <si>
    <t>STot</t>
  </si>
  <si>
    <t>% SD</t>
  </si>
  <si>
    <t>SMargin</t>
  </si>
  <si>
    <t>SCntrl</t>
  </si>
  <si>
    <t>SSwch</t>
  </si>
  <si>
    <t>D</t>
  </si>
  <si>
    <t>R</t>
  </si>
  <si>
    <t>% D</t>
  </si>
  <si>
    <t>Margin</t>
  </si>
  <si>
    <t>TCntrl</t>
  </si>
  <si>
    <t>Gov</t>
  </si>
  <si>
    <t>Div?</t>
  </si>
  <si>
    <t>Alabama</t>
  </si>
  <si>
    <t>S</t>
  </si>
  <si>
    <t xml:space="preserve">Alaska  </t>
  </si>
  <si>
    <t>W</t>
  </si>
  <si>
    <t>Arizona</t>
  </si>
  <si>
    <t>Arkansas</t>
  </si>
  <si>
    <t>California</t>
  </si>
  <si>
    <t>Colorado</t>
  </si>
  <si>
    <t>Connecticut</t>
  </si>
  <si>
    <t>E</t>
  </si>
  <si>
    <t>Delaware</t>
  </si>
  <si>
    <t>Florida</t>
  </si>
  <si>
    <t>Georgia</t>
  </si>
  <si>
    <t>Hawaii</t>
  </si>
  <si>
    <t>Idaho</t>
  </si>
  <si>
    <t>Illinois</t>
  </si>
  <si>
    <t>M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</si>
  <si>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</si>
  <si>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</si>
  <si>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</si>
  <si>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</si>
  <si>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</si>
  <si>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</si>
  <si>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</si>
  <si>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</si>
  <si>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</si>
  <si>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</si>
  <si>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</si>
  <si>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</si>
  <si>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</si>
  <si>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</si>
  <si>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Nonpartisan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</si>
  <si>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</si>
  <si>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</si>
  <si>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</si>
  <si>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</si>
  <si>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</si>
  <si>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</si>
  <si>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</si>
  <si>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</si>
  <si>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</si>
  <si>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</si>
  <si>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u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</si>
  <si>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</si>
  <si>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</si>
  <si>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</si>
  <si>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</si>
  <si>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</si>
  <si>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</si>
  <si>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</si>
  <si>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</si>
  <si>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</si>
  <si>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</si>
  <si>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</si>
  <si>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</si>
  <si>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</si>
  <si>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</t>
  </si>
  <si>
    <t>Dem Seats by Region</t>
  </si>
  <si>
    <t>South</t>
  </si>
  <si>
    <t>Non-South</t>
  </si>
  <si>
    <t>East</t>
  </si>
  <si>
    <t>Midwest</t>
  </si>
  <si>
    <t>West</t>
  </si>
  <si>
    <t>Dem Gains (Losses)</t>
  </si>
  <si>
    <t>H</t>
  </si>
  <si>
    <t>T</t>
  </si>
  <si>
    <t>Tot Divided States</t>
  </si>
  <si>
    <t>Tot Party Switches</t>
  </si>
  <si>
    <t>Tot Dem Control</t>
  </si>
  <si>
    <t>Tot Rep Control</t>
  </si>
  <si>
    <t>Tot Split Control</t>
  </si>
  <si>
    <t>Total Dem Govs</t>
  </si>
  <si>
    <t>Seat Margins (Majority-Minority)</t>
  </si>
  <si>
    <t xml:space="preserve">Battlegrounds in Next Election </t>
  </si>
  <si>
    <t>Chamber Maj. &lt;55%</t>
  </si>
  <si>
    <t>Total Unified Dem</t>
  </si>
  <si>
    <t>Total Unified Rep</t>
  </si>
  <si>
    <t>&lt;&gt;S</t>
  </si>
  <si>
    <t>Y</t>
  </si>
  <si>
    <t>&gt;=.45</t>
  </si>
  <si>
    <t>&lt;.55</t>
  </si>
  <si>
    <t>HDGain</t>
  </si>
  <si>
    <t>SDGain</t>
  </si>
  <si>
    <t>TDGain</t>
  </si>
  <si>
    <t>Unicameral</t>
  </si>
  <si>
    <t>Tot Chambers</t>
  </si>
  <si>
    <t>U</t>
  </si>
  <si>
    <t>I</t>
  </si>
  <si>
    <t>D Seats by Region</t>
  </si>
  <si>
    <t>D Gains (Losses)</t>
  </si>
  <si>
    <t>Tot D Control</t>
  </si>
  <si>
    <t>Tot R Control</t>
  </si>
  <si>
    <t>Total D Govs</t>
  </si>
  <si>
    <t>Total Unified D</t>
  </si>
  <si>
    <t>Total Unified R</t>
  </si>
  <si>
    <t>TD</t>
  </si>
  <si>
    <t>TR</t>
  </si>
  <si>
    <t>%TD</t>
  </si>
  <si>
    <t>TMargin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</si>
</sst>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8"/>
      <name val="Helv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Calibri"/>
      <family val="2"/>
      <scheme val="minor"/>
    </font>
    <font>
      <sz val="10"/>
      <name val="Tahoma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1"/>
    <xf numFmtId="0" fontId="1" fillId="0" borderId="1" xfId="1" applyBorder="1"/>
    <xf numFmtId="0" fontId="1" fillId="0" borderId="0" xfId="1" applyAlignment="1">
      <alignment horizontal="centerContinuous"/>
    </xf>
    <xf numFmtId="0" fontId="1" fillId="0" borderId="2" xfId="1" applyBorder="1" applyAlignment="1">
      <alignment horizontal="centerContinuous"/>
    </xf>
    <xf numFmtId="0" fontId="1" fillId="0" borderId="1" xfId="1" applyBorder="1" applyAlignment="1">
      <alignment horizontal="centerContinuous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quotePrefix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1" xfId="1" applyFont="1" applyBorder="1" applyAlignment="1">
      <alignment horizontal="left"/>
    </xf>
    <xf numFmtId="0" fontId="3" fillId="0" borderId="3" xfId="1" applyFont="1" applyBorder="1"/>
    <xf numFmtId="0" fontId="3" fillId="0" borderId="4" xfId="1" applyFont="1" applyBorder="1"/>
    <xf numFmtId="164" fontId="1" fillId="0" borderId="0" xfId="1" applyNumberFormat="1"/>
    <xf numFmtId="0" fontId="1" fillId="0" borderId="2" xfId="1" applyBorder="1"/>
    <xf numFmtId="0" fontId="3" fillId="0" borderId="5" xfId="1" applyFont="1" applyBorder="1" applyAlignment="1">
      <alignment horizontal="center"/>
    </xf>
    <xf numFmtId="0" fontId="3" fillId="0" borderId="6" xfId="1" applyFont="1" applyBorder="1"/>
    <xf numFmtId="0" fontId="3" fillId="2" borderId="3" xfId="1" applyFont="1" applyFill="1" applyBorder="1"/>
    <xf numFmtId="49" fontId="1" fillId="0" borderId="7" xfId="1" applyNumberFormat="1" applyBorder="1" applyAlignment="1">
      <alignment horizontal="center"/>
    </xf>
    <xf numFmtId="0" fontId="3" fillId="0" borderId="3" xfId="1" applyFont="1" applyBorder="1" applyAlignment="1">
      <alignment horizontal="centerContinuous"/>
    </xf>
    <xf numFmtId="0" fontId="3" fillId="0" borderId="6" xfId="1" applyFont="1" applyBorder="1" applyAlignment="1">
      <alignment horizontal="right"/>
    </xf>
    <xf numFmtId="0" fontId="3" fillId="0" borderId="8" xfId="1" applyFont="1" applyBorder="1"/>
    <xf numFmtId="164" fontId="1" fillId="0" borderId="9" xfId="1" applyNumberFormat="1" applyBorder="1"/>
    <xf numFmtId="164" fontId="1" fillId="0" borderId="0" xfId="2" applyNumberFormat="1" applyFont="1"/>
    <xf numFmtId="0" fontId="2" fillId="0" borderId="10" xfId="1" applyFont="1" applyBorder="1"/>
    <xf numFmtId="0" fontId="2" fillId="0" borderId="11" xfId="1" applyFont="1" applyBorder="1"/>
    <xf numFmtId="3" fontId="2" fillId="0" borderId="10" xfId="1" applyNumberFormat="1" applyFont="1" applyBorder="1"/>
    <xf numFmtId="164" fontId="1" fillId="0" borderId="10" xfId="1" applyNumberFormat="1" applyBorder="1"/>
    <xf numFmtId="0" fontId="1" fillId="0" borderId="10" xfId="1" applyBorder="1"/>
    <xf numFmtId="0" fontId="1" fillId="0" borderId="12" xfId="1" applyBorder="1"/>
    <xf numFmtId="3" fontId="1" fillId="0" borderId="10" xfId="1" applyNumberFormat="1" applyBorder="1"/>
    <xf numFmtId="164" fontId="1" fillId="0" borderId="0" xfId="2" applyNumberFormat="1" applyFont="1" applyBorder="1"/>
    <xf numFmtId="0" fontId="2" fillId="0" borderId="0" xfId="1" applyFont="1"/>
    <xf numFmtId="3" fontId="2" fillId="0" borderId="0" xfId="1" applyNumberFormat="1" applyFont="1"/>
    <xf numFmtId="3" fontId="1" fillId="0" borderId="0" xfId="1" applyNumberFormat="1"/>
    <xf numFmtId="0" fontId="5" fillId="0" borderId="0" xfId="1" applyFont="1"/>
    <xf numFmtId="0" fontId="5" fillId="0" borderId="0" xfId="1" applyFont="1" applyAlignment="1">
      <alignment horizontal="center"/>
    </xf>
    <xf numFmtId="37" fontId="1" fillId="0" borderId="0" xfId="1" applyNumberFormat="1"/>
    <xf numFmtId="0" fontId="6" fillId="0" borderId="0" xfId="1" applyFont="1"/>
    <xf numFmtId="0" fontId="1" fillId="0" borderId="0" xfId="1" applyAlignment="1">
      <alignment horizontal="right"/>
    </xf>
    <xf numFmtId="0" fontId="1" fillId="0" borderId="4" xfId="1" applyBorder="1" applyAlignment="1">
      <alignment horizontal="right"/>
    </xf>
    <xf numFmtId="0" fontId="1" fillId="0" borderId="9" xfId="1" applyBorder="1" applyAlignment="1">
      <alignment horizontal="right"/>
    </xf>
    <xf numFmtId="0" fontId="1" fillId="0" borderId="13" xfId="1" applyBorder="1" applyAlignment="1">
      <alignment horizontal="right"/>
    </xf>
    <xf numFmtId="0" fontId="1" fillId="0" borderId="10" xfId="1" applyBorder="1" applyAlignment="1">
      <alignment horizontal="right"/>
    </xf>
    <xf numFmtId="0" fontId="1" fillId="0" borderId="14" xfId="1" applyBorder="1" applyAlignment="1">
      <alignment horizontal="right"/>
    </xf>
    <xf numFmtId="49" fontId="1" fillId="0" borderId="0" xfId="1" applyNumberFormat="1" applyAlignment="1">
      <alignment horizontal="right"/>
    </xf>
    <xf numFmtId="49" fontId="1" fillId="0" borderId="4" xfId="1" applyNumberFormat="1" applyBorder="1" applyAlignment="1">
      <alignment horizontal="right"/>
    </xf>
    <xf numFmtId="0" fontId="1" fillId="0" borderId="9" xfId="1" applyBorder="1"/>
    <xf numFmtId="0" fontId="5" fillId="0" borderId="9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7" fillId="0" borderId="9" xfId="1" applyFont="1" applyBorder="1" applyAlignment="1">
      <alignment horizontal="center"/>
    </xf>
    <xf numFmtId="0" fontId="7" fillId="0" borderId="9" xfId="1" applyFont="1" applyBorder="1"/>
    <xf numFmtId="0" fontId="7" fillId="0" borderId="10" xfId="1" applyFont="1" applyBorder="1" applyAlignment="1">
      <alignment horizontal="center"/>
    </xf>
    <xf numFmtId="0" fontId="7" fillId="0" borderId="10" xfId="1" applyFont="1" applyBorder="1"/>
    <xf numFmtId="4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8" fillId="0" borderId="15" xfId="1" applyFont="1" applyBorder="1" applyAlignment="1">
      <alignment horizontal="center"/>
    </xf>
    <xf numFmtId="0" fontId="9" fillId="3" borderId="0" xfId="1" applyFont="1" applyFill="1" applyAlignment="1">
      <alignment horizontal="center"/>
    </xf>
    <xf numFmtId="0" fontId="9" fillId="3" borderId="9" xfId="1" applyFont="1" applyFill="1" applyBorder="1" applyAlignment="1">
      <alignment horizontal="center"/>
    </xf>
    <xf numFmtId="0" fontId="9" fillId="3" borderId="10" xfId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center"/>
    </xf>
    <xf numFmtId="0" fontId="9" fillId="3" borderId="0" xfId="1" applyFont="1" applyFill="1" applyAlignment="1">
      <alignment horizontal="left"/>
    </xf>
    <xf numFmtId="0" fontId="9" fillId="0" borderId="8" xfId="1" applyFont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49" fontId="9" fillId="0" borderId="8" xfId="1" applyNumberFormat="1" applyFont="1" applyBorder="1" applyAlignment="1">
      <alignment horizontal="center"/>
    </xf>
    <xf numFmtId="0" fontId="9" fillId="0" borderId="8" xfId="1" applyFont="1" applyBorder="1" applyAlignment="1">
      <alignment horizontal="left"/>
    </xf>
    <xf numFmtId="0" fontId="9" fillId="0" borderId="16" xfId="1" applyFont="1" applyBorder="1" applyAlignment="1">
      <alignment horizontal="left"/>
    </xf>
    <xf numFmtId="0" fontId="9" fillId="0" borderId="16" xfId="1" applyFont="1" applyBorder="1" applyAlignment="1">
      <alignment horizontal="right"/>
    </xf>
    <xf numFmtId="0" fontId="9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0" borderId="8" xfId="1" applyNumberFormat="1" applyFont="1" applyBorder="1" applyAlignment="1">
      <alignment horizontal="center"/>
    </xf>
    <xf numFmtId="0" fontId="10" fillId="0" borderId="8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49" fontId="1" fillId="0" borderId="0" xfId="1" applyNumberFormat="1"/>
    <xf numFmtId="164" fontId="1" fillId="0" borderId="0" xfId="1" applyNumberFormat="1" applyAlignment="1">
      <alignment horizontal="right"/>
    </xf>
    <xf numFmtId="0" fontId="1" fillId="0" borderId="17" xfId="1" applyBorder="1"/>
    <xf numFmtId="0" fontId="11" fillId="0" borderId="0" xfId="1" applyFont="1"/>
    <xf numFmtId="164" fontId="0" fillId="0" borderId="0" xfId="2" applyNumberFormat="1" applyFont="1"/>
    <xf numFmtId="0" fontId="1" fillId="0" borderId="18" xfId="1" applyBorder="1"/>
    <xf numFmtId="0" fontId="1" fillId="0" borderId="19" xfId="1" applyBorder="1"/>
    <xf numFmtId="164" fontId="0" fillId="0" borderId="18" xfId="2" applyNumberFormat="1" applyFont="1" applyBorder="1"/>
    <xf numFmtId="164" fontId="1" fillId="0" borderId="18" xfId="2" applyNumberFormat="1" applyFont="1" applyBorder="1"/>
    <xf numFmtId="164" fontId="11" fillId="0" borderId="0" xfId="2" applyNumberFormat="1" applyFont="1"/>
    <xf numFmtId="0" fontId="1" fillId="0" borderId="20" xfId="1" applyBorder="1"/>
    <xf numFmtId="0" fontId="12" fillId="0" borderId="0" xfId="1" applyFont="1" applyAlignment="1" applyProtection="1">
      <alignment horizontal="right"/>
      <protection locked="0"/>
    </xf>
    <xf numFmtId="0" fontId="3" fillId="0" borderId="5" xfId="1" applyFont="1" applyBorder="1" applyAlignment="1">
      <alignment horizontal="right"/>
    </xf>
  </cellXfs>
  <cellStyles count="3">
    <cellStyle name="Normal" xfId="0" builtinId="0"/>
    <cellStyle name="Normal 2" xfId="1" xr:uid="{1C029192-E97F-4396-95EA-498116AC12F7}"/>
    <cellStyle name="Percent 2" xfId="2" xr:uid="{18E8FE83-27F7-4C9C-93C0-2FE57D9D5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Legman/ELECTION/Database%20files%20and%20party%20comp%20tables/Master%20Partisan%20Composition%20Database%201900-pres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00"/>
      <sheetName val="Elect02"/>
      <sheetName val="Elect04"/>
      <sheetName val="Elect06"/>
      <sheetName val="Elect08"/>
      <sheetName val="Elect10"/>
      <sheetName val="Elect12"/>
      <sheetName val="Elect14"/>
      <sheetName val="Elect16"/>
      <sheetName val="Elect18"/>
      <sheetName val="Elect20"/>
      <sheetName val="Elect22"/>
      <sheetName val="Elect24"/>
      <sheetName val="Elect26"/>
      <sheetName val="Elect28"/>
      <sheetName val="Elect30"/>
      <sheetName val="Elect32"/>
      <sheetName val="Elect34"/>
      <sheetName val="Elect36"/>
      <sheetName val="Elect38"/>
      <sheetName val="Elect40"/>
      <sheetName val="Elect42"/>
      <sheetName val="Elect44"/>
      <sheetName val="Elect46"/>
      <sheetName val="Elect48"/>
      <sheetName val="Elect50"/>
      <sheetName val="Elect52"/>
      <sheetName val="Elect54"/>
      <sheetName val="Elect56"/>
      <sheetName val="Elect58"/>
      <sheetName val="Elect60"/>
      <sheetName val="Elect62"/>
      <sheetName val="Elect64"/>
      <sheetName val="Elect66"/>
      <sheetName val="Elect68"/>
      <sheetName val="Elect70"/>
      <sheetName val="Elect72"/>
      <sheetName val="Elect74"/>
      <sheetName val="Elect76"/>
      <sheetName val="Elect78"/>
      <sheetName val="Elect80"/>
      <sheetName val="Elect82"/>
      <sheetName val="Elect84"/>
      <sheetName val="Elect86"/>
      <sheetName val="Elect88"/>
      <sheetName val="Elect90"/>
      <sheetName val="Elect92"/>
      <sheetName val="elect94"/>
      <sheetName val="elect96"/>
      <sheetName val="Elect98"/>
      <sheetName val="Elect2000"/>
      <sheetName val="Elect2002"/>
      <sheetName val="Elect2004"/>
      <sheetName val="Elect2006"/>
      <sheetName val="Elect2008"/>
      <sheetName val="Elect2010"/>
      <sheetName val="Elect2012"/>
      <sheetName val="Elect2014"/>
      <sheetName val="Elect2016"/>
      <sheetName val="Elect2018"/>
      <sheetName val="Elect2020"/>
      <sheetName val="Switch"/>
      <sheetName val="PrtyCntrl"/>
      <sheetName val="SwitchState"/>
      <sheetName val="GovSwitch"/>
      <sheetName val="DivGovChrt"/>
      <sheetName val="DivGov"/>
      <sheetName val="MajPrty"/>
      <sheetName val="Marginchart"/>
      <sheetName val="SeatsTot"/>
      <sheetName val="SeatsReg"/>
      <sheetName val="PresPrty"/>
      <sheetName val="DemRank"/>
      <sheetName val="Battlegrounds"/>
      <sheetName val="Code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017">
          <cell r="AL1017" t="str">
            <v>%H D</v>
          </cell>
          <cell r="AM1017" t="str">
            <v>%H D</v>
          </cell>
        </row>
        <row r="1018">
          <cell r="AL1018" t="str">
            <v>&gt;=.45</v>
          </cell>
          <cell r="AM1018" t="str">
            <v>&lt;.55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">
          <cell r="G4" t="str">
            <v>D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017">
          <cell r="AN1017" t="str">
            <v>% SD</v>
          </cell>
          <cell r="AO1017" t="str">
            <v>% SD</v>
          </cell>
        </row>
        <row r="1018">
          <cell r="AN1018" t="str">
            <v>&gt;=.45</v>
          </cell>
          <cell r="AO1018" t="str">
            <v>&lt;.55</v>
          </cell>
        </row>
      </sheetData>
      <sheetData sheetId="50">
        <row r="4">
          <cell r="G4" t="str">
            <v>D</v>
          </cell>
          <cell r="M4" t="str">
            <v>D</v>
          </cell>
        </row>
        <row r="5">
          <cell r="G5" t="str">
            <v>R</v>
          </cell>
          <cell r="M5" t="str">
            <v>R</v>
          </cell>
        </row>
        <row r="6">
          <cell r="G6" t="str">
            <v>R</v>
          </cell>
          <cell r="M6" t="str">
            <v>T</v>
          </cell>
        </row>
        <row r="7">
          <cell r="G7" t="str">
            <v>D</v>
          </cell>
          <cell r="M7" t="str">
            <v>D</v>
          </cell>
        </row>
        <row r="8">
          <cell r="G8" t="str">
            <v>D</v>
          </cell>
          <cell r="M8" t="str">
            <v>D</v>
          </cell>
        </row>
        <row r="9">
          <cell r="G9" t="str">
            <v>R</v>
          </cell>
          <cell r="M9" t="str">
            <v>D</v>
          </cell>
        </row>
        <row r="10">
          <cell r="G10" t="str">
            <v>D</v>
          </cell>
          <cell r="M10" t="str">
            <v>D</v>
          </cell>
        </row>
        <row r="11">
          <cell r="G11" t="str">
            <v>R</v>
          </cell>
          <cell r="M11" t="str">
            <v>D</v>
          </cell>
        </row>
        <row r="12">
          <cell r="G12" t="str">
            <v>R</v>
          </cell>
          <cell r="M12" t="str">
            <v>R</v>
          </cell>
        </row>
        <row r="13">
          <cell r="G13" t="str">
            <v>D</v>
          </cell>
          <cell r="M13" t="str">
            <v>D</v>
          </cell>
        </row>
        <row r="14">
          <cell r="G14" t="str">
            <v>D</v>
          </cell>
          <cell r="M14" t="str">
            <v>D</v>
          </cell>
        </row>
        <row r="15">
          <cell r="G15" t="str">
            <v>R</v>
          </cell>
          <cell r="M15" t="str">
            <v>R</v>
          </cell>
        </row>
        <row r="16">
          <cell r="G16" t="str">
            <v>D</v>
          </cell>
          <cell r="M16" t="str">
            <v>R</v>
          </cell>
        </row>
        <row r="17">
          <cell r="G17" t="str">
            <v>D</v>
          </cell>
          <cell r="M17" t="str">
            <v>R</v>
          </cell>
        </row>
        <row r="18">
          <cell r="G18" t="str">
            <v>R</v>
          </cell>
          <cell r="M18" t="str">
            <v>R</v>
          </cell>
        </row>
        <row r="19">
          <cell r="G19" t="str">
            <v>R</v>
          </cell>
          <cell r="M19" t="str">
            <v>R</v>
          </cell>
        </row>
        <row r="20">
          <cell r="G20" t="str">
            <v>D</v>
          </cell>
          <cell r="M20" t="str">
            <v>R</v>
          </cell>
        </row>
        <row r="21">
          <cell r="G21" t="str">
            <v>D</v>
          </cell>
          <cell r="M21" t="str">
            <v>D</v>
          </cell>
        </row>
        <row r="22">
          <cell r="G22" t="str">
            <v>D</v>
          </cell>
          <cell r="M22" t="str">
            <v>R</v>
          </cell>
        </row>
        <row r="23">
          <cell r="G23" t="str">
            <v>D</v>
          </cell>
          <cell r="M23" t="str">
            <v>D</v>
          </cell>
        </row>
        <row r="24">
          <cell r="G24" t="str">
            <v>D</v>
          </cell>
          <cell r="M24" t="str">
            <v>D</v>
          </cell>
        </row>
        <row r="25">
          <cell r="G25" t="str">
            <v>R</v>
          </cell>
          <cell r="M25" t="str">
            <v>R</v>
          </cell>
        </row>
        <row r="26">
          <cell r="G26" t="str">
            <v>R</v>
          </cell>
          <cell r="M26" t="str">
            <v>D</v>
          </cell>
        </row>
        <row r="27">
          <cell r="G27" t="str">
            <v>D</v>
          </cell>
          <cell r="M27" t="str">
            <v>D</v>
          </cell>
        </row>
        <row r="28">
          <cell r="G28" t="str">
            <v>D</v>
          </cell>
          <cell r="M28" t="str">
            <v>T</v>
          </cell>
        </row>
        <row r="29">
          <cell r="G29" t="str">
            <v>R</v>
          </cell>
          <cell r="M29" t="str">
            <v>R</v>
          </cell>
        </row>
        <row r="31">
          <cell r="G31" t="str">
            <v>D</v>
          </cell>
          <cell r="M31" t="str">
            <v>R</v>
          </cell>
        </row>
        <row r="32">
          <cell r="G32" t="str">
            <v>R</v>
          </cell>
          <cell r="M32" t="str">
            <v>R</v>
          </cell>
        </row>
        <row r="33">
          <cell r="G33" t="str">
            <v>R</v>
          </cell>
          <cell r="M33" t="str">
            <v>R</v>
          </cell>
        </row>
        <row r="34">
          <cell r="G34" t="str">
            <v>D</v>
          </cell>
          <cell r="M34" t="str">
            <v>D</v>
          </cell>
        </row>
        <row r="35">
          <cell r="G35" t="str">
            <v>D</v>
          </cell>
          <cell r="M35" t="str">
            <v>R</v>
          </cell>
        </row>
        <row r="36">
          <cell r="G36" t="str">
            <v>D</v>
          </cell>
          <cell r="M36" t="str">
            <v>D</v>
          </cell>
        </row>
        <row r="37">
          <cell r="G37" t="str">
            <v>R</v>
          </cell>
          <cell r="M37" t="str">
            <v>R</v>
          </cell>
        </row>
        <row r="38">
          <cell r="G38" t="str">
            <v>R</v>
          </cell>
          <cell r="M38" t="str">
            <v>R</v>
          </cell>
        </row>
        <row r="39">
          <cell r="G39" t="str">
            <v>D</v>
          </cell>
          <cell r="M39" t="str">
            <v>D</v>
          </cell>
        </row>
        <row r="40">
          <cell r="G40" t="str">
            <v>R</v>
          </cell>
          <cell r="M40" t="str">
            <v>R</v>
          </cell>
        </row>
        <row r="41">
          <cell r="G41" t="str">
            <v>R</v>
          </cell>
          <cell r="M41" t="str">
            <v>R</v>
          </cell>
        </row>
        <row r="42">
          <cell r="G42" t="str">
            <v>D</v>
          </cell>
          <cell r="M42" t="str">
            <v>D</v>
          </cell>
        </row>
        <row r="43">
          <cell r="G43" t="str">
            <v>R</v>
          </cell>
          <cell r="M43" t="str">
            <v>D</v>
          </cell>
        </row>
        <row r="44">
          <cell r="G44" t="str">
            <v>R</v>
          </cell>
          <cell r="M44" t="str">
            <v>R</v>
          </cell>
        </row>
        <row r="45">
          <cell r="G45" t="str">
            <v>D</v>
          </cell>
          <cell r="M45" t="str">
            <v>D</v>
          </cell>
        </row>
        <row r="46">
          <cell r="G46" t="str">
            <v>D</v>
          </cell>
          <cell r="M46" t="str">
            <v>R</v>
          </cell>
        </row>
        <row r="47">
          <cell r="G47" t="str">
            <v>R</v>
          </cell>
          <cell r="M47" t="str">
            <v>R</v>
          </cell>
        </row>
        <row r="48">
          <cell r="G48" t="str">
            <v>R</v>
          </cell>
          <cell r="M48" t="str">
            <v>D</v>
          </cell>
        </row>
        <row r="49">
          <cell r="G49" t="str">
            <v>R</v>
          </cell>
          <cell r="M49" t="str">
            <v>R</v>
          </cell>
        </row>
        <row r="50">
          <cell r="G50" t="str">
            <v>T</v>
          </cell>
          <cell r="M50" t="str">
            <v>D</v>
          </cell>
        </row>
        <row r="51">
          <cell r="G51" t="str">
            <v>D</v>
          </cell>
          <cell r="M51" t="str">
            <v>D</v>
          </cell>
        </row>
        <row r="52">
          <cell r="G52" t="str">
            <v>R</v>
          </cell>
          <cell r="M52" t="str">
            <v>D</v>
          </cell>
        </row>
        <row r="53">
          <cell r="G53" t="str">
            <v>R</v>
          </cell>
          <cell r="M53" t="str">
            <v>R</v>
          </cell>
        </row>
        <row r="54">
          <cell r="C54">
            <v>2822</v>
          </cell>
          <cell r="I54">
            <v>998</v>
          </cell>
          <cell r="O54">
            <v>3820</v>
          </cell>
        </row>
        <row r="57">
          <cell r="C57">
            <v>1040</v>
          </cell>
          <cell r="I57">
            <v>377</v>
          </cell>
          <cell r="O57">
            <v>1417</v>
          </cell>
        </row>
        <row r="59">
          <cell r="C59">
            <v>862</v>
          </cell>
          <cell r="I59">
            <v>217</v>
          </cell>
          <cell r="O59">
            <v>1079</v>
          </cell>
        </row>
        <row r="60">
          <cell r="C60">
            <v>539</v>
          </cell>
          <cell r="I60">
            <v>204</v>
          </cell>
          <cell r="O60">
            <v>743</v>
          </cell>
        </row>
        <row r="61">
          <cell r="C61">
            <v>381</v>
          </cell>
          <cell r="I61">
            <v>200</v>
          </cell>
          <cell r="O61">
            <v>581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>
        <row r="1001">
          <cell r="AA1001" t="str">
            <v>HMargin</v>
          </cell>
          <cell r="AB1001" t="str">
            <v>HMargin</v>
          </cell>
          <cell r="AC1001" t="str">
            <v>HMargin</v>
          </cell>
          <cell r="AD1001" t="str">
            <v>HMargin</v>
          </cell>
          <cell r="AE1001" t="str">
            <v>HMargin</v>
          </cell>
          <cell r="AF1001" t="str">
            <v>HMargin</v>
          </cell>
        </row>
        <row r="1002">
          <cell r="AA1002" t="str">
            <v>&lt;.1</v>
          </cell>
          <cell r="AB1002" t="str">
            <v>&gt;=.1</v>
          </cell>
          <cell r="AC1002" t="str">
            <v>&lt;.32</v>
          </cell>
          <cell r="AD1002" t="str">
            <v>&gt;=.32</v>
          </cell>
          <cell r="AE1002" t="str">
            <v>&lt;.6</v>
          </cell>
          <cell r="AF1002" t="str">
            <v>&gt;=.6</v>
          </cell>
        </row>
        <row r="1004">
          <cell r="AA1004" t="str">
            <v>SMargin</v>
          </cell>
          <cell r="AB1004" t="str">
            <v>SMargin</v>
          </cell>
          <cell r="AC1004" t="str">
            <v>SMargin</v>
          </cell>
          <cell r="AD1004" t="str">
            <v>SMargin</v>
          </cell>
          <cell r="AE1004" t="str">
            <v>SMargin</v>
          </cell>
          <cell r="AF1004" t="str">
            <v>SMargin</v>
          </cell>
        </row>
        <row r="1005">
          <cell r="AA1005" t="str">
            <v>&lt;.1</v>
          </cell>
          <cell r="AB1005" t="str">
            <v>&gt;=.1</v>
          </cell>
          <cell r="AC1005" t="str">
            <v>&lt;.32</v>
          </cell>
          <cell r="AD1005" t="str">
            <v>&gt;=.32</v>
          </cell>
          <cell r="AE1005" t="str">
            <v>&lt;.6</v>
          </cell>
          <cell r="AF1005" t="str">
            <v>&gt;=.6</v>
          </cell>
        </row>
      </sheetData>
      <sheetData sheetId="68" refreshError="1"/>
      <sheetData sheetId="69"/>
      <sheetData sheetId="70">
        <row r="1017">
          <cell r="BO1017" t="str">
            <v>RG</v>
          </cell>
          <cell r="BP1017" t="str">
            <v>RG</v>
          </cell>
          <cell r="BQ1017" t="str">
            <v>RG</v>
          </cell>
        </row>
        <row r="1018">
          <cell r="BO1018" t="str">
            <v>W</v>
          </cell>
          <cell r="BP1018" t="str">
            <v>E</v>
          </cell>
          <cell r="BQ1018" t="str">
            <v>M</v>
          </cell>
        </row>
      </sheetData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9CA0-AB4C-4177-AA0F-26DBA96334EC}">
  <dimension ref="A1:AM1001"/>
  <sheetViews>
    <sheetView tabSelected="1" workbookViewId="0">
      <pane xSplit="1" topLeftCell="B1" activePane="topRight" state="frozen"/>
      <selection activeCell="X4" sqref="X4:Z53"/>
      <selection pane="topRight" activeCell="V16" sqref="V16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3" width="7.1640625" style="1" customWidth="1"/>
    <col min="4" max="4" width="7.6640625" style="1" customWidth="1"/>
    <col min="5" max="5" width="7.1640625" style="1" customWidth="1"/>
    <col min="6" max="6" width="8.33203125" style="1" customWidth="1"/>
    <col min="7" max="7" width="6.1640625" style="1" customWidth="1"/>
    <col min="8" max="9" width="5.5" style="1" customWidth="1"/>
    <col min="10" max="10" width="6.1640625" style="1" customWidth="1"/>
    <col min="11" max="11" width="8.1640625" style="1" customWidth="1"/>
    <col min="12" max="12" width="6" style="1" customWidth="1"/>
    <col min="13" max="13" width="5.5" style="1" customWidth="1"/>
    <col min="14" max="14" width="6.1640625" style="1" customWidth="1"/>
    <col min="15" max="15" width="6.6640625" style="1" customWidth="1"/>
    <col min="16" max="16" width="6" style="1" customWidth="1"/>
    <col min="17" max="17" width="4.5" style="1" customWidth="1"/>
    <col min="18" max="18" width="4.6640625" style="1" customWidth="1"/>
    <col min="19" max="16384" width="8.6640625" style="1"/>
  </cols>
  <sheetData>
    <row r="1" spans="1:18">
      <c r="B1" s="2"/>
      <c r="C1" s="3">
        <v>2000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"/>
    </row>
    <row r="2" spans="1:18">
      <c r="B2" s="2"/>
      <c r="C2" s="3" t="s">
        <v>0</v>
      </c>
      <c r="D2" s="3"/>
      <c r="E2" s="3"/>
      <c r="F2" s="3"/>
      <c r="G2" s="3"/>
      <c r="H2" s="3" t="s">
        <v>1</v>
      </c>
      <c r="I2" s="3"/>
      <c r="J2" s="3"/>
      <c r="K2" s="3"/>
      <c r="L2" s="3"/>
      <c r="M2" s="3" t="s">
        <v>2</v>
      </c>
      <c r="N2" s="3"/>
      <c r="O2" s="3"/>
      <c r="P2" s="3"/>
      <c r="Q2" s="3"/>
      <c r="R2" s="5"/>
    </row>
    <row r="3" spans="1:18">
      <c r="A3" s="6"/>
      <c r="B3" s="7" t="s">
        <v>3</v>
      </c>
      <c r="C3" s="8" t="s">
        <v>4</v>
      </c>
      <c r="D3" s="8" t="s">
        <v>6</v>
      </c>
      <c r="E3" s="9" t="s">
        <v>7</v>
      </c>
      <c r="F3" s="8" t="s">
        <v>8</v>
      </c>
      <c r="G3" s="8" t="s">
        <v>9</v>
      </c>
      <c r="H3" s="8" t="s">
        <v>11</v>
      </c>
      <c r="I3" s="8" t="s">
        <v>13</v>
      </c>
      <c r="J3" s="9" t="s">
        <v>14</v>
      </c>
      <c r="K3" s="8" t="s">
        <v>15</v>
      </c>
      <c r="L3" s="8" t="s">
        <v>16</v>
      </c>
      <c r="M3" s="8" t="s">
        <v>18</v>
      </c>
      <c r="N3" s="9" t="s">
        <v>20</v>
      </c>
      <c r="O3" s="8" t="s">
        <v>21</v>
      </c>
      <c r="P3" s="8" t="s">
        <v>22</v>
      </c>
      <c r="Q3" s="8" t="s">
        <v>23</v>
      </c>
      <c r="R3" s="11" t="s">
        <v>24</v>
      </c>
    </row>
    <row r="4" spans="1:18">
      <c r="A4" s="12" t="s">
        <v>25</v>
      </c>
      <c r="B4" s="13" t="s">
        <v>26</v>
      </c>
      <c r="C4" s="14">
        <v>68</v>
      </c>
      <c r="D4" s="1">
        <v>105</v>
      </c>
      <c r="E4" s="16">
        <f t="shared" ref="E4:E29" si="0">C4/D4</f>
        <v>0.64761904761904765</v>
      </c>
      <c r="F4" s="16">
        <f t="shared" ref="F4:F29" si="1">ABS(E4-(1-E4))</f>
        <v>0.2952380952380953</v>
      </c>
      <c r="G4" s="1" t="str">
        <f t="shared" ref="G4:G29" si="2">IF(E4&gt;0.5,"D",IF(E4=0.5,"T","R"))</f>
        <v>D</v>
      </c>
      <c r="H4" s="14">
        <v>24</v>
      </c>
      <c r="I4" s="90">
        <v>35</v>
      </c>
      <c r="J4" s="16">
        <f t="shared" ref="J4:J29" si="3">H4/I4</f>
        <v>0.68571428571428572</v>
      </c>
      <c r="K4" s="16">
        <f t="shared" ref="K4:K29" si="4">ABS(J4-(1-J4))</f>
        <v>0.37142857142857144</v>
      </c>
      <c r="L4" s="1" t="str">
        <f t="shared" ref="L4:L29" si="5">IF(J4&gt;0.5,"D",IF(J4=0.5,"T","R"))</f>
        <v>D</v>
      </c>
      <c r="M4" s="1">
        <f t="shared" ref="M4:M29" si="6">C4+H4</f>
        <v>92</v>
      </c>
      <c r="N4" s="16">
        <f t="shared" ref="N4:N29" si="7">M4/(D4+I4)</f>
        <v>0.65714285714285714</v>
      </c>
      <c r="O4" s="16">
        <f t="shared" ref="O4:O29" si="8">ABS(N4-(1-N4))</f>
        <v>0.31428571428571428</v>
      </c>
      <c r="P4" s="1" t="str">
        <f t="shared" ref="P4:P29" si="9">IF(G4=L4,L4,"S")</f>
        <v>D</v>
      </c>
      <c r="Q4" s="91" t="s">
        <v>18</v>
      </c>
      <c r="R4" s="2" t="str">
        <f t="shared" ref="R4:R29" si="10">IF(Q4=P4,"U","D")</f>
        <v>U</v>
      </c>
    </row>
    <row r="5" spans="1:18">
      <c r="A5" s="12" t="s">
        <v>27</v>
      </c>
      <c r="B5" s="13" t="s">
        <v>28</v>
      </c>
      <c r="C5" s="14">
        <v>13</v>
      </c>
      <c r="D5" s="1">
        <v>40</v>
      </c>
      <c r="E5" s="16">
        <f t="shared" si="0"/>
        <v>0.32500000000000001</v>
      </c>
      <c r="F5" s="16">
        <f t="shared" si="1"/>
        <v>0.35000000000000003</v>
      </c>
      <c r="G5" s="1" t="str">
        <f t="shared" si="2"/>
        <v>R</v>
      </c>
      <c r="H5" s="14">
        <v>6</v>
      </c>
      <c r="I5" s="90">
        <v>20</v>
      </c>
      <c r="J5" s="16">
        <f t="shared" si="3"/>
        <v>0.3</v>
      </c>
      <c r="K5" s="16">
        <f t="shared" si="4"/>
        <v>0.39999999999999997</v>
      </c>
      <c r="L5" s="1" t="str">
        <f t="shared" si="5"/>
        <v>R</v>
      </c>
      <c r="M5" s="1">
        <f t="shared" si="6"/>
        <v>19</v>
      </c>
      <c r="N5" s="16">
        <f t="shared" si="7"/>
        <v>0.31666666666666665</v>
      </c>
      <c r="O5" s="16">
        <f t="shared" si="8"/>
        <v>0.3666666666666667</v>
      </c>
      <c r="P5" s="1" t="str">
        <f t="shared" si="9"/>
        <v>R</v>
      </c>
      <c r="Q5" s="91" t="s">
        <v>18</v>
      </c>
      <c r="R5" s="2" t="str">
        <f t="shared" si="10"/>
        <v>D</v>
      </c>
    </row>
    <row r="6" spans="1:18">
      <c r="A6" s="12" t="s">
        <v>29</v>
      </c>
      <c r="B6" s="13" t="s">
        <v>28</v>
      </c>
      <c r="C6" s="14">
        <v>24</v>
      </c>
      <c r="D6" s="1">
        <v>60</v>
      </c>
      <c r="E6" s="16">
        <f t="shared" si="0"/>
        <v>0.4</v>
      </c>
      <c r="F6" s="16">
        <f t="shared" si="1"/>
        <v>0.19999999999999996</v>
      </c>
      <c r="G6" s="1" t="str">
        <f t="shared" si="2"/>
        <v>R</v>
      </c>
      <c r="H6" s="14">
        <v>15</v>
      </c>
      <c r="I6" s="90">
        <v>30</v>
      </c>
      <c r="J6" s="16">
        <f t="shared" si="3"/>
        <v>0.5</v>
      </c>
      <c r="K6" s="16">
        <f t="shared" si="4"/>
        <v>0</v>
      </c>
      <c r="L6" s="1" t="str">
        <f t="shared" si="5"/>
        <v>T</v>
      </c>
      <c r="M6" s="1">
        <f t="shared" si="6"/>
        <v>39</v>
      </c>
      <c r="N6" s="16">
        <f t="shared" si="7"/>
        <v>0.43333333333333335</v>
      </c>
      <c r="O6" s="16">
        <f t="shared" si="8"/>
        <v>0.1333333333333333</v>
      </c>
      <c r="P6" s="1" t="str">
        <f t="shared" si="9"/>
        <v>S</v>
      </c>
      <c r="Q6" s="91" t="s">
        <v>19</v>
      </c>
      <c r="R6" s="2" t="str">
        <f t="shared" si="10"/>
        <v>D</v>
      </c>
    </row>
    <row r="7" spans="1:18">
      <c r="A7" s="12" t="s">
        <v>30</v>
      </c>
      <c r="B7" s="13" t="s">
        <v>26</v>
      </c>
      <c r="C7" s="14">
        <v>72</v>
      </c>
      <c r="D7" s="1">
        <v>100</v>
      </c>
      <c r="E7" s="16">
        <f t="shared" si="0"/>
        <v>0.72</v>
      </c>
      <c r="F7" s="16">
        <f t="shared" si="1"/>
        <v>0.43999999999999995</v>
      </c>
      <c r="G7" s="1" t="str">
        <f t="shared" si="2"/>
        <v>D</v>
      </c>
      <c r="H7" s="14">
        <v>27</v>
      </c>
      <c r="I7" s="90">
        <v>35</v>
      </c>
      <c r="J7" s="16">
        <f t="shared" si="3"/>
        <v>0.77142857142857146</v>
      </c>
      <c r="K7" s="16">
        <f t="shared" si="4"/>
        <v>0.54285714285714293</v>
      </c>
      <c r="L7" s="1" t="str">
        <f t="shared" si="5"/>
        <v>D</v>
      </c>
      <c r="M7" s="1">
        <f t="shared" si="6"/>
        <v>99</v>
      </c>
      <c r="N7" s="16">
        <f t="shared" si="7"/>
        <v>0.73333333333333328</v>
      </c>
      <c r="O7" s="16">
        <f t="shared" si="8"/>
        <v>0.46666666666666656</v>
      </c>
      <c r="P7" s="1" t="str">
        <f t="shared" si="9"/>
        <v>D</v>
      </c>
      <c r="Q7" s="91" t="s">
        <v>19</v>
      </c>
      <c r="R7" s="2" t="str">
        <f t="shared" si="10"/>
        <v>D</v>
      </c>
    </row>
    <row r="8" spans="1:18">
      <c r="A8" s="12" t="s">
        <v>31</v>
      </c>
      <c r="B8" s="13" t="s">
        <v>28</v>
      </c>
      <c r="C8" s="14">
        <v>50</v>
      </c>
      <c r="D8" s="1">
        <v>80</v>
      </c>
      <c r="E8" s="16">
        <f t="shared" si="0"/>
        <v>0.625</v>
      </c>
      <c r="F8" s="16">
        <f t="shared" si="1"/>
        <v>0.25</v>
      </c>
      <c r="G8" s="1" t="str">
        <f t="shared" si="2"/>
        <v>D</v>
      </c>
      <c r="H8" s="14">
        <v>26</v>
      </c>
      <c r="I8" s="90">
        <v>40</v>
      </c>
      <c r="J8" s="16">
        <f t="shared" si="3"/>
        <v>0.65</v>
      </c>
      <c r="K8" s="16">
        <f t="shared" si="4"/>
        <v>0.30000000000000004</v>
      </c>
      <c r="L8" s="1" t="str">
        <f t="shared" si="5"/>
        <v>D</v>
      </c>
      <c r="M8" s="1">
        <f t="shared" si="6"/>
        <v>76</v>
      </c>
      <c r="N8" s="16">
        <f t="shared" si="7"/>
        <v>0.6333333333333333</v>
      </c>
      <c r="O8" s="16">
        <f t="shared" si="8"/>
        <v>0.26666666666666661</v>
      </c>
      <c r="P8" s="1" t="str">
        <f t="shared" si="9"/>
        <v>D</v>
      </c>
      <c r="Q8" s="91" t="s">
        <v>18</v>
      </c>
      <c r="R8" s="2" t="str">
        <f t="shared" si="10"/>
        <v>U</v>
      </c>
    </row>
    <row r="9" spans="1:18">
      <c r="A9" s="12" t="s">
        <v>32</v>
      </c>
      <c r="B9" s="13" t="s">
        <v>28</v>
      </c>
      <c r="C9" s="14">
        <v>27</v>
      </c>
      <c r="D9" s="1">
        <v>65</v>
      </c>
      <c r="E9" s="16">
        <f t="shared" si="0"/>
        <v>0.41538461538461541</v>
      </c>
      <c r="F9" s="16">
        <f t="shared" si="1"/>
        <v>0.16923076923076913</v>
      </c>
      <c r="G9" s="1" t="str">
        <f t="shared" si="2"/>
        <v>R</v>
      </c>
      <c r="H9" s="14">
        <v>18</v>
      </c>
      <c r="I9" s="90">
        <v>35</v>
      </c>
      <c r="J9" s="16">
        <f t="shared" si="3"/>
        <v>0.51428571428571423</v>
      </c>
      <c r="K9" s="16">
        <f t="shared" si="4"/>
        <v>2.857142857142847E-2</v>
      </c>
      <c r="L9" s="1" t="str">
        <f t="shared" si="5"/>
        <v>D</v>
      </c>
      <c r="M9" s="1">
        <f t="shared" si="6"/>
        <v>45</v>
      </c>
      <c r="N9" s="16">
        <f t="shared" si="7"/>
        <v>0.45</v>
      </c>
      <c r="O9" s="16">
        <f t="shared" si="8"/>
        <v>0.10000000000000003</v>
      </c>
      <c r="P9" s="1" t="str">
        <f t="shared" si="9"/>
        <v>S</v>
      </c>
      <c r="Q9" s="91" t="s">
        <v>19</v>
      </c>
      <c r="R9" s="2" t="str">
        <f t="shared" si="10"/>
        <v>D</v>
      </c>
    </row>
    <row r="10" spans="1:18">
      <c r="A10" s="12" t="s">
        <v>33</v>
      </c>
      <c r="B10" s="13" t="s">
        <v>34</v>
      </c>
      <c r="C10" s="14">
        <v>100</v>
      </c>
      <c r="D10" s="1">
        <v>151</v>
      </c>
      <c r="E10" s="16">
        <f t="shared" si="0"/>
        <v>0.66225165562913912</v>
      </c>
      <c r="F10" s="16">
        <f t="shared" si="1"/>
        <v>0.32450331125827825</v>
      </c>
      <c r="G10" s="1" t="str">
        <f t="shared" si="2"/>
        <v>D</v>
      </c>
      <c r="H10" s="14">
        <v>21</v>
      </c>
      <c r="I10" s="90">
        <v>36</v>
      </c>
      <c r="J10" s="16">
        <f t="shared" si="3"/>
        <v>0.58333333333333337</v>
      </c>
      <c r="K10" s="16">
        <f t="shared" si="4"/>
        <v>0.16666666666666674</v>
      </c>
      <c r="L10" s="1" t="str">
        <f t="shared" si="5"/>
        <v>D</v>
      </c>
      <c r="M10" s="1">
        <f t="shared" si="6"/>
        <v>121</v>
      </c>
      <c r="N10" s="16">
        <f t="shared" si="7"/>
        <v>0.6470588235294118</v>
      </c>
      <c r="O10" s="16">
        <f t="shared" si="8"/>
        <v>0.29411764705882359</v>
      </c>
      <c r="P10" s="1" t="str">
        <f t="shared" si="9"/>
        <v>D</v>
      </c>
      <c r="Q10" s="91" t="s">
        <v>19</v>
      </c>
      <c r="R10" s="2" t="str">
        <f t="shared" si="10"/>
        <v>D</v>
      </c>
    </row>
    <row r="11" spans="1:18">
      <c r="A11" s="12" t="s">
        <v>35</v>
      </c>
      <c r="B11" s="13" t="s">
        <v>34</v>
      </c>
      <c r="C11" s="14">
        <v>15</v>
      </c>
      <c r="D11" s="1">
        <v>41</v>
      </c>
      <c r="E11" s="16">
        <f t="shared" si="0"/>
        <v>0.36585365853658536</v>
      </c>
      <c r="F11" s="16">
        <f t="shared" si="1"/>
        <v>0.26829268292682928</v>
      </c>
      <c r="G11" s="1" t="str">
        <f t="shared" si="2"/>
        <v>R</v>
      </c>
      <c r="H11" s="14">
        <v>13</v>
      </c>
      <c r="I11" s="90">
        <v>21</v>
      </c>
      <c r="J11" s="16">
        <f t="shared" si="3"/>
        <v>0.61904761904761907</v>
      </c>
      <c r="K11" s="16">
        <f t="shared" si="4"/>
        <v>0.23809523809523814</v>
      </c>
      <c r="L11" s="1" t="str">
        <f t="shared" si="5"/>
        <v>D</v>
      </c>
      <c r="M11" s="1">
        <f t="shared" si="6"/>
        <v>28</v>
      </c>
      <c r="N11" s="16">
        <f t="shared" si="7"/>
        <v>0.45161290322580644</v>
      </c>
      <c r="O11" s="16">
        <f t="shared" si="8"/>
        <v>9.6774193548387066E-2</v>
      </c>
      <c r="P11" s="1" t="str">
        <f t="shared" si="9"/>
        <v>S</v>
      </c>
      <c r="Q11" s="91" t="s">
        <v>18</v>
      </c>
      <c r="R11" s="2" t="str">
        <f t="shared" si="10"/>
        <v>D</v>
      </c>
    </row>
    <row r="12" spans="1:18">
      <c r="A12" s="12" t="s">
        <v>36</v>
      </c>
      <c r="B12" s="13" t="s">
        <v>26</v>
      </c>
      <c r="C12" s="14">
        <v>43</v>
      </c>
      <c r="D12" s="1">
        <v>120</v>
      </c>
      <c r="E12" s="16">
        <f t="shared" si="0"/>
        <v>0.35833333333333334</v>
      </c>
      <c r="F12" s="16">
        <f t="shared" si="1"/>
        <v>0.28333333333333327</v>
      </c>
      <c r="G12" s="1" t="str">
        <f t="shared" si="2"/>
        <v>R</v>
      </c>
      <c r="H12" s="14">
        <v>15</v>
      </c>
      <c r="I12" s="90">
        <v>40</v>
      </c>
      <c r="J12" s="16">
        <f t="shared" si="3"/>
        <v>0.375</v>
      </c>
      <c r="K12" s="16">
        <f t="shared" si="4"/>
        <v>0.25</v>
      </c>
      <c r="L12" s="1" t="str">
        <f t="shared" si="5"/>
        <v>R</v>
      </c>
      <c r="M12" s="1">
        <f t="shared" si="6"/>
        <v>58</v>
      </c>
      <c r="N12" s="16">
        <f t="shared" si="7"/>
        <v>0.36249999999999999</v>
      </c>
      <c r="O12" s="16">
        <f t="shared" si="8"/>
        <v>0.27499999999999997</v>
      </c>
      <c r="P12" s="1" t="str">
        <f t="shared" si="9"/>
        <v>R</v>
      </c>
      <c r="Q12" s="91" t="s">
        <v>19</v>
      </c>
      <c r="R12" s="2" t="str">
        <f t="shared" si="10"/>
        <v>U</v>
      </c>
    </row>
    <row r="13" spans="1:18">
      <c r="A13" s="12" t="s">
        <v>37</v>
      </c>
      <c r="B13" s="13" t="s">
        <v>26</v>
      </c>
      <c r="C13" s="14">
        <v>104</v>
      </c>
      <c r="D13" s="1">
        <v>180</v>
      </c>
      <c r="E13" s="16">
        <f t="shared" si="0"/>
        <v>0.57777777777777772</v>
      </c>
      <c r="F13" s="16">
        <f t="shared" si="1"/>
        <v>0.15555555555555545</v>
      </c>
      <c r="G13" s="1" t="str">
        <f t="shared" si="2"/>
        <v>D</v>
      </c>
      <c r="H13" s="14">
        <v>32</v>
      </c>
      <c r="I13" s="90">
        <v>56</v>
      </c>
      <c r="J13" s="16">
        <f t="shared" si="3"/>
        <v>0.5714285714285714</v>
      </c>
      <c r="K13" s="16">
        <f t="shared" si="4"/>
        <v>0.14285714285714279</v>
      </c>
      <c r="L13" s="1" t="str">
        <f t="shared" si="5"/>
        <v>D</v>
      </c>
      <c r="M13" s="1">
        <f t="shared" si="6"/>
        <v>136</v>
      </c>
      <c r="N13" s="16">
        <f t="shared" si="7"/>
        <v>0.57627118644067798</v>
      </c>
      <c r="O13" s="16">
        <f t="shared" si="8"/>
        <v>0.15254237288135597</v>
      </c>
      <c r="P13" s="1" t="str">
        <f t="shared" si="9"/>
        <v>D</v>
      </c>
      <c r="Q13" s="91" t="s">
        <v>18</v>
      </c>
      <c r="R13" s="2" t="str">
        <f t="shared" si="10"/>
        <v>U</v>
      </c>
    </row>
    <row r="14" spans="1:18">
      <c r="A14" s="12" t="s">
        <v>38</v>
      </c>
      <c r="B14" s="13" t="s">
        <v>28</v>
      </c>
      <c r="C14" s="14">
        <v>32</v>
      </c>
      <c r="D14" s="1">
        <v>51</v>
      </c>
      <c r="E14" s="16">
        <f t="shared" si="0"/>
        <v>0.62745098039215685</v>
      </c>
      <c r="F14" s="16">
        <f t="shared" si="1"/>
        <v>0.25490196078431371</v>
      </c>
      <c r="G14" s="1" t="str">
        <f t="shared" si="2"/>
        <v>D</v>
      </c>
      <c r="H14" s="14">
        <v>22</v>
      </c>
      <c r="I14" s="90">
        <v>25</v>
      </c>
      <c r="J14" s="16">
        <f t="shared" si="3"/>
        <v>0.88</v>
      </c>
      <c r="K14" s="16">
        <f t="shared" si="4"/>
        <v>0.76</v>
      </c>
      <c r="L14" s="1" t="str">
        <f t="shared" si="5"/>
        <v>D</v>
      </c>
      <c r="M14" s="1">
        <f t="shared" si="6"/>
        <v>54</v>
      </c>
      <c r="N14" s="16">
        <f t="shared" si="7"/>
        <v>0.71052631578947367</v>
      </c>
      <c r="O14" s="16">
        <f t="shared" si="8"/>
        <v>0.42105263157894735</v>
      </c>
      <c r="P14" s="1" t="str">
        <f t="shared" si="9"/>
        <v>D</v>
      </c>
      <c r="Q14" s="91" t="s">
        <v>18</v>
      </c>
      <c r="R14" s="2" t="str">
        <f t="shared" si="10"/>
        <v>U</v>
      </c>
    </row>
    <row r="15" spans="1:18">
      <c r="A15" s="12" t="s">
        <v>39</v>
      </c>
      <c r="B15" s="13" t="s">
        <v>28</v>
      </c>
      <c r="C15" s="14">
        <v>9</v>
      </c>
      <c r="D15" s="1">
        <v>70</v>
      </c>
      <c r="E15" s="16">
        <f t="shared" si="0"/>
        <v>0.12857142857142856</v>
      </c>
      <c r="F15" s="16">
        <f t="shared" si="1"/>
        <v>0.74285714285714288</v>
      </c>
      <c r="G15" s="1" t="str">
        <f t="shared" si="2"/>
        <v>R</v>
      </c>
      <c r="H15" s="14">
        <v>3</v>
      </c>
      <c r="I15" s="90">
        <v>35</v>
      </c>
      <c r="J15" s="16">
        <f t="shared" si="3"/>
        <v>8.5714285714285715E-2</v>
      </c>
      <c r="K15" s="16">
        <f t="shared" si="4"/>
        <v>0.82857142857142851</v>
      </c>
      <c r="L15" s="1" t="str">
        <f t="shared" si="5"/>
        <v>R</v>
      </c>
      <c r="M15" s="1">
        <f t="shared" si="6"/>
        <v>12</v>
      </c>
      <c r="N15" s="16">
        <f t="shared" si="7"/>
        <v>0.11428571428571428</v>
      </c>
      <c r="O15" s="16">
        <f t="shared" si="8"/>
        <v>0.77142857142857135</v>
      </c>
      <c r="P15" s="1" t="str">
        <f t="shared" si="9"/>
        <v>R</v>
      </c>
      <c r="Q15" s="91" t="s">
        <v>19</v>
      </c>
      <c r="R15" s="2" t="str">
        <f t="shared" si="10"/>
        <v>U</v>
      </c>
    </row>
    <row r="16" spans="1:18">
      <c r="A16" s="12" t="s">
        <v>40</v>
      </c>
      <c r="B16" s="13" t="s">
        <v>41</v>
      </c>
      <c r="C16" s="14">
        <v>62</v>
      </c>
      <c r="D16" s="1">
        <v>118</v>
      </c>
      <c r="E16" s="16">
        <f t="shared" si="0"/>
        <v>0.52542372881355937</v>
      </c>
      <c r="F16" s="16">
        <f t="shared" si="1"/>
        <v>5.0847457627118731E-2</v>
      </c>
      <c r="G16" s="1" t="str">
        <f t="shared" si="2"/>
        <v>D</v>
      </c>
      <c r="H16" s="14">
        <v>27</v>
      </c>
      <c r="I16" s="90">
        <v>59</v>
      </c>
      <c r="J16" s="16">
        <f t="shared" si="3"/>
        <v>0.4576271186440678</v>
      </c>
      <c r="K16" s="16">
        <f t="shared" si="4"/>
        <v>8.4745762711864403E-2</v>
      </c>
      <c r="L16" s="1" t="str">
        <f t="shared" si="5"/>
        <v>R</v>
      </c>
      <c r="M16" s="1">
        <f t="shared" si="6"/>
        <v>89</v>
      </c>
      <c r="N16" s="16">
        <f t="shared" si="7"/>
        <v>0.50282485875706218</v>
      </c>
      <c r="O16" s="16">
        <f t="shared" si="8"/>
        <v>5.6497175141243527E-3</v>
      </c>
      <c r="P16" s="1" t="str">
        <f t="shared" si="9"/>
        <v>S</v>
      </c>
      <c r="Q16" s="91" t="s">
        <v>19</v>
      </c>
      <c r="R16" s="2" t="str">
        <f t="shared" si="10"/>
        <v>D</v>
      </c>
    </row>
    <row r="17" spans="1:18">
      <c r="A17" s="12" t="s">
        <v>42</v>
      </c>
      <c r="B17" s="13" t="s">
        <v>41</v>
      </c>
      <c r="C17" s="14">
        <v>53</v>
      </c>
      <c r="D17" s="1">
        <v>100</v>
      </c>
      <c r="E17" s="16">
        <f t="shared" si="0"/>
        <v>0.53</v>
      </c>
      <c r="F17" s="16">
        <f t="shared" si="1"/>
        <v>6.0000000000000053E-2</v>
      </c>
      <c r="G17" s="1" t="str">
        <f t="shared" si="2"/>
        <v>D</v>
      </c>
      <c r="H17" s="14">
        <v>18</v>
      </c>
      <c r="I17" s="90">
        <v>50</v>
      </c>
      <c r="J17" s="16">
        <f t="shared" si="3"/>
        <v>0.36</v>
      </c>
      <c r="K17" s="16">
        <f t="shared" si="4"/>
        <v>0.28000000000000003</v>
      </c>
      <c r="L17" s="1" t="str">
        <f t="shared" si="5"/>
        <v>R</v>
      </c>
      <c r="M17" s="1">
        <f t="shared" si="6"/>
        <v>71</v>
      </c>
      <c r="N17" s="16">
        <f t="shared" si="7"/>
        <v>0.47333333333333333</v>
      </c>
      <c r="O17" s="16">
        <f t="shared" si="8"/>
        <v>5.3333333333333288E-2</v>
      </c>
      <c r="P17" s="1" t="str">
        <f t="shared" si="9"/>
        <v>S</v>
      </c>
      <c r="Q17" s="91" t="s">
        <v>18</v>
      </c>
      <c r="R17" s="2" t="str">
        <f t="shared" si="10"/>
        <v>D</v>
      </c>
    </row>
    <row r="18" spans="1:18">
      <c r="A18" s="12" t="s">
        <v>43</v>
      </c>
      <c r="B18" s="13" t="s">
        <v>41</v>
      </c>
      <c r="C18" s="14">
        <v>44</v>
      </c>
      <c r="D18" s="1">
        <v>100</v>
      </c>
      <c r="E18" s="16">
        <f t="shared" si="0"/>
        <v>0.44</v>
      </c>
      <c r="F18" s="16">
        <f t="shared" si="1"/>
        <v>0.12000000000000005</v>
      </c>
      <c r="G18" s="1" t="str">
        <f t="shared" si="2"/>
        <v>R</v>
      </c>
      <c r="H18" s="14">
        <v>20</v>
      </c>
      <c r="I18" s="90">
        <v>50</v>
      </c>
      <c r="J18" s="16">
        <f t="shared" si="3"/>
        <v>0.4</v>
      </c>
      <c r="K18" s="16">
        <f t="shared" si="4"/>
        <v>0.19999999999999996</v>
      </c>
      <c r="L18" s="1" t="str">
        <f t="shared" si="5"/>
        <v>R</v>
      </c>
      <c r="M18" s="1">
        <f t="shared" si="6"/>
        <v>64</v>
      </c>
      <c r="N18" s="16">
        <f t="shared" si="7"/>
        <v>0.42666666666666669</v>
      </c>
      <c r="O18" s="16">
        <f t="shared" si="8"/>
        <v>0.14666666666666656</v>
      </c>
      <c r="P18" s="1" t="str">
        <f t="shared" si="9"/>
        <v>R</v>
      </c>
      <c r="Q18" s="91" t="s">
        <v>18</v>
      </c>
      <c r="R18" s="2" t="str">
        <f t="shared" si="10"/>
        <v>D</v>
      </c>
    </row>
    <row r="19" spans="1:18">
      <c r="A19" s="12" t="s">
        <v>44</v>
      </c>
      <c r="B19" s="13" t="s">
        <v>41</v>
      </c>
      <c r="C19" s="14">
        <v>46</v>
      </c>
      <c r="D19" s="1">
        <v>125</v>
      </c>
      <c r="E19" s="16">
        <f t="shared" si="0"/>
        <v>0.36799999999999999</v>
      </c>
      <c r="F19" s="16">
        <f t="shared" si="1"/>
        <v>0.26400000000000001</v>
      </c>
      <c r="G19" s="1" t="str">
        <f t="shared" si="2"/>
        <v>R</v>
      </c>
      <c r="H19" s="14">
        <v>10</v>
      </c>
      <c r="I19" s="90">
        <v>40</v>
      </c>
      <c r="J19" s="16">
        <f t="shared" si="3"/>
        <v>0.25</v>
      </c>
      <c r="K19" s="16">
        <f t="shared" si="4"/>
        <v>0.5</v>
      </c>
      <c r="L19" s="1" t="str">
        <f t="shared" si="5"/>
        <v>R</v>
      </c>
      <c r="M19" s="1">
        <f t="shared" si="6"/>
        <v>56</v>
      </c>
      <c r="N19" s="16">
        <f t="shared" si="7"/>
        <v>0.33939393939393941</v>
      </c>
      <c r="O19" s="16">
        <f t="shared" si="8"/>
        <v>0.32121212121212123</v>
      </c>
      <c r="P19" s="1" t="str">
        <f t="shared" si="9"/>
        <v>R</v>
      </c>
      <c r="Q19" s="91" t="s">
        <v>19</v>
      </c>
      <c r="R19" s="2" t="str">
        <f t="shared" si="10"/>
        <v>U</v>
      </c>
    </row>
    <row r="20" spans="1:18">
      <c r="A20" s="12" t="s">
        <v>45</v>
      </c>
      <c r="B20" s="13" t="s">
        <v>26</v>
      </c>
      <c r="C20" s="14">
        <v>64</v>
      </c>
      <c r="D20" s="1">
        <v>100</v>
      </c>
      <c r="E20" s="16">
        <f t="shared" si="0"/>
        <v>0.64</v>
      </c>
      <c r="F20" s="16">
        <f t="shared" si="1"/>
        <v>0.28000000000000003</v>
      </c>
      <c r="G20" s="1" t="str">
        <f t="shared" si="2"/>
        <v>D</v>
      </c>
      <c r="H20" s="14">
        <v>18</v>
      </c>
      <c r="I20" s="90">
        <v>38</v>
      </c>
      <c r="J20" s="16">
        <f t="shared" si="3"/>
        <v>0.47368421052631576</v>
      </c>
      <c r="K20" s="16">
        <f t="shared" si="4"/>
        <v>5.2631578947368529E-2</v>
      </c>
      <c r="L20" s="1" t="str">
        <f t="shared" si="5"/>
        <v>R</v>
      </c>
      <c r="M20" s="1">
        <f t="shared" si="6"/>
        <v>82</v>
      </c>
      <c r="N20" s="16">
        <f t="shared" si="7"/>
        <v>0.59420289855072461</v>
      </c>
      <c r="O20" s="16">
        <f t="shared" si="8"/>
        <v>0.18840579710144922</v>
      </c>
      <c r="P20" s="1" t="str">
        <f t="shared" si="9"/>
        <v>S</v>
      </c>
      <c r="Q20" s="91" t="s">
        <v>18</v>
      </c>
      <c r="R20" s="2" t="str">
        <f t="shared" si="10"/>
        <v>D</v>
      </c>
    </row>
    <row r="21" spans="1:18">
      <c r="A21" s="12" t="s">
        <v>46</v>
      </c>
      <c r="B21" s="13" t="s">
        <v>26</v>
      </c>
      <c r="C21" s="14">
        <v>71</v>
      </c>
      <c r="D21" s="1">
        <v>105</v>
      </c>
      <c r="E21" s="16">
        <f t="shared" si="0"/>
        <v>0.67619047619047623</v>
      </c>
      <c r="F21" s="16">
        <f t="shared" si="1"/>
        <v>0.35238095238095246</v>
      </c>
      <c r="G21" s="1" t="str">
        <f t="shared" si="2"/>
        <v>D</v>
      </c>
      <c r="H21" s="14">
        <v>26</v>
      </c>
      <c r="I21" s="90">
        <v>39</v>
      </c>
      <c r="J21" s="16">
        <f t="shared" si="3"/>
        <v>0.66666666666666663</v>
      </c>
      <c r="K21" s="16">
        <f t="shared" si="4"/>
        <v>0.33333333333333326</v>
      </c>
      <c r="L21" s="1" t="str">
        <f t="shared" si="5"/>
        <v>D</v>
      </c>
      <c r="M21" s="1">
        <f t="shared" si="6"/>
        <v>97</v>
      </c>
      <c r="N21" s="16">
        <f t="shared" si="7"/>
        <v>0.67361111111111116</v>
      </c>
      <c r="O21" s="16">
        <f t="shared" si="8"/>
        <v>0.34722222222222232</v>
      </c>
      <c r="P21" s="1" t="str">
        <f t="shared" si="9"/>
        <v>D</v>
      </c>
      <c r="Q21" s="91" t="s">
        <v>19</v>
      </c>
      <c r="R21" s="2" t="str">
        <f t="shared" si="10"/>
        <v>D</v>
      </c>
    </row>
    <row r="22" spans="1:18">
      <c r="A22" s="12" t="s">
        <v>47</v>
      </c>
      <c r="B22" s="13" t="s">
        <v>34</v>
      </c>
      <c r="C22" s="14">
        <v>88</v>
      </c>
      <c r="D22" s="1">
        <v>151</v>
      </c>
      <c r="E22" s="16">
        <f t="shared" si="0"/>
        <v>0.58278145695364236</v>
      </c>
      <c r="F22" s="16">
        <f t="shared" si="1"/>
        <v>0.16556291390728473</v>
      </c>
      <c r="G22" s="1" t="str">
        <f t="shared" si="2"/>
        <v>D</v>
      </c>
      <c r="H22" s="14">
        <v>17</v>
      </c>
      <c r="I22" s="90">
        <v>35</v>
      </c>
      <c r="J22" s="16">
        <f t="shared" si="3"/>
        <v>0.48571428571428571</v>
      </c>
      <c r="K22" s="16">
        <f t="shared" si="4"/>
        <v>2.8571428571428525E-2</v>
      </c>
      <c r="L22" s="1" t="str">
        <f t="shared" si="5"/>
        <v>R</v>
      </c>
      <c r="M22" s="1">
        <f t="shared" si="6"/>
        <v>105</v>
      </c>
      <c r="N22" s="16">
        <f t="shared" si="7"/>
        <v>0.56451612903225812</v>
      </c>
      <c r="O22" s="16">
        <f t="shared" si="8"/>
        <v>0.12903225806451624</v>
      </c>
      <c r="P22" s="1" t="str">
        <f t="shared" si="9"/>
        <v>S</v>
      </c>
      <c r="Q22" s="91" t="s">
        <v>112</v>
      </c>
      <c r="R22" s="2" t="str">
        <f t="shared" si="10"/>
        <v>D</v>
      </c>
    </row>
    <row r="23" spans="1:18">
      <c r="A23" s="12" t="s">
        <v>48</v>
      </c>
      <c r="B23" s="13" t="s">
        <v>26</v>
      </c>
      <c r="C23" s="14">
        <v>106</v>
      </c>
      <c r="D23" s="1">
        <v>141</v>
      </c>
      <c r="E23" s="16">
        <f t="shared" si="0"/>
        <v>0.75177304964539005</v>
      </c>
      <c r="F23" s="16">
        <f t="shared" si="1"/>
        <v>0.50354609929078009</v>
      </c>
      <c r="G23" s="1" t="str">
        <f t="shared" si="2"/>
        <v>D</v>
      </c>
      <c r="H23" s="14">
        <v>33</v>
      </c>
      <c r="I23" s="90">
        <v>47</v>
      </c>
      <c r="J23" s="16">
        <f t="shared" si="3"/>
        <v>0.7021276595744681</v>
      </c>
      <c r="K23" s="16">
        <f t="shared" si="4"/>
        <v>0.4042553191489362</v>
      </c>
      <c r="L23" s="1" t="str">
        <f t="shared" si="5"/>
        <v>D</v>
      </c>
      <c r="M23" s="1">
        <f t="shared" si="6"/>
        <v>139</v>
      </c>
      <c r="N23" s="16">
        <f t="shared" si="7"/>
        <v>0.73936170212765961</v>
      </c>
      <c r="O23" s="16">
        <f t="shared" si="8"/>
        <v>0.47872340425531923</v>
      </c>
      <c r="P23" s="1" t="str">
        <f t="shared" si="9"/>
        <v>D</v>
      </c>
      <c r="Q23" s="91" t="s">
        <v>18</v>
      </c>
      <c r="R23" s="2" t="str">
        <f t="shared" si="10"/>
        <v>U</v>
      </c>
    </row>
    <row r="24" spans="1:18">
      <c r="A24" s="12" t="s">
        <v>49</v>
      </c>
      <c r="B24" s="13" t="s">
        <v>34</v>
      </c>
      <c r="C24" s="14">
        <v>137</v>
      </c>
      <c r="D24" s="1">
        <v>160</v>
      </c>
      <c r="E24" s="16">
        <f t="shared" si="0"/>
        <v>0.85624999999999996</v>
      </c>
      <c r="F24" s="16">
        <f t="shared" si="1"/>
        <v>0.71249999999999991</v>
      </c>
      <c r="G24" s="1" t="str">
        <f t="shared" si="2"/>
        <v>D</v>
      </c>
      <c r="H24" s="14">
        <v>34</v>
      </c>
      <c r="I24" s="90">
        <v>40</v>
      </c>
      <c r="J24" s="16">
        <f t="shared" si="3"/>
        <v>0.85</v>
      </c>
      <c r="K24" s="16">
        <f t="shared" si="4"/>
        <v>0.7</v>
      </c>
      <c r="L24" s="1" t="str">
        <f t="shared" si="5"/>
        <v>D</v>
      </c>
      <c r="M24" s="1">
        <f t="shared" si="6"/>
        <v>171</v>
      </c>
      <c r="N24" s="16">
        <f t="shared" si="7"/>
        <v>0.85499999999999998</v>
      </c>
      <c r="O24" s="16">
        <f t="shared" si="8"/>
        <v>0.71</v>
      </c>
      <c r="P24" s="1" t="str">
        <f t="shared" si="9"/>
        <v>D</v>
      </c>
      <c r="Q24" s="91" t="s">
        <v>19</v>
      </c>
      <c r="R24" s="2" t="str">
        <f t="shared" si="10"/>
        <v>D</v>
      </c>
    </row>
    <row r="25" spans="1:18">
      <c r="A25" s="12" t="s">
        <v>50</v>
      </c>
      <c r="B25" s="13" t="s">
        <v>41</v>
      </c>
      <c r="C25" s="14">
        <v>51</v>
      </c>
      <c r="D25" s="1">
        <v>110</v>
      </c>
      <c r="E25" s="16">
        <f t="shared" si="0"/>
        <v>0.46363636363636362</v>
      </c>
      <c r="F25" s="16">
        <f t="shared" si="1"/>
        <v>7.2727272727272751E-2</v>
      </c>
      <c r="G25" s="1" t="str">
        <f t="shared" si="2"/>
        <v>R</v>
      </c>
      <c r="H25" s="14">
        <v>15</v>
      </c>
      <c r="I25" s="90">
        <v>38</v>
      </c>
      <c r="J25" s="16">
        <f t="shared" si="3"/>
        <v>0.39473684210526316</v>
      </c>
      <c r="K25" s="16">
        <f t="shared" si="4"/>
        <v>0.21052631578947367</v>
      </c>
      <c r="L25" s="1" t="str">
        <f t="shared" si="5"/>
        <v>R</v>
      </c>
      <c r="M25" s="1">
        <f t="shared" si="6"/>
        <v>66</v>
      </c>
      <c r="N25" s="16">
        <f t="shared" si="7"/>
        <v>0.44594594594594594</v>
      </c>
      <c r="O25" s="16">
        <f t="shared" si="8"/>
        <v>0.10810810810810811</v>
      </c>
      <c r="P25" s="1" t="str">
        <f t="shared" si="9"/>
        <v>R</v>
      </c>
      <c r="Q25" s="91" t="s">
        <v>19</v>
      </c>
      <c r="R25" s="2" t="str">
        <f t="shared" si="10"/>
        <v>U</v>
      </c>
    </row>
    <row r="26" spans="1:18">
      <c r="A26" s="12" t="s">
        <v>51</v>
      </c>
      <c r="B26" s="13" t="s">
        <v>41</v>
      </c>
      <c r="C26" s="14">
        <v>65</v>
      </c>
      <c r="D26" s="1">
        <v>134</v>
      </c>
      <c r="E26" s="16">
        <f t="shared" si="0"/>
        <v>0.48507462686567165</v>
      </c>
      <c r="F26" s="16">
        <f t="shared" si="1"/>
        <v>2.9850746268656747E-2</v>
      </c>
      <c r="G26" s="1" t="str">
        <f t="shared" si="2"/>
        <v>R</v>
      </c>
      <c r="H26" s="14">
        <v>39</v>
      </c>
      <c r="I26" s="90">
        <v>67</v>
      </c>
      <c r="J26" s="16">
        <f t="shared" si="3"/>
        <v>0.58208955223880599</v>
      </c>
      <c r="K26" s="16">
        <f t="shared" si="4"/>
        <v>0.16417910447761197</v>
      </c>
      <c r="L26" s="1" t="str">
        <f t="shared" si="5"/>
        <v>D</v>
      </c>
      <c r="M26" s="1">
        <f t="shared" si="6"/>
        <v>104</v>
      </c>
      <c r="N26" s="16">
        <f t="shared" si="7"/>
        <v>0.51741293532338306</v>
      </c>
      <c r="O26" s="16">
        <f t="shared" si="8"/>
        <v>3.4825870646766122E-2</v>
      </c>
      <c r="P26" s="1" t="str">
        <f t="shared" si="9"/>
        <v>S</v>
      </c>
      <c r="Q26" s="91" t="s">
        <v>112</v>
      </c>
      <c r="R26" s="2" t="str">
        <f t="shared" si="10"/>
        <v>D</v>
      </c>
    </row>
    <row r="27" spans="1:18">
      <c r="A27" s="12" t="s">
        <v>52</v>
      </c>
      <c r="B27" s="13" t="s">
        <v>26</v>
      </c>
      <c r="C27" s="14">
        <v>86</v>
      </c>
      <c r="D27" s="1">
        <v>122</v>
      </c>
      <c r="E27" s="16">
        <f t="shared" si="0"/>
        <v>0.70491803278688525</v>
      </c>
      <c r="F27" s="16">
        <f t="shared" si="1"/>
        <v>0.4098360655737705</v>
      </c>
      <c r="G27" s="1" t="str">
        <f t="shared" si="2"/>
        <v>D</v>
      </c>
      <c r="H27" s="14">
        <v>34</v>
      </c>
      <c r="I27" s="90">
        <v>52</v>
      </c>
      <c r="J27" s="16">
        <f t="shared" si="3"/>
        <v>0.65384615384615385</v>
      </c>
      <c r="K27" s="16">
        <f t="shared" si="4"/>
        <v>0.30769230769230771</v>
      </c>
      <c r="L27" s="1" t="str">
        <f t="shared" si="5"/>
        <v>D</v>
      </c>
      <c r="M27" s="1">
        <f t="shared" si="6"/>
        <v>120</v>
      </c>
      <c r="N27" s="16">
        <f t="shared" si="7"/>
        <v>0.68965517241379315</v>
      </c>
      <c r="O27" s="16">
        <f t="shared" si="8"/>
        <v>0.3793103448275863</v>
      </c>
      <c r="P27" s="1" t="str">
        <f t="shared" si="9"/>
        <v>D</v>
      </c>
      <c r="Q27" s="91" t="s">
        <v>18</v>
      </c>
      <c r="R27" s="2" t="str">
        <f t="shared" si="10"/>
        <v>U</v>
      </c>
    </row>
    <row r="28" spans="1:18">
      <c r="A28" s="12" t="s">
        <v>53</v>
      </c>
      <c r="B28" s="13" t="s">
        <v>41</v>
      </c>
      <c r="C28" s="14">
        <v>87</v>
      </c>
      <c r="D28" s="1">
        <v>163</v>
      </c>
      <c r="E28" s="16">
        <f t="shared" si="0"/>
        <v>0.53374233128834359</v>
      </c>
      <c r="F28" s="16">
        <f t="shared" si="1"/>
        <v>6.7484662576687171E-2</v>
      </c>
      <c r="G28" s="1" t="str">
        <f t="shared" si="2"/>
        <v>D</v>
      </c>
      <c r="H28" s="14">
        <v>17</v>
      </c>
      <c r="I28" s="90">
        <v>34</v>
      </c>
      <c r="J28" s="16">
        <f t="shared" si="3"/>
        <v>0.5</v>
      </c>
      <c r="K28" s="16">
        <f t="shared" si="4"/>
        <v>0</v>
      </c>
      <c r="L28" s="1" t="str">
        <f t="shared" si="5"/>
        <v>T</v>
      </c>
      <c r="M28" s="1">
        <f t="shared" si="6"/>
        <v>104</v>
      </c>
      <c r="N28" s="16">
        <f t="shared" si="7"/>
        <v>0.52791878172588835</v>
      </c>
      <c r="O28" s="16">
        <f t="shared" si="8"/>
        <v>5.5837563451776706E-2</v>
      </c>
      <c r="P28" s="1" t="str">
        <f t="shared" si="9"/>
        <v>S</v>
      </c>
      <c r="Q28" s="91" t="s">
        <v>18</v>
      </c>
      <c r="R28" s="2" t="str">
        <f t="shared" si="10"/>
        <v>D</v>
      </c>
    </row>
    <row r="29" spans="1:18">
      <c r="A29" s="12" t="s">
        <v>54</v>
      </c>
      <c r="B29" s="13" t="s">
        <v>28</v>
      </c>
      <c r="C29" s="14">
        <v>43</v>
      </c>
      <c r="D29" s="1">
        <v>100</v>
      </c>
      <c r="E29" s="16">
        <f t="shared" si="0"/>
        <v>0.43</v>
      </c>
      <c r="F29" s="16">
        <f t="shared" si="1"/>
        <v>0.14000000000000007</v>
      </c>
      <c r="G29" s="1" t="str">
        <f t="shared" si="2"/>
        <v>R</v>
      </c>
      <c r="H29" s="14">
        <v>19</v>
      </c>
      <c r="I29" s="90">
        <v>50</v>
      </c>
      <c r="J29" s="16">
        <f t="shared" si="3"/>
        <v>0.38</v>
      </c>
      <c r="K29" s="16">
        <f t="shared" si="4"/>
        <v>0.24</v>
      </c>
      <c r="L29" s="1" t="str">
        <f t="shared" si="5"/>
        <v>R</v>
      </c>
      <c r="M29" s="1">
        <f t="shared" si="6"/>
        <v>62</v>
      </c>
      <c r="N29" s="16">
        <f t="shared" si="7"/>
        <v>0.41333333333333333</v>
      </c>
      <c r="O29" s="16">
        <f t="shared" si="8"/>
        <v>0.17333333333333334</v>
      </c>
      <c r="P29" s="1" t="str">
        <f t="shared" si="9"/>
        <v>R</v>
      </c>
      <c r="Q29" s="91" t="s">
        <v>19</v>
      </c>
      <c r="R29" s="2" t="str">
        <f t="shared" si="10"/>
        <v>U</v>
      </c>
    </row>
    <row r="30" spans="1:18">
      <c r="A30" s="12" t="s">
        <v>55</v>
      </c>
      <c r="B30" s="13" t="s">
        <v>41</v>
      </c>
      <c r="E30" s="16"/>
      <c r="F30" s="16"/>
      <c r="H30" s="1" t="s">
        <v>56</v>
      </c>
      <c r="I30" s="90">
        <v>49</v>
      </c>
      <c r="J30" s="16"/>
      <c r="K30" s="16"/>
      <c r="N30" s="16"/>
      <c r="O30" s="16"/>
      <c r="Q30" s="91" t="s">
        <v>19</v>
      </c>
      <c r="R30" s="2"/>
    </row>
    <row r="31" spans="1:18">
      <c r="A31" s="12" t="s">
        <v>57</v>
      </c>
      <c r="B31" s="13" t="s">
        <v>28</v>
      </c>
      <c r="C31" s="14">
        <v>27</v>
      </c>
      <c r="D31" s="1">
        <v>42</v>
      </c>
      <c r="E31" s="16">
        <f t="shared" ref="E31:E54" si="11">C31/D31</f>
        <v>0.6428571428571429</v>
      </c>
      <c r="F31" s="16">
        <f t="shared" ref="F31:F53" si="12">ABS(E31-(1-E31))</f>
        <v>0.28571428571428581</v>
      </c>
      <c r="G31" s="1" t="str">
        <f t="shared" ref="G31:G53" si="13">IF(E31&gt;0.5,"D",IF(E31=0.5,"T","R"))</f>
        <v>D</v>
      </c>
      <c r="H31" s="14">
        <v>9</v>
      </c>
      <c r="I31" s="90">
        <v>21</v>
      </c>
      <c r="J31" s="16">
        <f t="shared" ref="J31:J54" si="14">H31/I31</f>
        <v>0.42857142857142855</v>
      </c>
      <c r="K31" s="16">
        <f t="shared" ref="K31:K53" si="15">ABS(J31-(1-J31))</f>
        <v>0.14285714285714285</v>
      </c>
      <c r="L31" s="1" t="str">
        <f t="shared" ref="L31:L53" si="16">IF(J31&gt;0.5,"D",IF(J31=0.5,"T","R"))</f>
        <v>R</v>
      </c>
      <c r="M31" s="1">
        <f t="shared" ref="M31:M53" si="17">C31+H31</f>
        <v>36</v>
      </c>
      <c r="N31" s="16">
        <f t="shared" ref="N31:N54" si="18">M31/(D31+I31)</f>
        <v>0.5714285714285714</v>
      </c>
      <c r="O31" s="16">
        <f t="shared" ref="O31:O53" si="19">ABS(N31-(1-N31))</f>
        <v>0.14285714285714279</v>
      </c>
      <c r="P31" s="1" t="str">
        <f t="shared" ref="P31:P53" si="20">IF(G31=L31,L31,"S")</f>
        <v>S</v>
      </c>
      <c r="Q31" s="91" t="s">
        <v>19</v>
      </c>
      <c r="R31" s="2" t="str">
        <f t="shared" ref="R31:R53" si="21">IF(Q31=P31,"U","D")</f>
        <v>D</v>
      </c>
    </row>
    <row r="32" spans="1:18">
      <c r="A32" s="12" t="s">
        <v>58</v>
      </c>
      <c r="B32" s="13" t="s">
        <v>34</v>
      </c>
      <c r="C32" s="14">
        <v>143</v>
      </c>
      <c r="D32" s="1">
        <v>400</v>
      </c>
      <c r="E32" s="16">
        <f t="shared" si="11"/>
        <v>0.35749999999999998</v>
      </c>
      <c r="F32" s="16">
        <f t="shared" si="12"/>
        <v>0.28500000000000009</v>
      </c>
      <c r="G32" s="1" t="str">
        <f t="shared" si="13"/>
        <v>R</v>
      </c>
      <c r="H32" s="14">
        <v>11</v>
      </c>
      <c r="I32" s="90">
        <v>24</v>
      </c>
      <c r="J32" s="16">
        <f t="shared" si="14"/>
        <v>0.45833333333333331</v>
      </c>
      <c r="K32" s="16">
        <f t="shared" si="15"/>
        <v>8.3333333333333426E-2</v>
      </c>
      <c r="L32" s="1" t="str">
        <f t="shared" si="16"/>
        <v>R</v>
      </c>
      <c r="M32" s="1">
        <f t="shared" si="17"/>
        <v>154</v>
      </c>
      <c r="N32" s="16">
        <f t="shared" si="18"/>
        <v>0.3632075471698113</v>
      </c>
      <c r="O32" s="16">
        <f t="shared" si="19"/>
        <v>0.27358490566037741</v>
      </c>
      <c r="P32" s="1" t="str">
        <f t="shared" si="20"/>
        <v>R</v>
      </c>
      <c r="Q32" s="91" t="s">
        <v>18</v>
      </c>
      <c r="R32" s="2" t="str">
        <f t="shared" si="21"/>
        <v>D</v>
      </c>
    </row>
    <row r="33" spans="1:18">
      <c r="A33" s="12" t="s">
        <v>59</v>
      </c>
      <c r="B33" s="13" t="s">
        <v>34</v>
      </c>
      <c r="C33" s="14">
        <v>35</v>
      </c>
      <c r="D33" s="1">
        <v>80</v>
      </c>
      <c r="E33" s="16">
        <f t="shared" si="11"/>
        <v>0.4375</v>
      </c>
      <c r="F33" s="16">
        <f t="shared" si="12"/>
        <v>0.125</v>
      </c>
      <c r="G33" s="1" t="str">
        <f t="shared" si="13"/>
        <v>R</v>
      </c>
      <c r="H33" s="14">
        <v>16</v>
      </c>
      <c r="I33" s="90">
        <v>40</v>
      </c>
      <c r="J33" s="16">
        <f t="shared" si="14"/>
        <v>0.4</v>
      </c>
      <c r="K33" s="16">
        <f t="shared" si="15"/>
        <v>0.19999999999999996</v>
      </c>
      <c r="L33" s="1" t="str">
        <f t="shared" si="16"/>
        <v>R</v>
      </c>
      <c r="M33" s="1">
        <f t="shared" si="17"/>
        <v>51</v>
      </c>
      <c r="N33" s="16">
        <f t="shared" si="18"/>
        <v>0.42499999999999999</v>
      </c>
      <c r="O33" s="16">
        <f t="shared" si="19"/>
        <v>0.14999999999999997</v>
      </c>
      <c r="P33" s="1" t="str">
        <f t="shared" si="20"/>
        <v>R</v>
      </c>
      <c r="Q33" s="91" t="s">
        <v>19</v>
      </c>
      <c r="R33" s="2" t="str">
        <f t="shared" si="21"/>
        <v>U</v>
      </c>
    </row>
    <row r="34" spans="1:18">
      <c r="A34" s="12" t="s">
        <v>60</v>
      </c>
      <c r="B34" s="13" t="s">
        <v>28</v>
      </c>
      <c r="C34" s="14">
        <v>42</v>
      </c>
      <c r="D34" s="1">
        <v>70</v>
      </c>
      <c r="E34" s="16">
        <f t="shared" si="11"/>
        <v>0.6</v>
      </c>
      <c r="F34" s="16">
        <f t="shared" si="12"/>
        <v>0.19999999999999996</v>
      </c>
      <c r="G34" s="1" t="str">
        <f t="shared" si="13"/>
        <v>D</v>
      </c>
      <c r="H34" s="14">
        <v>24</v>
      </c>
      <c r="I34" s="90">
        <v>42</v>
      </c>
      <c r="J34" s="16">
        <f t="shared" si="14"/>
        <v>0.5714285714285714</v>
      </c>
      <c r="K34" s="16">
        <f t="shared" si="15"/>
        <v>0.14285714285714279</v>
      </c>
      <c r="L34" s="1" t="str">
        <f t="shared" si="16"/>
        <v>D</v>
      </c>
      <c r="M34" s="1">
        <f t="shared" si="17"/>
        <v>66</v>
      </c>
      <c r="N34" s="16">
        <f t="shared" si="18"/>
        <v>0.5892857142857143</v>
      </c>
      <c r="O34" s="16">
        <f t="shared" si="19"/>
        <v>0.1785714285714286</v>
      </c>
      <c r="P34" s="1" t="str">
        <f t="shared" si="20"/>
        <v>D</v>
      </c>
      <c r="Q34" s="91" t="s">
        <v>19</v>
      </c>
      <c r="R34" s="2" t="str">
        <f t="shared" si="21"/>
        <v>D</v>
      </c>
    </row>
    <row r="35" spans="1:18">
      <c r="A35" s="12" t="s">
        <v>61</v>
      </c>
      <c r="B35" s="13" t="s">
        <v>34</v>
      </c>
      <c r="C35" s="14">
        <v>99</v>
      </c>
      <c r="D35" s="1">
        <v>150</v>
      </c>
      <c r="E35" s="16">
        <f t="shared" si="11"/>
        <v>0.66</v>
      </c>
      <c r="F35" s="16">
        <f t="shared" si="12"/>
        <v>0.32000000000000006</v>
      </c>
      <c r="G35" s="1" t="str">
        <f t="shared" si="13"/>
        <v>D</v>
      </c>
      <c r="H35" s="14">
        <v>25</v>
      </c>
      <c r="I35" s="90">
        <v>61</v>
      </c>
      <c r="J35" s="16">
        <f t="shared" si="14"/>
        <v>0.4098360655737705</v>
      </c>
      <c r="K35" s="16">
        <f t="shared" si="15"/>
        <v>0.18032786885245899</v>
      </c>
      <c r="L35" s="1" t="str">
        <f t="shared" si="16"/>
        <v>R</v>
      </c>
      <c r="M35" s="1">
        <f t="shared" si="17"/>
        <v>124</v>
      </c>
      <c r="N35" s="16">
        <f t="shared" si="18"/>
        <v>0.58767772511848337</v>
      </c>
      <c r="O35" s="16">
        <f t="shared" si="19"/>
        <v>0.17535545023696675</v>
      </c>
      <c r="P35" s="1" t="str">
        <f t="shared" si="20"/>
        <v>S</v>
      </c>
      <c r="Q35" s="91" t="s">
        <v>19</v>
      </c>
      <c r="R35" s="2" t="str">
        <f t="shared" si="21"/>
        <v>D</v>
      </c>
    </row>
    <row r="36" spans="1:18">
      <c r="A36" s="12" t="s">
        <v>62</v>
      </c>
      <c r="B36" s="13" t="s">
        <v>26</v>
      </c>
      <c r="C36" s="14">
        <v>62</v>
      </c>
      <c r="D36" s="1">
        <v>120</v>
      </c>
      <c r="E36" s="16">
        <f t="shared" si="11"/>
        <v>0.51666666666666672</v>
      </c>
      <c r="F36" s="16">
        <f t="shared" si="12"/>
        <v>3.3333333333333437E-2</v>
      </c>
      <c r="G36" s="1" t="str">
        <f t="shared" si="13"/>
        <v>D</v>
      </c>
      <c r="H36" s="14">
        <v>35</v>
      </c>
      <c r="I36" s="90">
        <v>50</v>
      </c>
      <c r="J36" s="16">
        <f t="shared" si="14"/>
        <v>0.7</v>
      </c>
      <c r="K36" s="16">
        <f t="shared" si="15"/>
        <v>0.39999999999999991</v>
      </c>
      <c r="L36" s="1" t="str">
        <f t="shared" si="16"/>
        <v>D</v>
      </c>
      <c r="M36" s="1">
        <f t="shared" si="17"/>
        <v>97</v>
      </c>
      <c r="N36" s="16">
        <f t="shared" si="18"/>
        <v>0.57058823529411762</v>
      </c>
      <c r="O36" s="16">
        <f t="shared" si="19"/>
        <v>0.14117647058823524</v>
      </c>
      <c r="P36" s="1" t="str">
        <f t="shared" si="20"/>
        <v>D</v>
      </c>
      <c r="Q36" s="91" t="s">
        <v>18</v>
      </c>
      <c r="R36" s="2" t="str">
        <f t="shared" si="21"/>
        <v>U</v>
      </c>
    </row>
    <row r="37" spans="1:18">
      <c r="A37" s="12" t="s">
        <v>63</v>
      </c>
      <c r="B37" s="13" t="s">
        <v>41</v>
      </c>
      <c r="C37" s="14">
        <v>29</v>
      </c>
      <c r="D37" s="1">
        <v>98</v>
      </c>
      <c r="E37" s="16">
        <f t="shared" si="11"/>
        <v>0.29591836734693877</v>
      </c>
      <c r="F37" s="16">
        <f t="shared" si="12"/>
        <v>0.40816326530612246</v>
      </c>
      <c r="G37" s="1" t="str">
        <f t="shared" si="13"/>
        <v>R</v>
      </c>
      <c r="H37" s="14">
        <v>17</v>
      </c>
      <c r="I37" s="90">
        <v>49</v>
      </c>
      <c r="J37" s="16">
        <f t="shared" si="14"/>
        <v>0.34693877551020408</v>
      </c>
      <c r="K37" s="16">
        <f t="shared" si="15"/>
        <v>0.3061224489795919</v>
      </c>
      <c r="L37" s="1" t="str">
        <f t="shared" si="16"/>
        <v>R</v>
      </c>
      <c r="M37" s="1">
        <f t="shared" si="17"/>
        <v>46</v>
      </c>
      <c r="N37" s="16">
        <f t="shared" si="18"/>
        <v>0.31292517006802723</v>
      </c>
      <c r="O37" s="16">
        <f t="shared" si="19"/>
        <v>0.37414965986394555</v>
      </c>
      <c r="P37" s="1" t="str">
        <f t="shared" si="20"/>
        <v>R</v>
      </c>
      <c r="Q37" s="91" t="s">
        <v>19</v>
      </c>
      <c r="R37" s="2" t="str">
        <f t="shared" si="21"/>
        <v>U</v>
      </c>
    </row>
    <row r="38" spans="1:18">
      <c r="A38" s="12" t="s">
        <v>64</v>
      </c>
      <c r="B38" s="13" t="s">
        <v>41</v>
      </c>
      <c r="C38" s="14">
        <v>39</v>
      </c>
      <c r="D38" s="1">
        <v>99</v>
      </c>
      <c r="E38" s="16">
        <f t="shared" si="11"/>
        <v>0.39393939393939392</v>
      </c>
      <c r="F38" s="16">
        <f t="shared" si="12"/>
        <v>0.21212121212121215</v>
      </c>
      <c r="G38" s="1" t="str">
        <f t="shared" si="13"/>
        <v>R</v>
      </c>
      <c r="H38" s="14">
        <v>12</v>
      </c>
      <c r="I38" s="90">
        <v>33</v>
      </c>
      <c r="J38" s="16">
        <f t="shared" si="14"/>
        <v>0.36363636363636365</v>
      </c>
      <c r="K38" s="16">
        <f t="shared" si="15"/>
        <v>0.27272727272727271</v>
      </c>
      <c r="L38" s="1" t="str">
        <f t="shared" si="16"/>
        <v>R</v>
      </c>
      <c r="M38" s="1">
        <f t="shared" si="17"/>
        <v>51</v>
      </c>
      <c r="N38" s="16">
        <f t="shared" si="18"/>
        <v>0.38636363636363635</v>
      </c>
      <c r="O38" s="16">
        <f t="shared" si="19"/>
        <v>0.22727272727272729</v>
      </c>
      <c r="P38" s="1" t="str">
        <f t="shared" si="20"/>
        <v>R</v>
      </c>
      <c r="Q38" s="91" t="s">
        <v>19</v>
      </c>
      <c r="R38" s="2" t="str">
        <f t="shared" si="21"/>
        <v>U</v>
      </c>
    </row>
    <row r="39" spans="1:18">
      <c r="A39" s="12" t="s">
        <v>65</v>
      </c>
      <c r="B39" s="13" t="s">
        <v>26</v>
      </c>
      <c r="C39" s="14">
        <v>53</v>
      </c>
      <c r="D39" s="1">
        <v>101</v>
      </c>
      <c r="E39" s="16">
        <f t="shared" si="11"/>
        <v>0.52475247524752477</v>
      </c>
      <c r="F39" s="16">
        <f t="shared" si="12"/>
        <v>4.9504950495049549E-2</v>
      </c>
      <c r="G39" s="1" t="str">
        <f t="shared" si="13"/>
        <v>D</v>
      </c>
      <c r="H39" s="14">
        <v>30</v>
      </c>
      <c r="I39" s="90">
        <v>48</v>
      </c>
      <c r="J39" s="16">
        <f t="shared" si="14"/>
        <v>0.625</v>
      </c>
      <c r="K39" s="16">
        <f t="shared" si="15"/>
        <v>0.25</v>
      </c>
      <c r="L39" s="1" t="str">
        <f t="shared" si="16"/>
        <v>D</v>
      </c>
      <c r="M39" s="1">
        <f t="shared" si="17"/>
        <v>83</v>
      </c>
      <c r="N39" s="16">
        <f t="shared" si="18"/>
        <v>0.55704697986577179</v>
      </c>
      <c r="O39" s="16">
        <f t="shared" si="19"/>
        <v>0.11409395973154357</v>
      </c>
      <c r="P39" s="1" t="str">
        <f t="shared" si="20"/>
        <v>D</v>
      </c>
      <c r="Q39" s="91" t="s">
        <v>19</v>
      </c>
      <c r="R39" s="2" t="str">
        <f t="shared" si="21"/>
        <v>D</v>
      </c>
    </row>
    <row r="40" spans="1:18">
      <c r="A40" s="12" t="s">
        <v>66</v>
      </c>
      <c r="B40" s="13" t="s">
        <v>28</v>
      </c>
      <c r="C40" s="14">
        <v>27</v>
      </c>
      <c r="D40" s="1">
        <v>60</v>
      </c>
      <c r="E40" s="16">
        <f t="shared" si="11"/>
        <v>0.45</v>
      </c>
      <c r="F40" s="16">
        <f t="shared" si="12"/>
        <v>0.10000000000000003</v>
      </c>
      <c r="G40" s="1" t="str">
        <f t="shared" si="13"/>
        <v>R</v>
      </c>
      <c r="H40" s="14">
        <v>14</v>
      </c>
      <c r="I40" s="90">
        <v>30</v>
      </c>
      <c r="J40" s="16">
        <f t="shared" si="14"/>
        <v>0.46666666666666667</v>
      </c>
      <c r="K40" s="16">
        <f t="shared" si="15"/>
        <v>6.6666666666666652E-2</v>
      </c>
      <c r="L40" s="1" t="str">
        <f t="shared" si="16"/>
        <v>R</v>
      </c>
      <c r="M40" s="1">
        <f t="shared" si="17"/>
        <v>41</v>
      </c>
      <c r="N40" s="16">
        <f t="shared" si="18"/>
        <v>0.45555555555555555</v>
      </c>
      <c r="O40" s="16">
        <f t="shared" si="19"/>
        <v>8.8888888888888962E-2</v>
      </c>
      <c r="P40" s="1" t="str">
        <f t="shared" si="20"/>
        <v>R</v>
      </c>
      <c r="Q40" s="91" t="s">
        <v>18</v>
      </c>
      <c r="R40" s="2" t="str">
        <f t="shared" si="21"/>
        <v>D</v>
      </c>
    </row>
    <row r="41" spans="1:18">
      <c r="A41" s="12" t="s">
        <v>68</v>
      </c>
      <c r="B41" s="13" t="s">
        <v>34</v>
      </c>
      <c r="C41" s="14">
        <v>99</v>
      </c>
      <c r="D41" s="1">
        <v>203</v>
      </c>
      <c r="E41" s="16">
        <f t="shared" si="11"/>
        <v>0.48768472906403942</v>
      </c>
      <c r="F41" s="16">
        <f t="shared" si="12"/>
        <v>2.4630541871921208E-2</v>
      </c>
      <c r="G41" s="1" t="str">
        <f t="shared" si="13"/>
        <v>R</v>
      </c>
      <c r="H41" s="14">
        <v>20</v>
      </c>
      <c r="I41" s="90">
        <v>50</v>
      </c>
      <c r="J41" s="16">
        <f t="shared" si="14"/>
        <v>0.4</v>
      </c>
      <c r="K41" s="16">
        <f t="shared" si="15"/>
        <v>0.19999999999999996</v>
      </c>
      <c r="L41" s="1" t="str">
        <f t="shared" si="16"/>
        <v>R</v>
      </c>
      <c r="M41" s="1">
        <f t="shared" si="17"/>
        <v>119</v>
      </c>
      <c r="N41" s="16">
        <f t="shared" si="18"/>
        <v>0.47035573122529645</v>
      </c>
      <c r="O41" s="16">
        <f t="shared" si="19"/>
        <v>5.9288537549407161E-2</v>
      </c>
      <c r="P41" s="1" t="str">
        <f t="shared" si="20"/>
        <v>R</v>
      </c>
      <c r="Q41" s="91" t="s">
        <v>19</v>
      </c>
      <c r="R41" s="2" t="str">
        <f t="shared" si="21"/>
        <v>U</v>
      </c>
    </row>
    <row r="42" spans="1:18">
      <c r="A42" s="12" t="s">
        <v>69</v>
      </c>
      <c r="B42" s="13" t="s">
        <v>34</v>
      </c>
      <c r="C42" s="14">
        <v>84</v>
      </c>
      <c r="D42" s="1">
        <v>100</v>
      </c>
      <c r="E42" s="16">
        <f t="shared" si="11"/>
        <v>0.84</v>
      </c>
      <c r="F42" s="16">
        <f t="shared" si="12"/>
        <v>0.67999999999999994</v>
      </c>
      <c r="G42" s="1" t="str">
        <f t="shared" si="13"/>
        <v>D</v>
      </c>
      <c r="H42" s="14">
        <v>44</v>
      </c>
      <c r="I42" s="90">
        <v>50</v>
      </c>
      <c r="J42" s="16">
        <f t="shared" si="14"/>
        <v>0.88</v>
      </c>
      <c r="K42" s="16">
        <f t="shared" si="15"/>
        <v>0.76</v>
      </c>
      <c r="L42" s="1" t="str">
        <f t="shared" si="16"/>
        <v>D</v>
      </c>
      <c r="M42" s="1">
        <f t="shared" si="17"/>
        <v>128</v>
      </c>
      <c r="N42" s="16">
        <f t="shared" si="18"/>
        <v>0.85333333333333339</v>
      </c>
      <c r="O42" s="16">
        <f t="shared" si="19"/>
        <v>0.70666666666666678</v>
      </c>
      <c r="P42" s="1" t="str">
        <f t="shared" si="20"/>
        <v>D</v>
      </c>
      <c r="Q42" s="91" t="s">
        <v>19</v>
      </c>
      <c r="R42" s="2" t="str">
        <f t="shared" si="21"/>
        <v>D</v>
      </c>
    </row>
    <row r="43" spans="1:18">
      <c r="A43" s="12" t="s">
        <v>70</v>
      </c>
      <c r="B43" s="13" t="s">
        <v>26</v>
      </c>
      <c r="C43" s="14">
        <v>54</v>
      </c>
      <c r="D43" s="1">
        <v>124</v>
      </c>
      <c r="E43" s="16">
        <f t="shared" si="11"/>
        <v>0.43548387096774194</v>
      </c>
      <c r="F43" s="16">
        <f t="shared" si="12"/>
        <v>0.12903225806451607</v>
      </c>
      <c r="G43" s="1" t="str">
        <f t="shared" si="13"/>
        <v>R</v>
      </c>
      <c r="H43" s="14">
        <v>24</v>
      </c>
      <c r="I43" s="90">
        <v>46</v>
      </c>
      <c r="J43" s="16">
        <f t="shared" si="14"/>
        <v>0.52173913043478259</v>
      </c>
      <c r="K43" s="16">
        <f t="shared" si="15"/>
        <v>4.3478260869565188E-2</v>
      </c>
      <c r="L43" s="1" t="str">
        <f t="shared" si="16"/>
        <v>D</v>
      </c>
      <c r="M43" s="1">
        <f t="shared" si="17"/>
        <v>78</v>
      </c>
      <c r="N43" s="16">
        <f t="shared" si="18"/>
        <v>0.45882352941176469</v>
      </c>
      <c r="O43" s="16">
        <f t="shared" si="19"/>
        <v>8.2352941176470684E-2</v>
      </c>
      <c r="P43" s="1" t="str">
        <f t="shared" si="20"/>
        <v>S</v>
      </c>
      <c r="Q43" s="91" t="s">
        <v>18</v>
      </c>
      <c r="R43" s="2" t="str">
        <f t="shared" si="21"/>
        <v>D</v>
      </c>
    </row>
    <row r="44" spans="1:18">
      <c r="A44" s="12" t="s">
        <v>71</v>
      </c>
      <c r="B44" s="13" t="s">
        <v>41</v>
      </c>
      <c r="C44" s="14">
        <v>20</v>
      </c>
      <c r="D44" s="1">
        <v>70</v>
      </c>
      <c r="E44" s="16">
        <f t="shared" si="11"/>
        <v>0.2857142857142857</v>
      </c>
      <c r="F44" s="16">
        <f t="shared" si="12"/>
        <v>0.4285714285714286</v>
      </c>
      <c r="G44" s="1" t="str">
        <f t="shared" si="13"/>
        <v>R</v>
      </c>
      <c r="H44" s="14">
        <v>11</v>
      </c>
      <c r="I44" s="90">
        <v>35</v>
      </c>
      <c r="J44" s="16">
        <f t="shared" si="14"/>
        <v>0.31428571428571428</v>
      </c>
      <c r="K44" s="16">
        <f t="shared" si="15"/>
        <v>0.37142857142857144</v>
      </c>
      <c r="L44" s="1" t="str">
        <f t="shared" si="16"/>
        <v>R</v>
      </c>
      <c r="M44" s="1">
        <f t="shared" si="17"/>
        <v>31</v>
      </c>
      <c r="N44" s="16">
        <f t="shared" si="18"/>
        <v>0.29523809523809524</v>
      </c>
      <c r="O44" s="16">
        <f t="shared" si="19"/>
        <v>0.40952380952380946</v>
      </c>
      <c r="P44" s="1" t="str">
        <f t="shared" si="20"/>
        <v>R</v>
      </c>
      <c r="Q44" s="91" t="s">
        <v>19</v>
      </c>
      <c r="R44" s="2" t="str">
        <f t="shared" si="21"/>
        <v>U</v>
      </c>
    </row>
    <row r="45" spans="1:18">
      <c r="A45" s="12" t="s">
        <v>72</v>
      </c>
      <c r="B45" s="13" t="s">
        <v>26</v>
      </c>
      <c r="C45" s="14">
        <v>57</v>
      </c>
      <c r="D45" s="1">
        <v>99</v>
      </c>
      <c r="E45" s="16">
        <f t="shared" si="11"/>
        <v>0.5757575757575758</v>
      </c>
      <c r="F45" s="16">
        <f t="shared" si="12"/>
        <v>0.1515151515151516</v>
      </c>
      <c r="G45" s="1" t="str">
        <f t="shared" si="13"/>
        <v>D</v>
      </c>
      <c r="H45" s="14">
        <v>18</v>
      </c>
      <c r="I45" s="90">
        <v>33</v>
      </c>
      <c r="J45" s="16">
        <f t="shared" si="14"/>
        <v>0.54545454545454541</v>
      </c>
      <c r="K45" s="16">
        <f t="shared" si="15"/>
        <v>9.0909090909090828E-2</v>
      </c>
      <c r="L45" s="1" t="str">
        <f t="shared" si="16"/>
        <v>D</v>
      </c>
      <c r="M45" s="1">
        <f t="shared" si="17"/>
        <v>75</v>
      </c>
      <c r="N45" s="16">
        <f t="shared" si="18"/>
        <v>0.56818181818181823</v>
      </c>
      <c r="O45" s="16">
        <f t="shared" si="19"/>
        <v>0.13636363636363646</v>
      </c>
      <c r="P45" s="1" t="str">
        <f t="shared" si="20"/>
        <v>D</v>
      </c>
      <c r="Q45" s="91" t="s">
        <v>19</v>
      </c>
      <c r="R45" s="2" t="str">
        <f t="shared" si="21"/>
        <v>D</v>
      </c>
    </row>
    <row r="46" spans="1:18">
      <c r="A46" s="12" t="s">
        <v>73</v>
      </c>
      <c r="B46" s="13" t="s">
        <v>26</v>
      </c>
      <c r="C46" s="14">
        <v>78</v>
      </c>
      <c r="D46" s="1">
        <v>150</v>
      </c>
      <c r="E46" s="16">
        <f t="shared" si="11"/>
        <v>0.52</v>
      </c>
      <c r="F46" s="16">
        <f t="shared" si="12"/>
        <v>4.0000000000000036E-2</v>
      </c>
      <c r="G46" s="1" t="str">
        <f t="shared" si="13"/>
        <v>D</v>
      </c>
      <c r="H46" s="14">
        <v>15</v>
      </c>
      <c r="I46" s="90">
        <v>31</v>
      </c>
      <c r="J46" s="16">
        <f t="shared" si="14"/>
        <v>0.4838709677419355</v>
      </c>
      <c r="K46" s="16">
        <f t="shared" si="15"/>
        <v>3.2258064516129004E-2</v>
      </c>
      <c r="L46" s="1" t="str">
        <f t="shared" si="16"/>
        <v>R</v>
      </c>
      <c r="M46" s="1">
        <f t="shared" si="17"/>
        <v>93</v>
      </c>
      <c r="N46" s="16">
        <f t="shared" si="18"/>
        <v>0.51381215469613262</v>
      </c>
      <c r="O46" s="16">
        <f t="shared" si="19"/>
        <v>2.7624309392265234E-2</v>
      </c>
      <c r="P46" s="1" t="str">
        <f t="shared" si="20"/>
        <v>S</v>
      </c>
      <c r="Q46" s="91" t="s">
        <v>19</v>
      </c>
      <c r="R46" s="2" t="str">
        <f t="shared" si="21"/>
        <v>D</v>
      </c>
    </row>
    <row r="47" spans="1:18">
      <c r="A47" s="12" t="s">
        <v>74</v>
      </c>
      <c r="B47" s="13" t="s">
        <v>28</v>
      </c>
      <c r="C47" s="14">
        <v>24</v>
      </c>
      <c r="D47" s="1">
        <v>75</v>
      </c>
      <c r="E47" s="16">
        <f t="shared" si="11"/>
        <v>0.32</v>
      </c>
      <c r="F47" s="16">
        <f t="shared" si="12"/>
        <v>0.35999999999999993</v>
      </c>
      <c r="G47" s="1" t="str">
        <f t="shared" si="13"/>
        <v>R</v>
      </c>
      <c r="H47" s="14">
        <v>9</v>
      </c>
      <c r="I47" s="90">
        <v>29</v>
      </c>
      <c r="J47" s="16">
        <f t="shared" si="14"/>
        <v>0.31034482758620691</v>
      </c>
      <c r="K47" s="16">
        <f t="shared" si="15"/>
        <v>0.37931034482758624</v>
      </c>
      <c r="L47" s="1" t="str">
        <f t="shared" si="16"/>
        <v>R</v>
      </c>
      <c r="M47" s="1">
        <f t="shared" si="17"/>
        <v>33</v>
      </c>
      <c r="N47" s="16">
        <f t="shared" si="18"/>
        <v>0.31730769230769229</v>
      </c>
      <c r="O47" s="16">
        <f t="shared" si="19"/>
        <v>0.36538461538461542</v>
      </c>
      <c r="P47" s="1" t="str">
        <f t="shared" si="20"/>
        <v>R</v>
      </c>
      <c r="Q47" s="91" t="s">
        <v>19</v>
      </c>
      <c r="R47" s="2" t="str">
        <f t="shared" si="21"/>
        <v>U</v>
      </c>
    </row>
    <row r="48" spans="1:18">
      <c r="A48" s="12" t="s">
        <v>75</v>
      </c>
      <c r="B48" s="13" t="s">
        <v>34</v>
      </c>
      <c r="C48" s="14">
        <v>62</v>
      </c>
      <c r="D48" s="1">
        <v>150</v>
      </c>
      <c r="E48" s="16">
        <f t="shared" si="11"/>
        <v>0.41333333333333333</v>
      </c>
      <c r="F48" s="16">
        <f t="shared" si="12"/>
        <v>0.17333333333333334</v>
      </c>
      <c r="G48" s="1" t="str">
        <f t="shared" si="13"/>
        <v>R</v>
      </c>
      <c r="H48" s="14">
        <v>16</v>
      </c>
      <c r="I48" s="90">
        <v>30</v>
      </c>
      <c r="J48" s="16">
        <f t="shared" si="14"/>
        <v>0.53333333333333333</v>
      </c>
      <c r="K48" s="16">
        <f t="shared" si="15"/>
        <v>6.6666666666666652E-2</v>
      </c>
      <c r="L48" s="1" t="str">
        <f t="shared" si="16"/>
        <v>D</v>
      </c>
      <c r="M48" s="1">
        <f t="shared" si="17"/>
        <v>78</v>
      </c>
      <c r="N48" s="16">
        <f t="shared" si="18"/>
        <v>0.43333333333333335</v>
      </c>
      <c r="O48" s="16">
        <f t="shared" si="19"/>
        <v>0.1333333333333333</v>
      </c>
      <c r="P48" s="1" t="str">
        <f t="shared" si="20"/>
        <v>S</v>
      </c>
      <c r="Q48" s="91" t="s">
        <v>18</v>
      </c>
      <c r="R48" s="2" t="str">
        <f t="shared" si="21"/>
        <v>D</v>
      </c>
    </row>
    <row r="49" spans="1:18">
      <c r="A49" s="12" t="s">
        <v>76</v>
      </c>
      <c r="B49" s="13" t="s">
        <v>26</v>
      </c>
      <c r="C49" s="14">
        <v>47</v>
      </c>
      <c r="D49" s="1">
        <v>100</v>
      </c>
      <c r="E49" s="16">
        <f t="shared" si="11"/>
        <v>0.47</v>
      </c>
      <c r="F49" s="16">
        <f t="shared" si="12"/>
        <v>6.0000000000000053E-2</v>
      </c>
      <c r="G49" s="1" t="str">
        <f t="shared" si="13"/>
        <v>R</v>
      </c>
      <c r="H49" s="14">
        <v>18</v>
      </c>
      <c r="I49" s="90">
        <v>40</v>
      </c>
      <c r="J49" s="16">
        <f t="shared" si="14"/>
        <v>0.45</v>
      </c>
      <c r="K49" s="16">
        <f t="shared" si="15"/>
        <v>0.10000000000000003</v>
      </c>
      <c r="L49" s="1" t="str">
        <f t="shared" si="16"/>
        <v>R</v>
      </c>
      <c r="M49" s="1">
        <f t="shared" si="17"/>
        <v>65</v>
      </c>
      <c r="N49" s="16">
        <f t="shared" si="18"/>
        <v>0.4642857142857143</v>
      </c>
      <c r="O49" s="16">
        <f t="shared" si="19"/>
        <v>7.1428571428571397E-2</v>
      </c>
      <c r="P49" s="1" t="str">
        <f t="shared" si="20"/>
        <v>R</v>
      </c>
      <c r="Q49" s="91" t="s">
        <v>19</v>
      </c>
      <c r="R49" s="2" t="str">
        <f t="shared" si="21"/>
        <v>U</v>
      </c>
    </row>
    <row r="50" spans="1:18">
      <c r="A50" s="12" t="s">
        <v>77</v>
      </c>
      <c r="B50" s="13" t="s">
        <v>28</v>
      </c>
      <c r="C50" s="14">
        <v>49</v>
      </c>
      <c r="D50" s="1">
        <v>98</v>
      </c>
      <c r="E50" s="16">
        <f t="shared" si="11"/>
        <v>0.5</v>
      </c>
      <c r="F50" s="16">
        <f t="shared" si="12"/>
        <v>0</v>
      </c>
      <c r="G50" s="1" t="str">
        <f t="shared" si="13"/>
        <v>T</v>
      </c>
      <c r="H50" s="14">
        <v>25</v>
      </c>
      <c r="I50" s="90">
        <v>49</v>
      </c>
      <c r="J50" s="16">
        <f t="shared" si="14"/>
        <v>0.51020408163265307</v>
      </c>
      <c r="K50" s="16">
        <f t="shared" si="15"/>
        <v>2.0408163265306145E-2</v>
      </c>
      <c r="L50" s="1" t="str">
        <f t="shared" si="16"/>
        <v>D</v>
      </c>
      <c r="M50" s="1">
        <f t="shared" si="17"/>
        <v>74</v>
      </c>
      <c r="N50" s="16">
        <f t="shared" si="18"/>
        <v>0.50340136054421769</v>
      </c>
      <c r="O50" s="16">
        <f t="shared" si="19"/>
        <v>6.8027210884353817E-3</v>
      </c>
      <c r="P50" s="1" t="str">
        <f t="shared" si="20"/>
        <v>S</v>
      </c>
      <c r="Q50" s="91" t="s">
        <v>18</v>
      </c>
      <c r="R50" s="2" t="str">
        <f t="shared" si="21"/>
        <v>D</v>
      </c>
    </row>
    <row r="51" spans="1:18">
      <c r="A51" s="12" t="s">
        <v>78</v>
      </c>
      <c r="B51" s="13" t="s">
        <v>26</v>
      </c>
      <c r="C51" s="14">
        <v>75</v>
      </c>
      <c r="D51" s="1">
        <v>100</v>
      </c>
      <c r="E51" s="16">
        <f t="shared" si="11"/>
        <v>0.75</v>
      </c>
      <c r="F51" s="16">
        <f t="shared" si="12"/>
        <v>0.5</v>
      </c>
      <c r="G51" s="1" t="str">
        <f t="shared" si="13"/>
        <v>D</v>
      </c>
      <c r="H51" s="14">
        <v>28</v>
      </c>
      <c r="I51" s="90">
        <v>34</v>
      </c>
      <c r="J51" s="16">
        <f t="shared" si="14"/>
        <v>0.82352941176470584</v>
      </c>
      <c r="K51" s="16">
        <f t="shared" si="15"/>
        <v>0.64705882352941169</v>
      </c>
      <c r="L51" s="1" t="str">
        <f t="shared" si="16"/>
        <v>D</v>
      </c>
      <c r="M51" s="1">
        <f t="shared" si="17"/>
        <v>103</v>
      </c>
      <c r="N51" s="16">
        <f t="shared" si="18"/>
        <v>0.76865671641791045</v>
      </c>
      <c r="O51" s="16">
        <f t="shared" si="19"/>
        <v>0.53731343283582089</v>
      </c>
      <c r="P51" s="1" t="str">
        <f t="shared" si="20"/>
        <v>D</v>
      </c>
      <c r="Q51" s="91" t="s">
        <v>18</v>
      </c>
      <c r="R51" s="2" t="str">
        <f t="shared" si="21"/>
        <v>U</v>
      </c>
    </row>
    <row r="52" spans="1:18">
      <c r="A52" s="12" t="s">
        <v>79</v>
      </c>
      <c r="B52" s="13" t="s">
        <v>41</v>
      </c>
      <c r="C52" s="14">
        <v>43</v>
      </c>
      <c r="D52" s="1">
        <v>99</v>
      </c>
      <c r="E52" s="16">
        <f t="shared" si="11"/>
        <v>0.43434343434343436</v>
      </c>
      <c r="F52" s="16">
        <f t="shared" si="12"/>
        <v>0.13131313131313127</v>
      </c>
      <c r="G52" s="1" t="str">
        <f t="shared" si="13"/>
        <v>R</v>
      </c>
      <c r="H52" s="14">
        <v>18</v>
      </c>
      <c r="I52" s="90">
        <v>33</v>
      </c>
      <c r="J52" s="16">
        <f t="shared" si="14"/>
        <v>0.54545454545454541</v>
      </c>
      <c r="K52" s="16">
        <f t="shared" si="15"/>
        <v>9.0909090909090828E-2</v>
      </c>
      <c r="L52" s="1" t="str">
        <f t="shared" si="16"/>
        <v>D</v>
      </c>
      <c r="M52" s="1">
        <f t="shared" si="17"/>
        <v>61</v>
      </c>
      <c r="N52" s="16">
        <f t="shared" si="18"/>
        <v>0.4621212121212121</v>
      </c>
      <c r="O52" s="16">
        <f t="shared" si="19"/>
        <v>7.5757575757575746E-2</v>
      </c>
      <c r="P52" s="1" t="str">
        <f t="shared" si="20"/>
        <v>S</v>
      </c>
      <c r="Q52" s="91" t="s">
        <v>19</v>
      </c>
      <c r="R52" s="2" t="str">
        <f t="shared" si="21"/>
        <v>D</v>
      </c>
    </row>
    <row r="53" spans="1:18">
      <c r="A53" s="12" t="s">
        <v>80</v>
      </c>
      <c r="B53" s="13" t="s">
        <v>28</v>
      </c>
      <c r="C53" s="14">
        <v>14</v>
      </c>
      <c r="D53" s="1">
        <v>60</v>
      </c>
      <c r="E53" s="16">
        <f t="shared" si="11"/>
        <v>0.23333333333333334</v>
      </c>
      <c r="F53" s="16">
        <f t="shared" si="12"/>
        <v>0.53333333333333321</v>
      </c>
      <c r="G53" s="1" t="str">
        <f t="shared" si="13"/>
        <v>R</v>
      </c>
      <c r="H53" s="14">
        <v>10</v>
      </c>
      <c r="I53" s="90">
        <v>30</v>
      </c>
      <c r="J53" s="16">
        <f t="shared" si="14"/>
        <v>0.33333333333333331</v>
      </c>
      <c r="K53" s="16">
        <f t="shared" si="15"/>
        <v>0.33333333333333343</v>
      </c>
      <c r="L53" s="1" t="str">
        <f t="shared" si="16"/>
        <v>R</v>
      </c>
      <c r="M53" s="1">
        <f t="shared" si="17"/>
        <v>24</v>
      </c>
      <c r="N53" s="25">
        <f t="shared" si="18"/>
        <v>0.26666666666666666</v>
      </c>
      <c r="O53" s="26">
        <f t="shared" si="19"/>
        <v>0.46666666666666673</v>
      </c>
      <c r="P53" s="1" t="str">
        <f t="shared" si="20"/>
        <v>R</v>
      </c>
      <c r="Q53" s="91" t="s">
        <v>19</v>
      </c>
      <c r="R53" s="2" t="str">
        <f t="shared" si="21"/>
        <v>U</v>
      </c>
    </row>
    <row r="54" spans="1:18">
      <c r="A54" s="27" t="s">
        <v>81</v>
      </c>
      <c r="B54" s="28"/>
      <c r="C54" s="29">
        <f>SUM(C3:C53)</f>
        <v>2822</v>
      </c>
      <c r="D54" s="29">
        <f>SUM(D3:D53)</f>
        <v>5440</v>
      </c>
      <c r="E54" s="30">
        <f t="shared" si="11"/>
        <v>0.51875000000000004</v>
      </c>
      <c r="F54" s="30"/>
      <c r="G54" s="31"/>
      <c r="H54" s="29">
        <f>SUM(H3:H53)</f>
        <v>998</v>
      </c>
      <c r="I54" s="29">
        <f>SUM(I3:I53)</f>
        <v>1984</v>
      </c>
      <c r="J54" s="30">
        <f t="shared" si="14"/>
        <v>0.50302419354838712</v>
      </c>
      <c r="K54" s="30"/>
      <c r="L54" s="31"/>
      <c r="M54" s="33">
        <f>SUM(M4:M53)</f>
        <v>3820</v>
      </c>
      <c r="N54" s="16">
        <f t="shared" si="18"/>
        <v>0.51454741379310343</v>
      </c>
      <c r="O54" s="34">
        <f>AVERAGE(O4:O53)</f>
        <v>0.2394827072589997</v>
      </c>
      <c r="P54" s="31"/>
    </row>
    <row r="55" spans="1:18" ht="12" customHeight="1">
      <c r="A55" s="35"/>
      <c r="B55" s="35"/>
      <c r="C55" s="36"/>
      <c r="D55" s="36"/>
      <c r="E55" s="16"/>
      <c r="F55" s="16"/>
      <c r="H55" s="36"/>
      <c r="I55" s="36"/>
      <c r="J55" s="16"/>
      <c r="M55" s="37"/>
      <c r="N55" s="16"/>
      <c r="O55" s="16"/>
    </row>
    <row r="56" spans="1:18">
      <c r="E56" s="16"/>
      <c r="J56" s="16"/>
      <c r="N56" s="16"/>
      <c r="O56" s="16"/>
    </row>
    <row r="57" spans="1:18">
      <c r="E57" s="16"/>
      <c r="J57" s="16"/>
      <c r="N57" s="16"/>
      <c r="O57" s="16"/>
    </row>
    <row r="58" spans="1:18">
      <c r="A58" s="38"/>
    </row>
    <row r="59" spans="1:18">
      <c r="A59" s="38" t="s">
        <v>93</v>
      </c>
      <c r="C59" s="1">
        <f>DCOUNTA(_xlnm.Database,"hCntrl",CritHCntrlD)</f>
        <v>24</v>
      </c>
      <c r="D59" s="1">
        <f>DCOUNTA(_xlnm.Database,"sCntrl",CritSCntrlD)</f>
        <v>23</v>
      </c>
      <c r="E59" s="1">
        <f>DCOUNTA(_xlnm.Database,"TCntrl",CritTCntrlD)</f>
        <v>16</v>
      </c>
    </row>
    <row r="60" spans="1:18">
      <c r="A60" s="38" t="s">
        <v>94</v>
      </c>
      <c r="C60" s="1">
        <f>DCOUNTA(_xlnm.Database,"HCntrl",critHCntrlR)</f>
        <v>24</v>
      </c>
      <c r="D60" s="1">
        <f>DCOUNTA(_xlnm.Database,"sCntrl",CritSCntrlR)</f>
        <v>24</v>
      </c>
      <c r="E60" s="1">
        <f>DCOUNTA(_xlnm.Database,"TCntrl",CritTCntrlR)</f>
        <v>17</v>
      </c>
    </row>
    <row r="61" spans="1:18">
      <c r="A61" s="38" t="s">
        <v>95</v>
      </c>
      <c r="E61" s="1">
        <f>DCOUNTA(_xlnm.Database,"TCntrl",CritTCntrlS)</f>
        <v>16</v>
      </c>
    </row>
    <row r="62" spans="1:18">
      <c r="A62" s="38"/>
    </row>
    <row r="63" spans="1:18">
      <c r="A63" s="38" t="s">
        <v>96</v>
      </c>
      <c r="E63" s="1">
        <f>DCOUNTA(_xlnm.Database,"Gov",CritGovD)</f>
        <v>19</v>
      </c>
    </row>
    <row r="64" spans="1:18">
      <c r="A64" s="38"/>
    </row>
    <row r="65" spans="1:15">
      <c r="A65" s="38"/>
    </row>
    <row r="66" spans="1:15">
      <c r="A66" s="38" t="s">
        <v>97</v>
      </c>
    </row>
    <row r="67" spans="1:15">
      <c r="A67" s="1" t="s">
        <v>83</v>
      </c>
      <c r="C67" s="16">
        <f>DAVERAGE(_xlnm.Database,"HMargin",critRGS)</f>
        <v>0.24555171965203579</v>
      </c>
      <c r="D67" s="16">
        <f>DAVERAGE(_xlnm.Database,"SMargin",critRGS)</f>
        <v>0.26458397573926662</v>
      </c>
      <c r="E67" s="16">
        <f>DAVERAGE(_xlnm.Database,"Margin",critRGS)</f>
        <v>0.24750065625045714</v>
      </c>
      <c r="F67" s="16"/>
    </row>
    <row r="68" spans="1:15">
      <c r="A68" s="1" t="s">
        <v>84</v>
      </c>
      <c r="C68" s="16">
        <f>DAVERAGE(_xlnm.Database,"HMargin",CritRGN)</f>
        <v>0.25029233681556234</v>
      </c>
      <c r="D68" s="16">
        <f>DAVERAGE(_xlnm.Database,"SMargin",CritRGN)</f>
        <v>0.2572610417693913</v>
      </c>
      <c r="E68" s="16">
        <f>DAVERAGE(_xlnm.Database,"Margin",CritRGN)</f>
        <v>0.23594537682159203</v>
      </c>
      <c r="F68" s="16"/>
    </row>
    <row r="69" spans="1:15">
      <c r="A69" s="41"/>
      <c r="E69" s="16"/>
      <c r="F69" s="16"/>
    </row>
    <row r="70" spans="1:15">
      <c r="A70" s="41"/>
      <c r="O70" s="16"/>
    </row>
    <row r="994" spans="26:39">
      <c r="Z994" s="1" t="s">
        <v>3</v>
      </c>
      <c r="AA994" s="1" t="s">
        <v>3</v>
      </c>
      <c r="AB994" s="10" t="s">
        <v>10</v>
      </c>
      <c r="AC994" s="1" t="s">
        <v>17</v>
      </c>
      <c r="AD994" s="11" t="s">
        <v>24</v>
      </c>
      <c r="AE994" s="8" t="s">
        <v>9</v>
      </c>
      <c r="AG994" s="1" t="s">
        <v>9</v>
      </c>
      <c r="AJ994" s="9" t="s">
        <v>7</v>
      </c>
      <c r="AK994" s="9" t="s">
        <v>7</v>
      </c>
      <c r="AL994" s="9" t="s">
        <v>14</v>
      </c>
      <c r="AM994" s="9" t="s">
        <v>14</v>
      </c>
    </row>
    <row r="995" spans="26:39">
      <c r="Z995" s="1" t="s">
        <v>102</v>
      </c>
      <c r="AA995" s="1" t="s">
        <v>26</v>
      </c>
      <c r="AB995" s="1" t="s">
        <v>103</v>
      </c>
      <c r="AC995" s="1" t="s">
        <v>103</v>
      </c>
      <c r="AD995" s="1" t="s">
        <v>18</v>
      </c>
      <c r="AE995" s="1" t="s">
        <v>18</v>
      </c>
      <c r="AG995" s="1" t="s">
        <v>19</v>
      </c>
      <c r="AJ995" s="1" t="s">
        <v>104</v>
      </c>
      <c r="AK995" s="1" t="s">
        <v>105</v>
      </c>
      <c r="AL995" s="1" t="s">
        <v>104</v>
      </c>
      <c r="AM995" s="1" t="s">
        <v>105</v>
      </c>
    </row>
    <row r="997" spans="26:39">
      <c r="AB997" s="1" t="s">
        <v>23</v>
      </c>
      <c r="AE997" s="8" t="s">
        <v>16</v>
      </c>
      <c r="AG997" s="8" t="s">
        <v>16</v>
      </c>
      <c r="AI997" s="8"/>
    </row>
    <row r="998" spans="26:39">
      <c r="AB998" s="1" t="s">
        <v>18</v>
      </c>
      <c r="AE998" s="1" t="s">
        <v>18</v>
      </c>
      <c r="AG998" s="1" t="s">
        <v>19</v>
      </c>
    </row>
    <row r="1000" spans="26:39">
      <c r="AE1000" s="8" t="s">
        <v>22</v>
      </c>
      <c r="AG1000" s="8" t="s">
        <v>22</v>
      </c>
      <c r="AI1000" s="8" t="s">
        <v>22</v>
      </c>
    </row>
    <row r="1001" spans="26:39">
      <c r="AE1001" s="1" t="s">
        <v>18</v>
      </c>
      <c r="AG1001" s="1" t="s">
        <v>19</v>
      </c>
      <c r="AI1001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B78-A12B-4566-B984-9CD4BFC01C5B}">
  <dimension ref="A1:Z93"/>
  <sheetViews>
    <sheetView topLeftCell="A28" workbookViewId="0">
      <selection activeCell="H24" sqref="H24"/>
    </sheetView>
  </sheetViews>
  <sheetFormatPr baseColWidth="10" defaultColWidth="9.1640625" defaultRowHeight="15"/>
  <cols>
    <col min="1" max="6" width="9.1640625" style="1"/>
    <col min="7" max="7" width="9.1640625" style="26"/>
    <col min="8" max="12" width="9.1640625" style="1"/>
    <col min="13" max="13" width="9.1640625" style="82"/>
    <col min="14" max="18" width="9.1640625" style="1"/>
    <col min="19" max="20" width="9.1640625" style="83"/>
    <col min="21" max="23" width="9.1640625" style="1"/>
    <col min="24" max="26" width="9.1640625" style="82"/>
    <col min="27" max="16384" width="9.1640625" style="1"/>
  </cols>
  <sheetData>
    <row r="1" spans="1:26">
      <c r="C1" s="81">
        <v>2018</v>
      </c>
      <c r="J1" s="81"/>
      <c r="Q1" s="81"/>
    </row>
    <row r="2" spans="1:26">
      <c r="C2" s="81" t="s">
        <v>0</v>
      </c>
      <c r="J2" s="81" t="s">
        <v>1</v>
      </c>
      <c r="Q2" s="81" t="s">
        <v>2</v>
      </c>
    </row>
    <row r="3" spans="1:26">
      <c r="B3" s="1" t="s">
        <v>3</v>
      </c>
      <c r="C3" s="81" t="s">
        <v>4</v>
      </c>
      <c r="D3" s="1" t="s">
        <v>5</v>
      </c>
      <c r="E3" s="1" t="s">
        <v>6</v>
      </c>
      <c r="F3" s="1" t="s">
        <v>7</v>
      </c>
      <c r="G3" s="26" t="s">
        <v>8</v>
      </c>
      <c r="H3" s="1" t="s">
        <v>9</v>
      </c>
      <c r="I3" s="1" t="s">
        <v>10</v>
      </c>
      <c r="J3" s="8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81" t="s">
        <v>120</v>
      </c>
      <c r="R3" s="1" t="s">
        <v>121</v>
      </c>
      <c r="S3" s="83" t="s">
        <v>122</v>
      </c>
      <c r="T3" s="83" t="s">
        <v>123</v>
      </c>
      <c r="U3" s="1" t="s">
        <v>22</v>
      </c>
      <c r="V3" s="1" t="s">
        <v>23</v>
      </c>
      <c r="W3" s="1" t="s">
        <v>24</v>
      </c>
      <c r="X3" s="1" t="s">
        <v>106</v>
      </c>
      <c r="Y3" s="1" t="s">
        <v>107</v>
      </c>
      <c r="Z3" s="1" t="s">
        <v>108</v>
      </c>
    </row>
    <row r="4" spans="1:26">
      <c r="A4" s="1" t="s">
        <v>25</v>
      </c>
      <c r="B4" s="1" t="s">
        <v>26</v>
      </c>
      <c r="C4" s="81">
        <v>28</v>
      </c>
      <c r="D4" s="1">
        <v>77</v>
      </c>
      <c r="E4" s="1">
        <v>105</v>
      </c>
      <c r="F4" s="83">
        <f>C4/E4</f>
        <v>0.26666666666666666</v>
      </c>
      <c r="G4" s="26">
        <f>ABS(F4-(1-F4))</f>
        <v>0.46666666666666673</v>
      </c>
      <c r="H4" s="1" t="str">
        <f>IF(F4&gt;0.5,"D",IF(F4=0.5,"T","R"))</f>
        <v>R</v>
      </c>
      <c r="I4" s="1" t="str">
        <f>IF(Elect2016!H4=H4,"N","Y")</f>
        <v>N</v>
      </c>
      <c r="J4" s="81">
        <v>8</v>
      </c>
      <c r="K4" s="1">
        <v>27</v>
      </c>
      <c r="L4" s="1">
        <v>35</v>
      </c>
      <c r="M4" s="83">
        <f>J4/L4</f>
        <v>0.22857142857142856</v>
      </c>
      <c r="N4" s="83">
        <f>ABS(M4-(1-M4))</f>
        <v>0.54285714285714293</v>
      </c>
      <c r="O4" s="1" t="str">
        <f>IF(M4&gt;0.5,"D",IF(M4=0.5,"T","R"))</f>
        <v>R</v>
      </c>
      <c r="P4" s="1" t="str">
        <f>IF(Elect2016!O4=O4,"N","Y")</f>
        <v>N</v>
      </c>
      <c r="Q4" s="81">
        <f>C4+J4</f>
        <v>36</v>
      </c>
      <c r="R4" s="1">
        <f>D4+K4</f>
        <v>104</v>
      </c>
      <c r="S4" s="83">
        <f>Q4/(E4+L4)</f>
        <v>0.25714285714285712</v>
      </c>
      <c r="T4" s="83">
        <f>ABS(S4-(1-S4))</f>
        <v>0.48571428571428577</v>
      </c>
      <c r="U4" s="1" t="str">
        <f>IF(H4=O4,O4,"S")</f>
        <v>R</v>
      </c>
      <c r="V4" s="1" t="s">
        <v>19</v>
      </c>
      <c r="W4" s="1" t="str">
        <f>IF(V4=U4,"U","D")</f>
        <v>U</v>
      </c>
      <c r="X4" s="1">
        <f>C4-Elect2016!C4</f>
        <v>-4</v>
      </c>
      <c r="Y4" s="1">
        <f>J4-Elect2016!J4</f>
        <v>0</v>
      </c>
      <c r="Z4" s="1">
        <f>X4+Y4</f>
        <v>-4</v>
      </c>
    </row>
    <row r="5" spans="1:26">
      <c r="A5" s="1" t="s">
        <v>27</v>
      </c>
      <c r="B5" s="1" t="s">
        <v>28</v>
      </c>
      <c r="C5" s="81">
        <v>19</v>
      </c>
      <c r="D5" s="1">
        <v>21</v>
      </c>
      <c r="E5" s="1">
        <v>40</v>
      </c>
      <c r="F5" s="83">
        <f t="shared" ref="F5:F53" si="0">C5/E5</f>
        <v>0.47499999999999998</v>
      </c>
      <c r="G5" s="26">
        <f t="shared" ref="G5:G53" si="1">ABS(F5-(1-F5))</f>
        <v>5.0000000000000044E-2</v>
      </c>
      <c r="H5" s="1" t="str">
        <f t="shared" ref="H5:H53" si="2">IF(F5&gt;0.5,"D",IF(F5=0.5,"T","R"))</f>
        <v>R</v>
      </c>
      <c r="I5" s="1" t="str">
        <f>IF(Elect2016!H5=H5,"N","Y")</f>
        <v>N</v>
      </c>
      <c r="J5" s="81">
        <v>7</v>
      </c>
      <c r="K5" s="1">
        <v>13</v>
      </c>
      <c r="L5" s="1">
        <v>20</v>
      </c>
      <c r="M5" s="83">
        <f t="shared" ref="M5:M53" si="3">J5/L5</f>
        <v>0.35</v>
      </c>
      <c r="N5" s="83">
        <f t="shared" ref="N5:N53" si="4">ABS(M5-(1-M5))</f>
        <v>0.30000000000000004</v>
      </c>
      <c r="O5" s="1" t="str">
        <f t="shared" ref="O5:O53" si="5">IF(M5&gt;0.5,"D",IF(M5=0.5,"T","R"))</f>
        <v>R</v>
      </c>
      <c r="P5" s="1" t="str">
        <f>IF(Elect2016!O5=O5,"N","Y")</f>
        <v>N</v>
      </c>
      <c r="Q5" s="81">
        <f t="shared" ref="Q5:R53" si="6">C5+J5</f>
        <v>26</v>
      </c>
      <c r="R5" s="1">
        <f t="shared" si="6"/>
        <v>34</v>
      </c>
      <c r="S5" s="83">
        <f t="shared" ref="S5:S53" si="7">Q5/(E5+L5)</f>
        <v>0.43333333333333335</v>
      </c>
      <c r="T5" s="83">
        <f t="shared" ref="T5:T53" si="8">ABS(S5-(1-S5))</f>
        <v>0.1333333333333333</v>
      </c>
      <c r="U5" s="1" t="str">
        <f t="shared" ref="U5:U53" si="9">IF(H5=O5,O5,"S")</f>
        <v>R</v>
      </c>
      <c r="V5" s="1" t="s">
        <v>19</v>
      </c>
      <c r="W5" s="1" t="str">
        <f t="shared" ref="W5:W53" si="10">IF(V5=U5,"U","D")</f>
        <v>U</v>
      </c>
      <c r="X5" s="1">
        <f>C5-Elect2016!C5</f>
        <v>2</v>
      </c>
      <c r="Y5" s="1">
        <f>J5-Elect2016!J5</f>
        <v>1</v>
      </c>
      <c r="Z5" s="1">
        <f t="shared" ref="Z5:Z53" si="11">X5+Y5</f>
        <v>3</v>
      </c>
    </row>
    <row r="6" spans="1:26">
      <c r="A6" s="1" t="s">
        <v>29</v>
      </c>
      <c r="B6" s="1" t="s">
        <v>28</v>
      </c>
      <c r="C6" s="81">
        <v>29</v>
      </c>
      <c r="D6" s="1">
        <v>31</v>
      </c>
      <c r="E6" s="1">
        <v>60</v>
      </c>
      <c r="F6" s="83">
        <f t="shared" si="0"/>
        <v>0.48333333333333334</v>
      </c>
      <c r="G6" s="26">
        <f t="shared" si="1"/>
        <v>3.333333333333327E-2</v>
      </c>
      <c r="H6" s="1" t="str">
        <f t="shared" si="2"/>
        <v>R</v>
      </c>
      <c r="I6" s="1" t="str">
        <f>IF(Elect2016!H6=H6,"N","Y")</f>
        <v>N</v>
      </c>
      <c r="J6" s="81">
        <v>13</v>
      </c>
      <c r="K6" s="1">
        <v>17</v>
      </c>
      <c r="L6" s="1">
        <v>30</v>
      </c>
      <c r="M6" s="83">
        <f t="shared" si="3"/>
        <v>0.43333333333333335</v>
      </c>
      <c r="N6" s="83">
        <f t="shared" si="4"/>
        <v>0.1333333333333333</v>
      </c>
      <c r="O6" s="1" t="str">
        <f t="shared" si="5"/>
        <v>R</v>
      </c>
      <c r="P6" s="1" t="str">
        <f>IF(Elect2016!O6=O6,"N","Y")</f>
        <v>N</v>
      </c>
      <c r="Q6" s="81">
        <f t="shared" si="6"/>
        <v>42</v>
      </c>
      <c r="R6" s="1">
        <f t="shared" si="6"/>
        <v>48</v>
      </c>
      <c r="S6" s="83">
        <f t="shared" si="7"/>
        <v>0.46666666666666667</v>
      </c>
      <c r="T6" s="83">
        <f t="shared" si="8"/>
        <v>6.6666666666666652E-2</v>
      </c>
      <c r="U6" s="1" t="str">
        <f t="shared" si="9"/>
        <v>R</v>
      </c>
      <c r="V6" s="1" t="s">
        <v>19</v>
      </c>
      <c r="W6" s="1" t="str">
        <f t="shared" si="10"/>
        <v>U</v>
      </c>
      <c r="X6" s="1">
        <f>C6-Elect2016!C6</f>
        <v>4</v>
      </c>
      <c r="Y6" s="1">
        <f>J6-Elect2016!J6</f>
        <v>0</v>
      </c>
      <c r="Z6" s="1">
        <f t="shared" si="11"/>
        <v>4</v>
      </c>
    </row>
    <row r="7" spans="1:26">
      <c r="A7" s="1" t="s">
        <v>30</v>
      </c>
      <c r="B7" s="1" t="s">
        <v>26</v>
      </c>
      <c r="C7" s="81">
        <v>24</v>
      </c>
      <c r="D7" s="1">
        <v>76</v>
      </c>
      <c r="E7" s="1">
        <v>100</v>
      </c>
      <c r="F7" s="83">
        <f t="shared" si="0"/>
        <v>0.24</v>
      </c>
      <c r="G7" s="26">
        <f t="shared" si="1"/>
        <v>0.52</v>
      </c>
      <c r="H7" s="1" t="str">
        <f t="shared" si="2"/>
        <v>R</v>
      </c>
      <c r="I7" s="1" t="str">
        <f>IF(Elect2016!H7=H7,"N","Y")</f>
        <v>N</v>
      </c>
      <c r="J7" s="81">
        <v>9</v>
      </c>
      <c r="K7" s="1">
        <v>26</v>
      </c>
      <c r="L7" s="1">
        <v>35</v>
      </c>
      <c r="M7" s="83">
        <f t="shared" si="3"/>
        <v>0.25714285714285712</v>
      </c>
      <c r="N7" s="83">
        <f t="shared" si="4"/>
        <v>0.48571428571428577</v>
      </c>
      <c r="O7" s="1" t="str">
        <f t="shared" si="5"/>
        <v>R</v>
      </c>
      <c r="P7" s="1" t="str">
        <f>IF(Elect2016!O7=O7,"N","Y")</f>
        <v>N</v>
      </c>
      <c r="Q7" s="81">
        <f t="shared" si="6"/>
        <v>33</v>
      </c>
      <c r="R7" s="1">
        <f t="shared" si="6"/>
        <v>102</v>
      </c>
      <c r="S7" s="83">
        <f t="shared" si="7"/>
        <v>0.24444444444444444</v>
      </c>
      <c r="T7" s="83">
        <f t="shared" si="8"/>
        <v>0.51111111111111107</v>
      </c>
      <c r="U7" s="1" t="str">
        <f t="shared" si="9"/>
        <v>R</v>
      </c>
      <c r="V7" s="1" t="s">
        <v>19</v>
      </c>
      <c r="W7" s="1" t="str">
        <f t="shared" si="10"/>
        <v>U</v>
      </c>
      <c r="X7" s="1">
        <f>C7-Elect2016!C7</f>
        <v>-1</v>
      </c>
      <c r="Y7" s="1">
        <f>J7-Elect2016!J7</f>
        <v>0</v>
      </c>
      <c r="Z7" s="1">
        <f t="shared" si="11"/>
        <v>-1</v>
      </c>
    </row>
    <row r="8" spans="1:26">
      <c r="A8" s="1" t="s">
        <v>31</v>
      </c>
      <c r="B8" s="1" t="s">
        <v>28</v>
      </c>
      <c r="C8" s="81">
        <v>60</v>
      </c>
      <c r="D8" s="1">
        <v>20</v>
      </c>
      <c r="E8" s="1">
        <v>80</v>
      </c>
      <c r="F8" s="83">
        <f t="shared" si="0"/>
        <v>0.75</v>
      </c>
      <c r="G8" s="26">
        <f t="shared" si="1"/>
        <v>0.5</v>
      </c>
      <c r="H8" s="1" t="str">
        <f t="shared" si="2"/>
        <v>D</v>
      </c>
      <c r="I8" s="1" t="str">
        <f>IF(Elect2016!H8=H8,"N","Y")</f>
        <v>N</v>
      </c>
      <c r="J8" s="81">
        <v>29</v>
      </c>
      <c r="K8" s="1">
        <v>11</v>
      </c>
      <c r="L8" s="1">
        <v>40</v>
      </c>
      <c r="M8" s="83">
        <f t="shared" si="3"/>
        <v>0.72499999999999998</v>
      </c>
      <c r="N8" s="83">
        <f t="shared" si="4"/>
        <v>0.44999999999999996</v>
      </c>
      <c r="O8" s="1" t="str">
        <f t="shared" si="5"/>
        <v>D</v>
      </c>
      <c r="P8" s="1" t="str">
        <f>IF(Elect2016!O8=O8,"N","Y")</f>
        <v>N</v>
      </c>
      <c r="Q8" s="81">
        <f t="shared" si="6"/>
        <v>89</v>
      </c>
      <c r="R8" s="1">
        <f t="shared" si="6"/>
        <v>31</v>
      </c>
      <c r="S8" s="83">
        <f t="shared" si="7"/>
        <v>0.7416666666666667</v>
      </c>
      <c r="T8" s="83">
        <f t="shared" si="8"/>
        <v>0.48333333333333339</v>
      </c>
      <c r="U8" s="1" t="str">
        <f t="shared" si="9"/>
        <v>D</v>
      </c>
      <c r="V8" s="1" t="s">
        <v>18</v>
      </c>
      <c r="W8" s="1" t="str">
        <f t="shared" si="10"/>
        <v>U</v>
      </c>
      <c r="X8" s="1">
        <f>C8-Elect2016!C8</f>
        <v>5</v>
      </c>
      <c r="Y8" s="1">
        <f>J8-Elect2016!J8</f>
        <v>2</v>
      </c>
      <c r="Z8" s="1">
        <f t="shared" si="11"/>
        <v>7</v>
      </c>
    </row>
    <row r="9" spans="1:26">
      <c r="A9" s="1" t="s">
        <v>32</v>
      </c>
      <c r="B9" s="1" t="s">
        <v>28</v>
      </c>
      <c r="C9" s="81">
        <v>41</v>
      </c>
      <c r="D9" s="1">
        <v>24</v>
      </c>
      <c r="E9" s="1">
        <v>65</v>
      </c>
      <c r="F9" s="83">
        <f t="shared" si="0"/>
        <v>0.63076923076923075</v>
      </c>
      <c r="G9" s="26">
        <f t="shared" si="1"/>
        <v>0.2615384615384615</v>
      </c>
      <c r="H9" s="1" t="str">
        <f t="shared" si="2"/>
        <v>D</v>
      </c>
      <c r="I9" s="1" t="str">
        <f>IF(Elect2016!H9=H9,"N","Y")</f>
        <v>N</v>
      </c>
      <c r="J9" s="81">
        <v>19</v>
      </c>
      <c r="K9" s="1">
        <v>16</v>
      </c>
      <c r="L9" s="1">
        <v>35</v>
      </c>
      <c r="M9" s="83">
        <f t="shared" si="3"/>
        <v>0.54285714285714282</v>
      </c>
      <c r="N9" s="83">
        <f t="shared" si="4"/>
        <v>8.5714285714285632E-2</v>
      </c>
      <c r="O9" s="1" t="str">
        <f t="shared" si="5"/>
        <v>D</v>
      </c>
      <c r="P9" s="1" t="str">
        <f>IF(Elect2016!O9=O9,"N","Y")</f>
        <v>Y</v>
      </c>
      <c r="Q9" s="81">
        <f t="shared" si="6"/>
        <v>60</v>
      </c>
      <c r="R9" s="1">
        <f t="shared" si="6"/>
        <v>40</v>
      </c>
      <c r="S9" s="83">
        <f t="shared" si="7"/>
        <v>0.6</v>
      </c>
      <c r="T9" s="83">
        <f t="shared" si="8"/>
        <v>0.19999999999999996</v>
      </c>
      <c r="U9" s="1" t="str">
        <f t="shared" si="9"/>
        <v>D</v>
      </c>
      <c r="V9" s="1" t="s">
        <v>18</v>
      </c>
      <c r="W9" s="1" t="str">
        <f t="shared" si="10"/>
        <v>U</v>
      </c>
      <c r="X9" s="1">
        <f>C9-Elect2016!C9</f>
        <v>4</v>
      </c>
      <c r="Y9" s="1">
        <f>J9-Elect2016!J9</f>
        <v>2</v>
      </c>
      <c r="Z9" s="1">
        <f t="shared" si="11"/>
        <v>6</v>
      </c>
    </row>
    <row r="10" spans="1:26">
      <c r="A10" s="1" t="s">
        <v>33</v>
      </c>
      <c r="B10" s="1" t="s">
        <v>34</v>
      </c>
      <c r="C10" s="81">
        <v>92</v>
      </c>
      <c r="D10" s="1">
        <v>59</v>
      </c>
      <c r="E10" s="1">
        <v>151</v>
      </c>
      <c r="F10" s="83">
        <f t="shared" si="0"/>
        <v>0.60927152317880795</v>
      </c>
      <c r="G10" s="26">
        <f t="shared" si="1"/>
        <v>0.2185430463576159</v>
      </c>
      <c r="H10" s="1" t="str">
        <f t="shared" si="2"/>
        <v>D</v>
      </c>
      <c r="I10" s="1" t="str">
        <f>IF(Elect2016!H10=H10,"N","Y")</f>
        <v>N</v>
      </c>
      <c r="J10" s="81">
        <v>24</v>
      </c>
      <c r="K10" s="1">
        <v>12</v>
      </c>
      <c r="L10" s="1">
        <v>36</v>
      </c>
      <c r="M10" s="83">
        <f t="shared" si="3"/>
        <v>0.66666666666666663</v>
      </c>
      <c r="N10" s="83">
        <f t="shared" si="4"/>
        <v>0.33333333333333326</v>
      </c>
      <c r="O10" s="1" t="str">
        <f t="shared" si="5"/>
        <v>D</v>
      </c>
      <c r="P10" s="1" t="str">
        <f>IF(Elect2016!O10=O10,"N","Y")</f>
        <v>Y</v>
      </c>
      <c r="Q10" s="81">
        <f t="shared" si="6"/>
        <v>116</v>
      </c>
      <c r="R10" s="1">
        <f t="shared" si="6"/>
        <v>71</v>
      </c>
      <c r="S10" s="83">
        <f t="shared" si="7"/>
        <v>0.6203208556149733</v>
      </c>
      <c r="T10" s="83">
        <f t="shared" si="8"/>
        <v>0.2406417112299466</v>
      </c>
      <c r="U10" s="1" t="str">
        <f t="shared" si="9"/>
        <v>D</v>
      </c>
      <c r="V10" s="1" t="s">
        <v>18</v>
      </c>
      <c r="W10" s="1" t="str">
        <f t="shared" si="10"/>
        <v>U</v>
      </c>
      <c r="X10" s="1">
        <f>C10-Elect2016!C10</f>
        <v>13</v>
      </c>
      <c r="Y10" s="1">
        <f>J10-Elect2016!J10</f>
        <v>6</v>
      </c>
      <c r="Z10" s="1">
        <f t="shared" si="11"/>
        <v>19</v>
      </c>
    </row>
    <row r="11" spans="1:26">
      <c r="A11" s="1" t="s">
        <v>35</v>
      </c>
      <c r="B11" s="1" t="s">
        <v>34</v>
      </c>
      <c r="C11" s="81">
        <v>26</v>
      </c>
      <c r="D11" s="1">
        <v>15</v>
      </c>
      <c r="E11" s="1">
        <v>41</v>
      </c>
      <c r="F11" s="83">
        <f t="shared" si="0"/>
        <v>0.63414634146341464</v>
      </c>
      <c r="G11" s="26">
        <f t="shared" si="1"/>
        <v>0.26829268292682928</v>
      </c>
      <c r="H11" s="1" t="str">
        <f t="shared" si="2"/>
        <v>D</v>
      </c>
      <c r="I11" s="1" t="str">
        <f>IF(Elect2016!H11=H11,"N","Y")</f>
        <v>N</v>
      </c>
      <c r="J11" s="81">
        <v>12</v>
      </c>
      <c r="K11" s="1">
        <v>9</v>
      </c>
      <c r="L11" s="1">
        <v>21</v>
      </c>
      <c r="M11" s="83">
        <f t="shared" si="3"/>
        <v>0.5714285714285714</v>
      </c>
      <c r="N11" s="83">
        <f t="shared" si="4"/>
        <v>0.14285714285714279</v>
      </c>
      <c r="O11" s="1" t="str">
        <f t="shared" si="5"/>
        <v>D</v>
      </c>
      <c r="P11" s="1" t="str">
        <f>IF(Elect2016!O11=O11,"N","Y")</f>
        <v>N</v>
      </c>
      <c r="Q11" s="81">
        <f t="shared" si="6"/>
        <v>38</v>
      </c>
      <c r="R11" s="1">
        <f t="shared" si="6"/>
        <v>24</v>
      </c>
      <c r="S11" s="83">
        <f t="shared" si="7"/>
        <v>0.61290322580645162</v>
      </c>
      <c r="T11" s="83">
        <f t="shared" si="8"/>
        <v>0.22580645161290325</v>
      </c>
      <c r="U11" s="1" t="str">
        <f t="shared" si="9"/>
        <v>D</v>
      </c>
      <c r="V11" s="1" t="s">
        <v>18</v>
      </c>
      <c r="W11" s="1" t="str">
        <f t="shared" si="10"/>
        <v>U</v>
      </c>
      <c r="X11" s="1">
        <f>C11-Elect2016!C11</f>
        <v>1</v>
      </c>
      <c r="Y11" s="1">
        <f>J11-Elect2016!J11</f>
        <v>1</v>
      </c>
      <c r="Z11" s="1">
        <f t="shared" si="11"/>
        <v>2</v>
      </c>
    </row>
    <row r="12" spans="1:26">
      <c r="A12" s="1" t="s">
        <v>36</v>
      </c>
      <c r="B12" s="1" t="s">
        <v>26</v>
      </c>
      <c r="C12" s="81">
        <v>47</v>
      </c>
      <c r="D12" s="1">
        <v>73</v>
      </c>
      <c r="E12" s="1">
        <v>120</v>
      </c>
      <c r="F12" s="83">
        <f t="shared" si="0"/>
        <v>0.39166666666666666</v>
      </c>
      <c r="G12" s="26">
        <f t="shared" si="1"/>
        <v>0.21666666666666673</v>
      </c>
      <c r="H12" s="1" t="str">
        <f t="shared" si="2"/>
        <v>R</v>
      </c>
      <c r="I12" s="1" t="str">
        <f>IF(Elect2016!H12=H12,"N","Y")</f>
        <v>N</v>
      </c>
      <c r="J12" s="81">
        <v>17</v>
      </c>
      <c r="K12" s="1">
        <v>23</v>
      </c>
      <c r="L12" s="1">
        <v>40</v>
      </c>
      <c r="M12" s="83">
        <f t="shared" si="3"/>
        <v>0.42499999999999999</v>
      </c>
      <c r="N12" s="83">
        <f t="shared" si="4"/>
        <v>0.14999999999999997</v>
      </c>
      <c r="O12" s="1" t="str">
        <f t="shared" si="5"/>
        <v>R</v>
      </c>
      <c r="P12" s="1" t="str">
        <f>IF(Elect2016!O12=O12,"N","Y")</f>
        <v>N</v>
      </c>
      <c r="Q12" s="81">
        <f t="shared" si="6"/>
        <v>64</v>
      </c>
      <c r="R12" s="1">
        <f t="shared" si="6"/>
        <v>96</v>
      </c>
      <c r="S12" s="83">
        <f t="shared" si="7"/>
        <v>0.4</v>
      </c>
      <c r="T12" s="83">
        <f t="shared" si="8"/>
        <v>0.19999999999999996</v>
      </c>
      <c r="U12" s="1" t="str">
        <f t="shared" si="9"/>
        <v>R</v>
      </c>
      <c r="V12" s="1" t="s">
        <v>19</v>
      </c>
      <c r="W12" s="1" t="str">
        <f t="shared" si="10"/>
        <v>U</v>
      </c>
      <c r="X12" s="1">
        <f>C12-Elect2016!C12</f>
        <v>6</v>
      </c>
      <c r="Y12" s="1">
        <f>J12-Elect2016!J12</f>
        <v>2</v>
      </c>
      <c r="Z12" s="1">
        <f t="shared" si="11"/>
        <v>8</v>
      </c>
    </row>
    <row r="13" spans="1:26">
      <c r="A13" s="1" t="s">
        <v>37</v>
      </c>
      <c r="B13" s="1" t="s">
        <v>26</v>
      </c>
      <c r="C13" s="81">
        <v>74</v>
      </c>
      <c r="D13" s="1">
        <v>106</v>
      </c>
      <c r="E13" s="1">
        <v>180</v>
      </c>
      <c r="F13" s="83">
        <f t="shared" si="0"/>
        <v>0.41111111111111109</v>
      </c>
      <c r="G13" s="26">
        <f t="shared" si="1"/>
        <v>0.17777777777777781</v>
      </c>
      <c r="H13" s="1" t="str">
        <f t="shared" si="2"/>
        <v>R</v>
      </c>
      <c r="I13" s="1" t="str">
        <f>IF(Elect2016!H13=H13,"N","Y")</f>
        <v>N</v>
      </c>
      <c r="J13" s="81">
        <v>21</v>
      </c>
      <c r="K13" s="1">
        <v>35</v>
      </c>
      <c r="L13" s="1">
        <v>56</v>
      </c>
      <c r="M13" s="83">
        <f t="shared" si="3"/>
        <v>0.375</v>
      </c>
      <c r="N13" s="83">
        <f t="shared" si="4"/>
        <v>0.25</v>
      </c>
      <c r="O13" s="1" t="str">
        <f t="shared" si="5"/>
        <v>R</v>
      </c>
      <c r="P13" s="1" t="str">
        <f>IF(Elect2016!O13=O13,"N","Y")</f>
        <v>N</v>
      </c>
      <c r="Q13" s="81">
        <f t="shared" si="6"/>
        <v>95</v>
      </c>
      <c r="R13" s="1">
        <f t="shared" si="6"/>
        <v>141</v>
      </c>
      <c r="S13" s="83">
        <f t="shared" si="7"/>
        <v>0.40254237288135591</v>
      </c>
      <c r="T13" s="83">
        <f t="shared" si="8"/>
        <v>0.19491525423728812</v>
      </c>
      <c r="U13" s="1" t="str">
        <f t="shared" si="9"/>
        <v>R</v>
      </c>
      <c r="V13" s="1" t="s">
        <v>19</v>
      </c>
      <c r="W13" s="1" t="str">
        <f t="shared" si="10"/>
        <v>U</v>
      </c>
      <c r="X13" s="1">
        <f>C13-Elect2016!C13</f>
        <v>12</v>
      </c>
      <c r="Y13" s="1">
        <f>J13-Elect2016!J13</f>
        <v>3</v>
      </c>
      <c r="Z13" s="1">
        <f t="shared" si="11"/>
        <v>15</v>
      </c>
    </row>
    <row r="14" spans="1:26">
      <c r="A14" s="1" t="s">
        <v>38</v>
      </c>
      <c r="B14" s="1" t="s">
        <v>28</v>
      </c>
      <c r="C14" s="81">
        <v>46</v>
      </c>
      <c r="D14" s="1">
        <v>5</v>
      </c>
      <c r="E14" s="1">
        <v>51</v>
      </c>
      <c r="F14" s="83">
        <f t="shared" si="0"/>
        <v>0.90196078431372551</v>
      </c>
      <c r="G14" s="26">
        <f t="shared" si="1"/>
        <v>0.80392156862745101</v>
      </c>
      <c r="H14" s="1" t="str">
        <f t="shared" si="2"/>
        <v>D</v>
      </c>
      <c r="I14" s="1" t="str">
        <f>IF(Elect2016!H14=H14,"N","Y")</f>
        <v>N</v>
      </c>
      <c r="J14" s="81">
        <v>24</v>
      </c>
      <c r="K14" s="1">
        <v>1</v>
      </c>
      <c r="L14" s="1">
        <v>25</v>
      </c>
      <c r="M14" s="83">
        <f t="shared" si="3"/>
        <v>0.96</v>
      </c>
      <c r="N14" s="83">
        <f t="shared" si="4"/>
        <v>0.91999999999999993</v>
      </c>
      <c r="O14" s="1" t="str">
        <f t="shared" si="5"/>
        <v>D</v>
      </c>
      <c r="P14" s="1" t="str">
        <f>IF(Elect2016!O14=O14,"N","Y")</f>
        <v>N</v>
      </c>
      <c r="Q14" s="81">
        <f t="shared" si="6"/>
        <v>70</v>
      </c>
      <c r="R14" s="1">
        <f t="shared" si="6"/>
        <v>6</v>
      </c>
      <c r="S14" s="83">
        <f t="shared" si="7"/>
        <v>0.92105263157894735</v>
      </c>
      <c r="T14" s="83">
        <f t="shared" si="8"/>
        <v>0.84210526315789469</v>
      </c>
      <c r="U14" s="1" t="str">
        <f t="shared" si="9"/>
        <v>D</v>
      </c>
      <c r="V14" s="1" t="s">
        <v>18</v>
      </c>
      <c r="W14" s="1" t="str">
        <f t="shared" si="10"/>
        <v>U</v>
      </c>
      <c r="X14" s="1">
        <f>C14-Elect2016!C14</f>
        <v>1</v>
      </c>
      <c r="Y14" s="1">
        <f>J14-Elect2016!J14</f>
        <v>-1</v>
      </c>
      <c r="Z14" s="1">
        <f t="shared" si="11"/>
        <v>0</v>
      </c>
    </row>
    <row r="15" spans="1:26">
      <c r="A15" s="1" t="s">
        <v>39</v>
      </c>
      <c r="B15" s="1" t="s">
        <v>28</v>
      </c>
      <c r="C15" s="81">
        <v>14</v>
      </c>
      <c r="D15" s="1">
        <v>56</v>
      </c>
      <c r="E15" s="1">
        <v>70</v>
      </c>
      <c r="F15" s="83">
        <f t="shared" si="0"/>
        <v>0.2</v>
      </c>
      <c r="G15" s="26">
        <f t="shared" si="1"/>
        <v>0.60000000000000009</v>
      </c>
      <c r="H15" s="1" t="str">
        <f t="shared" si="2"/>
        <v>R</v>
      </c>
      <c r="I15" s="1" t="str">
        <f>IF(Elect2016!H15=H15,"N","Y")</f>
        <v>N</v>
      </c>
      <c r="J15" s="81">
        <v>7</v>
      </c>
      <c r="K15" s="1">
        <v>28</v>
      </c>
      <c r="L15" s="1">
        <v>35</v>
      </c>
      <c r="M15" s="83">
        <f t="shared" si="3"/>
        <v>0.2</v>
      </c>
      <c r="N15" s="83">
        <f t="shared" si="4"/>
        <v>0.60000000000000009</v>
      </c>
      <c r="O15" s="1" t="str">
        <f t="shared" si="5"/>
        <v>R</v>
      </c>
      <c r="P15" s="1" t="str">
        <f>IF(Elect2016!O15=O15,"N","Y")</f>
        <v>N</v>
      </c>
      <c r="Q15" s="81">
        <f t="shared" si="6"/>
        <v>21</v>
      </c>
      <c r="R15" s="1">
        <f t="shared" si="6"/>
        <v>84</v>
      </c>
      <c r="S15" s="83">
        <f t="shared" si="7"/>
        <v>0.2</v>
      </c>
      <c r="T15" s="83">
        <f t="shared" si="8"/>
        <v>0.60000000000000009</v>
      </c>
      <c r="U15" s="1" t="str">
        <f t="shared" si="9"/>
        <v>R</v>
      </c>
      <c r="V15" s="1" t="s">
        <v>19</v>
      </c>
      <c r="W15" s="1" t="str">
        <f t="shared" si="10"/>
        <v>U</v>
      </c>
      <c r="X15" s="1">
        <f>C15-Elect2016!C15</f>
        <v>3</v>
      </c>
      <c r="Y15" s="1">
        <f>J15-Elect2016!J15</f>
        <v>1</v>
      </c>
      <c r="Z15" s="1">
        <f t="shared" si="11"/>
        <v>4</v>
      </c>
    </row>
    <row r="16" spans="1:26">
      <c r="A16" s="1" t="s">
        <v>40</v>
      </c>
      <c r="B16" s="1" t="s">
        <v>41</v>
      </c>
      <c r="C16" s="81">
        <v>74</v>
      </c>
      <c r="D16" s="1">
        <v>44</v>
      </c>
      <c r="E16" s="1">
        <v>118</v>
      </c>
      <c r="F16" s="83">
        <f t="shared" si="0"/>
        <v>0.6271186440677966</v>
      </c>
      <c r="G16" s="26">
        <f t="shared" si="1"/>
        <v>0.25423728813559321</v>
      </c>
      <c r="H16" s="1" t="str">
        <f t="shared" si="2"/>
        <v>D</v>
      </c>
      <c r="I16" s="1" t="str">
        <f>IF(Elect2016!H16=H16,"N","Y")</f>
        <v>N</v>
      </c>
      <c r="J16" s="81">
        <v>40</v>
      </c>
      <c r="K16" s="1">
        <v>19</v>
      </c>
      <c r="L16" s="1">
        <v>59</v>
      </c>
      <c r="M16" s="83">
        <f t="shared" si="3"/>
        <v>0.67796610169491522</v>
      </c>
      <c r="N16" s="83">
        <f t="shared" si="4"/>
        <v>0.35593220338983045</v>
      </c>
      <c r="O16" s="1" t="str">
        <f t="shared" si="5"/>
        <v>D</v>
      </c>
      <c r="P16" s="1" t="str">
        <f>IF(Elect2016!O16=O16,"N","Y")</f>
        <v>N</v>
      </c>
      <c r="Q16" s="81">
        <f t="shared" si="6"/>
        <v>114</v>
      </c>
      <c r="R16" s="1">
        <f t="shared" si="6"/>
        <v>63</v>
      </c>
      <c r="S16" s="83">
        <f t="shared" si="7"/>
        <v>0.64406779661016944</v>
      </c>
      <c r="T16" s="83">
        <f t="shared" si="8"/>
        <v>0.28813559322033888</v>
      </c>
      <c r="U16" s="1" t="str">
        <f t="shared" si="9"/>
        <v>D</v>
      </c>
      <c r="V16" s="1" t="s">
        <v>18</v>
      </c>
      <c r="W16" s="1" t="str">
        <f t="shared" si="10"/>
        <v>U</v>
      </c>
      <c r="X16" s="1">
        <f>C16-Elect2016!C16</f>
        <v>7</v>
      </c>
      <c r="Y16" s="1">
        <f>J16-Elect2016!J16</f>
        <v>3</v>
      </c>
      <c r="Z16" s="1">
        <f t="shared" si="11"/>
        <v>10</v>
      </c>
    </row>
    <row r="17" spans="1:26">
      <c r="A17" s="1" t="s">
        <v>42</v>
      </c>
      <c r="B17" s="1" t="s">
        <v>41</v>
      </c>
      <c r="C17" s="81">
        <v>33</v>
      </c>
      <c r="D17" s="1">
        <v>67</v>
      </c>
      <c r="E17" s="1">
        <v>100</v>
      </c>
      <c r="F17" s="83">
        <f t="shared" si="0"/>
        <v>0.33</v>
      </c>
      <c r="G17" s="26">
        <f t="shared" si="1"/>
        <v>0.33999999999999991</v>
      </c>
      <c r="H17" s="1" t="str">
        <f t="shared" si="2"/>
        <v>R</v>
      </c>
      <c r="I17" s="1" t="str">
        <f>IF(Elect2016!H17=H17,"N","Y")</f>
        <v>N</v>
      </c>
      <c r="J17" s="81">
        <v>10</v>
      </c>
      <c r="K17" s="1">
        <v>40</v>
      </c>
      <c r="L17" s="1">
        <v>50</v>
      </c>
      <c r="M17" s="83">
        <f t="shared" si="3"/>
        <v>0.2</v>
      </c>
      <c r="N17" s="83">
        <f t="shared" si="4"/>
        <v>0.60000000000000009</v>
      </c>
      <c r="O17" s="1" t="str">
        <f t="shared" si="5"/>
        <v>R</v>
      </c>
      <c r="P17" s="1" t="str">
        <f>IF(Elect2016!O17=O17,"N","Y")</f>
        <v>N</v>
      </c>
      <c r="Q17" s="81">
        <f t="shared" si="6"/>
        <v>43</v>
      </c>
      <c r="R17" s="1">
        <f t="shared" si="6"/>
        <v>107</v>
      </c>
      <c r="S17" s="83">
        <f t="shared" si="7"/>
        <v>0.28666666666666668</v>
      </c>
      <c r="T17" s="83">
        <f t="shared" si="8"/>
        <v>0.42666666666666669</v>
      </c>
      <c r="U17" s="1" t="str">
        <f t="shared" si="9"/>
        <v>R</v>
      </c>
      <c r="V17" s="1" t="s">
        <v>19</v>
      </c>
      <c r="W17" s="1" t="str">
        <f t="shared" si="10"/>
        <v>U</v>
      </c>
      <c r="X17" s="1">
        <f>C17-Elect2016!C17</f>
        <v>3</v>
      </c>
      <c r="Y17" s="1">
        <f>J17-Elect2016!J17</f>
        <v>1</v>
      </c>
      <c r="Z17" s="1">
        <f t="shared" si="11"/>
        <v>4</v>
      </c>
    </row>
    <row r="18" spans="1:26">
      <c r="A18" s="1" t="s">
        <v>43</v>
      </c>
      <c r="B18" s="1" t="s">
        <v>41</v>
      </c>
      <c r="C18" s="81">
        <v>46</v>
      </c>
      <c r="D18" s="1">
        <v>54</v>
      </c>
      <c r="E18" s="1">
        <v>100</v>
      </c>
      <c r="F18" s="83">
        <f t="shared" si="0"/>
        <v>0.46</v>
      </c>
      <c r="G18" s="26">
        <f t="shared" si="1"/>
        <v>8.0000000000000016E-2</v>
      </c>
      <c r="H18" s="1" t="str">
        <f t="shared" si="2"/>
        <v>R</v>
      </c>
      <c r="I18" s="1" t="str">
        <f>IF(Elect2016!H18=H18,"N","Y")</f>
        <v>N</v>
      </c>
      <c r="J18" s="81">
        <v>18</v>
      </c>
      <c r="K18" s="1">
        <v>32</v>
      </c>
      <c r="L18" s="1">
        <v>50</v>
      </c>
      <c r="M18" s="83">
        <f t="shared" si="3"/>
        <v>0.36</v>
      </c>
      <c r="N18" s="83">
        <f t="shared" si="4"/>
        <v>0.28000000000000003</v>
      </c>
      <c r="O18" s="1" t="str">
        <f t="shared" si="5"/>
        <v>R</v>
      </c>
      <c r="P18" s="1" t="str">
        <f>IF(Elect2016!O18=O18,"N","Y")</f>
        <v>N</v>
      </c>
      <c r="Q18" s="81">
        <f t="shared" si="6"/>
        <v>64</v>
      </c>
      <c r="R18" s="1">
        <f t="shared" si="6"/>
        <v>86</v>
      </c>
      <c r="S18" s="83">
        <f t="shared" si="7"/>
        <v>0.42666666666666669</v>
      </c>
      <c r="T18" s="83">
        <f t="shared" si="8"/>
        <v>0.14666666666666656</v>
      </c>
      <c r="U18" s="1" t="str">
        <f t="shared" si="9"/>
        <v>R</v>
      </c>
      <c r="V18" s="1" t="s">
        <v>19</v>
      </c>
      <c r="W18" s="1" t="str">
        <f t="shared" si="10"/>
        <v>U</v>
      </c>
      <c r="X18" s="1">
        <f>C18-Elect2016!C18</f>
        <v>5</v>
      </c>
      <c r="Y18" s="1">
        <f>J18-Elect2016!J18</f>
        <v>-2</v>
      </c>
      <c r="Z18" s="1">
        <f t="shared" si="11"/>
        <v>3</v>
      </c>
    </row>
    <row r="19" spans="1:26">
      <c r="A19" s="1" t="s">
        <v>44</v>
      </c>
      <c r="B19" s="1" t="s">
        <v>41</v>
      </c>
      <c r="C19" s="81">
        <v>40</v>
      </c>
      <c r="D19" s="1">
        <v>85</v>
      </c>
      <c r="E19" s="1">
        <v>125</v>
      </c>
      <c r="F19" s="83">
        <f t="shared" si="0"/>
        <v>0.32</v>
      </c>
      <c r="G19" s="26">
        <f t="shared" si="1"/>
        <v>0.35999999999999993</v>
      </c>
      <c r="H19" s="1" t="str">
        <f t="shared" si="2"/>
        <v>R</v>
      </c>
      <c r="I19" s="1" t="str">
        <f>IF(Elect2016!H19=H19,"N","Y")</f>
        <v>N</v>
      </c>
      <c r="J19" s="81">
        <v>9</v>
      </c>
      <c r="K19" s="1">
        <v>31</v>
      </c>
      <c r="L19" s="1">
        <v>40</v>
      </c>
      <c r="M19" s="83">
        <f t="shared" si="3"/>
        <v>0.22500000000000001</v>
      </c>
      <c r="N19" s="83">
        <f t="shared" si="4"/>
        <v>0.55000000000000004</v>
      </c>
      <c r="O19" s="1" t="str">
        <f t="shared" si="5"/>
        <v>R</v>
      </c>
      <c r="P19" s="1" t="str">
        <f>IF(Elect2016!O19=O19,"N","Y")</f>
        <v>N</v>
      </c>
      <c r="Q19" s="81">
        <f t="shared" si="6"/>
        <v>49</v>
      </c>
      <c r="R19" s="1">
        <f t="shared" si="6"/>
        <v>116</v>
      </c>
      <c r="S19" s="83">
        <f t="shared" si="7"/>
        <v>0.29696969696969699</v>
      </c>
      <c r="T19" s="83">
        <f t="shared" si="8"/>
        <v>0.40606060606060601</v>
      </c>
      <c r="U19" s="1" t="str">
        <f t="shared" si="9"/>
        <v>R</v>
      </c>
      <c r="V19" s="1" t="s">
        <v>18</v>
      </c>
      <c r="W19" s="1" t="str">
        <f t="shared" si="10"/>
        <v>D</v>
      </c>
      <c r="X19" s="1">
        <f>C19-Elect2016!C19</f>
        <v>0</v>
      </c>
      <c r="Y19" s="1">
        <f>J19-Elect2016!J19</f>
        <v>0</v>
      </c>
      <c r="Z19" s="1">
        <f t="shared" si="11"/>
        <v>0</v>
      </c>
    </row>
    <row r="20" spans="1:26">
      <c r="A20" s="1" t="s">
        <v>45</v>
      </c>
      <c r="B20" s="1" t="s">
        <v>26</v>
      </c>
      <c r="C20" s="81">
        <v>39</v>
      </c>
      <c r="D20" s="1">
        <v>61</v>
      </c>
      <c r="E20" s="1">
        <v>100</v>
      </c>
      <c r="F20" s="83">
        <f t="shared" si="0"/>
        <v>0.39</v>
      </c>
      <c r="G20" s="26">
        <f t="shared" si="1"/>
        <v>0.21999999999999997</v>
      </c>
      <c r="H20" s="1" t="str">
        <f t="shared" si="2"/>
        <v>R</v>
      </c>
      <c r="I20" s="1" t="str">
        <f>IF(Elect2016!H20=H20,"N","Y")</f>
        <v>N</v>
      </c>
      <c r="J20" s="81">
        <v>10</v>
      </c>
      <c r="K20" s="1">
        <v>28</v>
      </c>
      <c r="L20" s="1">
        <v>38</v>
      </c>
      <c r="M20" s="83">
        <f t="shared" si="3"/>
        <v>0.26315789473684209</v>
      </c>
      <c r="N20" s="83">
        <f t="shared" si="4"/>
        <v>0.47368421052631587</v>
      </c>
      <c r="O20" s="1" t="str">
        <f t="shared" si="5"/>
        <v>R</v>
      </c>
      <c r="P20" s="1" t="str">
        <f>IF(Elect2016!O20=O20,"N","Y")</f>
        <v>N</v>
      </c>
      <c r="Q20" s="81">
        <f t="shared" si="6"/>
        <v>49</v>
      </c>
      <c r="R20" s="1">
        <f t="shared" si="6"/>
        <v>89</v>
      </c>
      <c r="S20" s="83">
        <f t="shared" si="7"/>
        <v>0.35507246376811596</v>
      </c>
      <c r="T20" s="83">
        <f t="shared" si="8"/>
        <v>0.28985507246376807</v>
      </c>
      <c r="U20" s="1" t="str">
        <f t="shared" si="9"/>
        <v>R</v>
      </c>
      <c r="V20" s="1" t="s">
        <v>19</v>
      </c>
      <c r="W20" s="1" t="str">
        <f t="shared" si="10"/>
        <v>U</v>
      </c>
      <c r="X20" s="1">
        <f>C20-Elect2016!C20</f>
        <v>3</v>
      </c>
      <c r="Y20" s="1">
        <f>J20-Elect2016!J20</f>
        <v>-1</v>
      </c>
      <c r="Z20" s="1">
        <f t="shared" si="11"/>
        <v>2</v>
      </c>
    </row>
    <row r="21" spans="1:26">
      <c r="A21" s="1" t="s">
        <v>46</v>
      </c>
      <c r="B21" s="1" t="s">
        <v>26</v>
      </c>
      <c r="C21" s="81">
        <v>39</v>
      </c>
      <c r="D21" s="1">
        <v>63</v>
      </c>
      <c r="E21" s="1">
        <v>105</v>
      </c>
      <c r="F21" s="83">
        <f t="shared" si="0"/>
        <v>0.37142857142857144</v>
      </c>
      <c r="G21" s="26">
        <f t="shared" si="1"/>
        <v>0.25714285714285712</v>
      </c>
      <c r="H21" s="1" t="str">
        <f t="shared" si="2"/>
        <v>R</v>
      </c>
      <c r="I21" s="1" t="str">
        <f>IF(Elect2016!H21=H21,"N","Y")</f>
        <v>N</v>
      </c>
      <c r="J21" s="81">
        <v>14</v>
      </c>
      <c r="K21" s="1">
        <v>25</v>
      </c>
      <c r="L21" s="1">
        <v>39</v>
      </c>
      <c r="M21" s="83">
        <f t="shared" si="3"/>
        <v>0.35897435897435898</v>
      </c>
      <c r="N21" s="83">
        <f t="shared" si="4"/>
        <v>0.28205128205128199</v>
      </c>
      <c r="O21" s="1" t="str">
        <f t="shared" si="5"/>
        <v>R</v>
      </c>
      <c r="P21" s="1" t="str">
        <f>IF(Elect2016!O21=O21,"N","Y")</f>
        <v>N</v>
      </c>
      <c r="Q21" s="81">
        <f t="shared" si="6"/>
        <v>53</v>
      </c>
      <c r="R21" s="1">
        <f t="shared" si="6"/>
        <v>88</v>
      </c>
      <c r="S21" s="83">
        <f t="shared" si="7"/>
        <v>0.36805555555555558</v>
      </c>
      <c r="T21" s="83">
        <f t="shared" si="8"/>
        <v>0.26388888888888884</v>
      </c>
      <c r="U21" s="1" t="str">
        <f t="shared" si="9"/>
        <v>R</v>
      </c>
      <c r="V21" s="1" t="s">
        <v>18</v>
      </c>
      <c r="W21" s="1" t="str">
        <f t="shared" si="10"/>
        <v>D</v>
      </c>
      <c r="X21" s="1">
        <f>C21-Elect2016!C21</f>
        <v>-3</v>
      </c>
      <c r="Y21" s="1">
        <f>J21-Elect2016!J21</f>
        <v>0</v>
      </c>
      <c r="Z21" s="1">
        <f t="shared" si="11"/>
        <v>-3</v>
      </c>
    </row>
    <row r="22" spans="1:26">
      <c r="A22" s="1" t="s">
        <v>47</v>
      </c>
      <c r="B22" s="1" t="s">
        <v>34</v>
      </c>
      <c r="C22" s="81">
        <v>89</v>
      </c>
      <c r="D22" s="1">
        <v>57</v>
      </c>
      <c r="E22" s="1">
        <v>151</v>
      </c>
      <c r="F22" s="83">
        <f t="shared" si="0"/>
        <v>0.58940397350993379</v>
      </c>
      <c r="G22" s="26">
        <f t="shared" si="1"/>
        <v>0.17880794701986757</v>
      </c>
      <c r="H22" s="1" t="str">
        <f t="shared" si="2"/>
        <v>D</v>
      </c>
      <c r="I22" s="1" t="str">
        <f>IF(Elect2016!H22=H22,"N","Y")</f>
        <v>N</v>
      </c>
      <c r="J22" s="81">
        <v>21</v>
      </c>
      <c r="K22" s="1">
        <v>14</v>
      </c>
      <c r="L22" s="1">
        <v>35</v>
      </c>
      <c r="M22" s="83">
        <f t="shared" si="3"/>
        <v>0.6</v>
      </c>
      <c r="N22" s="83">
        <f t="shared" si="4"/>
        <v>0.19999999999999996</v>
      </c>
      <c r="O22" s="1" t="str">
        <f t="shared" si="5"/>
        <v>D</v>
      </c>
      <c r="P22" s="1" t="str">
        <f>IF(Elect2016!O22=O22,"N","Y")</f>
        <v>Y</v>
      </c>
      <c r="Q22" s="81">
        <f t="shared" si="6"/>
        <v>110</v>
      </c>
      <c r="R22" s="1">
        <f t="shared" si="6"/>
        <v>71</v>
      </c>
      <c r="S22" s="83">
        <f t="shared" si="7"/>
        <v>0.59139784946236562</v>
      </c>
      <c r="T22" s="83">
        <f t="shared" si="8"/>
        <v>0.18279569892473124</v>
      </c>
      <c r="U22" s="1" t="str">
        <f t="shared" si="9"/>
        <v>D</v>
      </c>
      <c r="V22" s="1" t="s">
        <v>18</v>
      </c>
      <c r="W22" s="1" t="str">
        <f t="shared" si="10"/>
        <v>U</v>
      </c>
      <c r="X22" s="1">
        <f>C22-Elect2016!C22</f>
        <v>13</v>
      </c>
      <c r="Y22" s="1">
        <f>J22-Elect2016!J22</f>
        <v>4</v>
      </c>
      <c r="Z22" s="1">
        <f t="shared" si="11"/>
        <v>17</v>
      </c>
    </row>
    <row r="23" spans="1:26">
      <c r="A23" s="1" t="s">
        <v>48</v>
      </c>
      <c r="B23" s="1" t="s">
        <v>26</v>
      </c>
      <c r="C23" s="81">
        <v>98</v>
      </c>
      <c r="D23" s="1">
        <v>43</v>
      </c>
      <c r="E23" s="1">
        <v>141</v>
      </c>
      <c r="F23" s="83">
        <f t="shared" si="0"/>
        <v>0.69503546099290781</v>
      </c>
      <c r="G23" s="26">
        <f t="shared" si="1"/>
        <v>0.39007092198581561</v>
      </c>
      <c r="H23" s="1" t="str">
        <f t="shared" si="2"/>
        <v>D</v>
      </c>
      <c r="I23" s="1" t="str">
        <f>IF(Elect2016!H23=H23,"N","Y")</f>
        <v>N</v>
      </c>
      <c r="J23" s="81">
        <v>32</v>
      </c>
      <c r="K23" s="1">
        <v>15</v>
      </c>
      <c r="L23" s="1">
        <v>47</v>
      </c>
      <c r="M23" s="83">
        <f t="shared" si="3"/>
        <v>0.68085106382978722</v>
      </c>
      <c r="N23" s="83">
        <f t="shared" si="4"/>
        <v>0.36170212765957444</v>
      </c>
      <c r="O23" s="1" t="str">
        <f t="shared" si="5"/>
        <v>D</v>
      </c>
      <c r="P23" s="1" t="str">
        <f>IF(Elect2016!O23=O23,"N","Y")</f>
        <v>N</v>
      </c>
      <c r="Q23" s="81">
        <f t="shared" si="6"/>
        <v>130</v>
      </c>
      <c r="R23" s="1">
        <f t="shared" si="6"/>
        <v>58</v>
      </c>
      <c r="S23" s="83">
        <f t="shared" si="7"/>
        <v>0.69148936170212771</v>
      </c>
      <c r="T23" s="83">
        <f t="shared" si="8"/>
        <v>0.38297872340425543</v>
      </c>
      <c r="U23" s="1" t="str">
        <f t="shared" si="9"/>
        <v>D</v>
      </c>
      <c r="V23" s="1" t="s">
        <v>19</v>
      </c>
      <c r="W23" s="1" t="str">
        <f t="shared" si="10"/>
        <v>D</v>
      </c>
      <c r="X23" s="1">
        <f>C23-Elect2016!C23</f>
        <v>8</v>
      </c>
      <c r="Y23" s="1">
        <f>J23-Elect2016!J23</f>
        <v>-1</v>
      </c>
      <c r="Z23" s="1">
        <f t="shared" si="11"/>
        <v>7</v>
      </c>
    </row>
    <row r="24" spans="1:26">
      <c r="A24" s="1" t="s">
        <v>49</v>
      </c>
      <c r="B24" s="1" t="s">
        <v>34</v>
      </c>
      <c r="C24" s="81">
        <v>127</v>
      </c>
      <c r="D24" s="1">
        <v>32</v>
      </c>
      <c r="E24" s="1">
        <v>160</v>
      </c>
      <c r="F24" s="83">
        <f t="shared" si="0"/>
        <v>0.79374999999999996</v>
      </c>
      <c r="G24" s="26">
        <f t="shared" si="1"/>
        <v>0.58749999999999991</v>
      </c>
      <c r="H24" s="1" t="str">
        <f t="shared" si="2"/>
        <v>D</v>
      </c>
      <c r="I24" s="1" t="str">
        <f>IF(Elect2016!H24=H24,"N","Y")</f>
        <v>N</v>
      </c>
      <c r="J24" s="81">
        <v>34</v>
      </c>
      <c r="K24" s="1">
        <v>6</v>
      </c>
      <c r="L24" s="1">
        <v>40</v>
      </c>
      <c r="M24" s="83">
        <f t="shared" si="3"/>
        <v>0.85</v>
      </c>
      <c r="N24" s="83">
        <f t="shared" si="4"/>
        <v>0.7</v>
      </c>
      <c r="O24" s="1" t="str">
        <f t="shared" si="5"/>
        <v>D</v>
      </c>
      <c r="P24" s="1" t="str">
        <f>IF(Elect2016!O24=O24,"N","Y")</f>
        <v>N</v>
      </c>
      <c r="Q24" s="81">
        <f t="shared" si="6"/>
        <v>161</v>
      </c>
      <c r="R24" s="1">
        <f t="shared" si="6"/>
        <v>38</v>
      </c>
      <c r="S24" s="83">
        <f t="shared" si="7"/>
        <v>0.80500000000000005</v>
      </c>
      <c r="T24" s="83">
        <f t="shared" si="8"/>
        <v>0.6100000000000001</v>
      </c>
      <c r="U24" s="1" t="str">
        <f t="shared" si="9"/>
        <v>D</v>
      </c>
      <c r="V24" s="1" t="s">
        <v>19</v>
      </c>
      <c r="W24" s="1" t="str">
        <f t="shared" si="10"/>
        <v>D</v>
      </c>
      <c r="X24" s="1">
        <f>C24-Elect2016!C24</f>
        <v>2</v>
      </c>
      <c r="Y24" s="1">
        <f>J24-Elect2016!J24</f>
        <v>0</v>
      </c>
      <c r="Z24" s="1">
        <f t="shared" si="11"/>
        <v>2</v>
      </c>
    </row>
    <row r="25" spans="1:26">
      <c r="A25" s="1" t="s">
        <v>50</v>
      </c>
      <c r="B25" s="1" t="s">
        <v>41</v>
      </c>
      <c r="C25" s="81">
        <v>52</v>
      </c>
      <c r="D25" s="1">
        <v>58</v>
      </c>
      <c r="E25" s="1">
        <v>110</v>
      </c>
      <c r="F25" s="83">
        <f t="shared" si="0"/>
        <v>0.47272727272727272</v>
      </c>
      <c r="G25" s="26">
        <f t="shared" si="1"/>
        <v>5.4545454545454619E-2</v>
      </c>
      <c r="H25" s="1" t="str">
        <f t="shared" si="2"/>
        <v>R</v>
      </c>
      <c r="I25" s="1" t="str">
        <f>IF(Elect2016!H25=H25,"N","Y")</f>
        <v>N</v>
      </c>
      <c r="J25" s="81">
        <v>16</v>
      </c>
      <c r="K25" s="1">
        <v>22</v>
      </c>
      <c r="L25" s="1">
        <v>38</v>
      </c>
      <c r="M25" s="83">
        <f t="shared" si="3"/>
        <v>0.42105263157894735</v>
      </c>
      <c r="N25" s="83">
        <f t="shared" si="4"/>
        <v>0.15789473684210531</v>
      </c>
      <c r="O25" s="1" t="str">
        <f t="shared" si="5"/>
        <v>R</v>
      </c>
      <c r="P25" s="1" t="str">
        <f>IF(Elect2016!O25=O25,"N","Y")</f>
        <v>N</v>
      </c>
      <c r="Q25" s="81">
        <f t="shared" si="6"/>
        <v>68</v>
      </c>
      <c r="R25" s="1">
        <f t="shared" si="6"/>
        <v>80</v>
      </c>
      <c r="S25" s="83">
        <f t="shared" si="7"/>
        <v>0.45945945945945948</v>
      </c>
      <c r="T25" s="83">
        <f t="shared" si="8"/>
        <v>8.1081081081081086E-2</v>
      </c>
      <c r="U25" s="1" t="str">
        <f t="shared" si="9"/>
        <v>R</v>
      </c>
      <c r="V25" s="1" t="s">
        <v>18</v>
      </c>
      <c r="W25" s="1" t="str">
        <f t="shared" si="10"/>
        <v>D</v>
      </c>
      <c r="X25" s="1">
        <f>C25-Elect2016!C25</f>
        <v>5</v>
      </c>
      <c r="Y25" s="1">
        <f>J25-Elect2016!J25</f>
        <v>5</v>
      </c>
      <c r="Z25" s="1">
        <f t="shared" si="11"/>
        <v>10</v>
      </c>
    </row>
    <row r="26" spans="1:26">
      <c r="A26" s="1" t="s">
        <v>51</v>
      </c>
      <c r="B26" s="1" t="s">
        <v>41</v>
      </c>
      <c r="C26" s="81">
        <v>75</v>
      </c>
      <c r="D26" s="1">
        <v>59</v>
      </c>
      <c r="E26" s="1">
        <v>134</v>
      </c>
      <c r="F26" s="83">
        <f t="shared" si="0"/>
        <v>0.55970149253731338</v>
      </c>
      <c r="G26" s="26">
        <f t="shared" si="1"/>
        <v>0.11940298507462677</v>
      </c>
      <c r="H26" s="1" t="str">
        <f t="shared" si="2"/>
        <v>D</v>
      </c>
      <c r="I26" s="1" t="str">
        <f>IF(Elect2016!H26=H26,"N","Y")</f>
        <v>Y</v>
      </c>
      <c r="J26" s="81">
        <v>33</v>
      </c>
      <c r="K26" s="1">
        <v>34</v>
      </c>
      <c r="L26" s="1">
        <v>67</v>
      </c>
      <c r="M26" s="83">
        <f t="shared" si="3"/>
        <v>0.4925373134328358</v>
      </c>
      <c r="N26" s="83">
        <f t="shared" si="4"/>
        <v>1.4925373134328401E-2</v>
      </c>
      <c r="O26" s="1" t="str">
        <f t="shared" si="5"/>
        <v>R</v>
      </c>
      <c r="P26" s="1" t="str">
        <f>IF(Elect2016!O26=O26,"N","Y")</f>
        <v>N</v>
      </c>
      <c r="Q26" s="81">
        <f t="shared" si="6"/>
        <v>108</v>
      </c>
      <c r="R26" s="1">
        <f t="shared" si="6"/>
        <v>93</v>
      </c>
      <c r="S26" s="83">
        <f t="shared" si="7"/>
        <v>0.53731343283582089</v>
      </c>
      <c r="T26" s="83">
        <f t="shared" si="8"/>
        <v>7.4626865671641784E-2</v>
      </c>
      <c r="U26" s="1" t="str">
        <f t="shared" si="9"/>
        <v>S</v>
      </c>
      <c r="V26" s="1" t="s">
        <v>18</v>
      </c>
      <c r="W26" s="1" t="str">
        <f t="shared" si="10"/>
        <v>D</v>
      </c>
      <c r="X26" s="1">
        <f>C26-Elect2016!C26</f>
        <v>18</v>
      </c>
      <c r="Y26" s="1">
        <f>J26-Elect2016!J26</f>
        <v>0</v>
      </c>
      <c r="Z26" s="1">
        <f t="shared" si="11"/>
        <v>18</v>
      </c>
    </row>
    <row r="27" spans="1:26">
      <c r="A27" s="1" t="s">
        <v>52</v>
      </c>
      <c r="B27" s="1" t="s">
        <v>26</v>
      </c>
      <c r="C27" s="81">
        <v>48</v>
      </c>
      <c r="D27" s="1">
        <v>74</v>
      </c>
      <c r="E27" s="1">
        <v>122</v>
      </c>
      <c r="F27" s="83">
        <f t="shared" si="0"/>
        <v>0.39344262295081966</v>
      </c>
      <c r="G27" s="26">
        <f t="shared" si="1"/>
        <v>0.21311475409836067</v>
      </c>
      <c r="H27" s="1" t="str">
        <f t="shared" si="2"/>
        <v>R</v>
      </c>
      <c r="I27" s="1" t="str">
        <f>IF(Elect2016!H27=H27,"N","Y")</f>
        <v>N</v>
      </c>
      <c r="J27" s="81">
        <v>19</v>
      </c>
      <c r="K27" s="1">
        <v>33</v>
      </c>
      <c r="L27" s="1">
        <v>52</v>
      </c>
      <c r="M27" s="83">
        <f t="shared" si="3"/>
        <v>0.36538461538461536</v>
      </c>
      <c r="N27" s="83">
        <f t="shared" si="4"/>
        <v>0.26923076923076922</v>
      </c>
      <c r="O27" s="1" t="str">
        <f t="shared" si="5"/>
        <v>R</v>
      </c>
      <c r="P27" s="1" t="str">
        <f>IF(Elect2016!O27=O27,"N","Y")</f>
        <v>N</v>
      </c>
      <c r="Q27" s="81">
        <f t="shared" si="6"/>
        <v>67</v>
      </c>
      <c r="R27" s="1">
        <f t="shared" si="6"/>
        <v>107</v>
      </c>
      <c r="S27" s="83">
        <f t="shared" si="7"/>
        <v>0.38505747126436779</v>
      </c>
      <c r="T27" s="83">
        <f t="shared" si="8"/>
        <v>0.22988505747126448</v>
      </c>
      <c r="U27" s="1" t="str">
        <f t="shared" si="9"/>
        <v>R</v>
      </c>
      <c r="V27" s="1" t="s">
        <v>19</v>
      </c>
      <c r="W27" s="1" t="str">
        <f t="shared" si="10"/>
        <v>U</v>
      </c>
      <c r="X27" s="1">
        <f>C27-Elect2016!C27</f>
        <v>0</v>
      </c>
      <c r="Y27" s="1">
        <f>J27-Elect2016!J27</f>
        <v>-1</v>
      </c>
      <c r="Z27" s="1">
        <f t="shared" si="11"/>
        <v>-1</v>
      </c>
    </row>
    <row r="28" spans="1:26">
      <c r="A28" s="1" t="s">
        <v>53</v>
      </c>
      <c r="B28" s="1" t="s">
        <v>41</v>
      </c>
      <c r="C28" s="81">
        <v>47</v>
      </c>
      <c r="D28" s="1">
        <v>116</v>
      </c>
      <c r="E28" s="1">
        <v>163</v>
      </c>
      <c r="F28" s="83">
        <f t="shared" si="0"/>
        <v>0.28834355828220859</v>
      </c>
      <c r="G28" s="26">
        <f t="shared" si="1"/>
        <v>0.42331288343558282</v>
      </c>
      <c r="H28" s="1" t="str">
        <f t="shared" si="2"/>
        <v>R</v>
      </c>
      <c r="I28" s="1" t="str">
        <f>IF(Elect2016!H28=H28,"N","Y")</f>
        <v>N</v>
      </c>
      <c r="J28" s="81">
        <v>10</v>
      </c>
      <c r="K28" s="1">
        <v>24</v>
      </c>
      <c r="L28" s="1">
        <v>34</v>
      </c>
      <c r="M28" s="83">
        <f t="shared" si="3"/>
        <v>0.29411764705882354</v>
      </c>
      <c r="N28" s="83">
        <f t="shared" si="4"/>
        <v>0.41176470588235287</v>
      </c>
      <c r="O28" s="1" t="str">
        <f t="shared" si="5"/>
        <v>R</v>
      </c>
      <c r="P28" s="1" t="str">
        <f>IF(Elect2016!O28=O28,"N","Y")</f>
        <v>N</v>
      </c>
      <c r="Q28" s="81">
        <f t="shared" si="6"/>
        <v>57</v>
      </c>
      <c r="R28" s="1">
        <f t="shared" si="6"/>
        <v>140</v>
      </c>
      <c r="S28" s="83">
        <f t="shared" si="7"/>
        <v>0.28934010152284262</v>
      </c>
      <c r="T28" s="83">
        <f t="shared" si="8"/>
        <v>0.42131979695431476</v>
      </c>
      <c r="U28" s="1" t="str">
        <f t="shared" si="9"/>
        <v>R</v>
      </c>
      <c r="V28" s="1" t="s">
        <v>19</v>
      </c>
      <c r="W28" s="1" t="str">
        <f t="shared" si="10"/>
        <v>U</v>
      </c>
      <c r="X28" s="1">
        <f>C28-Elect2016!C28</f>
        <v>1</v>
      </c>
      <c r="Y28" s="1">
        <f>J28-Elect2016!J28</f>
        <v>1</v>
      </c>
      <c r="Z28" s="1">
        <f t="shared" si="11"/>
        <v>2</v>
      </c>
    </row>
    <row r="29" spans="1:26">
      <c r="A29" s="1" t="s">
        <v>54</v>
      </c>
      <c r="B29" s="1" t="s">
        <v>28</v>
      </c>
      <c r="C29" s="81">
        <v>42</v>
      </c>
      <c r="D29" s="1">
        <v>58</v>
      </c>
      <c r="E29" s="1">
        <v>100</v>
      </c>
      <c r="F29" s="83">
        <f t="shared" si="0"/>
        <v>0.42</v>
      </c>
      <c r="G29" s="26">
        <f t="shared" si="1"/>
        <v>0.16000000000000009</v>
      </c>
      <c r="H29" s="1" t="str">
        <f t="shared" si="2"/>
        <v>R</v>
      </c>
      <c r="I29" s="1" t="str">
        <f>IF(Elect2016!H29=H29,"N","Y")</f>
        <v>N</v>
      </c>
      <c r="J29" s="81">
        <v>20</v>
      </c>
      <c r="K29" s="1">
        <v>30</v>
      </c>
      <c r="L29" s="1">
        <v>50</v>
      </c>
      <c r="M29" s="83">
        <f t="shared" si="3"/>
        <v>0.4</v>
      </c>
      <c r="N29" s="83">
        <f t="shared" si="4"/>
        <v>0.19999999999999996</v>
      </c>
      <c r="O29" s="1" t="str">
        <f t="shared" si="5"/>
        <v>R</v>
      </c>
      <c r="P29" s="1" t="str">
        <f>IF(Elect2016!O29=O29,"N","Y")</f>
        <v>N</v>
      </c>
      <c r="Q29" s="81">
        <f t="shared" si="6"/>
        <v>62</v>
      </c>
      <c r="R29" s="1">
        <f t="shared" si="6"/>
        <v>88</v>
      </c>
      <c r="S29" s="83">
        <f t="shared" si="7"/>
        <v>0.41333333333333333</v>
      </c>
      <c r="T29" s="83">
        <f t="shared" si="8"/>
        <v>0.17333333333333334</v>
      </c>
      <c r="U29" s="1" t="str">
        <f t="shared" si="9"/>
        <v>R</v>
      </c>
      <c r="V29" s="1" t="s">
        <v>18</v>
      </c>
      <c r="W29" s="1" t="str">
        <f t="shared" si="10"/>
        <v>D</v>
      </c>
      <c r="X29" s="1">
        <f>C29-Elect2016!C29</f>
        <v>1</v>
      </c>
      <c r="Y29" s="1">
        <f>J29-Elect2016!J29</f>
        <v>2</v>
      </c>
      <c r="Z29" s="1">
        <f t="shared" si="11"/>
        <v>3</v>
      </c>
    </row>
    <row r="30" spans="1:26">
      <c r="A30" s="1" t="s">
        <v>55</v>
      </c>
      <c r="B30" s="1" t="s">
        <v>41</v>
      </c>
      <c r="C30" s="81"/>
      <c r="E30" s="1" t="s">
        <v>109</v>
      </c>
      <c r="F30" s="83"/>
      <c r="J30" s="81"/>
      <c r="M30" s="83"/>
      <c r="N30" s="83"/>
      <c r="Q30" s="81"/>
      <c r="V30" s="1" t="s">
        <v>19</v>
      </c>
      <c r="X30" s="1"/>
      <c r="Y30" s="1"/>
      <c r="Z30" s="1"/>
    </row>
    <row r="31" spans="1:26">
      <c r="A31" s="1" t="s">
        <v>57</v>
      </c>
      <c r="B31" s="1" t="s">
        <v>28</v>
      </c>
      <c r="C31" s="81">
        <v>29</v>
      </c>
      <c r="D31" s="1">
        <v>13</v>
      </c>
      <c r="E31" s="1">
        <v>42</v>
      </c>
      <c r="F31" s="83">
        <f t="shared" si="0"/>
        <v>0.69047619047619047</v>
      </c>
      <c r="G31" s="26">
        <f t="shared" si="1"/>
        <v>0.38095238095238093</v>
      </c>
      <c r="H31" s="1" t="str">
        <f t="shared" si="2"/>
        <v>D</v>
      </c>
      <c r="I31" s="1" t="str">
        <f>IF(Elect2016!H31=H31,"N","Y")</f>
        <v>N</v>
      </c>
      <c r="J31" s="81">
        <v>13</v>
      </c>
      <c r="K31" s="1">
        <v>8</v>
      </c>
      <c r="L31" s="1">
        <v>21</v>
      </c>
      <c r="M31" s="83">
        <f t="shared" si="3"/>
        <v>0.61904761904761907</v>
      </c>
      <c r="N31" s="83">
        <f t="shared" si="4"/>
        <v>0.23809523809523814</v>
      </c>
      <c r="O31" s="1" t="str">
        <f t="shared" si="5"/>
        <v>D</v>
      </c>
      <c r="P31" s="1" t="str">
        <f>IF(Elect2016!O31=O31,"N","Y")</f>
        <v>N</v>
      </c>
      <c r="Q31" s="81">
        <f t="shared" si="6"/>
        <v>42</v>
      </c>
      <c r="R31" s="1">
        <f t="shared" si="6"/>
        <v>21</v>
      </c>
      <c r="S31" s="83">
        <f t="shared" si="7"/>
        <v>0.66666666666666663</v>
      </c>
      <c r="T31" s="83">
        <f t="shared" si="8"/>
        <v>0.33333333333333326</v>
      </c>
      <c r="U31" s="1" t="str">
        <f t="shared" si="9"/>
        <v>D</v>
      </c>
      <c r="V31" s="1" t="s">
        <v>18</v>
      </c>
      <c r="W31" s="1" t="str">
        <f t="shared" si="10"/>
        <v>U</v>
      </c>
      <c r="X31" s="1">
        <f>C31-Elect2016!C31</f>
        <v>2</v>
      </c>
      <c r="Y31" s="1">
        <f>J31-Elect2016!J31</f>
        <v>2</v>
      </c>
      <c r="Z31" s="1">
        <f t="shared" si="11"/>
        <v>4</v>
      </c>
    </row>
    <row r="32" spans="1:26">
      <c r="A32" s="1" t="s">
        <v>58</v>
      </c>
      <c r="B32" s="1" t="s">
        <v>34</v>
      </c>
      <c r="C32" s="81">
        <v>234</v>
      </c>
      <c r="D32" s="1">
        <v>166</v>
      </c>
      <c r="E32" s="1">
        <v>400</v>
      </c>
      <c r="F32" s="83">
        <f t="shared" si="0"/>
        <v>0.58499999999999996</v>
      </c>
      <c r="G32" s="26">
        <f t="shared" si="1"/>
        <v>0.16999999999999993</v>
      </c>
      <c r="H32" s="1" t="str">
        <f t="shared" si="2"/>
        <v>D</v>
      </c>
      <c r="I32" s="1" t="str">
        <f>IF(Elect2016!H32=H32,"N","Y")</f>
        <v>Y</v>
      </c>
      <c r="J32" s="81">
        <v>14</v>
      </c>
      <c r="K32" s="1">
        <v>10</v>
      </c>
      <c r="L32" s="1">
        <v>24</v>
      </c>
      <c r="M32" s="83">
        <f t="shared" si="3"/>
        <v>0.58333333333333337</v>
      </c>
      <c r="N32" s="83">
        <f t="shared" si="4"/>
        <v>0.16666666666666674</v>
      </c>
      <c r="O32" s="1" t="str">
        <f t="shared" si="5"/>
        <v>D</v>
      </c>
      <c r="P32" s="1" t="str">
        <f>IF(Elect2016!O32=O32,"N","Y")</f>
        <v>Y</v>
      </c>
      <c r="Q32" s="81">
        <f t="shared" si="6"/>
        <v>248</v>
      </c>
      <c r="R32" s="1">
        <f t="shared" si="6"/>
        <v>176</v>
      </c>
      <c r="S32" s="83">
        <f t="shared" si="7"/>
        <v>0.58490566037735847</v>
      </c>
      <c r="T32" s="83">
        <f t="shared" si="8"/>
        <v>0.16981132075471694</v>
      </c>
      <c r="U32" s="1" t="str">
        <f t="shared" si="9"/>
        <v>D</v>
      </c>
      <c r="V32" s="1" t="s">
        <v>19</v>
      </c>
      <c r="W32" s="1" t="str">
        <f t="shared" si="10"/>
        <v>D</v>
      </c>
      <c r="X32" s="1">
        <f>C32-Elect2016!C32</f>
        <v>59</v>
      </c>
      <c r="Y32" s="1">
        <f>J32-Elect2016!J32</f>
        <v>4</v>
      </c>
      <c r="Z32" s="1">
        <f t="shared" si="11"/>
        <v>63</v>
      </c>
    </row>
    <row r="33" spans="1:26">
      <c r="A33" s="1" t="s">
        <v>59</v>
      </c>
      <c r="B33" s="1" t="s">
        <v>34</v>
      </c>
      <c r="C33" s="81">
        <v>54</v>
      </c>
      <c r="D33" s="1">
        <v>26</v>
      </c>
      <c r="E33" s="1">
        <v>80</v>
      </c>
      <c r="F33" s="83">
        <f t="shared" si="0"/>
        <v>0.67500000000000004</v>
      </c>
      <c r="G33" s="26">
        <f t="shared" si="1"/>
        <v>0.35000000000000009</v>
      </c>
      <c r="H33" s="1" t="str">
        <f t="shared" si="2"/>
        <v>D</v>
      </c>
      <c r="I33" s="1" t="str">
        <f>IF(Elect2016!H33=H33,"N","Y")</f>
        <v>N</v>
      </c>
      <c r="J33" s="81">
        <v>25</v>
      </c>
      <c r="K33" s="1">
        <v>15</v>
      </c>
      <c r="L33" s="1">
        <v>40</v>
      </c>
      <c r="M33" s="83">
        <f t="shared" si="3"/>
        <v>0.625</v>
      </c>
      <c r="N33" s="83">
        <f t="shared" si="4"/>
        <v>0.25</v>
      </c>
      <c r="O33" s="1" t="str">
        <f t="shared" si="5"/>
        <v>D</v>
      </c>
      <c r="P33" s="1" t="str">
        <f>IF(Elect2016!O33=O33,"N","Y")</f>
        <v>N</v>
      </c>
      <c r="Q33" s="81">
        <f t="shared" si="6"/>
        <v>79</v>
      </c>
      <c r="R33" s="1">
        <f t="shared" si="6"/>
        <v>41</v>
      </c>
      <c r="S33" s="83">
        <f t="shared" si="7"/>
        <v>0.65833333333333333</v>
      </c>
      <c r="T33" s="83">
        <f t="shared" si="8"/>
        <v>0.31666666666666665</v>
      </c>
      <c r="U33" s="1" t="str">
        <f t="shared" si="9"/>
        <v>D</v>
      </c>
      <c r="V33" s="1" t="s">
        <v>18</v>
      </c>
      <c r="W33" s="1" t="str">
        <f t="shared" si="10"/>
        <v>U</v>
      </c>
      <c r="X33" s="1">
        <f>C33-Elect2016!C33</f>
        <v>2</v>
      </c>
      <c r="Y33" s="1">
        <f>J33-Elect2016!J33</f>
        <v>1</v>
      </c>
      <c r="Z33" s="1">
        <f t="shared" si="11"/>
        <v>3</v>
      </c>
    </row>
    <row r="34" spans="1:26">
      <c r="A34" s="1" t="s">
        <v>60</v>
      </c>
      <c r="B34" s="1" t="s">
        <v>28</v>
      </c>
      <c r="C34" s="81">
        <v>46</v>
      </c>
      <c r="D34" s="1">
        <v>24</v>
      </c>
      <c r="E34" s="1">
        <v>70</v>
      </c>
      <c r="F34" s="83">
        <f t="shared" si="0"/>
        <v>0.65714285714285714</v>
      </c>
      <c r="G34" s="26">
        <f t="shared" si="1"/>
        <v>0.31428571428571428</v>
      </c>
      <c r="H34" s="1" t="str">
        <f t="shared" si="2"/>
        <v>D</v>
      </c>
      <c r="I34" s="1" t="str">
        <f>IF(Elect2016!H34=H34,"N","Y")</f>
        <v>N</v>
      </c>
      <c r="J34" s="81">
        <v>26</v>
      </c>
      <c r="K34" s="1">
        <v>16</v>
      </c>
      <c r="L34" s="1">
        <v>42</v>
      </c>
      <c r="M34" s="83">
        <f t="shared" si="3"/>
        <v>0.61904761904761907</v>
      </c>
      <c r="N34" s="83">
        <f t="shared" si="4"/>
        <v>0.23809523809523814</v>
      </c>
      <c r="O34" s="1" t="str">
        <f t="shared" si="5"/>
        <v>D</v>
      </c>
      <c r="P34" s="1" t="str">
        <f>IF(Elect2016!O34=O34,"N","Y")</f>
        <v>N</v>
      </c>
      <c r="Q34" s="81">
        <f t="shared" si="6"/>
        <v>72</v>
      </c>
      <c r="R34" s="1">
        <f t="shared" si="6"/>
        <v>40</v>
      </c>
      <c r="S34" s="83">
        <f t="shared" si="7"/>
        <v>0.6428571428571429</v>
      </c>
      <c r="T34" s="83">
        <f t="shared" si="8"/>
        <v>0.28571428571428581</v>
      </c>
      <c r="U34" s="1" t="str">
        <f t="shared" si="9"/>
        <v>D</v>
      </c>
      <c r="V34" s="1" t="s">
        <v>18</v>
      </c>
      <c r="W34" s="1" t="str">
        <f t="shared" si="10"/>
        <v>U</v>
      </c>
      <c r="X34" s="1">
        <f>C34-Elect2016!C34</f>
        <v>8</v>
      </c>
      <c r="Y34" s="1">
        <f>J34-Elect2016!J34</f>
        <v>0</v>
      </c>
      <c r="Z34" s="1">
        <f t="shared" si="11"/>
        <v>8</v>
      </c>
    </row>
    <row r="35" spans="1:26">
      <c r="A35" s="1" t="s">
        <v>61</v>
      </c>
      <c r="B35" s="1" t="s">
        <v>34</v>
      </c>
      <c r="C35" s="81">
        <v>107</v>
      </c>
      <c r="D35" s="1">
        <v>43</v>
      </c>
      <c r="E35" s="1">
        <v>150</v>
      </c>
      <c r="F35" s="83">
        <f t="shared" si="0"/>
        <v>0.71333333333333337</v>
      </c>
      <c r="G35" s="26">
        <f t="shared" si="1"/>
        <v>0.42666666666666675</v>
      </c>
      <c r="H35" s="1" t="str">
        <f t="shared" si="2"/>
        <v>D</v>
      </c>
      <c r="I35" s="1" t="str">
        <f>IF(Elect2016!H35=H35,"N","Y")</f>
        <v>N</v>
      </c>
      <c r="J35" s="81">
        <v>40</v>
      </c>
      <c r="K35" s="1">
        <v>23</v>
      </c>
      <c r="L35" s="1">
        <v>63</v>
      </c>
      <c r="M35" s="83">
        <f t="shared" si="3"/>
        <v>0.63492063492063489</v>
      </c>
      <c r="N35" s="83">
        <f t="shared" si="4"/>
        <v>0.26984126984126977</v>
      </c>
      <c r="O35" s="1" t="str">
        <f t="shared" si="5"/>
        <v>D</v>
      </c>
      <c r="P35" s="1" t="str">
        <f>IF(Elect2016!O35=O35,"N","Y")</f>
        <v>N</v>
      </c>
      <c r="Q35" s="81">
        <f t="shared" si="6"/>
        <v>147</v>
      </c>
      <c r="R35" s="1">
        <f t="shared" si="6"/>
        <v>66</v>
      </c>
      <c r="S35" s="83">
        <f t="shared" si="7"/>
        <v>0.6901408450704225</v>
      </c>
      <c r="T35" s="83">
        <f t="shared" si="8"/>
        <v>0.38028169014084501</v>
      </c>
      <c r="U35" s="1" t="str">
        <f t="shared" si="9"/>
        <v>D</v>
      </c>
      <c r="V35" s="1" t="s">
        <v>18</v>
      </c>
      <c r="W35" s="1" t="str">
        <f t="shared" si="10"/>
        <v>U</v>
      </c>
      <c r="X35" s="1">
        <f>C35-Elect2016!C35</f>
        <v>0</v>
      </c>
      <c r="Y35" s="1">
        <f>J35-Elect2016!J35</f>
        <v>8</v>
      </c>
      <c r="Z35" s="1">
        <f t="shared" si="11"/>
        <v>8</v>
      </c>
    </row>
    <row r="36" spans="1:26">
      <c r="A36" s="1" t="s">
        <v>62</v>
      </c>
      <c r="B36" s="1" t="s">
        <v>26</v>
      </c>
      <c r="C36" s="81">
        <v>55</v>
      </c>
      <c r="D36" s="1">
        <v>65</v>
      </c>
      <c r="E36" s="1">
        <v>120</v>
      </c>
      <c r="F36" s="83">
        <f t="shared" si="0"/>
        <v>0.45833333333333331</v>
      </c>
      <c r="G36" s="26">
        <f t="shared" si="1"/>
        <v>8.3333333333333426E-2</v>
      </c>
      <c r="H36" s="1" t="str">
        <f t="shared" si="2"/>
        <v>R</v>
      </c>
      <c r="I36" s="1" t="str">
        <f>IF(Elect2016!H36=H36,"N","Y")</f>
        <v>N</v>
      </c>
      <c r="J36" s="81">
        <v>21</v>
      </c>
      <c r="K36" s="1">
        <v>29</v>
      </c>
      <c r="L36" s="1">
        <v>50</v>
      </c>
      <c r="M36" s="83">
        <f t="shared" si="3"/>
        <v>0.42</v>
      </c>
      <c r="N36" s="83">
        <f t="shared" si="4"/>
        <v>0.16000000000000009</v>
      </c>
      <c r="O36" s="1" t="str">
        <f t="shared" si="5"/>
        <v>R</v>
      </c>
      <c r="P36" s="1" t="str">
        <f>IF(Elect2016!O36=O36,"N","Y")</f>
        <v>N</v>
      </c>
      <c r="Q36" s="81">
        <f t="shared" si="6"/>
        <v>76</v>
      </c>
      <c r="R36" s="1">
        <f t="shared" si="6"/>
        <v>94</v>
      </c>
      <c r="S36" s="83">
        <f t="shared" si="7"/>
        <v>0.44705882352941179</v>
      </c>
      <c r="T36" s="83">
        <f t="shared" si="8"/>
        <v>0.10588235294117648</v>
      </c>
      <c r="U36" s="1" t="str">
        <f t="shared" si="9"/>
        <v>R</v>
      </c>
      <c r="V36" s="1" t="s">
        <v>18</v>
      </c>
      <c r="W36" s="1" t="str">
        <f t="shared" si="10"/>
        <v>D</v>
      </c>
      <c r="X36" s="1">
        <f>C36-Elect2016!C36</f>
        <v>9</v>
      </c>
      <c r="Y36" s="1">
        <f>J36-Elect2016!J36</f>
        <v>6</v>
      </c>
      <c r="Z36" s="1">
        <f t="shared" si="11"/>
        <v>15</v>
      </c>
    </row>
    <row r="37" spans="1:26">
      <c r="A37" s="1" t="s">
        <v>63</v>
      </c>
      <c r="B37" s="1" t="s">
        <v>41</v>
      </c>
      <c r="C37" s="81">
        <v>15</v>
      </c>
      <c r="D37" s="1">
        <v>79</v>
      </c>
      <c r="E37" s="1">
        <v>94</v>
      </c>
      <c r="F37" s="83">
        <f t="shared" si="0"/>
        <v>0.15957446808510639</v>
      </c>
      <c r="G37" s="26">
        <f t="shared" si="1"/>
        <v>0.68085106382978733</v>
      </c>
      <c r="H37" s="1" t="str">
        <f t="shared" si="2"/>
        <v>R</v>
      </c>
      <c r="I37" s="1" t="str">
        <f>IF(Elect2016!H37=H37,"N","Y")</f>
        <v>N</v>
      </c>
      <c r="J37" s="81">
        <v>10</v>
      </c>
      <c r="K37" s="1">
        <v>37</v>
      </c>
      <c r="L37" s="1">
        <v>47</v>
      </c>
      <c r="M37" s="83">
        <f t="shared" si="3"/>
        <v>0.21276595744680851</v>
      </c>
      <c r="N37" s="83">
        <f t="shared" si="4"/>
        <v>0.57446808510638303</v>
      </c>
      <c r="O37" s="1" t="str">
        <f t="shared" si="5"/>
        <v>R</v>
      </c>
      <c r="P37" s="1" t="str">
        <f>IF(Elect2016!O37=O37,"N","Y")</f>
        <v>N</v>
      </c>
      <c r="Q37" s="81">
        <f t="shared" si="6"/>
        <v>25</v>
      </c>
      <c r="R37" s="1">
        <f t="shared" si="6"/>
        <v>116</v>
      </c>
      <c r="S37" s="83">
        <f t="shared" si="7"/>
        <v>0.1773049645390071</v>
      </c>
      <c r="T37" s="83">
        <f t="shared" si="8"/>
        <v>0.64539007092198575</v>
      </c>
      <c r="U37" s="1" t="str">
        <f t="shared" si="9"/>
        <v>R</v>
      </c>
      <c r="V37" s="1" t="s">
        <v>19</v>
      </c>
      <c r="W37" s="1" t="str">
        <f t="shared" si="10"/>
        <v>U</v>
      </c>
      <c r="X37" s="1">
        <f>C37-Elect2016!C37</f>
        <v>2</v>
      </c>
      <c r="Y37" s="1">
        <f>J37-Elect2016!J37</f>
        <v>1</v>
      </c>
      <c r="Z37" s="1">
        <f t="shared" si="11"/>
        <v>3</v>
      </c>
    </row>
    <row r="38" spans="1:26">
      <c r="A38" s="1" t="s">
        <v>64</v>
      </c>
      <c r="B38" s="1" t="s">
        <v>41</v>
      </c>
      <c r="C38" s="81">
        <v>38</v>
      </c>
      <c r="D38" s="1">
        <v>61</v>
      </c>
      <c r="E38" s="1">
        <v>99</v>
      </c>
      <c r="F38" s="83">
        <f t="shared" si="0"/>
        <v>0.38383838383838381</v>
      </c>
      <c r="G38" s="26">
        <f t="shared" si="1"/>
        <v>0.23232323232323232</v>
      </c>
      <c r="H38" s="1" t="str">
        <f t="shared" si="2"/>
        <v>R</v>
      </c>
      <c r="I38" s="1" t="str">
        <f>IF(Elect2016!H38=H38,"N","Y")</f>
        <v>N</v>
      </c>
      <c r="J38" s="81">
        <v>9</v>
      </c>
      <c r="K38" s="1">
        <v>24</v>
      </c>
      <c r="L38" s="1">
        <v>33</v>
      </c>
      <c r="M38" s="83">
        <f t="shared" si="3"/>
        <v>0.27272727272727271</v>
      </c>
      <c r="N38" s="83">
        <f t="shared" si="4"/>
        <v>0.45454545454545459</v>
      </c>
      <c r="O38" s="1" t="str">
        <f t="shared" si="5"/>
        <v>R</v>
      </c>
      <c r="P38" s="1" t="str">
        <f>IF(Elect2016!O38=O38,"N","Y")</f>
        <v>N</v>
      </c>
      <c r="Q38" s="81">
        <f t="shared" si="6"/>
        <v>47</v>
      </c>
      <c r="R38" s="1">
        <f t="shared" si="6"/>
        <v>85</v>
      </c>
      <c r="S38" s="83">
        <f t="shared" si="7"/>
        <v>0.35606060606060608</v>
      </c>
      <c r="T38" s="83">
        <f t="shared" si="8"/>
        <v>0.28787878787878785</v>
      </c>
      <c r="U38" s="1" t="str">
        <f t="shared" si="9"/>
        <v>R</v>
      </c>
      <c r="V38" s="1" t="s">
        <v>19</v>
      </c>
      <c r="W38" s="1" t="str">
        <f t="shared" si="10"/>
        <v>U</v>
      </c>
      <c r="X38" s="1">
        <f>C38-Elect2016!C38</f>
        <v>5</v>
      </c>
      <c r="Y38" s="1">
        <f>J38-Elect2016!J38</f>
        <v>0</v>
      </c>
      <c r="Z38" s="1">
        <f t="shared" si="11"/>
        <v>5</v>
      </c>
    </row>
    <row r="39" spans="1:26">
      <c r="A39" s="1" t="s">
        <v>65</v>
      </c>
      <c r="B39" s="1" t="s">
        <v>26</v>
      </c>
      <c r="C39" s="81">
        <v>25</v>
      </c>
      <c r="D39" s="1">
        <v>76</v>
      </c>
      <c r="E39" s="1">
        <v>101</v>
      </c>
      <c r="F39" s="83">
        <f t="shared" si="0"/>
        <v>0.24752475247524752</v>
      </c>
      <c r="G39" s="26">
        <f t="shared" si="1"/>
        <v>0.50495049504950495</v>
      </c>
      <c r="H39" s="1" t="str">
        <f t="shared" si="2"/>
        <v>R</v>
      </c>
      <c r="I39" s="1" t="str">
        <f>IF(Elect2016!H39=H39,"N","Y")</f>
        <v>N</v>
      </c>
      <c r="J39" s="81">
        <v>9</v>
      </c>
      <c r="K39" s="1">
        <v>39</v>
      </c>
      <c r="L39" s="1">
        <v>48</v>
      </c>
      <c r="M39" s="83">
        <f t="shared" si="3"/>
        <v>0.1875</v>
      </c>
      <c r="N39" s="83">
        <f t="shared" si="4"/>
        <v>0.625</v>
      </c>
      <c r="O39" s="1" t="str">
        <f t="shared" si="5"/>
        <v>R</v>
      </c>
      <c r="P39" s="1" t="str">
        <f>IF(Elect2016!O39=O39,"N","Y")</f>
        <v>N</v>
      </c>
      <c r="Q39" s="81">
        <f t="shared" si="6"/>
        <v>34</v>
      </c>
      <c r="R39" s="1">
        <f t="shared" si="6"/>
        <v>115</v>
      </c>
      <c r="S39" s="83">
        <f t="shared" si="7"/>
        <v>0.22818791946308725</v>
      </c>
      <c r="T39" s="83">
        <f t="shared" si="8"/>
        <v>0.5436241610738255</v>
      </c>
      <c r="U39" s="1" t="str">
        <f t="shared" si="9"/>
        <v>R</v>
      </c>
      <c r="V39" s="1" t="s">
        <v>19</v>
      </c>
      <c r="W39" s="1" t="str">
        <f t="shared" si="10"/>
        <v>U</v>
      </c>
      <c r="X39" s="1">
        <f>C39-Elect2016!C39</f>
        <v>-1</v>
      </c>
      <c r="Y39" s="1">
        <f>J39-Elect2016!J39</f>
        <v>3</v>
      </c>
      <c r="Z39" s="1">
        <f t="shared" si="11"/>
        <v>2</v>
      </c>
    </row>
    <row r="40" spans="1:26">
      <c r="A40" s="1" t="s">
        <v>66</v>
      </c>
      <c r="B40" s="1" t="s">
        <v>28</v>
      </c>
      <c r="C40" s="81">
        <v>38</v>
      </c>
      <c r="D40" s="1">
        <v>22</v>
      </c>
      <c r="E40" s="1">
        <v>60</v>
      </c>
      <c r="F40" s="83">
        <f t="shared" si="0"/>
        <v>0.6333333333333333</v>
      </c>
      <c r="G40" s="26">
        <f t="shared" si="1"/>
        <v>0.26666666666666661</v>
      </c>
      <c r="H40" s="1" t="str">
        <f t="shared" si="2"/>
        <v>D</v>
      </c>
      <c r="I40" s="1" t="str">
        <f>IF(Elect2016!H40=H40,"N","Y")</f>
        <v>N</v>
      </c>
      <c r="J40" s="81">
        <v>18</v>
      </c>
      <c r="K40" s="1">
        <v>12</v>
      </c>
      <c r="L40" s="1">
        <v>30</v>
      </c>
      <c r="M40" s="83">
        <f t="shared" si="3"/>
        <v>0.6</v>
      </c>
      <c r="N40" s="83">
        <f t="shared" si="4"/>
        <v>0.19999999999999996</v>
      </c>
      <c r="O40" s="1" t="str">
        <f t="shared" si="5"/>
        <v>D</v>
      </c>
      <c r="P40" s="1" t="str">
        <f>IF(Elect2016!O40=O40,"N","Y")</f>
        <v>N</v>
      </c>
      <c r="Q40" s="81">
        <f t="shared" si="6"/>
        <v>56</v>
      </c>
      <c r="R40" s="1">
        <f t="shared" si="6"/>
        <v>34</v>
      </c>
      <c r="S40" s="83">
        <f t="shared" si="7"/>
        <v>0.62222222222222223</v>
      </c>
      <c r="T40" s="83">
        <f t="shared" si="8"/>
        <v>0.24444444444444446</v>
      </c>
      <c r="U40" s="1" t="str">
        <f t="shared" si="9"/>
        <v>D</v>
      </c>
      <c r="V40" s="1" t="s">
        <v>18</v>
      </c>
      <c r="W40" s="1" t="str">
        <f t="shared" si="10"/>
        <v>U</v>
      </c>
      <c r="X40" s="1">
        <f>C40-Elect2016!C40</f>
        <v>3</v>
      </c>
      <c r="Y40" s="1">
        <f>J40-Elect2016!J40</f>
        <v>1</v>
      </c>
      <c r="Z40" s="1">
        <f t="shared" si="11"/>
        <v>4</v>
      </c>
    </row>
    <row r="41" spans="1:26">
      <c r="A41" s="1" t="s">
        <v>68</v>
      </c>
      <c r="B41" s="1" t="s">
        <v>34</v>
      </c>
      <c r="C41" s="81">
        <v>93</v>
      </c>
      <c r="D41" s="1">
        <v>110</v>
      </c>
      <c r="E41" s="1">
        <v>203</v>
      </c>
      <c r="F41" s="83">
        <f t="shared" si="0"/>
        <v>0.45812807881773399</v>
      </c>
      <c r="G41" s="26">
        <f t="shared" si="1"/>
        <v>8.3743842364532028E-2</v>
      </c>
      <c r="H41" s="1" t="str">
        <f t="shared" si="2"/>
        <v>R</v>
      </c>
      <c r="I41" s="1" t="str">
        <f>IF(Elect2016!H41=H41,"N","Y")</f>
        <v>N</v>
      </c>
      <c r="J41" s="81">
        <v>21</v>
      </c>
      <c r="K41" s="1">
        <v>29</v>
      </c>
      <c r="L41" s="1">
        <v>50</v>
      </c>
      <c r="M41" s="83">
        <f t="shared" si="3"/>
        <v>0.42</v>
      </c>
      <c r="N41" s="83">
        <f t="shared" si="4"/>
        <v>0.16000000000000009</v>
      </c>
      <c r="O41" s="1" t="str">
        <f t="shared" si="5"/>
        <v>R</v>
      </c>
      <c r="P41" s="1" t="str">
        <f>IF(Elect2016!O41=O41,"N","Y")</f>
        <v>N</v>
      </c>
      <c r="Q41" s="81">
        <f t="shared" si="6"/>
        <v>114</v>
      </c>
      <c r="R41" s="1">
        <f t="shared" si="6"/>
        <v>139</v>
      </c>
      <c r="S41" s="83">
        <f t="shared" si="7"/>
        <v>0.45059288537549408</v>
      </c>
      <c r="T41" s="83">
        <f t="shared" si="8"/>
        <v>9.8814229249011787E-2</v>
      </c>
      <c r="U41" s="1" t="str">
        <f t="shared" si="9"/>
        <v>R</v>
      </c>
      <c r="V41" s="1" t="s">
        <v>18</v>
      </c>
      <c r="W41" s="1" t="str">
        <f t="shared" si="10"/>
        <v>D</v>
      </c>
      <c r="X41" s="1">
        <f>C41-Elect2016!C41</f>
        <v>12</v>
      </c>
      <c r="Y41" s="1">
        <f>J41-Elect2016!J41</f>
        <v>5</v>
      </c>
      <c r="Z41" s="1">
        <f t="shared" si="11"/>
        <v>17</v>
      </c>
    </row>
    <row r="42" spans="1:26">
      <c r="A42" s="1" t="s">
        <v>69</v>
      </c>
      <c r="B42" s="1" t="s">
        <v>34</v>
      </c>
      <c r="C42" s="81">
        <v>66</v>
      </c>
      <c r="D42" s="1">
        <v>9</v>
      </c>
      <c r="E42" s="1">
        <v>75</v>
      </c>
      <c r="F42" s="83">
        <f t="shared" si="0"/>
        <v>0.88</v>
      </c>
      <c r="G42" s="26">
        <f t="shared" si="1"/>
        <v>0.76</v>
      </c>
      <c r="H42" s="1" t="str">
        <f t="shared" si="2"/>
        <v>D</v>
      </c>
      <c r="I42" s="1" t="str">
        <f>IF(Elect2016!H42=H42,"N","Y")</f>
        <v>N</v>
      </c>
      <c r="J42" s="81">
        <v>33</v>
      </c>
      <c r="K42" s="1">
        <v>5</v>
      </c>
      <c r="L42" s="1">
        <v>38</v>
      </c>
      <c r="M42" s="83">
        <f t="shared" si="3"/>
        <v>0.86842105263157898</v>
      </c>
      <c r="N42" s="83">
        <f t="shared" si="4"/>
        <v>0.73684210526315796</v>
      </c>
      <c r="O42" s="1" t="str">
        <f t="shared" si="5"/>
        <v>D</v>
      </c>
      <c r="P42" s="1" t="str">
        <f>IF(Elect2016!O42=O42,"N","Y")</f>
        <v>N</v>
      </c>
      <c r="Q42" s="81">
        <f t="shared" si="6"/>
        <v>99</v>
      </c>
      <c r="R42" s="1">
        <f t="shared" si="6"/>
        <v>14</v>
      </c>
      <c r="S42" s="83">
        <f t="shared" si="7"/>
        <v>0.87610619469026552</v>
      </c>
      <c r="T42" s="83">
        <f t="shared" si="8"/>
        <v>0.75221238938053103</v>
      </c>
      <c r="U42" s="1" t="str">
        <f t="shared" si="9"/>
        <v>D</v>
      </c>
      <c r="V42" s="1" t="s">
        <v>18</v>
      </c>
      <c r="W42" s="1" t="str">
        <f t="shared" si="10"/>
        <v>U</v>
      </c>
      <c r="X42" s="1">
        <f>C42-Elect2016!C42</f>
        <v>2</v>
      </c>
      <c r="Y42" s="1">
        <f>J42-Elect2016!J42</f>
        <v>0</v>
      </c>
      <c r="Z42" s="1">
        <f t="shared" si="11"/>
        <v>2</v>
      </c>
    </row>
    <row r="43" spans="1:26">
      <c r="A43" s="1" t="s">
        <v>70</v>
      </c>
      <c r="B43" s="1" t="s">
        <v>26</v>
      </c>
      <c r="C43" s="81">
        <v>44</v>
      </c>
      <c r="D43" s="1">
        <v>80</v>
      </c>
      <c r="E43" s="1">
        <v>124</v>
      </c>
      <c r="F43" s="83">
        <f t="shared" si="0"/>
        <v>0.35483870967741937</v>
      </c>
      <c r="G43" s="26">
        <f t="shared" si="1"/>
        <v>0.29032258064516125</v>
      </c>
      <c r="H43" s="1" t="str">
        <f t="shared" si="2"/>
        <v>R</v>
      </c>
      <c r="I43" s="1" t="str">
        <f>IF(Elect2016!H43=H43,"N","Y")</f>
        <v>N</v>
      </c>
      <c r="J43" s="81">
        <v>19</v>
      </c>
      <c r="K43" s="1">
        <v>27</v>
      </c>
      <c r="L43" s="1">
        <v>46</v>
      </c>
      <c r="M43" s="83">
        <f t="shared" si="3"/>
        <v>0.41304347826086957</v>
      </c>
      <c r="N43" s="83">
        <f t="shared" si="4"/>
        <v>0.17391304347826081</v>
      </c>
      <c r="O43" s="1" t="str">
        <f t="shared" si="5"/>
        <v>R</v>
      </c>
      <c r="P43" s="1" t="str">
        <f>IF(Elect2016!O43=O43,"N","Y")</f>
        <v>N</v>
      </c>
      <c r="Q43" s="81">
        <f t="shared" si="6"/>
        <v>63</v>
      </c>
      <c r="R43" s="1">
        <f t="shared" si="6"/>
        <v>107</v>
      </c>
      <c r="S43" s="83">
        <f t="shared" si="7"/>
        <v>0.37058823529411766</v>
      </c>
      <c r="T43" s="83">
        <f t="shared" si="8"/>
        <v>0.25882352941176467</v>
      </c>
      <c r="U43" s="1" t="str">
        <f t="shared" si="9"/>
        <v>R</v>
      </c>
      <c r="V43" s="1" t="s">
        <v>19</v>
      </c>
      <c r="W43" s="1" t="str">
        <f t="shared" si="10"/>
        <v>U</v>
      </c>
      <c r="X43" s="1">
        <f>C43-Elect2016!C43</f>
        <v>0</v>
      </c>
      <c r="Y43" s="1">
        <f>J43-Elect2016!J43</f>
        <v>1</v>
      </c>
      <c r="Z43" s="1">
        <f t="shared" si="11"/>
        <v>1</v>
      </c>
    </row>
    <row r="44" spans="1:26">
      <c r="A44" s="1" t="s">
        <v>71</v>
      </c>
      <c r="B44" s="1" t="s">
        <v>41</v>
      </c>
      <c r="C44" s="81">
        <v>11</v>
      </c>
      <c r="D44" s="1">
        <v>59</v>
      </c>
      <c r="E44" s="1">
        <v>70</v>
      </c>
      <c r="F44" s="83">
        <f t="shared" si="0"/>
        <v>0.15714285714285714</v>
      </c>
      <c r="G44" s="26">
        <f t="shared" si="1"/>
        <v>0.68571428571428572</v>
      </c>
      <c r="H44" s="1" t="str">
        <f t="shared" si="2"/>
        <v>R</v>
      </c>
      <c r="I44" s="1" t="str">
        <f>IF(Elect2016!H44=H44,"N","Y")</f>
        <v>N</v>
      </c>
      <c r="J44" s="81">
        <v>5</v>
      </c>
      <c r="K44" s="1">
        <v>30</v>
      </c>
      <c r="L44" s="1">
        <v>35</v>
      </c>
      <c r="M44" s="83">
        <f t="shared" si="3"/>
        <v>0.14285714285714285</v>
      </c>
      <c r="N44" s="83">
        <f t="shared" si="4"/>
        <v>0.71428571428571441</v>
      </c>
      <c r="O44" s="1" t="str">
        <f t="shared" si="5"/>
        <v>R</v>
      </c>
      <c r="P44" s="1" t="str">
        <f>IF(Elect2016!O44=O44,"N","Y")</f>
        <v>N</v>
      </c>
      <c r="Q44" s="81">
        <f t="shared" si="6"/>
        <v>16</v>
      </c>
      <c r="R44" s="1">
        <f t="shared" si="6"/>
        <v>89</v>
      </c>
      <c r="S44" s="83">
        <f t="shared" si="7"/>
        <v>0.15238095238095239</v>
      </c>
      <c r="T44" s="83">
        <f t="shared" si="8"/>
        <v>0.69523809523809521</v>
      </c>
      <c r="U44" s="1" t="str">
        <f t="shared" si="9"/>
        <v>R</v>
      </c>
      <c r="V44" s="1" t="s">
        <v>19</v>
      </c>
      <c r="W44" s="1" t="str">
        <f t="shared" si="10"/>
        <v>U</v>
      </c>
      <c r="X44" s="1">
        <f>C44-Elect2016!C44</f>
        <v>1</v>
      </c>
      <c r="Y44" s="1">
        <f>J44-Elect2016!J44</f>
        <v>-1</v>
      </c>
      <c r="Z44" s="1">
        <f t="shared" si="11"/>
        <v>0</v>
      </c>
    </row>
    <row r="45" spans="1:26">
      <c r="A45" s="1" t="s">
        <v>72</v>
      </c>
      <c r="B45" s="1" t="s">
        <v>26</v>
      </c>
      <c r="C45" s="81">
        <v>26</v>
      </c>
      <c r="D45" s="1">
        <v>73</v>
      </c>
      <c r="E45" s="1">
        <v>99</v>
      </c>
      <c r="F45" s="83">
        <f t="shared" si="0"/>
        <v>0.26262626262626265</v>
      </c>
      <c r="G45" s="26">
        <f t="shared" si="1"/>
        <v>0.4747474747474747</v>
      </c>
      <c r="H45" s="1" t="str">
        <f t="shared" si="2"/>
        <v>R</v>
      </c>
      <c r="I45" s="1" t="str">
        <f>IF(Elect2016!H45=H45,"N","Y")</f>
        <v>N</v>
      </c>
      <c r="J45" s="81">
        <v>5</v>
      </c>
      <c r="K45" s="1">
        <v>28</v>
      </c>
      <c r="L45" s="1">
        <v>33</v>
      </c>
      <c r="M45" s="83">
        <f t="shared" si="3"/>
        <v>0.15151515151515152</v>
      </c>
      <c r="N45" s="83">
        <f t="shared" si="4"/>
        <v>0.69696969696969702</v>
      </c>
      <c r="O45" s="1" t="str">
        <f t="shared" si="5"/>
        <v>R</v>
      </c>
      <c r="P45" s="1" t="str">
        <f>IF(Elect2016!O45=O45,"N","Y")</f>
        <v>N</v>
      </c>
      <c r="Q45" s="81">
        <f t="shared" si="6"/>
        <v>31</v>
      </c>
      <c r="R45" s="1">
        <f t="shared" si="6"/>
        <v>101</v>
      </c>
      <c r="S45" s="83">
        <f t="shared" si="7"/>
        <v>0.23484848484848486</v>
      </c>
      <c r="T45" s="83">
        <f t="shared" si="8"/>
        <v>0.53030303030303028</v>
      </c>
      <c r="U45" s="1" t="str">
        <f t="shared" si="9"/>
        <v>R</v>
      </c>
      <c r="V45" s="1" t="s">
        <v>19</v>
      </c>
      <c r="W45" s="1" t="str">
        <f t="shared" si="10"/>
        <v>U</v>
      </c>
      <c r="X45" s="1">
        <f>C45-Elect2016!C45</f>
        <v>1</v>
      </c>
      <c r="Y45" s="1">
        <f>J45-Elect2016!J45</f>
        <v>0</v>
      </c>
      <c r="Z45" s="1">
        <f t="shared" si="11"/>
        <v>1</v>
      </c>
    </row>
    <row r="46" spans="1:26">
      <c r="A46" s="1" t="s">
        <v>73</v>
      </c>
      <c r="B46" s="1" t="s">
        <v>26</v>
      </c>
      <c r="C46" s="81">
        <v>67</v>
      </c>
      <c r="D46" s="1">
        <v>83</v>
      </c>
      <c r="E46" s="1">
        <v>150</v>
      </c>
      <c r="F46" s="83">
        <f t="shared" si="0"/>
        <v>0.44666666666666666</v>
      </c>
      <c r="G46" s="26">
        <f t="shared" si="1"/>
        <v>0.10666666666666669</v>
      </c>
      <c r="H46" s="1" t="str">
        <f t="shared" si="2"/>
        <v>R</v>
      </c>
      <c r="I46" s="1" t="str">
        <f>IF(Elect2016!H46=H46,"N","Y")</f>
        <v>N</v>
      </c>
      <c r="J46" s="81">
        <v>12</v>
      </c>
      <c r="K46" s="1">
        <v>19</v>
      </c>
      <c r="L46" s="1">
        <v>31</v>
      </c>
      <c r="M46" s="83">
        <f t="shared" si="3"/>
        <v>0.38709677419354838</v>
      </c>
      <c r="N46" s="83">
        <f t="shared" si="4"/>
        <v>0.22580645161290325</v>
      </c>
      <c r="O46" s="1" t="str">
        <f t="shared" si="5"/>
        <v>R</v>
      </c>
      <c r="P46" s="1" t="str">
        <f>IF(Elect2016!O46=O46,"N","Y")</f>
        <v>N</v>
      </c>
      <c r="Q46" s="81">
        <f t="shared" si="6"/>
        <v>79</v>
      </c>
      <c r="R46" s="1">
        <f t="shared" si="6"/>
        <v>102</v>
      </c>
      <c r="S46" s="83">
        <f t="shared" si="7"/>
        <v>0.43646408839779005</v>
      </c>
      <c r="T46" s="83">
        <f t="shared" si="8"/>
        <v>0.1270718232044199</v>
      </c>
      <c r="U46" s="1" t="str">
        <f t="shared" si="9"/>
        <v>R</v>
      </c>
      <c r="V46" s="1" t="s">
        <v>19</v>
      </c>
      <c r="W46" s="1" t="str">
        <f t="shared" si="10"/>
        <v>U</v>
      </c>
      <c r="X46" s="1">
        <f>C46-Elect2016!C46</f>
        <v>11</v>
      </c>
      <c r="Y46" s="1">
        <f>J46-Elect2016!J46</f>
        <v>1</v>
      </c>
      <c r="Z46" s="1">
        <f t="shared" si="11"/>
        <v>12</v>
      </c>
    </row>
    <row r="47" spans="1:26">
      <c r="A47" s="1" t="s">
        <v>74</v>
      </c>
      <c r="B47" s="1" t="s">
        <v>28</v>
      </c>
      <c r="C47" s="81">
        <v>17</v>
      </c>
      <c r="D47" s="1">
        <v>58</v>
      </c>
      <c r="E47" s="1">
        <v>75</v>
      </c>
      <c r="F47" s="83">
        <f t="shared" si="0"/>
        <v>0.22666666666666666</v>
      </c>
      <c r="G47" s="26">
        <f t="shared" si="1"/>
        <v>0.54666666666666663</v>
      </c>
      <c r="H47" s="1" t="str">
        <f t="shared" si="2"/>
        <v>R</v>
      </c>
      <c r="I47" s="1" t="str">
        <f>IF(Elect2016!H47=H47,"N","Y")</f>
        <v>N</v>
      </c>
      <c r="J47" s="81">
        <v>6</v>
      </c>
      <c r="K47" s="1">
        <v>23</v>
      </c>
      <c r="L47" s="1">
        <v>29</v>
      </c>
      <c r="M47" s="83">
        <f t="shared" si="3"/>
        <v>0.20689655172413793</v>
      </c>
      <c r="N47" s="83">
        <f t="shared" si="4"/>
        <v>0.5862068965517242</v>
      </c>
      <c r="O47" s="1" t="str">
        <f t="shared" si="5"/>
        <v>R</v>
      </c>
      <c r="P47" s="1" t="str">
        <f>IF(Elect2016!O47=O47,"N","Y")</f>
        <v>N</v>
      </c>
      <c r="Q47" s="81">
        <f t="shared" si="6"/>
        <v>23</v>
      </c>
      <c r="R47" s="1">
        <f t="shared" si="6"/>
        <v>81</v>
      </c>
      <c r="S47" s="83">
        <f t="shared" si="7"/>
        <v>0.22115384615384615</v>
      </c>
      <c r="T47" s="83">
        <f t="shared" si="8"/>
        <v>0.55769230769230771</v>
      </c>
      <c r="U47" s="1" t="str">
        <f t="shared" si="9"/>
        <v>R</v>
      </c>
      <c r="V47" s="1" t="s">
        <v>19</v>
      </c>
      <c r="W47" s="1" t="str">
        <f t="shared" si="10"/>
        <v>U</v>
      </c>
      <c r="X47" s="1">
        <f>C47-Elect2016!C47</f>
        <v>4</v>
      </c>
      <c r="Y47" s="1">
        <f>J47-Elect2016!J47</f>
        <v>1</v>
      </c>
      <c r="Z47" s="1">
        <f t="shared" si="11"/>
        <v>5</v>
      </c>
    </row>
    <row r="48" spans="1:26">
      <c r="A48" s="1" t="s">
        <v>75</v>
      </c>
      <c r="B48" s="1" t="s">
        <v>34</v>
      </c>
      <c r="C48" s="81">
        <v>95</v>
      </c>
      <c r="D48" s="1">
        <v>43</v>
      </c>
      <c r="E48" s="1">
        <v>150</v>
      </c>
      <c r="F48" s="83">
        <f t="shared" si="0"/>
        <v>0.6333333333333333</v>
      </c>
      <c r="G48" s="26">
        <f t="shared" si="1"/>
        <v>0.26666666666666661</v>
      </c>
      <c r="H48" s="1" t="str">
        <f t="shared" si="2"/>
        <v>D</v>
      </c>
      <c r="I48" s="1" t="str">
        <f>IF(Elect2016!H48=H48,"N","Y")</f>
        <v>N</v>
      </c>
      <c r="J48" s="81">
        <v>22</v>
      </c>
      <c r="K48" s="1">
        <v>6</v>
      </c>
      <c r="L48" s="1">
        <v>30</v>
      </c>
      <c r="M48" s="83">
        <f t="shared" si="3"/>
        <v>0.73333333333333328</v>
      </c>
      <c r="N48" s="83">
        <f t="shared" si="4"/>
        <v>0.46666666666666656</v>
      </c>
      <c r="O48" s="1" t="str">
        <f t="shared" si="5"/>
        <v>D</v>
      </c>
      <c r="P48" s="1" t="str">
        <f>IF(Elect2016!O48=O48,"N","Y")</f>
        <v>N</v>
      </c>
      <c r="Q48" s="81">
        <f t="shared" si="6"/>
        <v>117</v>
      </c>
      <c r="R48" s="1">
        <f t="shared" si="6"/>
        <v>49</v>
      </c>
      <c r="S48" s="83">
        <f t="shared" si="7"/>
        <v>0.65</v>
      </c>
      <c r="T48" s="83">
        <f t="shared" si="8"/>
        <v>0.30000000000000004</v>
      </c>
      <c r="U48" s="1" t="str">
        <f t="shared" si="9"/>
        <v>D</v>
      </c>
      <c r="V48" s="1" t="s">
        <v>19</v>
      </c>
      <c r="W48" s="1" t="str">
        <f t="shared" si="10"/>
        <v>D</v>
      </c>
      <c r="X48" s="1">
        <f>C48-Elect2016!C48</f>
        <v>4</v>
      </c>
      <c r="Y48" s="1">
        <f>J48-Elect2016!J48</f>
        <v>-1</v>
      </c>
      <c r="Z48" s="1">
        <f t="shared" si="11"/>
        <v>3</v>
      </c>
    </row>
    <row r="49" spans="1:26">
      <c r="A49" s="1" t="s">
        <v>76</v>
      </c>
      <c r="B49" s="1" t="s">
        <v>26</v>
      </c>
      <c r="C49" s="81">
        <v>49</v>
      </c>
      <c r="D49" s="1">
        <v>51</v>
      </c>
      <c r="E49" s="1">
        <v>100</v>
      </c>
      <c r="F49" s="83">
        <f t="shared" si="0"/>
        <v>0.49</v>
      </c>
      <c r="G49" s="26">
        <f t="shared" si="1"/>
        <v>2.0000000000000018E-2</v>
      </c>
      <c r="H49" s="1" t="str">
        <f t="shared" si="2"/>
        <v>R</v>
      </c>
      <c r="I49" s="1" t="str">
        <f>IF(Elect2016!H49=H49,"N","Y")</f>
        <v>N</v>
      </c>
      <c r="J49" s="81">
        <v>19</v>
      </c>
      <c r="K49" s="1">
        <v>21</v>
      </c>
      <c r="L49" s="1">
        <v>40</v>
      </c>
      <c r="M49" s="83">
        <f t="shared" si="3"/>
        <v>0.47499999999999998</v>
      </c>
      <c r="N49" s="83">
        <f t="shared" si="4"/>
        <v>5.0000000000000044E-2</v>
      </c>
      <c r="O49" s="1" t="str">
        <f t="shared" si="5"/>
        <v>R</v>
      </c>
      <c r="P49" s="1" t="str">
        <f>IF(Elect2016!O49=O49,"N","Y")</f>
        <v>N</v>
      </c>
      <c r="Q49" s="81">
        <f t="shared" si="6"/>
        <v>68</v>
      </c>
      <c r="R49" s="1">
        <f t="shared" si="6"/>
        <v>72</v>
      </c>
      <c r="S49" s="83">
        <f t="shared" si="7"/>
        <v>0.48571428571428571</v>
      </c>
      <c r="T49" s="83">
        <f t="shared" si="8"/>
        <v>2.8571428571428525E-2</v>
      </c>
      <c r="U49" s="1" t="str">
        <f t="shared" si="9"/>
        <v>R</v>
      </c>
      <c r="V49" s="1" t="s">
        <v>18</v>
      </c>
      <c r="W49" s="1" t="str">
        <f t="shared" si="10"/>
        <v>D</v>
      </c>
      <c r="X49" s="1">
        <f>C49-Elect2016!C49</f>
        <v>15</v>
      </c>
      <c r="Y49" s="1">
        <f>J49-Elect2016!J49</f>
        <v>0</v>
      </c>
      <c r="Z49" s="1">
        <f t="shared" si="11"/>
        <v>15</v>
      </c>
    </row>
    <row r="50" spans="1:26">
      <c r="A50" s="1" t="s">
        <v>77</v>
      </c>
      <c r="B50" s="1" t="s">
        <v>28</v>
      </c>
      <c r="C50" s="81">
        <v>57</v>
      </c>
      <c r="D50" s="1">
        <v>41</v>
      </c>
      <c r="E50" s="1">
        <v>98</v>
      </c>
      <c r="F50" s="83">
        <f t="shared" si="0"/>
        <v>0.58163265306122447</v>
      </c>
      <c r="G50" s="26">
        <f t="shared" si="1"/>
        <v>0.16326530612244894</v>
      </c>
      <c r="H50" s="1" t="str">
        <f t="shared" si="2"/>
        <v>D</v>
      </c>
      <c r="I50" s="1" t="str">
        <f>IF(Elect2016!H50=H50,"N","Y")</f>
        <v>N</v>
      </c>
      <c r="J50" s="81">
        <v>28</v>
      </c>
      <c r="K50" s="1">
        <v>21</v>
      </c>
      <c r="L50" s="1">
        <v>49</v>
      </c>
      <c r="M50" s="83">
        <f t="shared" si="3"/>
        <v>0.5714285714285714</v>
      </c>
      <c r="N50" s="83">
        <f t="shared" si="4"/>
        <v>0.14285714285714279</v>
      </c>
      <c r="O50" s="1" t="str">
        <f t="shared" si="5"/>
        <v>D</v>
      </c>
      <c r="P50" s="1" t="str">
        <f>IF(Elect2016!O50=O50,"N","Y")</f>
        <v>N</v>
      </c>
      <c r="Q50" s="81">
        <f t="shared" si="6"/>
        <v>85</v>
      </c>
      <c r="R50" s="1">
        <f t="shared" si="6"/>
        <v>62</v>
      </c>
      <c r="S50" s="83">
        <f t="shared" si="7"/>
        <v>0.57823129251700678</v>
      </c>
      <c r="T50" s="83">
        <f t="shared" si="8"/>
        <v>0.15646258503401356</v>
      </c>
      <c r="U50" s="1" t="str">
        <f t="shared" si="9"/>
        <v>D</v>
      </c>
      <c r="V50" s="1" t="s">
        <v>18</v>
      </c>
      <c r="W50" s="1" t="str">
        <f t="shared" si="10"/>
        <v>U</v>
      </c>
      <c r="X50" s="1">
        <f>C50-Elect2016!C50</f>
        <v>7</v>
      </c>
      <c r="Y50" s="1">
        <f>J50-Elect2016!J50</f>
        <v>3</v>
      </c>
      <c r="Z50" s="1">
        <f t="shared" si="11"/>
        <v>10</v>
      </c>
    </row>
    <row r="51" spans="1:26">
      <c r="A51" s="1" t="s">
        <v>78</v>
      </c>
      <c r="B51" s="1" t="s">
        <v>26</v>
      </c>
      <c r="C51" s="81">
        <v>41</v>
      </c>
      <c r="D51" s="1">
        <v>59</v>
      </c>
      <c r="E51" s="1">
        <v>100</v>
      </c>
      <c r="F51" s="83">
        <f t="shared" si="0"/>
        <v>0.41</v>
      </c>
      <c r="G51" s="26">
        <f t="shared" si="1"/>
        <v>0.1800000000000001</v>
      </c>
      <c r="H51" s="1" t="str">
        <f t="shared" si="2"/>
        <v>R</v>
      </c>
      <c r="I51" s="1" t="str">
        <f>IF(Elect2016!H51=H51,"N","Y")</f>
        <v>N</v>
      </c>
      <c r="J51" s="81">
        <v>14</v>
      </c>
      <c r="K51" s="1">
        <v>20</v>
      </c>
      <c r="L51" s="1">
        <v>34</v>
      </c>
      <c r="M51" s="83">
        <f t="shared" si="3"/>
        <v>0.41176470588235292</v>
      </c>
      <c r="N51" s="83">
        <f t="shared" si="4"/>
        <v>0.17647058823529416</v>
      </c>
      <c r="O51" s="1" t="str">
        <f t="shared" si="5"/>
        <v>R</v>
      </c>
      <c r="P51" s="1" t="str">
        <f>IF(Elect2016!O51=O51,"N","Y")</f>
        <v>N</v>
      </c>
      <c r="Q51" s="81">
        <f t="shared" si="6"/>
        <v>55</v>
      </c>
      <c r="R51" s="1">
        <f t="shared" si="6"/>
        <v>79</v>
      </c>
      <c r="S51" s="83">
        <f t="shared" si="7"/>
        <v>0.41044776119402987</v>
      </c>
      <c r="T51" s="83">
        <f t="shared" si="8"/>
        <v>0.17910447761194032</v>
      </c>
      <c r="U51" s="1" t="str">
        <f t="shared" si="9"/>
        <v>R</v>
      </c>
      <c r="V51" s="1" t="s">
        <v>19</v>
      </c>
      <c r="W51" s="1" t="str">
        <f t="shared" si="10"/>
        <v>U</v>
      </c>
      <c r="X51" s="1">
        <f>C51-Elect2016!C51</f>
        <v>4</v>
      </c>
      <c r="Y51" s="1">
        <f>J51-Elect2016!J51</f>
        <v>2</v>
      </c>
      <c r="Z51" s="1">
        <f t="shared" si="11"/>
        <v>6</v>
      </c>
    </row>
    <row r="52" spans="1:26">
      <c r="A52" s="1" t="s">
        <v>79</v>
      </c>
      <c r="B52" s="1" t="s">
        <v>41</v>
      </c>
      <c r="C52" s="81">
        <v>35</v>
      </c>
      <c r="D52" s="1">
        <v>64</v>
      </c>
      <c r="E52" s="1">
        <v>99</v>
      </c>
      <c r="F52" s="83">
        <f t="shared" si="0"/>
        <v>0.35353535353535354</v>
      </c>
      <c r="G52" s="26">
        <f t="shared" si="1"/>
        <v>0.29292929292929287</v>
      </c>
      <c r="H52" s="1" t="str">
        <f t="shared" si="2"/>
        <v>R</v>
      </c>
      <c r="I52" s="1" t="str">
        <f>IF(Elect2016!H52=H52,"N","Y")</f>
        <v>N</v>
      </c>
      <c r="J52" s="81">
        <v>14</v>
      </c>
      <c r="K52" s="1">
        <v>19</v>
      </c>
      <c r="L52" s="1">
        <v>33</v>
      </c>
      <c r="M52" s="83">
        <f t="shared" si="3"/>
        <v>0.42424242424242425</v>
      </c>
      <c r="N52" s="83">
        <f t="shared" si="4"/>
        <v>0.15151515151515144</v>
      </c>
      <c r="O52" s="1" t="str">
        <f t="shared" si="5"/>
        <v>R</v>
      </c>
      <c r="P52" s="1" t="str">
        <f>IF(Elect2016!O52=O52,"N","Y")</f>
        <v>N</v>
      </c>
      <c r="Q52" s="81">
        <f t="shared" si="6"/>
        <v>49</v>
      </c>
      <c r="R52" s="1">
        <f t="shared" si="6"/>
        <v>83</v>
      </c>
      <c r="S52" s="83">
        <f t="shared" si="7"/>
        <v>0.37121212121212122</v>
      </c>
      <c r="T52" s="83">
        <f t="shared" si="8"/>
        <v>0.25757575757575757</v>
      </c>
      <c r="U52" s="1" t="str">
        <f t="shared" si="9"/>
        <v>R</v>
      </c>
      <c r="V52" s="1" t="s">
        <v>18</v>
      </c>
      <c r="W52" s="1" t="str">
        <f t="shared" si="10"/>
        <v>D</v>
      </c>
      <c r="X52" s="1">
        <f>C52-Elect2016!C52</f>
        <v>0</v>
      </c>
      <c r="Y52" s="1">
        <f>J52-Elect2016!J52</f>
        <v>1</v>
      </c>
      <c r="Z52" s="1">
        <f t="shared" si="11"/>
        <v>1</v>
      </c>
    </row>
    <row r="53" spans="1:26" ht="16" thickBot="1">
      <c r="A53" s="84" t="s">
        <v>80</v>
      </c>
      <c r="B53" s="84" t="s">
        <v>28</v>
      </c>
      <c r="C53" s="85">
        <v>9</v>
      </c>
      <c r="D53" s="84">
        <v>50</v>
      </c>
      <c r="E53" s="84">
        <v>60</v>
      </c>
      <c r="F53" s="86">
        <f t="shared" si="0"/>
        <v>0.15</v>
      </c>
      <c r="G53" s="87">
        <f t="shared" si="1"/>
        <v>0.7</v>
      </c>
      <c r="H53" s="84" t="str">
        <f t="shared" si="2"/>
        <v>R</v>
      </c>
      <c r="I53" s="84" t="str">
        <f>IF(Elect2016!H53=H53,"N","Y")</f>
        <v>N</v>
      </c>
      <c r="J53" s="85">
        <v>3</v>
      </c>
      <c r="K53" s="84">
        <v>27</v>
      </c>
      <c r="L53" s="84">
        <v>30</v>
      </c>
      <c r="M53" s="86">
        <f t="shared" si="3"/>
        <v>0.1</v>
      </c>
      <c r="N53" s="86">
        <f t="shared" si="4"/>
        <v>0.8</v>
      </c>
      <c r="O53" s="84" t="str">
        <f t="shared" si="5"/>
        <v>R</v>
      </c>
      <c r="P53" s="84" t="str">
        <f>IF(Elect2016!O53=O53,"N","Y")</f>
        <v>N</v>
      </c>
      <c r="Q53" s="85">
        <f t="shared" si="6"/>
        <v>12</v>
      </c>
      <c r="R53" s="84">
        <f t="shared" si="6"/>
        <v>77</v>
      </c>
      <c r="S53" s="86">
        <f t="shared" si="7"/>
        <v>0.13333333333333333</v>
      </c>
      <c r="T53" s="86">
        <f t="shared" si="8"/>
        <v>0.73333333333333339</v>
      </c>
      <c r="U53" s="84" t="str">
        <f t="shared" si="9"/>
        <v>R</v>
      </c>
      <c r="V53" s="84" t="s">
        <v>19</v>
      </c>
      <c r="W53" s="84" t="str">
        <f t="shared" si="10"/>
        <v>U</v>
      </c>
      <c r="X53" s="84">
        <f>C53-Elect2016!C53</f>
        <v>0</v>
      </c>
      <c r="Y53" s="84">
        <f>J53-Elect2016!J53</f>
        <v>0</v>
      </c>
      <c r="Z53" s="84">
        <f t="shared" si="11"/>
        <v>0</v>
      </c>
    </row>
    <row r="54" spans="1:26">
      <c r="A54" s="1" t="s">
        <v>81</v>
      </c>
      <c r="C54" s="81">
        <f>SUM(C4:C53)</f>
        <v>2600</v>
      </c>
      <c r="D54" s="1">
        <f>SUM(D4:D53)</f>
        <v>2789</v>
      </c>
      <c r="E54" s="1">
        <v>5411</v>
      </c>
      <c r="F54" s="83">
        <f>C54/E54</f>
        <v>0.48050267972648308</v>
      </c>
      <c r="J54" s="81">
        <f>SUM(J4:J53)</f>
        <v>862</v>
      </c>
      <c r="K54" s="1">
        <f>SUM(K4:K53)</f>
        <v>1059</v>
      </c>
      <c r="L54" s="1">
        <v>1923</v>
      </c>
      <c r="M54" s="83">
        <f>J54/L54</f>
        <v>0.44825793031721267</v>
      </c>
      <c r="Q54" s="81">
        <f>SUM(Q4:Q53)</f>
        <v>3462</v>
      </c>
      <c r="R54" s="1">
        <f>SUM(R4:R53)</f>
        <v>3848</v>
      </c>
      <c r="S54" s="83">
        <f>Q54/(E54+L54)</f>
        <v>0.47204799563676031</v>
      </c>
      <c r="T54" s="83">
        <f>AVERAGE(T4:T53)</f>
        <v>0.32957452166693924</v>
      </c>
      <c r="X54" s="1">
        <f>SUM(X4:X53)</f>
        <v>259</v>
      </c>
      <c r="Y54" s="1">
        <f>SUM(Y4:Y53)</f>
        <v>66</v>
      </c>
      <c r="Z54" s="1">
        <f>SUM(Z4:Z53)</f>
        <v>325</v>
      </c>
    </row>
    <row r="56" spans="1:26" ht="13">
      <c r="A56" s="1" t="s">
        <v>113</v>
      </c>
      <c r="D56" s="82"/>
      <c r="E56" s="82"/>
      <c r="F56" s="82"/>
      <c r="G56" s="88"/>
      <c r="H56" s="82"/>
      <c r="I56" s="82"/>
      <c r="J56" s="82"/>
      <c r="K56" s="82"/>
      <c r="L56" s="82"/>
      <c r="N56" s="82"/>
      <c r="O56" s="82"/>
      <c r="P56" s="82"/>
      <c r="Q56" s="82"/>
      <c r="R56" s="82"/>
      <c r="S56" s="88"/>
      <c r="T56" s="88"/>
    </row>
    <row r="57" spans="1:26">
      <c r="A57" s="1" t="s">
        <v>83</v>
      </c>
      <c r="C57" s="1">
        <f>SUM(C7,C4,C12,C13,C20:C21,C23,C27,C36,C39,C43,C45,C46,C49,C51)</f>
        <v>704</v>
      </c>
      <c r="D57" s="82"/>
      <c r="E57" s="1">
        <v>1767</v>
      </c>
      <c r="F57" s="1">
        <f>C57/E57</f>
        <v>0.3984153933220147</v>
      </c>
      <c r="G57" s="88"/>
      <c r="H57" s="82"/>
      <c r="I57" s="82"/>
      <c r="J57" s="1">
        <f>SUM(J4,J7,J12:J13,J20:J21,J23,J27,J36,J39,J43,J45:J46,J49,J51)</f>
        <v>229</v>
      </c>
      <c r="K57" s="82"/>
      <c r="L57" s="1">
        <v>624</v>
      </c>
      <c r="M57" s="1">
        <f>J57/L57</f>
        <v>0.36698717948717946</v>
      </c>
      <c r="N57" s="82"/>
      <c r="O57" s="82"/>
      <c r="P57" s="82"/>
      <c r="Q57" s="1">
        <f>C57+J57</f>
        <v>933</v>
      </c>
      <c r="S57" s="83">
        <f>Q57/(E57+L57)</f>
        <v>0.39021329987452946</v>
      </c>
      <c r="T57" s="88"/>
    </row>
    <row r="58" spans="1:26">
      <c r="A58" s="1" t="s">
        <v>84</v>
      </c>
      <c r="C58" s="1">
        <f>SUM(C5:C6,C8:C11,C14:C19,C22,C24,C25:C26,C28:C29,C31:C35,C37:C38,C40:C42,C44,C47:C48,C50,C52:C53)</f>
        <v>1896</v>
      </c>
      <c r="D58" s="82"/>
      <c r="E58" s="1">
        <v>3644</v>
      </c>
      <c r="F58" s="1">
        <f>C58/E58</f>
        <v>0.52030735455543364</v>
      </c>
      <c r="G58" s="88"/>
      <c r="H58" s="82"/>
      <c r="I58" s="82"/>
      <c r="J58" s="1">
        <v>633</v>
      </c>
      <c r="K58" s="82"/>
      <c r="L58" s="1">
        <v>1299</v>
      </c>
      <c r="M58" s="1">
        <f t="shared" ref="M58:M61" si="12">J58/L58</f>
        <v>0.48729792147806006</v>
      </c>
      <c r="N58" s="82"/>
      <c r="O58" s="82"/>
      <c r="P58" s="82"/>
      <c r="Q58" s="1">
        <f t="shared" ref="Q58:Q61" si="13">C58+J58</f>
        <v>2529</v>
      </c>
      <c r="S58" s="83">
        <f t="shared" ref="S58:S61" si="14">Q58/(E58+L58)</f>
        <v>0.51163261177422614</v>
      </c>
      <c r="T58" s="88"/>
    </row>
    <row r="59" spans="1:26">
      <c r="A59" s="1" t="s">
        <v>85</v>
      </c>
      <c r="B59" s="82"/>
      <c r="C59" s="1">
        <f>SUM(C10:C11,C22,C24,C32:C33,C35,C41:C42,C48)</f>
        <v>983</v>
      </c>
      <c r="D59" s="82"/>
      <c r="E59" s="1">
        <v>1561</v>
      </c>
      <c r="F59" s="1">
        <f t="shared" ref="F59:F61" si="15">C59/E59</f>
        <v>0.62972453555413199</v>
      </c>
      <c r="G59" s="88"/>
      <c r="H59" s="82"/>
      <c r="I59" s="82"/>
      <c r="J59" s="1">
        <f>SUM(J10:J11,J22,J24,J32:J33,J35,J41:J42,J48)</f>
        <v>246</v>
      </c>
      <c r="K59" s="82"/>
      <c r="L59" s="1">
        <v>377</v>
      </c>
      <c r="M59" s="1">
        <f t="shared" si="12"/>
        <v>0.65251989389920428</v>
      </c>
      <c r="N59" s="82"/>
      <c r="O59" s="82"/>
      <c r="P59" s="82"/>
      <c r="Q59" s="1">
        <f t="shared" si="13"/>
        <v>1229</v>
      </c>
      <c r="S59" s="83">
        <f t="shared" si="14"/>
        <v>0.6341589267285862</v>
      </c>
      <c r="T59" s="88"/>
    </row>
    <row r="60" spans="1:26">
      <c r="A60" s="1" t="s">
        <v>86</v>
      </c>
      <c r="B60" s="82"/>
      <c r="C60" s="1">
        <f>SUM(C16:C19,C25:C26,C28,C37:C38,C52,C44)</f>
        <v>466</v>
      </c>
      <c r="D60" s="82"/>
      <c r="E60" s="1">
        <v>1212</v>
      </c>
      <c r="F60" s="1">
        <f t="shared" si="15"/>
        <v>0.38448844884488448</v>
      </c>
      <c r="G60" s="88"/>
      <c r="H60" s="82"/>
      <c r="I60" s="82"/>
      <c r="J60" s="1">
        <f>SUM(J16:J19,J25:J26,J28,J37:J38,J52,J44)</f>
        <v>174</v>
      </c>
      <c r="K60" s="82"/>
      <c r="L60" s="1">
        <v>486</v>
      </c>
      <c r="M60" s="1">
        <f t="shared" si="12"/>
        <v>0.35802469135802467</v>
      </c>
      <c r="N60" s="82"/>
      <c r="O60" s="82"/>
      <c r="P60" s="82"/>
      <c r="Q60" s="1">
        <f t="shared" si="13"/>
        <v>640</v>
      </c>
      <c r="S60" s="83">
        <f t="shared" si="14"/>
        <v>0.37691401648998824</v>
      </c>
      <c r="T60" s="88"/>
    </row>
    <row r="61" spans="1:26">
      <c r="A61" s="1" t="s">
        <v>87</v>
      </c>
      <c r="B61" s="82"/>
      <c r="C61" s="1">
        <f>SUM(C5:C6,C8:C9,C14:C15,C29,C31,C34,C40,C47,C53,C50)</f>
        <v>447</v>
      </c>
      <c r="D61" s="82"/>
      <c r="E61" s="1">
        <v>871</v>
      </c>
      <c r="F61" s="1">
        <f t="shared" si="15"/>
        <v>0.51320321469575203</v>
      </c>
      <c r="G61" s="88"/>
      <c r="H61" s="82"/>
      <c r="I61" s="82"/>
      <c r="J61" s="1">
        <f>SUM(J53,J50,J47,J40,J34,J31,J29,J5:J6,J8:J9,J14:J15)</f>
        <v>213</v>
      </c>
      <c r="K61" s="82"/>
      <c r="L61" s="1">
        <v>436</v>
      </c>
      <c r="M61" s="1">
        <f t="shared" si="12"/>
        <v>0.48853211009174313</v>
      </c>
      <c r="N61" s="82"/>
      <c r="O61" s="82"/>
      <c r="P61" s="82"/>
      <c r="Q61" s="1">
        <f t="shared" si="13"/>
        <v>660</v>
      </c>
      <c r="S61" s="83">
        <f t="shared" si="14"/>
        <v>0.504973221117062</v>
      </c>
      <c r="T61" s="88"/>
    </row>
    <row r="62" spans="1:26" ht="13">
      <c r="A62" s="82"/>
      <c r="B62" s="82"/>
      <c r="C62" s="82"/>
      <c r="D62" s="82"/>
      <c r="E62" s="82"/>
      <c r="F62" s="82"/>
      <c r="G62" s="88"/>
      <c r="H62" s="82"/>
      <c r="I62" s="82"/>
      <c r="J62" s="82"/>
      <c r="K62" s="82"/>
      <c r="L62" s="82"/>
      <c r="N62" s="82"/>
      <c r="O62" s="82"/>
      <c r="P62" s="82"/>
      <c r="Q62" s="82"/>
      <c r="R62" s="82"/>
      <c r="S62" s="88"/>
      <c r="T62" s="88"/>
    </row>
    <row r="63" spans="1:26" ht="13">
      <c r="A63" s="82"/>
      <c r="B63" s="82"/>
      <c r="C63" s="82"/>
      <c r="D63" s="82"/>
      <c r="E63" s="82"/>
      <c r="F63" s="82"/>
      <c r="G63" s="88"/>
      <c r="H63" s="82"/>
      <c r="I63" s="82"/>
      <c r="J63" s="82"/>
      <c r="K63" s="82"/>
      <c r="L63" s="82"/>
      <c r="N63" s="82"/>
      <c r="O63" s="82"/>
      <c r="P63" s="82"/>
      <c r="Q63" s="82"/>
      <c r="R63" s="82"/>
      <c r="S63" s="88"/>
      <c r="T63" s="88"/>
    </row>
    <row r="64" spans="1:26" ht="13">
      <c r="A64" s="50" t="s">
        <v>114</v>
      </c>
      <c r="B64" s="50"/>
      <c r="C64" s="50" t="s">
        <v>89</v>
      </c>
      <c r="D64" s="50"/>
      <c r="E64" s="50" t="s">
        <v>26</v>
      </c>
      <c r="F64" s="50" t="s">
        <v>90</v>
      </c>
      <c r="G64" s="88"/>
      <c r="H64" s="82"/>
      <c r="I64" s="82"/>
      <c r="J64" s="82"/>
      <c r="K64" s="82"/>
      <c r="L64" s="82"/>
      <c r="N64" s="82"/>
      <c r="O64" s="82"/>
      <c r="P64" s="82"/>
      <c r="Q64" s="82"/>
      <c r="R64" s="82"/>
      <c r="S64" s="88"/>
      <c r="T64" s="88"/>
    </row>
    <row r="65" spans="1:20" ht="13">
      <c r="A65" s="1" t="s">
        <v>81</v>
      </c>
      <c r="C65" s="37">
        <f>C54-Elect2016!C54</f>
        <v>259</v>
      </c>
      <c r="D65" s="82"/>
      <c r="E65" s="37">
        <f>J54-Elect2016!J54</f>
        <v>66</v>
      </c>
      <c r="F65" s="37">
        <f>SUM(C65,E65)</f>
        <v>325</v>
      </c>
      <c r="G65" s="88"/>
      <c r="H65" s="82"/>
      <c r="I65" s="82"/>
      <c r="J65" s="82"/>
      <c r="K65" s="82"/>
      <c r="L65" s="82"/>
      <c r="N65" s="82"/>
      <c r="O65" s="82"/>
      <c r="P65" s="82"/>
      <c r="Q65" s="82"/>
      <c r="R65" s="82"/>
      <c r="S65" s="88"/>
      <c r="T65" s="88"/>
    </row>
    <row r="66" spans="1:20" ht="13">
      <c r="A66" s="1" t="s">
        <v>83</v>
      </c>
      <c r="C66" s="37">
        <f>C57-Elect2016!C57</f>
        <v>60</v>
      </c>
      <c r="D66" s="82"/>
      <c r="E66" s="37">
        <f>J57-Elect2016!J57</f>
        <v>15</v>
      </c>
      <c r="F66" s="37">
        <f t="shared" ref="F66:F69" si="16">SUM(C66,E66)</f>
        <v>75</v>
      </c>
      <c r="G66" s="88"/>
      <c r="H66" s="82"/>
      <c r="I66" s="82"/>
      <c r="J66" s="82"/>
      <c r="K66" s="82"/>
      <c r="L66" s="82"/>
      <c r="N66" s="82"/>
      <c r="O66" s="82"/>
      <c r="P66" s="82"/>
      <c r="Q66" s="82"/>
      <c r="R66" s="82"/>
      <c r="S66" s="88"/>
      <c r="T66" s="88"/>
    </row>
    <row r="67" spans="1:20" ht="13">
      <c r="A67" s="1" t="s">
        <v>85</v>
      </c>
      <c r="C67" s="37">
        <f>C59-Elect2016!C59</f>
        <v>108</v>
      </c>
      <c r="D67" s="82"/>
      <c r="E67" s="37">
        <f>J59-Elect2016!J59</f>
        <v>28</v>
      </c>
      <c r="F67" s="37">
        <f t="shared" si="16"/>
        <v>136</v>
      </c>
      <c r="G67" s="88"/>
      <c r="H67" s="82"/>
      <c r="I67" s="82"/>
      <c r="J67" s="82"/>
      <c r="K67" s="82"/>
      <c r="L67" s="82"/>
      <c r="N67" s="82"/>
      <c r="O67" s="82"/>
      <c r="P67" s="82"/>
      <c r="Q67" s="82"/>
      <c r="R67" s="82"/>
      <c r="S67" s="88"/>
      <c r="T67" s="88"/>
    </row>
    <row r="68" spans="1:20" ht="13">
      <c r="A68" s="1" t="s">
        <v>86</v>
      </c>
      <c r="C68" s="37">
        <f>C60-Elect2016!C60</f>
        <v>47</v>
      </c>
      <c r="D68" s="82"/>
      <c r="E68" s="37">
        <f>J60-Elect2016!J60</f>
        <v>9</v>
      </c>
      <c r="F68" s="37">
        <f t="shared" si="16"/>
        <v>56</v>
      </c>
      <c r="G68" s="88"/>
      <c r="H68" s="82"/>
      <c r="I68" s="82"/>
      <c r="J68" s="82"/>
      <c r="K68" s="82"/>
      <c r="L68" s="82"/>
      <c r="N68" s="82"/>
      <c r="O68" s="82"/>
      <c r="P68" s="82"/>
      <c r="Q68" s="82"/>
      <c r="R68" s="82"/>
      <c r="S68" s="88"/>
      <c r="T68" s="88"/>
    </row>
    <row r="69" spans="1:20" ht="13">
      <c r="A69" s="1" t="s">
        <v>87</v>
      </c>
      <c r="C69" s="37">
        <f>C61-Elect2016!C61</f>
        <v>44</v>
      </c>
      <c r="D69" s="82"/>
      <c r="E69" s="37">
        <f>J61-Elect2016!J61</f>
        <v>14</v>
      </c>
      <c r="F69" s="37">
        <f t="shared" si="16"/>
        <v>58</v>
      </c>
      <c r="G69" s="88"/>
      <c r="H69" s="82"/>
      <c r="I69" s="82"/>
      <c r="J69" s="82"/>
      <c r="K69" s="82"/>
      <c r="L69" s="82"/>
      <c r="N69" s="82"/>
      <c r="O69" s="82"/>
      <c r="P69" s="82"/>
      <c r="Q69" s="82"/>
      <c r="R69" s="82"/>
      <c r="S69" s="88"/>
      <c r="T69" s="88"/>
    </row>
    <row r="70" spans="1:20" ht="13">
      <c r="A70" s="82"/>
      <c r="B70" s="82"/>
      <c r="C70" s="82"/>
      <c r="D70" s="82"/>
      <c r="E70" s="82"/>
      <c r="F70" s="82"/>
      <c r="G70" s="88"/>
      <c r="H70" s="82"/>
      <c r="I70" s="82"/>
      <c r="J70" s="82"/>
      <c r="K70" s="82"/>
      <c r="L70" s="82"/>
      <c r="N70" s="82"/>
      <c r="O70" s="82"/>
      <c r="P70" s="82"/>
      <c r="Q70" s="82"/>
      <c r="R70" s="82"/>
      <c r="S70" s="88"/>
      <c r="T70" s="88"/>
    </row>
    <row r="71" spans="1:20" ht="13">
      <c r="A71" s="82"/>
      <c r="B71" s="82"/>
      <c r="C71" s="82"/>
      <c r="D71" s="82"/>
      <c r="E71" s="82"/>
      <c r="F71" s="82"/>
      <c r="G71" s="88"/>
      <c r="H71" s="82"/>
      <c r="I71" s="82"/>
      <c r="J71" s="82"/>
      <c r="K71" s="82"/>
      <c r="L71" s="82"/>
      <c r="N71" s="82"/>
      <c r="O71" s="82"/>
      <c r="P71" s="82"/>
      <c r="Q71" s="82"/>
      <c r="R71" s="82"/>
      <c r="S71" s="88"/>
      <c r="T71" s="88"/>
    </row>
    <row r="72" spans="1:20" ht="13">
      <c r="A72" s="1" t="s">
        <v>91</v>
      </c>
      <c r="F72" s="1">
        <v>13</v>
      </c>
      <c r="G72" s="88"/>
      <c r="H72" s="82"/>
      <c r="I72" s="82"/>
      <c r="J72" s="82"/>
      <c r="K72" s="82"/>
      <c r="L72" s="82"/>
      <c r="N72" s="82"/>
      <c r="O72" s="82"/>
      <c r="P72" s="82"/>
      <c r="Q72" s="82"/>
      <c r="R72" s="82"/>
      <c r="S72" s="88"/>
      <c r="T72" s="88"/>
    </row>
    <row r="73" spans="1:20" ht="13">
      <c r="G73" s="88"/>
      <c r="H73" s="82"/>
      <c r="I73" s="82"/>
      <c r="J73" s="82"/>
      <c r="K73" s="82"/>
      <c r="L73" s="82"/>
      <c r="N73" s="82"/>
      <c r="O73" s="82"/>
      <c r="P73" s="82"/>
      <c r="Q73" s="82"/>
      <c r="R73" s="82"/>
      <c r="S73" s="88"/>
      <c r="T73" s="88"/>
    </row>
    <row r="74" spans="1:20" ht="13">
      <c r="A74" s="1" t="s">
        <v>92</v>
      </c>
      <c r="C74" s="1">
        <v>2</v>
      </c>
      <c r="E74" s="1">
        <v>4</v>
      </c>
      <c r="F74" s="1">
        <v>6</v>
      </c>
      <c r="G74" s="88"/>
      <c r="H74" s="82"/>
      <c r="I74" s="82"/>
      <c r="J74" s="82"/>
      <c r="K74" s="82"/>
      <c r="L74" s="82"/>
      <c r="N74" s="82"/>
      <c r="O74" s="82"/>
      <c r="P74" s="82"/>
      <c r="Q74" s="82"/>
      <c r="R74" s="82"/>
      <c r="S74" s="88"/>
      <c r="T74" s="88"/>
    </row>
    <row r="75" spans="1:20" ht="13">
      <c r="A75" s="82"/>
      <c r="B75" s="82"/>
      <c r="C75" s="82"/>
      <c r="D75" s="82"/>
      <c r="E75" s="82"/>
      <c r="F75" s="82"/>
      <c r="G75" s="88"/>
      <c r="H75" s="1" t="s">
        <v>110</v>
      </c>
      <c r="I75" s="82"/>
      <c r="J75" s="82"/>
      <c r="K75" s="82"/>
      <c r="L75" s="82"/>
      <c r="N75" s="82"/>
      <c r="O75" s="82"/>
      <c r="P75" s="82"/>
      <c r="Q75" s="82"/>
      <c r="R75" s="82"/>
      <c r="S75" s="88"/>
      <c r="T75" s="88"/>
    </row>
    <row r="76" spans="1:20" ht="13">
      <c r="A76" s="1" t="s">
        <v>115</v>
      </c>
      <c r="C76" s="1">
        <v>19</v>
      </c>
      <c r="E76" s="1">
        <v>18</v>
      </c>
      <c r="F76" s="1">
        <v>18</v>
      </c>
      <c r="G76" s="88"/>
      <c r="H76" s="1">
        <v>37</v>
      </c>
      <c r="I76" s="82"/>
      <c r="J76" s="82"/>
      <c r="K76" s="82"/>
      <c r="L76" s="82"/>
      <c r="N76" s="82"/>
      <c r="O76" s="82"/>
      <c r="P76" s="82"/>
      <c r="Q76" s="82"/>
      <c r="R76" s="82"/>
      <c r="S76" s="88"/>
      <c r="T76" s="88"/>
    </row>
    <row r="77" spans="1:20" ht="13">
      <c r="A77" s="1" t="s">
        <v>116</v>
      </c>
      <c r="C77" s="1">
        <v>30</v>
      </c>
      <c r="E77" s="1">
        <v>31</v>
      </c>
      <c r="F77" s="1">
        <v>30</v>
      </c>
      <c r="G77" s="88"/>
      <c r="H77" s="1">
        <v>61</v>
      </c>
      <c r="I77" s="82"/>
      <c r="J77" s="82"/>
      <c r="K77" s="82"/>
      <c r="L77" s="82"/>
      <c r="N77" s="82"/>
      <c r="O77" s="82"/>
      <c r="P77" s="82"/>
      <c r="Q77" s="82"/>
      <c r="R77" s="82"/>
      <c r="S77" s="88"/>
      <c r="T77" s="88"/>
    </row>
    <row r="78" spans="1:20" ht="13">
      <c r="A78" s="1" t="s">
        <v>95</v>
      </c>
      <c r="F78" s="1">
        <v>1</v>
      </c>
      <c r="G78" s="88"/>
      <c r="H78" s="82"/>
      <c r="I78" s="82"/>
      <c r="J78" s="82"/>
      <c r="K78" s="82"/>
      <c r="L78" s="82"/>
      <c r="N78" s="82"/>
      <c r="O78" s="82"/>
      <c r="P78" s="82"/>
      <c r="Q78" s="82"/>
      <c r="R78" s="82"/>
      <c r="S78" s="88"/>
      <c r="T78" s="88"/>
    </row>
    <row r="79" spans="1:20" ht="13">
      <c r="A79" s="82"/>
      <c r="B79" s="82"/>
      <c r="C79" s="82"/>
      <c r="D79" s="82"/>
      <c r="E79" s="82"/>
      <c r="F79" s="82"/>
      <c r="G79" s="88"/>
      <c r="H79" s="82"/>
      <c r="I79" s="82"/>
      <c r="J79" s="82"/>
      <c r="K79" s="82"/>
      <c r="L79" s="82"/>
      <c r="N79" s="82"/>
      <c r="O79" s="82"/>
      <c r="P79" s="82"/>
      <c r="Q79" s="82"/>
      <c r="R79" s="82"/>
      <c r="S79" s="88"/>
      <c r="T79" s="88"/>
    </row>
    <row r="80" spans="1:20" ht="13">
      <c r="A80" s="1" t="s">
        <v>117</v>
      </c>
      <c r="F80" s="1">
        <v>23</v>
      </c>
      <c r="G80" s="88"/>
      <c r="H80" s="82"/>
      <c r="I80" s="82"/>
      <c r="J80" s="82"/>
      <c r="K80" s="82"/>
      <c r="L80" s="82"/>
      <c r="N80" s="82"/>
      <c r="O80" s="82"/>
      <c r="P80" s="82"/>
      <c r="Q80" s="82"/>
      <c r="R80" s="82"/>
      <c r="S80" s="88"/>
      <c r="T80" s="88"/>
    </row>
    <row r="81" spans="1:20" ht="13">
      <c r="A81" s="82"/>
      <c r="B81" s="82"/>
      <c r="C81" s="82"/>
      <c r="D81" s="82"/>
      <c r="E81" s="82"/>
      <c r="F81" s="82"/>
      <c r="G81" s="88"/>
      <c r="H81" s="82"/>
      <c r="I81" s="82"/>
      <c r="J81" s="82"/>
      <c r="K81" s="82"/>
      <c r="L81" s="82"/>
      <c r="N81" s="82"/>
      <c r="O81" s="82"/>
      <c r="P81" s="82"/>
      <c r="Q81" s="82"/>
      <c r="R81" s="82"/>
      <c r="S81" s="88"/>
      <c r="T81" s="88"/>
    </row>
    <row r="82" spans="1:20" ht="13">
      <c r="A82" s="82"/>
      <c r="B82" s="82"/>
      <c r="C82" s="82"/>
      <c r="D82" s="82"/>
      <c r="E82" s="82"/>
      <c r="F82" s="82"/>
      <c r="G82" s="88"/>
      <c r="H82" s="82"/>
      <c r="I82" s="82"/>
      <c r="J82" s="82"/>
      <c r="K82" s="82"/>
      <c r="L82" s="82"/>
      <c r="N82" s="82"/>
      <c r="O82" s="82"/>
      <c r="P82" s="82"/>
      <c r="Q82" s="82"/>
      <c r="R82" s="82"/>
      <c r="S82" s="88"/>
      <c r="T82" s="88"/>
    </row>
    <row r="83" spans="1:20" ht="13">
      <c r="A83" s="1" t="s">
        <v>97</v>
      </c>
      <c r="D83" s="82"/>
      <c r="E83" s="82"/>
      <c r="F83" s="82"/>
      <c r="G83" s="88"/>
      <c r="H83" s="82"/>
      <c r="I83" s="82"/>
      <c r="J83" s="82"/>
      <c r="K83" s="82"/>
      <c r="L83" s="82"/>
      <c r="N83" s="82"/>
      <c r="O83" s="82"/>
      <c r="P83" s="82"/>
      <c r="Q83" s="82"/>
      <c r="R83" s="82"/>
      <c r="S83" s="88"/>
      <c r="T83" s="88"/>
    </row>
    <row r="84" spans="1:20" ht="13">
      <c r="A84" s="1" t="s">
        <v>83</v>
      </c>
      <c r="C84" s="16">
        <f>AVERAGE(G4,G7,G12:G13,G20:G21,G23,G27,G36,G39,G43,G45:G46,G49,G51)</f>
        <v>0.27476401298535241</v>
      </c>
      <c r="D84" s="82"/>
      <c r="E84" s="16">
        <f>AVERAGE(N4,N7,N12:N13,N20:N21,N23,N27,N36,N39,N43,N45:N46,N49,N51)</f>
        <v>0.32822663988903505</v>
      </c>
      <c r="F84" s="16">
        <f>AVERAGE(T4,T7,T12:T13,T20:T21,T23,T27,T36,T39,T43,T45:T46,T49,T51)</f>
        <v>0.28878194642722982</v>
      </c>
      <c r="G84" s="88"/>
      <c r="H84" s="82"/>
      <c r="I84" s="82"/>
      <c r="J84" s="82"/>
      <c r="K84" s="82"/>
      <c r="L84" s="82"/>
      <c r="N84" s="82"/>
      <c r="O84" s="82"/>
      <c r="P84" s="82"/>
      <c r="Q84" s="82"/>
      <c r="R84" s="82"/>
      <c r="S84" s="88"/>
      <c r="T84" s="88"/>
    </row>
    <row r="85" spans="1:20" ht="13">
      <c r="A85" s="1" t="s">
        <v>84</v>
      </c>
      <c r="C85" s="16">
        <f>AVERAGE(G5:G6,G8:G11,G14:G19,G22,G24,G25,G26,G28:G29,G31,G32,G33,G34,G35,G37:G38,G40,G41,G42,G44,G47,G48,G50,G52,G53)</f>
        <v>0.34159315988773986</v>
      </c>
      <c r="D85" s="82"/>
      <c r="E85" s="16">
        <f>AVERAGE(N5:N6,N8:N11,N14:N19,N22,N24,N25,N26,N28:N29,N31,N32,N33,N34,N35,N37:N38,N40,N41,N42,N44,N47,N48,N50,N52,N53)</f>
        <v>0.37017178658754479</v>
      </c>
      <c r="F85" s="16">
        <f>AVERAGE(T5:T6,T8:T11,T14:T19,T22, T24,T25,T26,T28:T29,T31,T32,T33,T34,T35,T37:T38,T40,T41,T42,T44,T47,T48,T50,T52,T53)</f>
        <v>0.34757124603739925</v>
      </c>
      <c r="G85" s="88"/>
      <c r="H85" s="82"/>
      <c r="I85" s="82"/>
      <c r="J85" s="82"/>
      <c r="K85" s="82"/>
      <c r="L85" s="82"/>
      <c r="N85" s="82"/>
      <c r="O85" s="82"/>
      <c r="P85" s="82"/>
      <c r="Q85" s="82"/>
      <c r="R85" s="82"/>
      <c r="S85" s="88"/>
      <c r="T85" s="88"/>
    </row>
    <row r="86" spans="1:20" ht="13">
      <c r="A86" s="82"/>
      <c r="B86" s="82"/>
      <c r="C86" s="82"/>
      <c r="D86" s="82"/>
      <c r="E86" s="82"/>
      <c r="F86" s="82"/>
      <c r="G86" s="88"/>
      <c r="H86" s="82"/>
      <c r="I86" s="82"/>
      <c r="J86" s="82"/>
      <c r="K86" s="82"/>
      <c r="L86" s="82"/>
      <c r="N86" s="82"/>
      <c r="O86" s="82"/>
      <c r="P86" s="82"/>
      <c r="Q86" s="82"/>
      <c r="R86" s="82"/>
      <c r="S86" s="88"/>
      <c r="T86" s="88"/>
    </row>
    <row r="87" spans="1:20" ht="13">
      <c r="A87" s="82"/>
      <c r="B87" s="82"/>
      <c r="C87" s="82"/>
      <c r="D87" s="82"/>
      <c r="E87" s="82"/>
      <c r="F87" s="82"/>
      <c r="G87" s="88"/>
      <c r="H87" s="82"/>
      <c r="I87" s="82"/>
      <c r="J87" s="82"/>
      <c r="K87" s="82"/>
      <c r="L87" s="82"/>
      <c r="N87" s="82"/>
      <c r="O87" s="82"/>
      <c r="P87" s="82"/>
      <c r="Q87" s="82"/>
      <c r="R87" s="82"/>
      <c r="S87" s="88"/>
      <c r="T87" s="88"/>
    </row>
    <row r="88" spans="1:20" ht="13">
      <c r="A88" s="1" t="s">
        <v>98</v>
      </c>
      <c r="D88" s="82"/>
      <c r="E88" s="82"/>
      <c r="F88" s="82"/>
      <c r="G88" s="88"/>
      <c r="H88" s="82"/>
      <c r="I88" s="82"/>
      <c r="J88" s="82"/>
      <c r="K88" s="82"/>
      <c r="L88" s="82"/>
      <c r="N88" s="82"/>
      <c r="O88" s="82"/>
      <c r="P88" s="82"/>
      <c r="Q88" s="82"/>
      <c r="R88" s="82"/>
      <c r="S88" s="88"/>
      <c r="T88" s="88"/>
    </row>
    <row r="89" spans="1:20" ht="13">
      <c r="A89" s="1" t="s">
        <v>99</v>
      </c>
      <c r="C89" s="1">
        <f>DCOUNT(B3:T53,F3,CritHD55)</f>
        <v>7</v>
      </c>
      <c r="D89" s="82"/>
      <c r="E89" s="1">
        <f>DCOUNT(B3:T53,M3,CritHD55)</f>
        <v>7</v>
      </c>
      <c r="F89" s="1">
        <v>14</v>
      </c>
      <c r="G89" s="88"/>
      <c r="H89" s="82"/>
      <c r="I89" s="82"/>
      <c r="J89" s="82"/>
      <c r="K89" s="82"/>
      <c r="L89" s="82"/>
      <c r="N89" s="82"/>
      <c r="O89" s="82"/>
      <c r="P89" s="82"/>
      <c r="Q89" s="82"/>
      <c r="R89" s="82"/>
      <c r="S89" s="88"/>
      <c r="T89" s="88"/>
    </row>
    <row r="90" spans="1:20" ht="13">
      <c r="A90" s="82"/>
      <c r="B90" s="82"/>
      <c r="C90" s="82"/>
      <c r="D90" s="82"/>
      <c r="E90" s="82"/>
      <c r="F90" s="82"/>
      <c r="G90" s="88"/>
      <c r="H90" s="82"/>
      <c r="I90" s="82"/>
      <c r="J90" s="82"/>
      <c r="K90" s="82"/>
      <c r="L90" s="82"/>
      <c r="N90" s="82"/>
      <c r="O90" s="82"/>
      <c r="P90" s="82"/>
      <c r="Q90" s="82"/>
      <c r="R90" s="82"/>
      <c r="S90" s="88"/>
      <c r="T90" s="88"/>
    </row>
    <row r="91" spans="1:20" ht="13">
      <c r="A91" s="82"/>
      <c r="B91" s="82"/>
      <c r="C91" s="82"/>
      <c r="D91" s="82"/>
      <c r="E91" s="82"/>
      <c r="F91" s="82"/>
      <c r="G91" s="88"/>
      <c r="H91" s="82"/>
      <c r="I91" s="82"/>
      <c r="J91" s="82"/>
      <c r="K91" s="82"/>
      <c r="L91" s="82"/>
      <c r="N91" s="82"/>
      <c r="O91" s="82"/>
      <c r="P91" s="82"/>
      <c r="Q91" s="82"/>
      <c r="R91" s="82"/>
      <c r="S91" s="88"/>
      <c r="T91" s="88"/>
    </row>
    <row r="92" spans="1:20">
      <c r="A92" s="1" t="s">
        <v>118</v>
      </c>
      <c r="C92" s="1">
        <v>14</v>
      </c>
      <c r="D92" s="82"/>
    </row>
    <row r="93" spans="1:20">
      <c r="A93" s="1" t="s">
        <v>119</v>
      </c>
      <c r="C93" s="1">
        <v>22</v>
      </c>
      <c r="D93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7CBC-9AF8-46F6-921C-31AB6B277485}">
  <dimension ref="A1:Z93"/>
  <sheetViews>
    <sheetView workbookViewId="0">
      <selection activeCell="H24" sqref="H24"/>
    </sheetView>
  </sheetViews>
  <sheetFormatPr baseColWidth="10" defaultColWidth="9.1640625" defaultRowHeight="15"/>
  <cols>
    <col min="1" max="6" width="9.1640625" style="1"/>
    <col min="7" max="7" width="9.1640625" style="26"/>
    <col min="8" max="12" width="9.1640625" style="1"/>
    <col min="13" max="13" width="9.1640625" style="82"/>
    <col min="14" max="18" width="9.1640625" style="1"/>
    <col min="19" max="20" width="9.1640625" style="83"/>
    <col min="21" max="23" width="9.1640625" style="1"/>
    <col min="24" max="26" width="9.1640625" style="82"/>
    <col min="27" max="16384" width="9.1640625" style="1"/>
  </cols>
  <sheetData>
    <row r="1" spans="1:26">
      <c r="C1" s="81">
        <v>2020</v>
      </c>
      <c r="J1" s="81"/>
      <c r="Q1" s="81"/>
    </row>
    <row r="2" spans="1:26">
      <c r="C2" s="81" t="s">
        <v>0</v>
      </c>
      <c r="J2" s="81" t="s">
        <v>1</v>
      </c>
      <c r="Q2" s="81" t="s">
        <v>2</v>
      </c>
    </row>
    <row r="3" spans="1:26">
      <c r="B3" s="1" t="s">
        <v>3</v>
      </c>
      <c r="C3" s="81" t="s">
        <v>4</v>
      </c>
      <c r="D3" s="1" t="s">
        <v>5</v>
      </c>
      <c r="E3" s="1" t="s">
        <v>6</v>
      </c>
      <c r="F3" s="1" t="s">
        <v>7</v>
      </c>
      <c r="G3" s="26" t="s">
        <v>8</v>
      </c>
      <c r="H3" s="1" t="s">
        <v>9</v>
      </c>
      <c r="I3" s="1" t="s">
        <v>10</v>
      </c>
      <c r="J3" s="8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81" t="s">
        <v>120</v>
      </c>
      <c r="R3" s="1" t="s">
        <v>121</v>
      </c>
      <c r="S3" s="83" t="s">
        <v>122</v>
      </c>
      <c r="T3" s="83" t="s">
        <v>123</v>
      </c>
      <c r="U3" s="1" t="s">
        <v>22</v>
      </c>
      <c r="V3" s="1" t="s">
        <v>23</v>
      </c>
      <c r="W3" s="1" t="s">
        <v>24</v>
      </c>
      <c r="X3" s="1" t="s">
        <v>106</v>
      </c>
      <c r="Y3" s="1" t="s">
        <v>107</v>
      </c>
      <c r="Z3" s="1" t="s">
        <v>108</v>
      </c>
    </row>
    <row r="4" spans="1:26">
      <c r="A4" s="1" t="s">
        <v>25</v>
      </c>
      <c r="B4" s="1" t="s">
        <v>26</v>
      </c>
      <c r="C4" s="81">
        <v>28</v>
      </c>
      <c r="D4" s="1">
        <v>77</v>
      </c>
      <c r="E4" s="1">
        <v>105</v>
      </c>
      <c r="F4" s="83">
        <f>C4/E4</f>
        <v>0.26666666666666666</v>
      </c>
      <c r="G4" s="26">
        <f>ABS(F4-(1-F4))</f>
        <v>0.46666666666666673</v>
      </c>
      <c r="H4" s="1" t="str">
        <f>IF(F4&gt;0.5,"D",IF(F4=0.5,"T","R"))</f>
        <v>R</v>
      </c>
      <c r="I4" s="1" t="str">
        <f>IF(Elect2018!H4=H4,"N","Y")</f>
        <v>N</v>
      </c>
      <c r="J4" s="81">
        <v>8</v>
      </c>
      <c r="K4" s="1">
        <v>27</v>
      </c>
      <c r="L4" s="1">
        <v>35</v>
      </c>
      <c r="M4" s="83">
        <f>J4/L4</f>
        <v>0.22857142857142856</v>
      </c>
      <c r="N4" s="83">
        <f>ABS(M4-(1-M4))</f>
        <v>0.54285714285714293</v>
      </c>
      <c r="O4" s="1" t="str">
        <f>IF(M4&gt;0.5,"D",IF(M4=0.5,"T","R"))</f>
        <v>R</v>
      </c>
      <c r="P4" s="1" t="str">
        <f>IF(Elect2018!O4=O4,"N","Y")</f>
        <v>N</v>
      </c>
      <c r="Q4" s="81">
        <f>C4+J4</f>
        <v>36</v>
      </c>
      <c r="R4" s="1">
        <f>D4+K4</f>
        <v>104</v>
      </c>
      <c r="S4" s="83">
        <f>Q4/(E4+L4)</f>
        <v>0.25714285714285712</v>
      </c>
      <c r="T4" s="83">
        <f>ABS(S4-(1-S4))</f>
        <v>0.48571428571428577</v>
      </c>
      <c r="U4" s="1" t="str">
        <f>IF(H4=O4,O4,"S")</f>
        <v>R</v>
      </c>
      <c r="V4" s="1" t="s">
        <v>19</v>
      </c>
      <c r="W4" s="1" t="str">
        <f>IF(V4=U4,"U","D")</f>
        <v>U</v>
      </c>
      <c r="X4" s="1">
        <f>C4-Elect2018!C4</f>
        <v>0</v>
      </c>
      <c r="Y4" s="1">
        <f>J4-Elect2018!J4</f>
        <v>0</v>
      </c>
      <c r="Z4" s="1">
        <f>X4+Y4</f>
        <v>0</v>
      </c>
    </row>
    <row r="5" spans="1:26">
      <c r="A5" s="1" t="s">
        <v>27</v>
      </c>
      <c r="B5" s="1" t="s">
        <v>28</v>
      </c>
      <c r="C5" s="81">
        <v>14</v>
      </c>
      <c r="D5" s="1">
        <v>23</v>
      </c>
      <c r="E5" s="1">
        <v>40</v>
      </c>
      <c r="F5" s="83">
        <f t="shared" ref="F5:F53" si="0">C5/E5</f>
        <v>0.35</v>
      </c>
      <c r="G5" s="26">
        <f t="shared" ref="G5:G53" si="1">ABS(F5-(1-F5))</f>
        <v>0.30000000000000004</v>
      </c>
      <c r="H5" s="1" t="str">
        <f t="shared" ref="H5:H53" si="2">IF(F5&gt;0.5,"D",IF(F5=0.5,"T","R"))</f>
        <v>R</v>
      </c>
      <c r="I5" s="1" t="str">
        <f>IF(Elect2018!H5=H5,"N","Y")</f>
        <v>N</v>
      </c>
      <c r="J5" s="81">
        <v>7</v>
      </c>
      <c r="K5" s="1">
        <v>13</v>
      </c>
      <c r="L5" s="1">
        <v>20</v>
      </c>
      <c r="M5" s="83">
        <f t="shared" ref="M5:M53" si="3">J5/L5</f>
        <v>0.35</v>
      </c>
      <c r="N5" s="83">
        <f t="shared" ref="N5:N53" si="4">ABS(M5-(1-M5))</f>
        <v>0.30000000000000004</v>
      </c>
      <c r="O5" s="1" t="str">
        <f t="shared" ref="O5:O53" si="5">IF(M5&gt;0.5,"D",IF(M5=0.5,"T","R"))</f>
        <v>R</v>
      </c>
      <c r="P5" s="1" t="str">
        <f>IF(Elect2018!O5=O5,"N","Y")</f>
        <v>N</v>
      </c>
      <c r="Q5" s="81">
        <f t="shared" ref="Q5:R53" si="6">C5+J5</f>
        <v>21</v>
      </c>
      <c r="R5" s="1">
        <f t="shared" si="6"/>
        <v>36</v>
      </c>
      <c r="S5" s="83">
        <f t="shared" ref="S5:S53" si="7">Q5/(E5+L5)</f>
        <v>0.35</v>
      </c>
      <c r="T5" s="83">
        <f t="shared" ref="T5:T53" si="8">ABS(S5-(1-S5))</f>
        <v>0.30000000000000004</v>
      </c>
      <c r="U5" s="1" t="str">
        <f t="shared" ref="U5:U53" si="9">IF(H5=O5,O5,"S")</f>
        <v>R</v>
      </c>
      <c r="V5" s="1" t="s">
        <v>19</v>
      </c>
      <c r="W5" s="1" t="str">
        <f t="shared" ref="W5:W53" si="10">IF(V5=U5,"U","D")</f>
        <v>U</v>
      </c>
      <c r="X5" s="1">
        <f>C5-Elect2018!C5</f>
        <v>-5</v>
      </c>
      <c r="Y5" s="1">
        <f>J5-Elect2018!J5</f>
        <v>0</v>
      </c>
      <c r="Z5" s="1">
        <f t="shared" ref="Z5:Z53" si="11">X5+Y5</f>
        <v>-5</v>
      </c>
    </row>
    <row r="6" spans="1:26">
      <c r="A6" s="1" t="s">
        <v>29</v>
      </c>
      <c r="B6" s="1" t="s">
        <v>28</v>
      </c>
      <c r="C6" s="81">
        <v>29</v>
      </c>
      <c r="D6" s="1">
        <v>31</v>
      </c>
      <c r="E6" s="1">
        <v>60</v>
      </c>
      <c r="F6" s="83">
        <f t="shared" si="0"/>
        <v>0.48333333333333334</v>
      </c>
      <c r="G6" s="26">
        <f t="shared" si="1"/>
        <v>3.333333333333327E-2</v>
      </c>
      <c r="H6" s="1" t="str">
        <f t="shared" si="2"/>
        <v>R</v>
      </c>
      <c r="I6" s="1" t="str">
        <f>IF(Elect2018!H6=H6,"N","Y")</f>
        <v>N</v>
      </c>
      <c r="J6" s="81">
        <v>14</v>
      </c>
      <c r="K6" s="1">
        <v>16</v>
      </c>
      <c r="L6" s="1">
        <v>30</v>
      </c>
      <c r="M6" s="83">
        <f t="shared" si="3"/>
        <v>0.46666666666666667</v>
      </c>
      <c r="N6" s="83">
        <f t="shared" si="4"/>
        <v>6.6666666666666652E-2</v>
      </c>
      <c r="O6" s="1" t="str">
        <f t="shared" si="5"/>
        <v>R</v>
      </c>
      <c r="P6" s="1" t="str">
        <f>IF(Elect2018!O6=O6,"N","Y")</f>
        <v>N</v>
      </c>
      <c r="Q6" s="81">
        <f t="shared" si="6"/>
        <v>43</v>
      </c>
      <c r="R6" s="1">
        <f t="shared" si="6"/>
        <v>47</v>
      </c>
      <c r="S6" s="83">
        <f t="shared" si="7"/>
        <v>0.4777777777777778</v>
      </c>
      <c r="T6" s="83">
        <f t="shared" si="8"/>
        <v>4.4444444444444342E-2</v>
      </c>
      <c r="U6" s="1" t="str">
        <f t="shared" si="9"/>
        <v>R</v>
      </c>
      <c r="V6" s="1" t="s">
        <v>19</v>
      </c>
      <c r="W6" s="1" t="str">
        <f t="shared" si="10"/>
        <v>U</v>
      </c>
      <c r="X6" s="1">
        <f>C6-Elect2018!C6</f>
        <v>0</v>
      </c>
      <c r="Y6" s="1">
        <f>J6-Elect2018!J6</f>
        <v>1</v>
      </c>
      <c r="Z6" s="1">
        <f t="shared" si="11"/>
        <v>1</v>
      </c>
    </row>
    <row r="7" spans="1:26">
      <c r="A7" s="1" t="s">
        <v>30</v>
      </c>
      <c r="B7" s="1" t="s">
        <v>26</v>
      </c>
      <c r="C7" s="81">
        <v>22</v>
      </c>
      <c r="D7" s="1">
        <v>78</v>
      </c>
      <c r="E7" s="1">
        <v>100</v>
      </c>
      <c r="F7" s="83">
        <f t="shared" si="0"/>
        <v>0.22</v>
      </c>
      <c r="G7" s="26">
        <f t="shared" si="1"/>
        <v>0.56000000000000005</v>
      </c>
      <c r="H7" s="1" t="str">
        <f t="shared" si="2"/>
        <v>R</v>
      </c>
      <c r="I7" s="1" t="str">
        <f>IF(Elect2018!H7=H7,"N","Y")</f>
        <v>N</v>
      </c>
      <c r="J7" s="81">
        <v>7</v>
      </c>
      <c r="K7" s="1">
        <v>28</v>
      </c>
      <c r="L7" s="1">
        <v>35</v>
      </c>
      <c r="M7" s="83">
        <f t="shared" si="3"/>
        <v>0.2</v>
      </c>
      <c r="N7" s="83">
        <f t="shared" si="4"/>
        <v>0.60000000000000009</v>
      </c>
      <c r="O7" s="1" t="str">
        <f t="shared" si="5"/>
        <v>R</v>
      </c>
      <c r="P7" s="1" t="str">
        <f>IF(Elect2018!O7=O7,"N","Y")</f>
        <v>N</v>
      </c>
      <c r="Q7" s="81">
        <f t="shared" si="6"/>
        <v>29</v>
      </c>
      <c r="R7" s="1">
        <f t="shared" si="6"/>
        <v>106</v>
      </c>
      <c r="S7" s="83">
        <f t="shared" si="7"/>
        <v>0.21481481481481482</v>
      </c>
      <c r="T7" s="83">
        <f t="shared" si="8"/>
        <v>0.57037037037037042</v>
      </c>
      <c r="U7" s="1" t="str">
        <f t="shared" si="9"/>
        <v>R</v>
      </c>
      <c r="V7" s="1" t="s">
        <v>19</v>
      </c>
      <c r="W7" s="1" t="str">
        <f t="shared" si="10"/>
        <v>U</v>
      </c>
      <c r="X7" s="1">
        <f>C7-Elect2018!C7</f>
        <v>-2</v>
      </c>
      <c r="Y7" s="1">
        <f>J7-Elect2018!J7</f>
        <v>-2</v>
      </c>
      <c r="Z7" s="1">
        <f t="shared" si="11"/>
        <v>-4</v>
      </c>
    </row>
    <row r="8" spans="1:26">
      <c r="A8" s="1" t="s">
        <v>31</v>
      </c>
      <c r="B8" s="1" t="s">
        <v>28</v>
      </c>
      <c r="C8" s="81">
        <v>60</v>
      </c>
      <c r="D8" s="1">
        <v>19</v>
      </c>
      <c r="E8" s="1">
        <v>80</v>
      </c>
      <c r="F8" s="83">
        <f t="shared" si="0"/>
        <v>0.75</v>
      </c>
      <c r="G8" s="26">
        <f t="shared" si="1"/>
        <v>0.5</v>
      </c>
      <c r="H8" s="1" t="str">
        <f t="shared" si="2"/>
        <v>D</v>
      </c>
      <c r="I8" s="1" t="str">
        <f>IF(Elect2018!H8=H8,"N","Y")</f>
        <v>N</v>
      </c>
      <c r="J8" s="81">
        <v>31</v>
      </c>
      <c r="K8" s="1">
        <v>9</v>
      </c>
      <c r="L8" s="1">
        <v>40</v>
      </c>
      <c r="M8" s="83">
        <f t="shared" si="3"/>
        <v>0.77500000000000002</v>
      </c>
      <c r="N8" s="83">
        <f t="shared" si="4"/>
        <v>0.55000000000000004</v>
      </c>
      <c r="O8" s="1" t="str">
        <f t="shared" si="5"/>
        <v>D</v>
      </c>
      <c r="P8" s="1" t="str">
        <f>IF(Elect2018!O8=O8,"N","Y")</f>
        <v>N</v>
      </c>
      <c r="Q8" s="81">
        <f t="shared" si="6"/>
        <v>91</v>
      </c>
      <c r="R8" s="1">
        <f t="shared" si="6"/>
        <v>28</v>
      </c>
      <c r="S8" s="83">
        <f t="shared" si="7"/>
        <v>0.7583333333333333</v>
      </c>
      <c r="T8" s="83">
        <f t="shared" si="8"/>
        <v>0.51666666666666661</v>
      </c>
      <c r="U8" s="1" t="str">
        <f t="shared" si="9"/>
        <v>D</v>
      </c>
      <c r="V8" s="1" t="s">
        <v>18</v>
      </c>
      <c r="W8" s="1" t="str">
        <f t="shared" si="10"/>
        <v>U</v>
      </c>
      <c r="X8" s="1">
        <f>C8-Elect2018!C8</f>
        <v>0</v>
      </c>
      <c r="Y8" s="1">
        <f>J8-Elect2018!J8</f>
        <v>2</v>
      </c>
      <c r="Z8" s="1">
        <f t="shared" si="11"/>
        <v>2</v>
      </c>
    </row>
    <row r="9" spans="1:26">
      <c r="A9" s="1" t="s">
        <v>32</v>
      </c>
      <c r="B9" s="1" t="s">
        <v>28</v>
      </c>
      <c r="C9" s="81">
        <v>41</v>
      </c>
      <c r="D9" s="1">
        <v>24</v>
      </c>
      <c r="E9" s="1">
        <v>65</v>
      </c>
      <c r="F9" s="83">
        <f t="shared" si="0"/>
        <v>0.63076923076923075</v>
      </c>
      <c r="G9" s="26">
        <f t="shared" si="1"/>
        <v>0.2615384615384615</v>
      </c>
      <c r="H9" s="1" t="str">
        <f t="shared" si="2"/>
        <v>D</v>
      </c>
      <c r="I9" s="1" t="str">
        <f>IF(Elect2018!H9=H9,"N","Y")</f>
        <v>N</v>
      </c>
      <c r="J9" s="81">
        <v>20</v>
      </c>
      <c r="K9" s="1">
        <v>15</v>
      </c>
      <c r="L9" s="1">
        <v>35</v>
      </c>
      <c r="M9" s="83">
        <f t="shared" si="3"/>
        <v>0.5714285714285714</v>
      </c>
      <c r="N9" s="83">
        <f t="shared" si="4"/>
        <v>0.14285714285714279</v>
      </c>
      <c r="O9" s="1" t="str">
        <f t="shared" si="5"/>
        <v>D</v>
      </c>
      <c r="P9" s="1" t="str">
        <f>IF(Elect2018!O9=O9,"N","Y")</f>
        <v>N</v>
      </c>
      <c r="Q9" s="81">
        <f t="shared" si="6"/>
        <v>61</v>
      </c>
      <c r="R9" s="1">
        <f t="shared" si="6"/>
        <v>39</v>
      </c>
      <c r="S9" s="83">
        <f t="shared" si="7"/>
        <v>0.61</v>
      </c>
      <c r="T9" s="83">
        <f t="shared" si="8"/>
        <v>0.21999999999999997</v>
      </c>
      <c r="U9" s="1" t="str">
        <f t="shared" si="9"/>
        <v>D</v>
      </c>
      <c r="V9" s="1" t="s">
        <v>18</v>
      </c>
      <c r="W9" s="1" t="str">
        <f t="shared" si="10"/>
        <v>U</v>
      </c>
      <c r="X9" s="1">
        <f>C9-Elect2018!C9</f>
        <v>0</v>
      </c>
      <c r="Y9" s="1">
        <f>J9-Elect2018!J9</f>
        <v>1</v>
      </c>
      <c r="Z9" s="1">
        <f t="shared" si="11"/>
        <v>1</v>
      </c>
    </row>
    <row r="10" spans="1:26">
      <c r="A10" s="1" t="s">
        <v>33</v>
      </c>
      <c r="B10" s="1" t="s">
        <v>34</v>
      </c>
      <c r="C10" s="81">
        <v>97</v>
      </c>
      <c r="D10" s="1">
        <v>54</v>
      </c>
      <c r="E10" s="1">
        <v>151</v>
      </c>
      <c r="F10" s="83">
        <f t="shared" si="0"/>
        <v>0.64238410596026485</v>
      </c>
      <c r="G10" s="26">
        <f t="shared" si="1"/>
        <v>0.2847682119205297</v>
      </c>
      <c r="H10" s="1" t="str">
        <f t="shared" si="2"/>
        <v>D</v>
      </c>
      <c r="I10" s="1" t="str">
        <f>IF(Elect2018!H10=H10,"N","Y")</f>
        <v>N</v>
      </c>
      <c r="J10" s="81">
        <v>24</v>
      </c>
      <c r="K10" s="1">
        <v>12</v>
      </c>
      <c r="L10" s="1">
        <v>36</v>
      </c>
      <c r="M10" s="83">
        <f t="shared" si="3"/>
        <v>0.66666666666666663</v>
      </c>
      <c r="N10" s="83">
        <f t="shared" si="4"/>
        <v>0.33333333333333326</v>
      </c>
      <c r="O10" s="1" t="str">
        <f t="shared" si="5"/>
        <v>D</v>
      </c>
      <c r="P10" s="1" t="str">
        <f>IF(Elect2018!O10=O10,"N","Y")</f>
        <v>N</v>
      </c>
      <c r="Q10" s="81">
        <f t="shared" si="6"/>
        <v>121</v>
      </c>
      <c r="R10" s="1">
        <f t="shared" si="6"/>
        <v>66</v>
      </c>
      <c r="S10" s="83">
        <f t="shared" si="7"/>
        <v>0.6470588235294118</v>
      </c>
      <c r="T10" s="83">
        <f t="shared" si="8"/>
        <v>0.29411764705882359</v>
      </c>
      <c r="U10" s="1" t="str">
        <f t="shared" si="9"/>
        <v>D</v>
      </c>
      <c r="V10" s="1" t="s">
        <v>18</v>
      </c>
      <c r="W10" s="1" t="str">
        <f t="shared" si="10"/>
        <v>U</v>
      </c>
      <c r="X10" s="1">
        <f>C10-Elect2018!C10</f>
        <v>5</v>
      </c>
      <c r="Y10" s="1">
        <f>J10-Elect2018!J10</f>
        <v>0</v>
      </c>
      <c r="Z10" s="1">
        <f t="shared" si="11"/>
        <v>5</v>
      </c>
    </row>
    <row r="11" spans="1:26">
      <c r="A11" s="1" t="s">
        <v>35</v>
      </c>
      <c r="B11" s="1" t="s">
        <v>34</v>
      </c>
      <c r="C11" s="81">
        <v>26</v>
      </c>
      <c r="D11" s="1">
        <v>15</v>
      </c>
      <c r="E11" s="1">
        <v>41</v>
      </c>
      <c r="F11" s="83">
        <f t="shared" si="0"/>
        <v>0.63414634146341464</v>
      </c>
      <c r="G11" s="26">
        <f t="shared" si="1"/>
        <v>0.26829268292682928</v>
      </c>
      <c r="H11" s="1" t="str">
        <f t="shared" si="2"/>
        <v>D</v>
      </c>
      <c r="I11" s="1" t="str">
        <f>IF(Elect2018!H11=H11,"N","Y")</f>
        <v>N</v>
      </c>
      <c r="J11" s="81">
        <v>14</v>
      </c>
      <c r="K11" s="1">
        <v>7</v>
      </c>
      <c r="L11" s="1">
        <v>21</v>
      </c>
      <c r="M11" s="83">
        <f t="shared" si="3"/>
        <v>0.66666666666666663</v>
      </c>
      <c r="N11" s="83">
        <f t="shared" si="4"/>
        <v>0.33333333333333326</v>
      </c>
      <c r="O11" s="1" t="str">
        <f t="shared" si="5"/>
        <v>D</v>
      </c>
      <c r="P11" s="1" t="str">
        <f>IF(Elect2018!O11=O11,"N","Y")</f>
        <v>N</v>
      </c>
      <c r="Q11" s="81">
        <f t="shared" si="6"/>
        <v>40</v>
      </c>
      <c r="R11" s="1">
        <f t="shared" si="6"/>
        <v>22</v>
      </c>
      <c r="S11" s="83">
        <f t="shared" si="7"/>
        <v>0.64516129032258063</v>
      </c>
      <c r="T11" s="83">
        <f t="shared" si="8"/>
        <v>0.29032258064516125</v>
      </c>
      <c r="U11" s="1" t="str">
        <f t="shared" si="9"/>
        <v>D</v>
      </c>
      <c r="V11" s="1" t="s">
        <v>18</v>
      </c>
      <c r="W11" s="1" t="str">
        <f t="shared" si="10"/>
        <v>U</v>
      </c>
      <c r="X11" s="1">
        <f>C11-Elect2018!C11</f>
        <v>0</v>
      </c>
      <c r="Y11" s="1">
        <f>J11-Elect2018!J11</f>
        <v>2</v>
      </c>
      <c r="Z11" s="1">
        <f t="shared" si="11"/>
        <v>2</v>
      </c>
    </row>
    <row r="12" spans="1:26">
      <c r="A12" s="1" t="s">
        <v>36</v>
      </c>
      <c r="B12" s="1" t="s">
        <v>26</v>
      </c>
      <c r="C12" s="81">
        <v>42</v>
      </c>
      <c r="D12" s="1">
        <v>78</v>
      </c>
      <c r="E12" s="1">
        <v>120</v>
      </c>
      <c r="F12" s="83">
        <f t="shared" si="0"/>
        <v>0.35</v>
      </c>
      <c r="G12" s="26">
        <f t="shared" si="1"/>
        <v>0.30000000000000004</v>
      </c>
      <c r="H12" s="1" t="str">
        <f t="shared" si="2"/>
        <v>R</v>
      </c>
      <c r="I12" s="1" t="str">
        <f>IF(Elect2018!H12=H12,"N","Y")</f>
        <v>N</v>
      </c>
      <c r="J12" s="81">
        <v>16</v>
      </c>
      <c r="K12" s="1">
        <v>24</v>
      </c>
      <c r="L12" s="1">
        <v>40</v>
      </c>
      <c r="M12" s="83">
        <f t="shared" si="3"/>
        <v>0.4</v>
      </c>
      <c r="N12" s="83">
        <f t="shared" si="4"/>
        <v>0.19999999999999996</v>
      </c>
      <c r="O12" s="1" t="str">
        <f t="shared" si="5"/>
        <v>R</v>
      </c>
      <c r="P12" s="1" t="str">
        <f>IF(Elect2018!O12=O12,"N","Y")</f>
        <v>N</v>
      </c>
      <c r="Q12" s="81">
        <f t="shared" si="6"/>
        <v>58</v>
      </c>
      <c r="R12" s="1">
        <f t="shared" si="6"/>
        <v>102</v>
      </c>
      <c r="S12" s="83">
        <f t="shared" si="7"/>
        <v>0.36249999999999999</v>
      </c>
      <c r="T12" s="83">
        <f t="shared" si="8"/>
        <v>0.27499999999999997</v>
      </c>
      <c r="U12" s="1" t="str">
        <f t="shared" si="9"/>
        <v>R</v>
      </c>
      <c r="V12" s="1" t="s">
        <v>19</v>
      </c>
      <c r="W12" s="1" t="str">
        <f t="shared" si="10"/>
        <v>U</v>
      </c>
      <c r="X12" s="1">
        <f>C12-Elect2018!C12</f>
        <v>-5</v>
      </c>
      <c r="Y12" s="1">
        <f>J12-Elect2018!J12</f>
        <v>-1</v>
      </c>
      <c r="Z12" s="1">
        <f t="shared" si="11"/>
        <v>-6</v>
      </c>
    </row>
    <row r="13" spans="1:26">
      <c r="A13" s="1" t="s">
        <v>37</v>
      </c>
      <c r="B13" s="1" t="s">
        <v>26</v>
      </c>
      <c r="C13" s="81">
        <v>77</v>
      </c>
      <c r="D13" s="1">
        <v>103</v>
      </c>
      <c r="E13" s="1">
        <v>180</v>
      </c>
      <c r="F13" s="83">
        <f t="shared" si="0"/>
        <v>0.42777777777777776</v>
      </c>
      <c r="G13" s="26">
        <f t="shared" si="1"/>
        <v>0.14444444444444443</v>
      </c>
      <c r="H13" s="1" t="str">
        <f t="shared" si="2"/>
        <v>R</v>
      </c>
      <c r="I13" s="1" t="str">
        <f>IF(Elect2018!H13=H13,"N","Y")</f>
        <v>N</v>
      </c>
      <c r="J13" s="81">
        <v>22</v>
      </c>
      <c r="K13" s="1">
        <v>34</v>
      </c>
      <c r="L13" s="1">
        <v>56</v>
      </c>
      <c r="M13" s="83">
        <f t="shared" si="3"/>
        <v>0.39285714285714285</v>
      </c>
      <c r="N13" s="83">
        <f t="shared" si="4"/>
        <v>0.21428571428571436</v>
      </c>
      <c r="O13" s="1" t="str">
        <f t="shared" si="5"/>
        <v>R</v>
      </c>
      <c r="P13" s="1" t="str">
        <f>IF(Elect2018!O13=O13,"N","Y")</f>
        <v>N</v>
      </c>
      <c r="Q13" s="81">
        <f t="shared" si="6"/>
        <v>99</v>
      </c>
      <c r="R13" s="1">
        <f t="shared" si="6"/>
        <v>137</v>
      </c>
      <c r="S13" s="83">
        <f t="shared" si="7"/>
        <v>0.41949152542372881</v>
      </c>
      <c r="T13" s="83">
        <f t="shared" si="8"/>
        <v>0.16101694915254239</v>
      </c>
      <c r="U13" s="1" t="str">
        <f t="shared" si="9"/>
        <v>R</v>
      </c>
      <c r="V13" s="1" t="s">
        <v>19</v>
      </c>
      <c r="W13" s="1" t="str">
        <f t="shared" si="10"/>
        <v>U</v>
      </c>
      <c r="X13" s="1">
        <f>C13-Elect2018!C13</f>
        <v>3</v>
      </c>
      <c r="Y13" s="1">
        <f>J13-Elect2018!J13</f>
        <v>1</v>
      </c>
      <c r="Z13" s="1">
        <f t="shared" si="11"/>
        <v>4</v>
      </c>
    </row>
    <row r="14" spans="1:26">
      <c r="A14" s="1" t="s">
        <v>38</v>
      </c>
      <c r="B14" s="1" t="s">
        <v>28</v>
      </c>
      <c r="C14" s="81">
        <v>47</v>
      </c>
      <c r="D14" s="1">
        <v>4</v>
      </c>
      <c r="E14" s="1">
        <v>51</v>
      </c>
      <c r="F14" s="83">
        <f t="shared" si="0"/>
        <v>0.92156862745098034</v>
      </c>
      <c r="G14" s="26">
        <f t="shared" si="1"/>
        <v>0.84313725490196068</v>
      </c>
      <c r="H14" s="1" t="str">
        <f t="shared" si="2"/>
        <v>D</v>
      </c>
      <c r="I14" s="1" t="str">
        <f>IF(Elect2018!H14=H14,"N","Y")</f>
        <v>N</v>
      </c>
      <c r="J14" s="81">
        <v>24</v>
      </c>
      <c r="K14" s="1">
        <v>1</v>
      </c>
      <c r="L14" s="1">
        <v>25</v>
      </c>
      <c r="M14" s="83">
        <f t="shared" si="3"/>
        <v>0.96</v>
      </c>
      <c r="N14" s="83">
        <f t="shared" si="4"/>
        <v>0.91999999999999993</v>
      </c>
      <c r="O14" s="1" t="str">
        <f t="shared" si="5"/>
        <v>D</v>
      </c>
      <c r="P14" s="1" t="str">
        <f>IF(Elect2018!O14=O14,"N","Y")</f>
        <v>N</v>
      </c>
      <c r="Q14" s="81">
        <f t="shared" si="6"/>
        <v>71</v>
      </c>
      <c r="R14" s="1">
        <f t="shared" si="6"/>
        <v>5</v>
      </c>
      <c r="S14" s="83">
        <f t="shared" si="7"/>
        <v>0.93421052631578949</v>
      </c>
      <c r="T14" s="83">
        <f t="shared" si="8"/>
        <v>0.86842105263157898</v>
      </c>
      <c r="U14" s="1" t="str">
        <f t="shared" si="9"/>
        <v>D</v>
      </c>
      <c r="V14" s="1" t="s">
        <v>18</v>
      </c>
      <c r="W14" s="1" t="str">
        <f t="shared" si="10"/>
        <v>U</v>
      </c>
      <c r="X14" s="1">
        <f>C14-Elect2018!C14</f>
        <v>1</v>
      </c>
      <c r="Y14" s="1">
        <f>J14-Elect2018!J14</f>
        <v>0</v>
      </c>
      <c r="Z14" s="1">
        <f t="shared" si="11"/>
        <v>1</v>
      </c>
    </row>
    <row r="15" spans="1:26">
      <c r="A15" s="1" t="s">
        <v>39</v>
      </c>
      <c r="B15" s="1" t="s">
        <v>28</v>
      </c>
      <c r="C15" s="81">
        <v>12</v>
      </c>
      <c r="D15" s="1">
        <v>58</v>
      </c>
      <c r="E15" s="1">
        <v>70</v>
      </c>
      <c r="F15" s="83">
        <f t="shared" si="0"/>
        <v>0.17142857142857143</v>
      </c>
      <c r="G15" s="26">
        <f t="shared" si="1"/>
        <v>0.65714285714285703</v>
      </c>
      <c r="H15" s="1" t="str">
        <f t="shared" si="2"/>
        <v>R</v>
      </c>
      <c r="I15" s="1" t="str">
        <f>IF(Elect2018!H15=H15,"N","Y")</f>
        <v>N</v>
      </c>
      <c r="J15" s="81">
        <v>7</v>
      </c>
      <c r="K15" s="1">
        <v>28</v>
      </c>
      <c r="L15" s="1">
        <v>35</v>
      </c>
      <c r="M15" s="83">
        <f t="shared" si="3"/>
        <v>0.2</v>
      </c>
      <c r="N15" s="83">
        <f t="shared" si="4"/>
        <v>0.60000000000000009</v>
      </c>
      <c r="O15" s="1" t="str">
        <f t="shared" si="5"/>
        <v>R</v>
      </c>
      <c r="P15" s="1" t="str">
        <f>IF(Elect2018!O15=O15,"N","Y")</f>
        <v>N</v>
      </c>
      <c r="Q15" s="81">
        <f t="shared" si="6"/>
        <v>19</v>
      </c>
      <c r="R15" s="1">
        <f t="shared" si="6"/>
        <v>86</v>
      </c>
      <c r="S15" s="83">
        <f t="shared" si="7"/>
        <v>0.18095238095238095</v>
      </c>
      <c r="T15" s="83">
        <f t="shared" si="8"/>
        <v>0.63809523809523805</v>
      </c>
      <c r="U15" s="1" t="str">
        <f t="shared" si="9"/>
        <v>R</v>
      </c>
      <c r="V15" s="1" t="s">
        <v>19</v>
      </c>
      <c r="W15" s="1" t="str">
        <f t="shared" si="10"/>
        <v>U</v>
      </c>
      <c r="X15" s="1">
        <f>C15-Elect2018!C15</f>
        <v>-2</v>
      </c>
      <c r="Y15" s="1">
        <f>J15-Elect2018!J15</f>
        <v>0</v>
      </c>
      <c r="Z15" s="1">
        <f t="shared" si="11"/>
        <v>-2</v>
      </c>
    </row>
    <row r="16" spans="1:26">
      <c r="A16" s="1" t="s">
        <v>40</v>
      </c>
      <c r="B16" s="1" t="s">
        <v>41</v>
      </c>
      <c r="C16" s="81">
        <v>72</v>
      </c>
      <c r="D16" s="1">
        <v>46</v>
      </c>
      <c r="E16" s="1">
        <v>118</v>
      </c>
      <c r="F16" s="83">
        <f t="shared" si="0"/>
        <v>0.61016949152542377</v>
      </c>
      <c r="G16" s="26">
        <f t="shared" si="1"/>
        <v>0.22033898305084754</v>
      </c>
      <c r="H16" s="1" t="str">
        <f t="shared" si="2"/>
        <v>D</v>
      </c>
      <c r="I16" s="1" t="str">
        <f>IF(Elect2018!H16=H16,"N","Y")</f>
        <v>N</v>
      </c>
      <c r="J16" s="81">
        <v>41</v>
      </c>
      <c r="K16" s="1">
        <v>18</v>
      </c>
      <c r="L16" s="1">
        <v>59</v>
      </c>
      <c r="M16" s="83">
        <f t="shared" si="3"/>
        <v>0.69491525423728817</v>
      </c>
      <c r="N16" s="83">
        <f t="shared" si="4"/>
        <v>0.38983050847457634</v>
      </c>
      <c r="O16" s="1" t="str">
        <f t="shared" si="5"/>
        <v>D</v>
      </c>
      <c r="P16" s="1" t="str">
        <f>IF(Elect2018!O16=O16,"N","Y")</f>
        <v>N</v>
      </c>
      <c r="Q16" s="81">
        <f t="shared" si="6"/>
        <v>113</v>
      </c>
      <c r="R16" s="1">
        <f t="shared" si="6"/>
        <v>64</v>
      </c>
      <c r="S16" s="83">
        <f t="shared" si="7"/>
        <v>0.6384180790960452</v>
      </c>
      <c r="T16" s="83">
        <f t="shared" si="8"/>
        <v>0.2768361581920904</v>
      </c>
      <c r="U16" s="1" t="str">
        <f t="shared" si="9"/>
        <v>D</v>
      </c>
      <c r="V16" s="1" t="s">
        <v>18</v>
      </c>
      <c r="W16" s="1" t="str">
        <f t="shared" si="10"/>
        <v>U</v>
      </c>
      <c r="X16" s="1">
        <f>C16-Elect2018!C16</f>
        <v>-2</v>
      </c>
      <c r="Y16" s="1">
        <f>J16-Elect2018!J16</f>
        <v>1</v>
      </c>
      <c r="Z16" s="1">
        <f t="shared" si="11"/>
        <v>-1</v>
      </c>
    </row>
    <row r="17" spans="1:26">
      <c r="A17" s="1" t="s">
        <v>42</v>
      </c>
      <c r="B17" s="1" t="s">
        <v>41</v>
      </c>
      <c r="C17" s="81">
        <v>29</v>
      </c>
      <c r="D17" s="1">
        <v>71</v>
      </c>
      <c r="E17" s="1">
        <v>100</v>
      </c>
      <c r="F17" s="83">
        <f t="shared" si="0"/>
        <v>0.28999999999999998</v>
      </c>
      <c r="G17" s="26">
        <f t="shared" si="1"/>
        <v>0.42</v>
      </c>
      <c r="H17" s="1" t="str">
        <f t="shared" si="2"/>
        <v>R</v>
      </c>
      <c r="I17" s="1" t="str">
        <f>IF(Elect2018!H17=H17,"N","Y")</f>
        <v>N</v>
      </c>
      <c r="J17" s="81">
        <v>11</v>
      </c>
      <c r="K17" s="1">
        <v>39</v>
      </c>
      <c r="L17" s="1">
        <v>50</v>
      </c>
      <c r="M17" s="83">
        <f t="shared" si="3"/>
        <v>0.22</v>
      </c>
      <c r="N17" s="83">
        <f t="shared" si="4"/>
        <v>0.56000000000000005</v>
      </c>
      <c r="O17" s="1" t="str">
        <f t="shared" si="5"/>
        <v>R</v>
      </c>
      <c r="P17" s="1" t="str">
        <f>IF(Elect2018!O17=O17,"N","Y")</f>
        <v>N</v>
      </c>
      <c r="Q17" s="81">
        <f t="shared" si="6"/>
        <v>40</v>
      </c>
      <c r="R17" s="1">
        <f t="shared" si="6"/>
        <v>110</v>
      </c>
      <c r="S17" s="83">
        <f t="shared" si="7"/>
        <v>0.26666666666666666</v>
      </c>
      <c r="T17" s="83">
        <f t="shared" si="8"/>
        <v>0.46666666666666673</v>
      </c>
      <c r="U17" s="1" t="str">
        <f t="shared" si="9"/>
        <v>R</v>
      </c>
      <c r="V17" s="1" t="s">
        <v>19</v>
      </c>
      <c r="W17" s="1" t="str">
        <f t="shared" si="10"/>
        <v>U</v>
      </c>
      <c r="X17" s="1">
        <f>C17-Elect2018!C17</f>
        <v>-4</v>
      </c>
      <c r="Y17" s="1">
        <f>J17-Elect2018!J17</f>
        <v>1</v>
      </c>
      <c r="Z17" s="1">
        <f t="shared" si="11"/>
        <v>-3</v>
      </c>
    </row>
    <row r="18" spans="1:26">
      <c r="A18" s="1" t="s">
        <v>43</v>
      </c>
      <c r="B18" s="1" t="s">
        <v>41</v>
      </c>
      <c r="C18" s="81">
        <v>41</v>
      </c>
      <c r="D18" s="1">
        <v>59</v>
      </c>
      <c r="E18" s="1">
        <v>100</v>
      </c>
      <c r="F18" s="83">
        <f t="shared" si="0"/>
        <v>0.41</v>
      </c>
      <c r="G18" s="26">
        <f t="shared" si="1"/>
        <v>0.1800000000000001</v>
      </c>
      <c r="H18" s="1" t="str">
        <f t="shared" si="2"/>
        <v>R</v>
      </c>
      <c r="I18" s="1" t="str">
        <f>IF(Elect2018!H18=H18,"N","Y")</f>
        <v>N</v>
      </c>
      <c r="J18" s="81">
        <v>18</v>
      </c>
      <c r="K18" s="1">
        <v>32</v>
      </c>
      <c r="L18" s="1">
        <v>50</v>
      </c>
      <c r="M18" s="83">
        <f t="shared" si="3"/>
        <v>0.36</v>
      </c>
      <c r="N18" s="83">
        <f t="shared" si="4"/>
        <v>0.28000000000000003</v>
      </c>
      <c r="O18" s="1" t="str">
        <f t="shared" si="5"/>
        <v>R</v>
      </c>
      <c r="P18" s="1" t="str">
        <f>IF(Elect2018!O18=O18,"N","Y")</f>
        <v>N</v>
      </c>
      <c r="Q18" s="81">
        <f t="shared" si="6"/>
        <v>59</v>
      </c>
      <c r="R18" s="1">
        <f t="shared" si="6"/>
        <v>91</v>
      </c>
      <c r="S18" s="83">
        <f t="shared" si="7"/>
        <v>0.39333333333333331</v>
      </c>
      <c r="T18" s="83">
        <f t="shared" si="8"/>
        <v>0.21333333333333337</v>
      </c>
      <c r="U18" s="1" t="str">
        <f t="shared" si="9"/>
        <v>R</v>
      </c>
      <c r="V18" s="1" t="s">
        <v>19</v>
      </c>
      <c r="W18" s="1" t="str">
        <f t="shared" si="10"/>
        <v>U</v>
      </c>
      <c r="X18" s="1">
        <f>C18-Elect2018!C18</f>
        <v>-5</v>
      </c>
      <c r="Y18" s="1">
        <f>J18-Elect2018!J18</f>
        <v>0</v>
      </c>
      <c r="Z18" s="1">
        <f t="shared" si="11"/>
        <v>-5</v>
      </c>
    </row>
    <row r="19" spans="1:26">
      <c r="A19" s="1" t="s">
        <v>44</v>
      </c>
      <c r="B19" s="1" t="s">
        <v>41</v>
      </c>
      <c r="C19" s="81">
        <v>38</v>
      </c>
      <c r="D19" s="1">
        <v>87</v>
      </c>
      <c r="E19" s="1">
        <v>125</v>
      </c>
      <c r="F19" s="83">
        <f t="shared" si="0"/>
        <v>0.30399999999999999</v>
      </c>
      <c r="G19" s="26">
        <f t="shared" si="1"/>
        <v>0.39199999999999996</v>
      </c>
      <c r="H19" s="1" t="str">
        <f t="shared" si="2"/>
        <v>R</v>
      </c>
      <c r="I19" s="1" t="str">
        <f>IF(Elect2018!H19=H19,"N","Y")</f>
        <v>N</v>
      </c>
      <c r="J19" s="81">
        <v>11</v>
      </c>
      <c r="K19" s="1">
        <v>29</v>
      </c>
      <c r="L19" s="1">
        <v>40</v>
      </c>
      <c r="M19" s="83">
        <f t="shared" si="3"/>
        <v>0.27500000000000002</v>
      </c>
      <c r="N19" s="83">
        <f t="shared" si="4"/>
        <v>0.44999999999999996</v>
      </c>
      <c r="O19" s="1" t="str">
        <f t="shared" si="5"/>
        <v>R</v>
      </c>
      <c r="P19" s="1" t="str">
        <f>IF(Elect2018!O19=O19,"N","Y")</f>
        <v>N</v>
      </c>
      <c r="Q19" s="81">
        <f t="shared" si="6"/>
        <v>49</v>
      </c>
      <c r="R19" s="1">
        <f t="shared" si="6"/>
        <v>116</v>
      </c>
      <c r="S19" s="83">
        <f t="shared" si="7"/>
        <v>0.29696969696969699</v>
      </c>
      <c r="T19" s="83">
        <f t="shared" si="8"/>
        <v>0.40606060606060601</v>
      </c>
      <c r="U19" s="1" t="str">
        <f t="shared" si="9"/>
        <v>R</v>
      </c>
      <c r="V19" s="1" t="s">
        <v>18</v>
      </c>
      <c r="W19" s="1" t="str">
        <f t="shared" si="10"/>
        <v>D</v>
      </c>
      <c r="X19" s="1">
        <f>C19-Elect2018!C19</f>
        <v>-2</v>
      </c>
      <c r="Y19" s="1">
        <f>J19-Elect2018!J19</f>
        <v>2</v>
      </c>
      <c r="Z19" s="1">
        <f t="shared" si="11"/>
        <v>0</v>
      </c>
    </row>
    <row r="20" spans="1:26">
      <c r="A20" s="1" t="s">
        <v>45</v>
      </c>
      <c r="B20" s="1" t="s">
        <v>26</v>
      </c>
      <c r="C20" s="81">
        <v>25</v>
      </c>
      <c r="D20" s="1">
        <v>75</v>
      </c>
      <c r="E20" s="1">
        <v>100</v>
      </c>
      <c r="F20" s="83">
        <f t="shared" si="0"/>
        <v>0.25</v>
      </c>
      <c r="G20" s="26">
        <f t="shared" si="1"/>
        <v>0.5</v>
      </c>
      <c r="H20" s="1" t="str">
        <f t="shared" si="2"/>
        <v>R</v>
      </c>
      <c r="I20" s="1" t="str">
        <f>IF(Elect2018!H20=H20,"N","Y")</f>
        <v>N</v>
      </c>
      <c r="J20" s="81">
        <v>8</v>
      </c>
      <c r="K20" s="1">
        <v>30</v>
      </c>
      <c r="L20" s="1">
        <v>38</v>
      </c>
      <c r="M20" s="83">
        <f t="shared" si="3"/>
        <v>0.21052631578947367</v>
      </c>
      <c r="N20" s="83">
        <f t="shared" si="4"/>
        <v>0.57894736842105265</v>
      </c>
      <c r="O20" s="1" t="str">
        <f t="shared" si="5"/>
        <v>R</v>
      </c>
      <c r="P20" s="1" t="str">
        <f>IF(Elect2018!O20=O20,"N","Y")</f>
        <v>N</v>
      </c>
      <c r="Q20" s="81">
        <f t="shared" si="6"/>
        <v>33</v>
      </c>
      <c r="R20" s="1">
        <f t="shared" si="6"/>
        <v>105</v>
      </c>
      <c r="S20" s="83">
        <f t="shared" si="7"/>
        <v>0.2391304347826087</v>
      </c>
      <c r="T20" s="83">
        <f t="shared" si="8"/>
        <v>0.52173913043478271</v>
      </c>
      <c r="U20" s="1" t="str">
        <f t="shared" si="9"/>
        <v>R</v>
      </c>
      <c r="V20" s="1" t="s">
        <v>18</v>
      </c>
      <c r="W20" s="1" t="str">
        <f t="shared" si="10"/>
        <v>D</v>
      </c>
      <c r="X20" s="1">
        <f>C20-Elect2018!C20</f>
        <v>-14</v>
      </c>
      <c r="Y20" s="1">
        <f>J20-Elect2018!J20</f>
        <v>-2</v>
      </c>
      <c r="Z20" s="1">
        <f t="shared" si="11"/>
        <v>-16</v>
      </c>
    </row>
    <row r="21" spans="1:26">
      <c r="A21" s="1" t="s">
        <v>46</v>
      </c>
      <c r="B21" s="1" t="s">
        <v>26</v>
      </c>
      <c r="C21" s="81">
        <v>35</v>
      </c>
      <c r="D21" s="1">
        <v>68</v>
      </c>
      <c r="E21" s="1">
        <v>105</v>
      </c>
      <c r="F21" s="83">
        <f t="shared" si="0"/>
        <v>0.33333333333333331</v>
      </c>
      <c r="G21" s="26">
        <f t="shared" si="1"/>
        <v>0.33333333333333343</v>
      </c>
      <c r="H21" s="1" t="str">
        <f t="shared" si="2"/>
        <v>R</v>
      </c>
      <c r="I21" s="1" t="str">
        <f>IF(Elect2018!H21=H21,"N","Y")</f>
        <v>N</v>
      </c>
      <c r="J21" s="81">
        <v>12</v>
      </c>
      <c r="K21" s="1">
        <v>27</v>
      </c>
      <c r="L21" s="1">
        <v>39</v>
      </c>
      <c r="M21" s="83">
        <f t="shared" si="3"/>
        <v>0.30769230769230771</v>
      </c>
      <c r="N21" s="83">
        <f t="shared" si="4"/>
        <v>0.38461538461538458</v>
      </c>
      <c r="O21" s="1" t="str">
        <f t="shared" si="5"/>
        <v>R</v>
      </c>
      <c r="P21" s="1" t="str">
        <f>IF(Elect2018!O21=O21,"N","Y")</f>
        <v>N</v>
      </c>
      <c r="Q21" s="81">
        <f t="shared" si="6"/>
        <v>47</v>
      </c>
      <c r="R21" s="1">
        <f t="shared" si="6"/>
        <v>95</v>
      </c>
      <c r="S21" s="83">
        <f t="shared" si="7"/>
        <v>0.3263888888888889</v>
      </c>
      <c r="T21" s="83">
        <f t="shared" si="8"/>
        <v>0.34722222222222227</v>
      </c>
      <c r="U21" s="1" t="str">
        <f t="shared" si="9"/>
        <v>R</v>
      </c>
      <c r="V21" s="1" t="s">
        <v>18</v>
      </c>
      <c r="W21" s="1" t="str">
        <f t="shared" si="10"/>
        <v>D</v>
      </c>
      <c r="X21" s="1">
        <f>C21-Elect2018!C21</f>
        <v>-4</v>
      </c>
      <c r="Y21" s="1">
        <f>J21-Elect2018!J21</f>
        <v>-2</v>
      </c>
      <c r="Z21" s="1">
        <f t="shared" si="11"/>
        <v>-6</v>
      </c>
    </row>
    <row r="22" spans="1:26">
      <c r="A22" s="1" t="s">
        <v>47</v>
      </c>
      <c r="B22" s="1" t="s">
        <v>34</v>
      </c>
      <c r="C22" s="81">
        <v>80</v>
      </c>
      <c r="D22" s="1">
        <v>67</v>
      </c>
      <c r="E22" s="1">
        <v>151</v>
      </c>
      <c r="F22" s="83">
        <f t="shared" si="0"/>
        <v>0.5298013245033113</v>
      </c>
      <c r="G22" s="26">
        <f t="shared" si="1"/>
        <v>5.9602649006622599E-2</v>
      </c>
      <c r="H22" s="1" t="str">
        <f t="shared" si="2"/>
        <v>D</v>
      </c>
      <c r="I22" s="1" t="str">
        <f>IF(Elect2018!H22=H22,"N","Y")</f>
        <v>N</v>
      </c>
      <c r="J22" s="81">
        <v>22</v>
      </c>
      <c r="K22" s="1">
        <v>13</v>
      </c>
      <c r="L22" s="1">
        <v>35</v>
      </c>
      <c r="M22" s="83">
        <f t="shared" si="3"/>
        <v>0.62857142857142856</v>
      </c>
      <c r="N22" s="83">
        <f t="shared" si="4"/>
        <v>0.25714285714285712</v>
      </c>
      <c r="O22" s="1" t="str">
        <f t="shared" si="5"/>
        <v>D</v>
      </c>
      <c r="P22" s="1" t="str">
        <f>IF(Elect2018!O22=O22,"N","Y")</f>
        <v>N</v>
      </c>
      <c r="Q22" s="81">
        <f t="shared" si="6"/>
        <v>102</v>
      </c>
      <c r="R22" s="1">
        <f t="shared" si="6"/>
        <v>80</v>
      </c>
      <c r="S22" s="83">
        <f t="shared" si="7"/>
        <v>0.54838709677419351</v>
      </c>
      <c r="T22" s="83">
        <f t="shared" si="8"/>
        <v>9.6774193548387011E-2</v>
      </c>
      <c r="U22" s="1" t="str">
        <f t="shared" si="9"/>
        <v>D</v>
      </c>
      <c r="V22" s="1" t="s">
        <v>18</v>
      </c>
      <c r="W22" s="1" t="str">
        <f t="shared" si="10"/>
        <v>U</v>
      </c>
      <c r="X22" s="1">
        <f>C22-Elect2018!C22</f>
        <v>-9</v>
      </c>
      <c r="Y22" s="1">
        <f>J22-Elect2018!J22</f>
        <v>1</v>
      </c>
      <c r="Z22" s="1">
        <f t="shared" si="11"/>
        <v>-8</v>
      </c>
    </row>
    <row r="23" spans="1:26">
      <c r="A23" s="1" t="s">
        <v>48</v>
      </c>
      <c r="B23" s="1" t="s">
        <v>26</v>
      </c>
      <c r="C23" s="81">
        <v>98</v>
      </c>
      <c r="D23" s="1">
        <v>42</v>
      </c>
      <c r="E23" s="1">
        <v>141</v>
      </c>
      <c r="F23" s="83">
        <f t="shared" si="0"/>
        <v>0.69503546099290781</v>
      </c>
      <c r="G23" s="26">
        <f t="shared" si="1"/>
        <v>0.39007092198581561</v>
      </c>
      <c r="H23" s="1" t="str">
        <f t="shared" si="2"/>
        <v>D</v>
      </c>
      <c r="I23" s="1" t="str">
        <f>IF(Elect2018!H23=H23,"N","Y")</f>
        <v>N</v>
      </c>
      <c r="J23" s="81">
        <v>32</v>
      </c>
      <c r="K23" s="1">
        <v>15</v>
      </c>
      <c r="L23" s="1">
        <v>47</v>
      </c>
      <c r="M23" s="83">
        <f t="shared" si="3"/>
        <v>0.68085106382978722</v>
      </c>
      <c r="N23" s="83">
        <f t="shared" si="4"/>
        <v>0.36170212765957444</v>
      </c>
      <c r="O23" s="1" t="str">
        <f t="shared" si="5"/>
        <v>D</v>
      </c>
      <c r="P23" s="1" t="str">
        <f>IF(Elect2018!O23=O23,"N","Y")</f>
        <v>N</v>
      </c>
      <c r="Q23" s="81">
        <f t="shared" si="6"/>
        <v>130</v>
      </c>
      <c r="R23" s="1">
        <f t="shared" si="6"/>
        <v>57</v>
      </c>
      <c r="S23" s="83">
        <f t="shared" si="7"/>
        <v>0.69148936170212771</v>
      </c>
      <c r="T23" s="83">
        <f t="shared" si="8"/>
        <v>0.38297872340425543</v>
      </c>
      <c r="U23" s="1" t="str">
        <f t="shared" si="9"/>
        <v>D</v>
      </c>
      <c r="V23" s="1" t="s">
        <v>19</v>
      </c>
      <c r="W23" s="1" t="str">
        <f t="shared" si="10"/>
        <v>D</v>
      </c>
      <c r="X23" s="1">
        <f>C23-Elect2018!C23</f>
        <v>0</v>
      </c>
      <c r="Y23" s="1">
        <f>J23-Elect2018!J23</f>
        <v>0</v>
      </c>
      <c r="Z23" s="1">
        <f t="shared" si="11"/>
        <v>0</v>
      </c>
    </row>
    <row r="24" spans="1:26">
      <c r="A24" s="1" t="s">
        <v>49</v>
      </c>
      <c r="B24" s="1" t="s">
        <v>34</v>
      </c>
      <c r="C24" s="81">
        <v>129</v>
      </c>
      <c r="D24" s="1">
        <v>30</v>
      </c>
      <c r="E24" s="1">
        <v>160</v>
      </c>
      <c r="F24" s="83">
        <f t="shared" si="0"/>
        <v>0.80625000000000002</v>
      </c>
      <c r="G24" s="26">
        <f t="shared" si="1"/>
        <v>0.61250000000000004</v>
      </c>
      <c r="H24" s="1" t="str">
        <f t="shared" si="2"/>
        <v>D</v>
      </c>
      <c r="I24" s="1" t="str">
        <f>IF(Elect2018!H24=H24,"N","Y")</f>
        <v>N</v>
      </c>
      <c r="J24" s="81">
        <v>37</v>
      </c>
      <c r="K24" s="1">
        <v>3</v>
      </c>
      <c r="L24" s="1">
        <v>40</v>
      </c>
      <c r="M24" s="83">
        <f t="shared" si="3"/>
        <v>0.92500000000000004</v>
      </c>
      <c r="N24" s="83">
        <f t="shared" si="4"/>
        <v>0.85000000000000009</v>
      </c>
      <c r="O24" s="1" t="str">
        <f t="shared" si="5"/>
        <v>D</v>
      </c>
      <c r="P24" s="1" t="str">
        <f>IF(Elect2018!O24=O24,"N","Y")</f>
        <v>N</v>
      </c>
      <c r="Q24" s="81">
        <f t="shared" si="6"/>
        <v>166</v>
      </c>
      <c r="R24" s="1">
        <f t="shared" si="6"/>
        <v>33</v>
      </c>
      <c r="S24" s="83">
        <f t="shared" si="7"/>
        <v>0.83</v>
      </c>
      <c r="T24" s="83">
        <f t="shared" si="8"/>
        <v>0.65999999999999992</v>
      </c>
      <c r="U24" s="1" t="str">
        <f t="shared" si="9"/>
        <v>D</v>
      </c>
      <c r="V24" s="1" t="s">
        <v>19</v>
      </c>
      <c r="W24" s="1" t="str">
        <f t="shared" si="10"/>
        <v>D</v>
      </c>
      <c r="X24" s="1">
        <f>C24-Elect2018!C24</f>
        <v>2</v>
      </c>
      <c r="Y24" s="1">
        <f>J24-Elect2018!J24</f>
        <v>3</v>
      </c>
      <c r="Z24" s="1">
        <f t="shared" si="11"/>
        <v>5</v>
      </c>
    </row>
    <row r="25" spans="1:26">
      <c r="A25" s="1" t="s">
        <v>50</v>
      </c>
      <c r="B25" s="1" t="s">
        <v>41</v>
      </c>
      <c r="C25" s="81">
        <v>52</v>
      </c>
      <c r="D25" s="1">
        <v>58</v>
      </c>
      <c r="E25" s="1">
        <v>110</v>
      </c>
      <c r="F25" s="83">
        <f t="shared" si="0"/>
        <v>0.47272727272727272</v>
      </c>
      <c r="G25" s="26">
        <f t="shared" si="1"/>
        <v>5.4545454545454619E-2</v>
      </c>
      <c r="H25" s="1" t="str">
        <f t="shared" si="2"/>
        <v>R</v>
      </c>
      <c r="I25" s="1" t="str">
        <f>IF(Elect2018!H25=H25,"N","Y")</f>
        <v>N</v>
      </c>
      <c r="J25" s="81">
        <v>16</v>
      </c>
      <c r="K25" s="1">
        <v>22</v>
      </c>
      <c r="L25" s="1">
        <v>38</v>
      </c>
      <c r="M25" s="83">
        <f t="shared" si="3"/>
        <v>0.42105263157894735</v>
      </c>
      <c r="N25" s="83">
        <f t="shared" si="4"/>
        <v>0.15789473684210531</v>
      </c>
      <c r="O25" s="1" t="str">
        <f t="shared" si="5"/>
        <v>R</v>
      </c>
      <c r="P25" s="1" t="str">
        <f>IF(Elect2018!O25=O25,"N","Y")</f>
        <v>N</v>
      </c>
      <c r="Q25" s="81">
        <f t="shared" si="6"/>
        <v>68</v>
      </c>
      <c r="R25" s="1">
        <f t="shared" si="6"/>
        <v>80</v>
      </c>
      <c r="S25" s="83">
        <f t="shared" si="7"/>
        <v>0.45945945945945948</v>
      </c>
      <c r="T25" s="83">
        <f t="shared" si="8"/>
        <v>8.1081081081081086E-2</v>
      </c>
      <c r="U25" s="1" t="str">
        <f t="shared" si="9"/>
        <v>R</v>
      </c>
      <c r="V25" s="1" t="s">
        <v>18</v>
      </c>
      <c r="W25" s="1" t="str">
        <f t="shared" si="10"/>
        <v>D</v>
      </c>
      <c r="X25" s="1">
        <f>C25-Elect2018!C25</f>
        <v>0</v>
      </c>
      <c r="Y25" s="1">
        <f>J25-Elect2018!J25</f>
        <v>0</v>
      </c>
      <c r="Z25" s="1">
        <f t="shared" si="11"/>
        <v>0</v>
      </c>
    </row>
    <row r="26" spans="1:26">
      <c r="A26" s="1" t="s">
        <v>51</v>
      </c>
      <c r="B26" s="1" t="s">
        <v>41</v>
      </c>
      <c r="C26" s="81">
        <v>70</v>
      </c>
      <c r="D26" s="1">
        <v>64</v>
      </c>
      <c r="E26" s="1">
        <v>134</v>
      </c>
      <c r="F26" s="83">
        <f t="shared" si="0"/>
        <v>0.52238805970149249</v>
      </c>
      <c r="G26" s="26">
        <f t="shared" si="1"/>
        <v>4.4776119402984982E-2</v>
      </c>
      <c r="H26" s="1" t="str">
        <f t="shared" si="2"/>
        <v>D</v>
      </c>
      <c r="I26" s="1" t="str">
        <f>IF(Elect2018!H26=H26,"N","Y")</f>
        <v>N</v>
      </c>
      <c r="J26" s="81">
        <v>33</v>
      </c>
      <c r="K26" s="1">
        <v>34</v>
      </c>
      <c r="L26" s="1">
        <v>67</v>
      </c>
      <c r="M26" s="83">
        <f t="shared" si="3"/>
        <v>0.4925373134328358</v>
      </c>
      <c r="N26" s="83">
        <f t="shared" si="4"/>
        <v>1.4925373134328401E-2</v>
      </c>
      <c r="O26" s="1" t="str">
        <f t="shared" si="5"/>
        <v>R</v>
      </c>
      <c r="P26" s="1" t="str">
        <f>IF(Elect2018!O26=O26,"N","Y")</f>
        <v>N</v>
      </c>
      <c r="Q26" s="81">
        <f t="shared" si="6"/>
        <v>103</v>
      </c>
      <c r="R26" s="1">
        <f t="shared" si="6"/>
        <v>98</v>
      </c>
      <c r="S26" s="83">
        <f t="shared" si="7"/>
        <v>0.51243781094527363</v>
      </c>
      <c r="T26" s="83">
        <f t="shared" si="8"/>
        <v>2.4875621890547261E-2</v>
      </c>
      <c r="U26" s="1" t="str">
        <f t="shared" si="9"/>
        <v>S</v>
      </c>
      <c r="V26" s="1" t="s">
        <v>18</v>
      </c>
      <c r="W26" s="1" t="str">
        <f t="shared" si="10"/>
        <v>D</v>
      </c>
      <c r="X26" s="1">
        <f>C26-Elect2018!C26</f>
        <v>-5</v>
      </c>
      <c r="Y26" s="1">
        <f>J26-Elect2018!J26</f>
        <v>0</v>
      </c>
      <c r="Z26" s="1">
        <f t="shared" si="11"/>
        <v>-5</v>
      </c>
    </row>
    <row r="27" spans="1:26">
      <c r="A27" s="1" t="s">
        <v>52</v>
      </c>
      <c r="B27" s="1" t="s">
        <v>26</v>
      </c>
      <c r="C27" s="81">
        <v>46</v>
      </c>
      <c r="D27" s="1">
        <v>74</v>
      </c>
      <c r="E27" s="1">
        <v>122</v>
      </c>
      <c r="F27" s="83">
        <f t="shared" si="0"/>
        <v>0.37704918032786883</v>
      </c>
      <c r="G27" s="26">
        <f t="shared" si="1"/>
        <v>0.24590163934426235</v>
      </c>
      <c r="H27" s="1" t="str">
        <f t="shared" si="2"/>
        <v>R</v>
      </c>
      <c r="I27" s="1" t="str">
        <f>IF(Elect2018!H27=H27,"N","Y")</f>
        <v>N</v>
      </c>
      <c r="J27" s="81">
        <v>16</v>
      </c>
      <c r="K27" s="1">
        <v>36</v>
      </c>
      <c r="L27" s="1">
        <v>52</v>
      </c>
      <c r="M27" s="83">
        <f t="shared" si="3"/>
        <v>0.30769230769230771</v>
      </c>
      <c r="N27" s="83">
        <f t="shared" si="4"/>
        <v>0.38461538461538458</v>
      </c>
      <c r="O27" s="1" t="str">
        <f t="shared" si="5"/>
        <v>R</v>
      </c>
      <c r="P27" s="1" t="str">
        <f>IF(Elect2018!O27=O27,"N","Y")</f>
        <v>N</v>
      </c>
      <c r="Q27" s="81">
        <f t="shared" si="6"/>
        <v>62</v>
      </c>
      <c r="R27" s="1">
        <f t="shared" si="6"/>
        <v>110</v>
      </c>
      <c r="S27" s="83">
        <f t="shared" si="7"/>
        <v>0.35632183908045978</v>
      </c>
      <c r="T27" s="83">
        <f t="shared" si="8"/>
        <v>0.28735632183908044</v>
      </c>
      <c r="U27" s="1" t="str">
        <f t="shared" si="9"/>
        <v>R</v>
      </c>
      <c r="V27" s="1" t="s">
        <v>19</v>
      </c>
      <c r="W27" s="1" t="str">
        <f t="shared" si="10"/>
        <v>U</v>
      </c>
      <c r="X27" s="1">
        <f>C27-Elect2018!C27</f>
        <v>-2</v>
      </c>
      <c r="Y27" s="1">
        <f>J27-Elect2018!J27</f>
        <v>-3</v>
      </c>
      <c r="Z27" s="1">
        <f t="shared" si="11"/>
        <v>-5</v>
      </c>
    </row>
    <row r="28" spans="1:26">
      <c r="A28" s="1" t="s">
        <v>53</v>
      </c>
      <c r="B28" s="1" t="s">
        <v>41</v>
      </c>
      <c r="C28" s="81">
        <v>49</v>
      </c>
      <c r="D28" s="1">
        <v>114</v>
      </c>
      <c r="E28" s="1">
        <v>163</v>
      </c>
      <c r="F28" s="83">
        <f t="shared" si="0"/>
        <v>0.30061349693251532</v>
      </c>
      <c r="G28" s="26">
        <f t="shared" si="1"/>
        <v>0.3987730061349693</v>
      </c>
      <c r="H28" s="1" t="str">
        <f t="shared" si="2"/>
        <v>R</v>
      </c>
      <c r="I28" s="1" t="str">
        <f>IF(Elect2018!H28=H28,"N","Y")</f>
        <v>N</v>
      </c>
      <c r="J28" s="81">
        <v>10</v>
      </c>
      <c r="K28" s="1">
        <v>24</v>
      </c>
      <c r="L28" s="1">
        <v>34</v>
      </c>
      <c r="M28" s="83">
        <f t="shared" si="3"/>
        <v>0.29411764705882354</v>
      </c>
      <c r="N28" s="83">
        <f t="shared" si="4"/>
        <v>0.41176470588235287</v>
      </c>
      <c r="O28" s="1" t="str">
        <f t="shared" si="5"/>
        <v>R</v>
      </c>
      <c r="P28" s="1" t="str">
        <f>IF(Elect2018!O28=O28,"N","Y")</f>
        <v>N</v>
      </c>
      <c r="Q28" s="81">
        <f t="shared" si="6"/>
        <v>59</v>
      </c>
      <c r="R28" s="1">
        <f t="shared" si="6"/>
        <v>138</v>
      </c>
      <c r="S28" s="83">
        <f t="shared" si="7"/>
        <v>0.29949238578680204</v>
      </c>
      <c r="T28" s="83">
        <f t="shared" si="8"/>
        <v>0.40101522842639592</v>
      </c>
      <c r="U28" s="1" t="str">
        <f t="shared" si="9"/>
        <v>R</v>
      </c>
      <c r="V28" s="1" t="s">
        <v>19</v>
      </c>
      <c r="W28" s="1" t="str">
        <f t="shared" si="10"/>
        <v>U</v>
      </c>
      <c r="X28" s="1">
        <f>C28-Elect2018!C28</f>
        <v>2</v>
      </c>
      <c r="Y28" s="1">
        <f>J28-Elect2018!J28</f>
        <v>0</v>
      </c>
      <c r="Z28" s="1">
        <f t="shared" si="11"/>
        <v>2</v>
      </c>
    </row>
    <row r="29" spans="1:26">
      <c r="A29" s="1" t="s">
        <v>54</v>
      </c>
      <c r="B29" s="1" t="s">
        <v>28</v>
      </c>
      <c r="C29" s="81">
        <v>33</v>
      </c>
      <c r="D29" s="1">
        <v>67</v>
      </c>
      <c r="E29" s="1">
        <v>100</v>
      </c>
      <c r="F29" s="83">
        <f t="shared" si="0"/>
        <v>0.33</v>
      </c>
      <c r="G29" s="26">
        <f t="shared" si="1"/>
        <v>0.33999999999999991</v>
      </c>
      <c r="H29" s="1" t="str">
        <f t="shared" si="2"/>
        <v>R</v>
      </c>
      <c r="I29" s="1" t="str">
        <f>IF(Elect2018!H29=H29,"N","Y")</f>
        <v>N</v>
      </c>
      <c r="J29" s="81">
        <v>18</v>
      </c>
      <c r="K29" s="1">
        <v>32</v>
      </c>
      <c r="L29" s="1">
        <v>50</v>
      </c>
      <c r="M29" s="83">
        <f t="shared" si="3"/>
        <v>0.36</v>
      </c>
      <c r="N29" s="83">
        <f t="shared" si="4"/>
        <v>0.28000000000000003</v>
      </c>
      <c r="O29" s="1" t="str">
        <f t="shared" si="5"/>
        <v>R</v>
      </c>
      <c r="P29" s="1" t="str">
        <f>IF(Elect2018!O29=O29,"N","Y")</f>
        <v>N</v>
      </c>
      <c r="Q29" s="81">
        <f t="shared" si="6"/>
        <v>51</v>
      </c>
      <c r="R29" s="1">
        <f t="shared" si="6"/>
        <v>99</v>
      </c>
      <c r="S29" s="83">
        <f t="shared" si="7"/>
        <v>0.34</v>
      </c>
      <c r="T29" s="83">
        <f t="shared" si="8"/>
        <v>0.3199999999999999</v>
      </c>
      <c r="U29" s="1" t="str">
        <f t="shared" si="9"/>
        <v>R</v>
      </c>
      <c r="V29" s="1" t="s">
        <v>19</v>
      </c>
      <c r="W29" s="1" t="str">
        <f t="shared" si="10"/>
        <v>U</v>
      </c>
      <c r="X29" s="1">
        <f>C29-Elect2018!C29</f>
        <v>-9</v>
      </c>
      <c r="Y29" s="1">
        <f>J29-Elect2018!J29</f>
        <v>-2</v>
      </c>
      <c r="Z29" s="1">
        <f t="shared" si="11"/>
        <v>-11</v>
      </c>
    </row>
    <row r="30" spans="1:26">
      <c r="A30" s="1" t="s">
        <v>55</v>
      </c>
      <c r="B30" s="1" t="s">
        <v>41</v>
      </c>
      <c r="C30" s="81"/>
      <c r="E30" s="1" t="s">
        <v>109</v>
      </c>
      <c r="F30" s="83"/>
      <c r="J30" s="81"/>
      <c r="M30" s="83"/>
      <c r="N30" s="83"/>
      <c r="Q30" s="81"/>
      <c r="V30" s="1" t="s">
        <v>19</v>
      </c>
      <c r="X30" s="1">
        <f>C30-Elect2018!C30</f>
        <v>0</v>
      </c>
      <c r="Y30" s="1">
        <f>J30-Elect2018!J30</f>
        <v>0</v>
      </c>
      <c r="Z30" s="1"/>
    </row>
    <row r="31" spans="1:26">
      <c r="A31" s="1" t="s">
        <v>57</v>
      </c>
      <c r="B31" s="1" t="s">
        <v>28</v>
      </c>
      <c r="C31" s="81">
        <v>26</v>
      </c>
      <c r="D31" s="1">
        <v>16</v>
      </c>
      <c r="E31" s="1">
        <v>42</v>
      </c>
      <c r="F31" s="83">
        <f t="shared" si="0"/>
        <v>0.61904761904761907</v>
      </c>
      <c r="G31" s="26">
        <f t="shared" si="1"/>
        <v>0.23809523809523814</v>
      </c>
      <c r="H31" s="1" t="str">
        <f t="shared" si="2"/>
        <v>D</v>
      </c>
      <c r="I31" s="1" t="str">
        <f>IF(Elect2018!H31=H31,"N","Y")</f>
        <v>N</v>
      </c>
      <c r="J31" s="81">
        <v>13</v>
      </c>
      <c r="K31" s="1">
        <v>8</v>
      </c>
      <c r="L31" s="1">
        <v>21</v>
      </c>
      <c r="M31" s="83">
        <f t="shared" si="3"/>
        <v>0.61904761904761907</v>
      </c>
      <c r="N31" s="83">
        <f t="shared" si="4"/>
        <v>0.23809523809523814</v>
      </c>
      <c r="O31" s="1" t="str">
        <f t="shared" si="5"/>
        <v>D</v>
      </c>
      <c r="P31" s="1" t="str">
        <f>IF(Elect2018!O31=O31,"N","Y")</f>
        <v>N</v>
      </c>
      <c r="Q31" s="81">
        <f t="shared" si="6"/>
        <v>39</v>
      </c>
      <c r="R31" s="1">
        <f t="shared" si="6"/>
        <v>24</v>
      </c>
      <c r="S31" s="83">
        <f t="shared" si="7"/>
        <v>0.61904761904761907</v>
      </c>
      <c r="T31" s="83">
        <f t="shared" si="8"/>
        <v>0.23809523809523814</v>
      </c>
      <c r="U31" s="1" t="str">
        <f t="shared" si="9"/>
        <v>D</v>
      </c>
      <c r="V31" s="1" t="s">
        <v>18</v>
      </c>
      <c r="W31" s="1" t="str">
        <f t="shared" si="10"/>
        <v>U</v>
      </c>
      <c r="X31" s="1">
        <f>C31-Elect2018!C31</f>
        <v>-3</v>
      </c>
      <c r="Y31" s="1">
        <f>J31-Elect2018!J31</f>
        <v>0</v>
      </c>
      <c r="Z31" s="1">
        <f t="shared" si="11"/>
        <v>-3</v>
      </c>
    </row>
    <row r="32" spans="1:26">
      <c r="A32" s="1" t="s">
        <v>58</v>
      </c>
      <c r="B32" s="1" t="s">
        <v>34</v>
      </c>
      <c r="C32" s="81">
        <v>187</v>
      </c>
      <c r="D32" s="1">
        <v>213</v>
      </c>
      <c r="E32" s="1">
        <v>400</v>
      </c>
      <c r="F32" s="83">
        <f t="shared" si="0"/>
        <v>0.46750000000000003</v>
      </c>
      <c r="G32" s="26">
        <f t="shared" si="1"/>
        <v>6.4999999999999947E-2</v>
      </c>
      <c r="H32" s="1" t="str">
        <f t="shared" si="2"/>
        <v>R</v>
      </c>
      <c r="I32" s="1" t="str">
        <f>IF(Elect2018!H32=H32,"N","Y")</f>
        <v>Y</v>
      </c>
      <c r="J32" s="81">
        <v>10</v>
      </c>
      <c r="K32" s="1">
        <v>14</v>
      </c>
      <c r="L32" s="1">
        <v>24</v>
      </c>
      <c r="M32" s="83">
        <f t="shared" si="3"/>
        <v>0.41666666666666669</v>
      </c>
      <c r="N32" s="83">
        <f t="shared" si="4"/>
        <v>0.16666666666666657</v>
      </c>
      <c r="O32" s="1" t="str">
        <f t="shared" si="5"/>
        <v>R</v>
      </c>
      <c r="P32" s="1" t="str">
        <f>IF(Elect2018!O32=O32,"N","Y")</f>
        <v>Y</v>
      </c>
      <c r="Q32" s="81">
        <f t="shared" si="6"/>
        <v>197</v>
      </c>
      <c r="R32" s="1">
        <f t="shared" si="6"/>
        <v>227</v>
      </c>
      <c r="S32" s="83">
        <f t="shared" si="7"/>
        <v>0.46462264150943394</v>
      </c>
      <c r="T32" s="83">
        <f t="shared" si="8"/>
        <v>7.0754716981132171E-2</v>
      </c>
      <c r="U32" s="1" t="str">
        <f t="shared" si="9"/>
        <v>R</v>
      </c>
      <c r="V32" s="1" t="s">
        <v>19</v>
      </c>
      <c r="W32" s="1" t="str">
        <f t="shared" si="10"/>
        <v>U</v>
      </c>
      <c r="X32" s="1">
        <f>C32-Elect2018!C32</f>
        <v>-47</v>
      </c>
      <c r="Y32" s="1">
        <f>J32-Elect2018!J32</f>
        <v>-4</v>
      </c>
      <c r="Z32" s="1">
        <f t="shared" si="11"/>
        <v>-51</v>
      </c>
    </row>
    <row r="33" spans="1:26">
      <c r="A33" s="1" t="s">
        <v>59</v>
      </c>
      <c r="B33" s="1" t="s">
        <v>34</v>
      </c>
      <c r="C33" s="81">
        <v>52</v>
      </c>
      <c r="D33" s="1">
        <v>28</v>
      </c>
      <c r="E33" s="1">
        <v>80</v>
      </c>
      <c r="F33" s="83">
        <f t="shared" si="0"/>
        <v>0.65</v>
      </c>
      <c r="G33" s="26">
        <f t="shared" si="1"/>
        <v>0.30000000000000004</v>
      </c>
      <c r="H33" s="1" t="str">
        <f t="shared" si="2"/>
        <v>D</v>
      </c>
      <c r="I33" s="1" t="str">
        <f>IF(Elect2018!H33=H33,"N","Y")</f>
        <v>N</v>
      </c>
      <c r="J33" s="81">
        <v>25</v>
      </c>
      <c r="K33" s="1">
        <v>15</v>
      </c>
      <c r="L33" s="1">
        <v>40</v>
      </c>
      <c r="M33" s="83">
        <f t="shared" si="3"/>
        <v>0.625</v>
      </c>
      <c r="N33" s="83">
        <f t="shared" si="4"/>
        <v>0.25</v>
      </c>
      <c r="O33" s="1" t="str">
        <f t="shared" si="5"/>
        <v>D</v>
      </c>
      <c r="P33" s="1" t="str">
        <f>IF(Elect2018!O33=O33,"N","Y")</f>
        <v>N</v>
      </c>
      <c r="Q33" s="81">
        <f t="shared" si="6"/>
        <v>77</v>
      </c>
      <c r="R33" s="1">
        <f t="shared" si="6"/>
        <v>43</v>
      </c>
      <c r="S33" s="83">
        <f t="shared" si="7"/>
        <v>0.64166666666666672</v>
      </c>
      <c r="T33" s="83">
        <f t="shared" si="8"/>
        <v>0.28333333333333344</v>
      </c>
      <c r="U33" s="1" t="str">
        <f t="shared" si="9"/>
        <v>D</v>
      </c>
      <c r="V33" s="1" t="s">
        <v>18</v>
      </c>
      <c r="W33" s="1" t="str">
        <f t="shared" si="10"/>
        <v>U</v>
      </c>
      <c r="X33" s="1">
        <f>C33-Elect2018!C33</f>
        <v>-2</v>
      </c>
      <c r="Y33" s="1">
        <f>J33-Elect2018!J33</f>
        <v>0</v>
      </c>
      <c r="Z33" s="1">
        <f t="shared" si="11"/>
        <v>-2</v>
      </c>
    </row>
    <row r="34" spans="1:26">
      <c r="A34" s="1" t="s">
        <v>60</v>
      </c>
      <c r="B34" s="1" t="s">
        <v>28</v>
      </c>
      <c r="C34" s="81">
        <v>44</v>
      </c>
      <c r="D34" s="1">
        <v>25</v>
      </c>
      <c r="E34" s="1">
        <v>70</v>
      </c>
      <c r="F34" s="83">
        <f t="shared" si="0"/>
        <v>0.62857142857142856</v>
      </c>
      <c r="G34" s="26">
        <f t="shared" si="1"/>
        <v>0.25714285714285712</v>
      </c>
      <c r="H34" s="1" t="str">
        <f t="shared" si="2"/>
        <v>D</v>
      </c>
      <c r="I34" s="1" t="str">
        <f>IF(Elect2018!H34=H34,"N","Y")</f>
        <v>N</v>
      </c>
      <c r="J34" s="81">
        <v>27</v>
      </c>
      <c r="K34" s="1">
        <v>15</v>
      </c>
      <c r="L34" s="1">
        <v>42</v>
      </c>
      <c r="M34" s="83">
        <f t="shared" si="3"/>
        <v>0.6428571428571429</v>
      </c>
      <c r="N34" s="83">
        <f t="shared" si="4"/>
        <v>0.28571428571428581</v>
      </c>
      <c r="O34" s="1" t="str">
        <f t="shared" si="5"/>
        <v>D</v>
      </c>
      <c r="P34" s="1" t="str">
        <f>IF(Elect2018!O34=O34,"N","Y")</f>
        <v>N</v>
      </c>
      <c r="Q34" s="81">
        <f t="shared" si="6"/>
        <v>71</v>
      </c>
      <c r="R34" s="1">
        <f t="shared" si="6"/>
        <v>40</v>
      </c>
      <c r="S34" s="83">
        <f t="shared" si="7"/>
        <v>0.6339285714285714</v>
      </c>
      <c r="T34" s="83">
        <f t="shared" si="8"/>
        <v>0.26785714285714279</v>
      </c>
      <c r="U34" s="1" t="str">
        <f t="shared" si="9"/>
        <v>D</v>
      </c>
      <c r="V34" s="1" t="s">
        <v>18</v>
      </c>
      <c r="W34" s="1" t="str">
        <f t="shared" si="10"/>
        <v>U</v>
      </c>
      <c r="X34" s="1">
        <f>C34-Elect2018!C34</f>
        <v>-2</v>
      </c>
      <c r="Y34" s="1">
        <f>J34-Elect2018!J34</f>
        <v>1</v>
      </c>
      <c r="Z34" s="1">
        <f t="shared" si="11"/>
        <v>-1</v>
      </c>
    </row>
    <row r="35" spans="1:26">
      <c r="A35" s="1" t="s">
        <v>61</v>
      </c>
      <c r="B35" s="1" t="s">
        <v>34</v>
      </c>
      <c r="C35" s="81">
        <v>103</v>
      </c>
      <c r="D35" s="1">
        <v>46</v>
      </c>
      <c r="E35" s="1">
        <v>150</v>
      </c>
      <c r="F35" s="83">
        <f t="shared" si="0"/>
        <v>0.68666666666666665</v>
      </c>
      <c r="G35" s="26">
        <f t="shared" si="1"/>
        <v>0.37333333333333329</v>
      </c>
      <c r="H35" s="1" t="str">
        <f t="shared" si="2"/>
        <v>D</v>
      </c>
      <c r="I35" s="1" t="str">
        <f>IF(Elect2018!H35=H35,"N","Y")</f>
        <v>N</v>
      </c>
      <c r="J35" s="81">
        <v>40</v>
      </c>
      <c r="K35" s="1">
        <v>23</v>
      </c>
      <c r="L35" s="1">
        <v>63</v>
      </c>
      <c r="M35" s="83">
        <f t="shared" si="3"/>
        <v>0.63492063492063489</v>
      </c>
      <c r="N35" s="83">
        <f t="shared" si="4"/>
        <v>0.26984126984126977</v>
      </c>
      <c r="O35" s="1" t="str">
        <f t="shared" si="5"/>
        <v>D</v>
      </c>
      <c r="P35" s="1" t="str">
        <f>IF(Elect2018!O35=O35,"N","Y")</f>
        <v>N</v>
      </c>
      <c r="Q35" s="81">
        <f t="shared" si="6"/>
        <v>143</v>
      </c>
      <c r="R35" s="1">
        <f t="shared" si="6"/>
        <v>69</v>
      </c>
      <c r="S35" s="83">
        <f t="shared" si="7"/>
        <v>0.67136150234741787</v>
      </c>
      <c r="T35" s="83">
        <f t="shared" si="8"/>
        <v>0.34272300469483574</v>
      </c>
      <c r="U35" s="1" t="str">
        <f t="shared" si="9"/>
        <v>D</v>
      </c>
      <c r="V35" s="1" t="s">
        <v>18</v>
      </c>
      <c r="W35" s="1" t="str">
        <f t="shared" si="10"/>
        <v>U</v>
      </c>
      <c r="X35" s="1">
        <f>C35-Elect2018!C35</f>
        <v>-4</v>
      </c>
      <c r="Y35" s="1">
        <f>J35-Elect2018!J35</f>
        <v>0</v>
      </c>
      <c r="Z35" s="1">
        <f t="shared" si="11"/>
        <v>-4</v>
      </c>
    </row>
    <row r="36" spans="1:26">
      <c r="A36" s="1" t="s">
        <v>62</v>
      </c>
      <c r="B36" s="1" t="s">
        <v>26</v>
      </c>
      <c r="C36" s="81">
        <v>51</v>
      </c>
      <c r="D36" s="1">
        <v>69</v>
      </c>
      <c r="E36" s="1">
        <v>120</v>
      </c>
      <c r="F36" s="83">
        <f t="shared" si="0"/>
        <v>0.42499999999999999</v>
      </c>
      <c r="G36" s="26">
        <f t="shared" si="1"/>
        <v>0.14999999999999997</v>
      </c>
      <c r="H36" s="1" t="str">
        <f t="shared" si="2"/>
        <v>R</v>
      </c>
      <c r="I36" s="1" t="str">
        <f>IF(Elect2018!H36=H36,"N","Y")</f>
        <v>N</v>
      </c>
      <c r="J36" s="81">
        <v>22</v>
      </c>
      <c r="K36" s="1">
        <v>28</v>
      </c>
      <c r="L36" s="1">
        <v>50</v>
      </c>
      <c r="M36" s="83">
        <f t="shared" si="3"/>
        <v>0.44</v>
      </c>
      <c r="N36" s="83">
        <f t="shared" si="4"/>
        <v>0.12000000000000005</v>
      </c>
      <c r="O36" s="1" t="str">
        <f t="shared" si="5"/>
        <v>R</v>
      </c>
      <c r="P36" s="1" t="str">
        <f>IF(Elect2018!O36=O36,"N","Y")</f>
        <v>N</v>
      </c>
      <c r="Q36" s="81">
        <f t="shared" si="6"/>
        <v>73</v>
      </c>
      <c r="R36" s="1">
        <f t="shared" si="6"/>
        <v>97</v>
      </c>
      <c r="S36" s="83">
        <f t="shared" si="7"/>
        <v>0.42941176470588233</v>
      </c>
      <c r="T36" s="83">
        <f t="shared" si="8"/>
        <v>0.14117647058823529</v>
      </c>
      <c r="U36" s="1" t="str">
        <f t="shared" si="9"/>
        <v>R</v>
      </c>
      <c r="V36" s="1" t="s">
        <v>18</v>
      </c>
      <c r="W36" s="1" t="str">
        <f t="shared" si="10"/>
        <v>D</v>
      </c>
      <c r="X36" s="1">
        <f>C36-Elect2018!C36</f>
        <v>-4</v>
      </c>
      <c r="Y36" s="1">
        <f>J36-Elect2018!J36</f>
        <v>1</v>
      </c>
      <c r="Z36" s="1">
        <f t="shared" si="11"/>
        <v>-3</v>
      </c>
    </row>
    <row r="37" spans="1:26">
      <c r="A37" s="1" t="s">
        <v>63</v>
      </c>
      <c r="B37" s="1" t="s">
        <v>41</v>
      </c>
      <c r="C37" s="81">
        <v>14</v>
      </c>
      <c r="D37" s="1">
        <v>80</v>
      </c>
      <c r="E37" s="1">
        <v>94</v>
      </c>
      <c r="F37" s="83">
        <f t="shared" si="0"/>
        <v>0.14893617021276595</v>
      </c>
      <c r="G37" s="26">
        <f t="shared" si="1"/>
        <v>0.7021276595744681</v>
      </c>
      <c r="H37" s="1" t="str">
        <f t="shared" si="2"/>
        <v>R</v>
      </c>
      <c r="I37" s="1" t="str">
        <f>IF(Elect2018!H37=H37,"N","Y")</f>
        <v>N</v>
      </c>
      <c r="J37" s="81">
        <v>7</v>
      </c>
      <c r="K37" s="1">
        <v>40</v>
      </c>
      <c r="L37" s="1">
        <v>47</v>
      </c>
      <c r="M37" s="83">
        <f t="shared" si="3"/>
        <v>0.14893617021276595</v>
      </c>
      <c r="N37" s="83">
        <f t="shared" si="4"/>
        <v>0.7021276595744681</v>
      </c>
      <c r="O37" s="1" t="str">
        <f t="shared" si="5"/>
        <v>R</v>
      </c>
      <c r="P37" s="1" t="str">
        <f>IF(Elect2018!O37=O37,"N","Y")</f>
        <v>N</v>
      </c>
      <c r="Q37" s="81">
        <f t="shared" si="6"/>
        <v>21</v>
      </c>
      <c r="R37" s="1">
        <f t="shared" si="6"/>
        <v>120</v>
      </c>
      <c r="S37" s="83">
        <f t="shared" si="7"/>
        <v>0.14893617021276595</v>
      </c>
      <c r="T37" s="83">
        <f t="shared" si="8"/>
        <v>0.7021276595744681</v>
      </c>
      <c r="U37" s="1" t="str">
        <f t="shared" si="9"/>
        <v>R</v>
      </c>
      <c r="V37" s="1" t="s">
        <v>19</v>
      </c>
      <c r="W37" s="1" t="str">
        <f t="shared" si="10"/>
        <v>U</v>
      </c>
      <c r="X37" s="1">
        <f>C37-Elect2018!C37</f>
        <v>-1</v>
      </c>
      <c r="Y37" s="1">
        <f>J37-Elect2018!J37</f>
        <v>-3</v>
      </c>
      <c r="Z37" s="1">
        <f t="shared" si="11"/>
        <v>-4</v>
      </c>
    </row>
    <row r="38" spans="1:26">
      <c r="A38" s="1" t="s">
        <v>64</v>
      </c>
      <c r="B38" s="1" t="s">
        <v>41</v>
      </c>
      <c r="C38" s="81">
        <v>35</v>
      </c>
      <c r="D38" s="1">
        <v>64</v>
      </c>
      <c r="E38" s="1">
        <v>99</v>
      </c>
      <c r="F38" s="83">
        <f t="shared" si="0"/>
        <v>0.35353535353535354</v>
      </c>
      <c r="G38" s="26">
        <f t="shared" si="1"/>
        <v>0.29292929292929287</v>
      </c>
      <c r="H38" s="1" t="str">
        <f t="shared" si="2"/>
        <v>R</v>
      </c>
      <c r="I38" s="1" t="str">
        <f>IF(Elect2018!H38=H38,"N","Y")</f>
        <v>N</v>
      </c>
      <c r="J38" s="81">
        <v>8</v>
      </c>
      <c r="K38" s="1">
        <v>25</v>
      </c>
      <c r="L38" s="1">
        <v>33</v>
      </c>
      <c r="M38" s="83">
        <f t="shared" si="3"/>
        <v>0.24242424242424243</v>
      </c>
      <c r="N38" s="83">
        <f t="shared" si="4"/>
        <v>0.51515151515151514</v>
      </c>
      <c r="O38" s="1" t="str">
        <f t="shared" si="5"/>
        <v>R</v>
      </c>
      <c r="P38" s="1" t="str">
        <f>IF(Elect2018!O38=O38,"N","Y")</f>
        <v>N</v>
      </c>
      <c r="Q38" s="81">
        <f t="shared" si="6"/>
        <v>43</v>
      </c>
      <c r="R38" s="1">
        <f t="shared" si="6"/>
        <v>89</v>
      </c>
      <c r="S38" s="83">
        <f t="shared" si="7"/>
        <v>0.32575757575757575</v>
      </c>
      <c r="T38" s="83">
        <f t="shared" si="8"/>
        <v>0.34848484848484856</v>
      </c>
      <c r="U38" s="1" t="str">
        <f t="shared" si="9"/>
        <v>R</v>
      </c>
      <c r="V38" s="1" t="s">
        <v>19</v>
      </c>
      <c r="W38" s="1" t="str">
        <f t="shared" si="10"/>
        <v>U</v>
      </c>
      <c r="X38" s="1">
        <f>C38-Elect2018!C38</f>
        <v>-3</v>
      </c>
      <c r="Y38" s="1">
        <f>J38-Elect2018!J38</f>
        <v>-1</v>
      </c>
      <c r="Z38" s="1">
        <f t="shared" si="11"/>
        <v>-4</v>
      </c>
    </row>
    <row r="39" spans="1:26">
      <c r="A39" s="1" t="s">
        <v>65</v>
      </c>
      <c r="B39" s="1" t="s">
        <v>26</v>
      </c>
      <c r="C39" s="81">
        <v>19</v>
      </c>
      <c r="D39" s="1">
        <v>82</v>
      </c>
      <c r="E39" s="1">
        <v>101</v>
      </c>
      <c r="F39" s="83">
        <f t="shared" si="0"/>
        <v>0.18811881188118812</v>
      </c>
      <c r="G39" s="26">
        <f t="shared" si="1"/>
        <v>0.62376237623762387</v>
      </c>
      <c r="H39" s="1" t="str">
        <f t="shared" si="2"/>
        <v>R</v>
      </c>
      <c r="I39" s="1" t="str">
        <f>IF(Elect2018!H39=H39,"N","Y")</f>
        <v>N</v>
      </c>
      <c r="J39" s="81">
        <v>9</v>
      </c>
      <c r="K39" s="1">
        <v>39</v>
      </c>
      <c r="L39" s="1">
        <v>48</v>
      </c>
      <c r="M39" s="83">
        <f t="shared" si="3"/>
        <v>0.1875</v>
      </c>
      <c r="N39" s="83">
        <f t="shared" si="4"/>
        <v>0.625</v>
      </c>
      <c r="O39" s="1" t="str">
        <f t="shared" si="5"/>
        <v>R</v>
      </c>
      <c r="P39" s="1" t="str">
        <f>IF(Elect2018!O39=O39,"N","Y")</f>
        <v>N</v>
      </c>
      <c r="Q39" s="81">
        <f t="shared" si="6"/>
        <v>28</v>
      </c>
      <c r="R39" s="1">
        <f t="shared" si="6"/>
        <v>121</v>
      </c>
      <c r="S39" s="83">
        <f t="shared" si="7"/>
        <v>0.18791946308724833</v>
      </c>
      <c r="T39" s="83">
        <f t="shared" si="8"/>
        <v>0.62416107382550345</v>
      </c>
      <c r="U39" s="1" t="str">
        <f t="shared" si="9"/>
        <v>R</v>
      </c>
      <c r="V39" s="1" t="s">
        <v>19</v>
      </c>
      <c r="W39" s="1" t="str">
        <f t="shared" si="10"/>
        <v>U</v>
      </c>
      <c r="X39" s="1">
        <f>C39-Elect2018!C39</f>
        <v>-6</v>
      </c>
      <c r="Y39" s="1">
        <f>J39-Elect2018!J39</f>
        <v>0</v>
      </c>
      <c r="Z39" s="1">
        <f t="shared" si="11"/>
        <v>-6</v>
      </c>
    </row>
    <row r="40" spans="1:26">
      <c r="A40" s="1" t="s">
        <v>66</v>
      </c>
      <c r="B40" s="1" t="s">
        <v>28</v>
      </c>
      <c r="C40" s="81">
        <v>37</v>
      </c>
      <c r="D40" s="1">
        <v>23</v>
      </c>
      <c r="E40" s="1">
        <v>60</v>
      </c>
      <c r="F40" s="83">
        <f t="shared" si="0"/>
        <v>0.6166666666666667</v>
      </c>
      <c r="G40" s="26">
        <f t="shared" si="1"/>
        <v>0.23333333333333339</v>
      </c>
      <c r="H40" s="1" t="str">
        <f t="shared" si="2"/>
        <v>D</v>
      </c>
      <c r="I40" s="1" t="str">
        <f>IF(Elect2018!H40=H40,"N","Y")</f>
        <v>N</v>
      </c>
      <c r="J40" s="81">
        <v>18</v>
      </c>
      <c r="K40" s="1">
        <v>12</v>
      </c>
      <c r="L40" s="1">
        <v>30</v>
      </c>
      <c r="M40" s="83">
        <f t="shared" si="3"/>
        <v>0.6</v>
      </c>
      <c r="N40" s="83">
        <f t="shared" si="4"/>
        <v>0.19999999999999996</v>
      </c>
      <c r="O40" s="1" t="str">
        <f t="shared" si="5"/>
        <v>D</v>
      </c>
      <c r="P40" s="1" t="str">
        <f>IF(Elect2018!O40=O40,"N","Y")</f>
        <v>N</v>
      </c>
      <c r="Q40" s="81">
        <f t="shared" si="6"/>
        <v>55</v>
      </c>
      <c r="R40" s="1">
        <f t="shared" si="6"/>
        <v>35</v>
      </c>
      <c r="S40" s="83">
        <f t="shared" si="7"/>
        <v>0.61111111111111116</v>
      </c>
      <c r="T40" s="83">
        <f t="shared" si="8"/>
        <v>0.22222222222222232</v>
      </c>
      <c r="U40" s="1" t="str">
        <f t="shared" si="9"/>
        <v>D</v>
      </c>
      <c r="V40" s="1" t="s">
        <v>18</v>
      </c>
      <c r="W40" s="1" t="str">
        <f t="shared" si="10"/>
        <v>U</v>
      </c>
      <c r="X40" s="1">
        <f>C40-Elect2018!C40</f>
        <v>-1</v>
      </c>
      <c r="Y40" s="1">
        <f>J40-Elect2018!J40</f>
        <v>0</v>
      </c>
      <c r="Z40" s="1">
        <f t="shared" si="11"/>
        <v>-1</v>
      </c>
    </row>
    <row r="41" spans="1:26">
      <c r="A41" s="1" t="s">
        <v>68</v>
      </c>
      <c r="B41" s="1" t="s">
        <v>34</v>
      </c>
      <c r="C41" s="81">
        <v>90</v>
      </c>
      <c r="D41" s="1">
        <v>113</v>
      </c>
      <c r="E41" s="1">
        <v>203</v>
      </c>
      <c r="F41" s="83">
        <f t="shared" si="0"/>
        <v>0.44334975369458129</v>
      </c>
      <c r="G41" s="26">
        <f t="shared" si="1"/>
        <v>0.11330049261083741</v>
      </c>
      <c r="H41" s="1" t="str">
        <f t="shared" si="2"/>
        <v>R</v>
      </c>
      <c r="I41" s="1" t="str">
        <f>IF(Elect2018!H41=H41,"N","Y")</f>
        <v>N</v>
      </c>
      <c r="J41" s="81">
        <v>20</v>
      </c>
      <c r="K41" s="1">
        <v>29</v>
      </c>
      <c r="L41" s="1">
        <v>50</v>
      </c>
      <c r="M41" s="83">
        <f t="shared" si="3"/>
        <v>0.4</v>
      </c>
      <c r="N41" s="83">
        <f t="shared" si="4"/>
        <v>0.19999999999999996</v>
      </c>
      <c r="O41" s="1" t="str">
        <f t="shared" si="5"/>
        <v>R</v>
      </c>
      <c r="P41" s="1" t="str">
        <f>IF(Elect2018!O41=O41,"N","Y")</f>
        <v>N</v>
      </c>
      <c r="Q41" s="81">
        <f t="shared" si="6"/>
        <v>110</v>
      </c>
      <c r="R41" s="1">
        <f t="shared" si="6"/>
        <v>142</v>
      </c>
      <c r="S41" s="83">
        <f t="shared" si="7"/>
        <v>0.43478260869565216</v>
      </c>
      <c r="T41" s="83">
        <f t="shared" si="8"/>
        <v>0.13043478260869573</v>
      </c>
      <c r="U41" s="1" t="str">
        <f t="shared" si="9"/>
        <v>R</v>
      </c>
      <c r="V41" s="1" t="s">
        <v>18</v>
      </c>
      <c r="W41" s="1" t="str">
        <f t="shared" si="10"/>
        <v>D</v>
      </c>
      <c r="X41" s="1">
        <f>C41-Elect2018!C41</f>
        <v>-3</v>
      </c>
      <c r="Y41" s="1">
        <f>J41-Elect2018!J41</f>
        <v>-1</v>
      </c>
      <c r="Z41" s="1">
        <f t="shared" si="11"/>
        <v>-4</v>
      </c>
    </row>
    <row r="42" spans="1:26">
      <c r="A42" s="1" t="s">
        <v>69</v>
      </c>
      <c r="B42" s="1" t="s">
        <v>34</v>
      </c>
      <c r="C42" s="81">
        <v>65</v>
      </c>
      <c r="D42" s="1">
        <v>10</v>
      </c>
      <c r="E42" s="1">
        <v>75</v>
      </c>
      <c r="F42" s="83">
        <f t="shared" si="0"/>
        <v>0.8666666666666667</v>
      </c>
      <c r="G42" s="26">
        <f t="shared" si="1"/>
        <v>0.73333333333333339</v>
      </c>
      <c r="H42" s="1" t="str">
        <f t="shared" si="2"/>
        <v>D</v>
      </c>
      <c r="I42" s="1" t="str">
        <f>IF(Elect2018!H42=H42,"N","Y")</f>
        <v>N</v>
      </c>
      <c r="J42" s="81">
        <v>33</v>
      </c>
      <c r="K42" s="1">
        <v>5</v>
      </c>
      <c r="L42" s="1">
        <v>38</v>
      </c>
      <c r="M42" s="83">
        <f t="shared" si="3"/>
        <v>0.86842105263157898</v>
      </c>
      <c r="N42" s="83">
        <f t="shared" si="4"/>
        <v>0.73684210526315796</v>
      </c>
      <c r="O42" s="1" t="str">
        <f t="shared" si="5"/>
        <v>D</v>
      </c>
      <c r="P42" s="1" t="str">
        <f>IF(Elect2018!O42=O42,"N","Y")</f>
        <v>N</v>
      </c>
      <c r="Q42" s="81">
        <f t="shared" si="6"/>
        <v>98</v>
      </c>
      <c r="R42" s="1">
        <f t="shared" si="6"/>
        <v>15</v>
      </c>
      <c r="S42" s="83">
        <f t="shared" si="7"/>
        <v>0.86725663716814161</v>
      </c>
      <c r="T42" s="83">
        <f t="shared" si="8"/>
        <v>0.73451327433628322</v>
      </c>
      <c r="U42" s="1" t="str">
        <f t="shared" si="9"/>
        <v>D</v>
      </c>
      <c r="V42" s="1" t="s">
        <v>18</v>
      </c>
      <c r="W42" s="1" t="str">
        <f t="shared" si="10"/>
        <v>U</v>
      </c>
      <c r="X42" s="1">
        <f>C42-Elect2018!C42</f>
        <v>-1</v>
      </c>
      <c r="Y42" s="1">
        <f>J42-Elect2018!J42</f>
        <v>0</v>
      </c>
      <c r="Z42" s="1">
        <f t="shared" si="11"/>
        <v>-1</v>
      </c>
    </row>
    <row r="43" spans="1:26">
      <c r="A43" s="1" t="s">
        <v>70</v>
      </c>
      <c r="B43" s="1" t="s">
        <v>26</v>
      </c>
      <c r="C43" s="81">
        <v>43</v>
      </c>
      <c r="D43" s="1">
        <v>81</v>
      </c>
      <c r="E43" s="1">
        <v>124</v>
      </c>
      <c r="F43" s="83">
        <f t="shared" si="0"/>
        <v>0.34677419354838712</v>
      </c>
      <c r="G43" s="26">
        <f t="shared" si="1"/>
        <v>0.30645161290322576</v>
      </c>
      <c r="H43" s="1" t="str">
        <f t="shared" si="2"/>
        <v>R</v>
      </c>
      <c r="I43" s="1" t="str">
        <f>IF(Elect2018!H43=H43,"N","Y")</f>
        <v>N</v>
      </c>
      <c r="J43" s="81">
        <v>16</v>
      </c>
      <c r="K43" s="1">
        <v>30</v>
      </c>
      <c r="L43" s="1">
        <v>46</v>
      </c>
      <c r="M43" s="83">
        <f t="shared" si="3"/>
        <v>0.34782608695652173</v>
      </c>
      <c r="N43" s="83">
        <f t="shared" si="4"/>
        <v>0.30434782608695654</v>
      </c>
      <c r="O43" s="1" t="str">
        <f t="shared" si="5"/>
        <v>R</v>
      </c>
      <c r="P43" s="1" t="str">
        <f>IF(Elect2018!O43=O43,"N","Y")</f>
        <v>N</v>
      </c>
      <c r="Q43" s="81">
        <f t="shared" si="6"/>
        <v>59</v>
      </c>
      <c r="R43" s="1">
        <f t="shared" si="6"/>
        <v>111</v>
      </c>
      <c r="S43" s="83">
        <f t="shared" si="7"/>
        <v>0.34705882352941175</v>
      </c>
      <c r="T43" s="83">
        <f t="shared" si="8"/>
        <v>0.30588235294117649</v>
      </c>
      <c r="U43" s="1" t="str">
        <f t="shared" si="9"/>
        <v>R</v>
      </c>
      <c r="V43" s="1" t="s">
        <v>19</v>
      </c>
      <c r="W43" s="1" t="str">
        <f t="shared" si="10"/>
        <v>U</v>
      </c>
      <c r="X43" s="1">
        <f>C43-Elect2018!C43</f>
        <v>-1</v>
      </c>
      <c r="Y43" s="1">
        <f>J43-Elect2018!J43</f>
        <v>-3</v>
      </c>
      <c r="Z43" s="1">
        <f t="shared" si="11"/>
        <v>-4</v>
      </c>
    </row>
    <row r="44" spans="1:26">
      <c r="A44" s="1" t="s">
        <v>71</v>
      </c>
      <c r="B44" s="1" t="s">
        <v>41</v>
      </c>
      <c r="C44" s="81">
        <v>8</v>
      </c>
      <c r="D44" s="1">
        <v>62</v>
      </c>
      <c r="E44" s="1">
        <v>70</v>
      </c>
      <c r="F44" s="83">
        <f t="shared" si="0"/>
        <v>0.11428571428571428</v>
      </c>
      <c r="G44" s="26">
        <f t="shared" si="1"/>
        <v>0.77142857142857135</v>
      </c>
      <c r="H44" s="1" t="str">
        <f t="shared" si="2"/>
        <v>R</v>
      </c>
      <c r="I44" s="1" t="str">
        <f>IF(Elect2018!H44=H44,"N","Y")</f>
        <v>N</v>
      </c>
      <c r="J44" s="81">
        <v>3</v>
      </c>
      <c r="K44" s="1">
        <v>32</v>
      </c>
      <c r="L44" s="1">
        <v>35</v>
      </c>
      <c r="M44" s="83">
        <f t="shared" si="3"/>
        <v>8.5714285714285715E-2</v>
      </c>
      <c r="N44" s="83">
        <f t="shared" si="4"/>
        <v>0.82857142857142851</v>
      </c>
      <c r="O44" s="1" t="str">
        <f t="shared" si="5"/>
        <v>R</v>
      </c>
      <c r="P44" s="1" t="str">
        <f>IF(Elect2018!O44=O44,"N","Y")</f>
        <v>N</v>
      </c>
      <c r="Q44" s="81">
        <f t="shared" si="6"/>
        <v>11</v>
      </c>
      <c r="R44" s="1">
        <f t="shared" si="6"/>
        <v>94</v>
      </c>
      <c r="S44" s="83">
        <f t="shared" si="7"/>
        <v>0.10476190476190476</v>
      </c>
      <c r="T44" s="83">
        <f t="shared" si="8"/>
        <v>0.79047619047619055</v>
      </c>
      <c r="U44" s="1" t="str">
        <f t="shared" si="9"/>
        <v>R</v>
      </c>
      <c r="V44" s="1" t="s">
        <v>19</v>
      </c>
      <c r="W44" s="1" t="str">
        <f t="shared" si="10"/>
        <v>U</v>
      </c>
      <c r="X44" s="1">
        <f>C44-Elect2018!C44</f>
        <v>-3</v>
      </c>
      <c r="Y44" s="1">
        <f>J44-Elect2018!J44</f>
        <v>-2</v>
      </c>
      <c r="Z44" s="1">
        <f t="shared" si="11"/>
        <v>-5</v>
      </c>
    </row>
    <row r="45" spans="1:26">
      <c r="A45" s="1" t="s">
        <v>72</v>
      </c>
      <c r="B45" s="1" t="s">
        <v>26</v>
      </c>
      <c r="C45" s="81">
        <v>26</v>
      </c>
      <c r="D45" s="1">
        <v>73</v>
      </c>
      <c r="E45" s="1">
        <v>99</v>
      </c>
      <c r="F45" s="83">
        <f t="shared" si="0"/>
        <v>0.26262626262626265</v>
      </c>
      <c r="G45" s="26">
        <f t="shared" si="1"/>
        <v>0.4747474747474747</v>
      </c>
      <c r="H45" s="1" t="str">
        <f t="shared" si="2"/>
        <v>R</v>
      </c>
      <c r="I45" s="1" t="str">
        <f>IF(Elect2018!H45=H45,"N","Y")</f>
        <v>N</v>
      </c>
      <c r="J45" s="81">
        <v>6</v>
      </c>
      <c r="K45" s="1">
        <v>27</v>
      </c>
      <c r="L45" s="1">
        <v>33</v>
      </c>
      <c r="M45" s="83">
        <f t="shared" si="3"/>
        <v>0.18181818181818182</v>
      </c>
      <c r="N45" s="83">
        <f t="shared" si="4"/>
        <v>0.63636363636363624</v>
      </c>
      <c r="O45" s="1" t="str">
        <f t="shared" si="5"/>
        <v>R</v>
      </c>
      <c r="P45" s="1" t="str">
        <f>IF(Elect2018!O45=O45,"N","Y")</f>
        <v>N</v>
      </c>
      <c r="Q45" s="81">
        <f t="shared" si="6"/>
        <v>32</v>
      </c>
      <c r="R45" s="1">
        <f t="shared" si="6"/>
        <v>100</v>
      </c>
      <c r="S45" s="83">
        <f t="shared" si="7"/>
        <v>0.24242424242424243</v>
      </c>
      <c r="T45" s="83">
        <f t="shared" si="8"/>
        <v>0.51515151515151514</v>
      </c>
      <c r="U45" s="1" t="str">
        <f t="shared" si="9"/>
        <v>R</v>
      </c>
      <c r="V45" s="1" t="s">
        <v>19</v>
      </c>
      <c r="W45" s="1" t="str">
        <f t="shared" si="10"/>
        <v>U</v>
      </c>
      <c r="X45" s="1">
        <f>C45-Elect2018!C45</f>
        <v>0</v>
      </c>
      <c r="Y45" s="1">
        <f>J45-Elect2018!J45</f>
        <v>1</v>
      </c>
      <c r="Z45" s="1">
        <f t="shared" si="11"/>
        <v>1</v>
      </c>
    </row>
    <row r="46" spans="1:26">
      <c r="A46" s="1" t="s">
        <v>73</v>
      </c>
      <c r="B46" s="1" t="s">
        <v>26</v>
      </c>
      <c r="C46" s="81">
        <v>66</v>
      </c>
      <c r="D46" s="1">
        <v>84</v>
      </c>
      <c r="E46" s="1">
        <v>150</v>
      </c>
      <c r="F46" s="83">
        <f t="shared" si="0"/>
        <v>0.44</v>
      </c>
      <c r="G46" s="26">
        <f t="shared" si="1"/>
        <v>0.12000000000000005</v>
      </c>
      <c r="H46" s="1" t="str">
        <f t="shared" si="2"/>
        <v>R</v>
      </c>
      <c r="I46" s="1" t="str">
        <f>IF(Elect2018!H46=H46,"N","Y")</f>
        <v>N</v>
      </c>
      <c r="J46" s="81">
        <v>13</v>
      </c>
      <c r="K46" s="1">
        <v>18</v>
      </c>
      <c r="L46" s="1">
        <v>31</v>
      </c>
      <c r="M46" s="83">
        <f t="shared" si="3"/>
        <v>0.41935483870967744</v>
      </c>
      <c r="N46" s="83">
        <f t="shared" si="4"/>
        <v>0.16129032258064507</v>
      </c>
      <c r="O46" s="1" t="str">
        <f t="shared" si="5"/>
        <v>R</v>
      </c>
      <c r="P46" s="1" t="str">
        <f>IF(Elect2018!O46=O46,"N","Y")</f>
        <v>N</v>
      </c>
      <c r="Q46" s="81">
        <f t="shared" si="6"/>
        <v>79</v>
      </c>
      <c r="R46" s="1">
        <f t="shared" si="6"/>
        <v>102</v>
      </c>
      <c r="S46" s="83">
        <f t="shared" si="7"/>
        <v>0.43646408839779005</v>
      </c>
      <c r="T46" s="83">
        <f t="shared" si="8"/>
        <v>0.1270718232044199</v>
      </c>
      <c r="U46" s="1" t="str">
        <f t="shared" si="9"/>
        <v>R</v>
      </c>
      <c r="V46" s="1" t="s">
        <v>19</v>
      </c>
      <c r="W46" s="1" t="str">
        <f t="shared" si="10"/>
        <v>U</v>
      </c>
      <c r="X46" s="1">
        <f>C46-Elect2018!C46</f>
        <v>-1</v>
      </c>
      <c r="Y46" s="1">
        <f>J46-Elect2018!J46</f>
        <v>1</v>
      </c>
      <c r="Z46" s="1">
        <f t="shared" si="11"/>
        <v>0</v>
      </c>
    </row>
    <row r="47" spans="1:26">
      <c r="A47" s="1" t="s">
        <v>74</v>
      </c>
      <c r="B47" s="1" t="s">
        <v>28</v>
      </c>
      <c r="C47" s="81">
        <v>19</v>
      </c>
      <c r="D47" s="1">
        <v>56</v>
      </c>
      <c r="E47" s="1">
        <v>75</v>
      </c>
      <c r="F47" s="83">
        <f t="shared" si="0"/>
        <v>0.25333333333333335</v>
      </c>
      <c r="G47" s="26">
        <f t="shared" si="1"/>
        <v>0.49333333333333323</v>
      </c>
      <c r="H47" s="1" t="str">
        <f t="shared" si="2"/>
        <v>R</v>
      </c>
      <c r="I47" s="1" t="str">
        <f>IF(Elect2018!H47=H47,"N","Y")</f>
        <v>N</v>
      </c>
      <c r="J47" s="81">
        <v>6</v>
      </c>
      <c r="K47" s="1">
        <v>23</v>
      </c>
      <c r="L47" s="1">
        <v>29</v>
      </c>
      <c r="M47" s="83">
        <f t="shared" si="3"/>
        <v>0.20689655172413793</v>
      </c>
      <c r="N47" s="83">
        <f t="shared" si="4"/>
        <v>0.5862068965517242</v>
      </c>
      <c r="O47" s="1" t="str">
        <f t="shared" si="5"/>
        <v>R</v>
      </c>
      <c r="P47" s="1" t="str">
        <f>IF(Elect2018!O47=O47,"N","Y")</f>
        <v>N</v>
      </c>
      <c r="Q47" s="81">
        <f t="shared" si="6"/>
        <v>25</v>
      </c>
      <c r="R47" s="1">
        <f t="shared" si="6"/>
        <v>79</v>
      </c>
      <c r="S47" s="83">
        <f t="shared" si="7"/>
        <v>0.24038461538461539</v>
      </c>
      <c r="T47" s="83">
        <f t="shared" si="8"/>
        <v>0.51923076923076916</v>
      </c>
      <c r="U47" s="1" t="str">
        <f t="shared" si="9"/>
        <v>R</v>
      </c>
      <c r="V47" s="1" t="s">
        <v>19</v>
      </c>
      <c r="W47" s="1" t="str">
        <f t="shared" si="10"/>
        <v>U</v>
      </c>
      <c r="X47" s="1">
        <f>C47-Elect2018!C47</f>
        <v>2</v>
      </c>
      <c r="Y47" s="1">
        <f>J47-Elect2018!J47</f>
        <v>0</v>
      </c>
      <c r="Z47" s="1">
        <f t="shared" si="11"/>
        <v>2</v>
      </c>
    </row>
    <row r="48" spans="1:26">
      <c r="A48" s="1" t="s">
        <v>75</v>
      </c>
      <c r="B48" s="1" t="s">
        <v>34</v>
      </c>
      <c r="C48" s="81">
        <v>92</v>
      </c>
      <c r="D48" s="1">
        <v>46</v>
      </c>
      <c r="E48" s="1">
        <v>150</v>
      </c>
      <c r="F48" s="83">
        <f t="shared" si="0"/>
        <v>0.61333333333333329</v>
      </c>
      <c r="G48" s="26">
        <f t="shared" si="1"/>
        <v>0.22666666666666657</v>
      </c>
      <c r="H48" s="1" t="str">
        <f t="shared" si="2"/>
        <v>D</v>
      </c>
      <c r="I48" s="1" t="str">
        <f>IF(Elect2018!H48=H48,"N","Y")</f>
        <v>N</v>
      </c>
      <c r="J48" s="81">
        <v>21</v>
      </c>
      <c r="K48" s="1">
        <v>7</v>
      </c>
      <c r="L48" s="1">
        <v>30</v>
      </c>
      <c r="M48" s="83">
        <f t="shared" si="3"/>
        <v>0.7</v>
      </c>
      <c r="N48" s="83">
        <f t="shared" si="4"/>
        <v>0.39999999999999991</v>
      </c>
      <c r="O48" s="1" t="str">
        <f t="shared" si="5"/>
        <v>D</v>
      </c>
      <c r="P48" s="1" t="str">
        <f>IF(Elect2018!O48=O48,"N","Y")</f>
        <v>N</v>
      </c>
      <c r="Q48" s="81">
        <f t="shared" si="6"/>
        <v>113</v>
      </c>
      <c r="R48" s="1">
        <f t="shared" si="6"/>
        <v>53</v>
      </c>
      <c r="S48" s="83">
        <f t="shared" si="7"/>
        <v>0.62777777777777777</v>
      </c>
      <c r="T48" s="83">
        <f t="shared" si="8"/>
        <v>0.25555555555555554</v>
      </c>
      <c r="U48" s="1" t="str">
        <f t="shared" si="9"/>
        <v>D</v>
      </c>
      <c r="V48" s="1" t="s">
        <v>19</v>
      </c>
      <c r="W48" s="1" t="str">
        <f t="shared" si="10"/>
        <v>D</v>
      </c>
      <c r="X48" s="1">
        <f>C48-Elect2018!C48</f>
        <v>-3</v>
      </c>
      <c r="Y48" s="1">
        <f>J48-Elect2018!J48</f>
        <v>-1</v>
      </c>
      <c r="Z48" s="1">
        <f t="shared" si="11"/>
        <v>-4</v>
      </c>
    </row>
    <row r="49" spans="1:26">
      <c r="A49" s="1" t="s">
        <v>76</v>
      </c>
      <c r="B49" s="1" t="s">
        <v>26</v>
      </c>
      <c r="C49" s="81">
        <v>55</v>
      </c>
      <c r="D49" s="1">
        <v>45</v>
      </c>
      <c r="E49" s="1">
        <v>100</v>
      </c>
      <c r="F49" s="83">
        <f t="shared" si="0"/>
        <v>0.55000000000000004</v>
      </c>
      <c r="G49" s="26">
        <f t="shared" si="1"/>
        <v>0.10000000000000009</v>
      </c>
      <c r="H49" s="1" t="str">
        <f t="shared" si="2"/>
        <v>D</v>
      </c>
      <c r="I49" s="1" t="str">
        <f>IF(Elect2018!H49=H49,"N","Y")</f>
        <v>Y</v>
      </c>
      <c r="J49" s="81">
        <v>21</v>
      </c>
      <c r="K49" s="1">
        <v>19</v>
      </c>
      <c r="L49" s="1">
        <v>40</v>
      </c>
      <c r="M49" s="83">
        <f t="shared" si="3"/>
        <v>0.52500000000000002</v>
      </c>
      <c r="N49" s="83">
        <f t="shared" si="4"/>
        <v>5.0000000000000044E-2</v>
      </c>
      <c r="O49" s="1" t="str">
        <f t="shared" si="5"/>
        <v>D</v>
      </c>
      <c r="P49" s="1" t="str">
        <f>IF(Elect2018!O49=O49,"N","Y")</f>
        <v>Y</v>
      </c>
      <c r="Q49" s="81">
        <f t="shared" si="6"/>
        <v>76</v>
      </c>
      <c r="R49" s="1">
        <f t="shared" si="6"/>
        <v>64</v>
      </c>
      <c r="S49" s="83">
        <f t="shared" si="7"/>
        <v>0.54285714285714282</v>
      </c>
      <c r="T49" s="83">
        <f t="shared" si="8"/>
        <v>8.5714285714285632E-2</v>
      </c>
      <c r="U49" s="1" t="str">
        <f t="shared" si="9"/>
        <v>D</v>
      </c>
      <c r="V49" s="1" t="s">
        <v>18</v>
      </c>
      <c r="W49" s="1" t="str">
        <f t="shared" si="10"/>
        <v>U</v>
      </c>
      <c r="X49" s="1">
        <f>C49-Elect2018!C49</f>
        <v>6</v>
      </c>
      <c r="Y49" s="1">
        <f>J49-Elect2018!J49</f>
        <v>2</v>
      </c>
      <c r="Z49" s="1">
        <f t="shared" si="11"/>
        <v>8</v>
      </c>
    </row>
    <row r="50" spans="1:26">
      <c r="A50" s="1" t="s">
        <v>77</v>
      </c>
      <c r="B50" s="1" t="s">
        <v>28</v>
      </c>
      <c r="C50" s="81">
        <v>58</v>
      </c>
      <c r="D50" s="1">
        <v>40</v>
      </c>
      <c r="E50" s="1">
        <v>98</v>
      </c>
      <c r="F50" s="83">
        <f t="shared" si="0"/>
        <v>0.59183673469387754</v>
      </c>
      <c r="G50" s="26">
        <f t="shared" si="1"/>
        <v>0.18367346938775508</v>
      </c>
      <c r="H50" s="1" t="str">
        <f t="shared" si="2"/>
        <v>D</v>
      </c>
      <c r="I50" s="1" t="str">
        <f>IF(Elect2018!H50=H50,"N","Y")</f>
        <v>N</v>
      </c>
      <c r="J50" s="81">
        <v>29</v>
      </c>
      <c r="K50" s="1">
        <v>20</v>
      </c>
      <c r="L50" s="1">
        <v>49</v>
      </c>
      <c r="M50" s="83">
        <f t="shared" si="3"/>
        <v>0.59183673469387754</v>
      </c>
      <c r="N50" s="83">
        <f t="shared" si="4"/>
        <v>0.18367346938775508</v>
      </c>
      <c r="O50" s="1" t="str">
        <f t="shared" si="5"/>
        <v>D</v>
      </c>
      <c r="P50" s="1" t="str">
        <f>IF(Elect2018!O50=O50,"N","Y")</f>
        <v>N</v>
      </c>
      <c r="Q50" s="81">
        <f t="shared" si="6"/>
        <v>87</v>
      </c>
      <c r="R50" s="1">
        <f t="shared" si="6"/>
        <v>60</v>
      </c>
      <c r="S50" s="83">
        <f t="shared" si="7"/>
        <v>0.59183673469387754</v>
      </c>
      <c r="T50" s="83">
        <f t="shared" si="8"/>
        <v>0.18367346938775508</v>
      </c>
      <c r="U50" s="1" t="str">
        <f t="shared" si="9"/>
        <v>D</v>
      </c>
      <c r="V50" s="1" t="s">
        <v>18</v>
      </c>
      <c r="W50" s="1" t="str">
        <f t="shared" si="10"/>
        <v>U</v>
      </c>
      <c r="X50" s="1">
        <f>C50-Elect2018!C50</f>
        <v>1</v>
      </c>
      <c r="Y50" s="1">
        <f>J50-Elect2018!J50</f>
        <v>1</v>
      </c>
      <c r="Z50" s="1">
        <f t="shared" si="11"/>
        <v>2</v>
      </c>
    </row>
    <row r="51" spans="1:26">
      <c r="A51" s="1" t="s">
        <v>78</v>
      </c>
      <c r="B51" s="1" t="s">
        <v>26</v>
      </c>
      <c r="C51" s="81">
        <v>24</v>
      </c>
      <c r="D51" s="1">
        <v>76</v>
      </c>
      <c r="E51" s="1">
        <v>100</v>
      </c>
      <c r="F51" s="83">
        <f t="shared" si="0"/>
        <v>0.24</v>
      </c>
      <c r="G51" s="26">
        <f t="shared" si="1"/>
        <v>0.52</v>
      </c>
      <c r="H51" s="1" t="str">
        <f t="shared" si="2"/>
        <v>R</v>
      </c>
      <c r="I51" s="1" t="str">
        <f>IF(Elect2018!H51=H51,"N","Y")</f>
        <v>N</v>
      </c>
      <c r="J51" s="81">
        <v>11</v>
      </c>
      <c r="K51" s="1">
        <v>23</v>
      </c>
      <c r="L51" s="1">
        <v>34</v>
      </c>
      <c r="M51" s="83">
        <f t="shared" si="3"/>
        <v>0.3235294117647059</v>
      </c>
      <c r="N51" s="83">
        <f t="shared" si="4"/>
        <v>0.35294117647058826</v>
      </c>
      <c r="O51" s="1" t="str">
        <f t="shared" si="5"/>
        <v>R</v>
      </c>
      <c r="P51" s="1" t="str">
        <f>IF(Elect2018!O51=O51,"N","Y")</f>
        <v>N</v>
      </c>
      <c r="Q51" s="81">
        <f t="shared" si="6"/>
        <v>35</v>
      </c>
      <c r="R51" s="1">
        <f t="shared" si="6"/>
        <v>99</v>
      </c>
      <c r="S51" s="83">
        <f t="shared" si="7"/>
        <v>0.26119402985074625</v>
      </c>
      <c r="T51" s="83">
        <f t="shared" si="8"/>
        <v>0.47761194029850751</v>
      </c>
      <c r="U51" s="1" t="str">
        <f t="shared" si="9"/>
        <v>R</v>
      </c>
      <c r="V51" s="1" t="s">
        <v>19</v>
      </c>
      <c r="W51" s="1" t="str">
        <f t="shared" si="10"/>
        <v>U</v>
      </c>
      <c r="X51" s="1">
        <f>C51-Elect2018!C51</f>
        <v>-17</v>
      </c>
      <c r="Y51" s="1">
        <f>J51-Elect2018!J51</f>
        <v>-3</v>
      </c>
      <c r="Z51" s="1">
        <f t="shared" si="11"/>
        <v>-20</v>
      </c>
    </row>
    <row r="52" spans="1:26">
      <c r="A52" s="1" t="s">
        <v>79</v>
      </c>
      <c r="B52" s="1" t="s">
        <v>41</v>
      </c>
      <c r="C52" s="81">
        <v>38</v>
      </c>
      <c r="D52" s="1">
        <v>61</v>
      </c>
      <c r="E52" s="1">
        <v>99</v>
      </c>
      <c r="F52" s="83">
        <f t="shared" si="0"/>
        <v>0.38383838383838381</v>
      </c>
      <c r="G52" s="26">
        <f t="shared" si="1"/>
        <v>0.23232323232323232</v>
      </c>
      <c r="H52" s="1" t="str">
        <f t="shared" si="2"/>
        <v>R</v>
      </c>
      <c r="I52" s="1" t="str">
        <f>IF(Elect2018!H52=H52,"N","Y")</f>
        <v>N</v>
      </c>
      <c r="J52" s="81">
        <v>12</v>
      </c>
      <c r="K52" s="1">
        <v>21</v>
      </c>
      <c r="L52" s="1">
        <v>33</v>
      </c>
      <c r="M52" s="83">
        <f t="shared" si="3"/>
        <v>0.36363636363636365</v>
      </c>
      <c r="N52" s="83">
        <f t="shared" si="4"/>
        <v>0.27272727272727271</v>
      </c>
      <c r="O52" s="1" t="str">
        <f t="shared" si="5"/>
        <v>R</v>
      </c>
      <c r="P52" s="1" t="str">
        <f>IF(Elect2018!O52=O52,"N","Y")</f>
        <v>N</v>
      </c>
      <c r="Q52" s="81">
        <f t="shared" si="6"/>
        <v>50</v>
      </c>
      <c r="R52" s="1">
        <f t="shared" si="6"/>
        <v>82</v>
      </c>
      <c r="S52" s="83">
        <f t="shared" si="7"/>
        <v>0.37878787878787878</v>
      </c>
      <c r="T52" s="83">
        <f t="shared" si="8"/>
        <v>0.24242424242424243</v>
      </c>
      <c r="U52" s="1" t="str">
        <f t="shared" si="9"/>
        <v>R</v>
      </c>
      <c r="V52" s="1" t="s">
        <v>18</v>
      </c>
      <c r="W52" s="1" t="str">
        <f t="shared" si="10"/>
        <v>D</v>
      </c>
      <c r="X52" s="1">
        <f>C52-Elect2018!C52</f>
        <v>3</v>
      </c>
      <c r="Y52" s="1">
        <f>J52-Elect2018!J52</f>
        <v>-2</v>
      </c>
      <c r="Z52" s="1">
        <f t="shared" si="11"/>
        <v>1</v>
      </c>
    </row>
    <row r="53" spans="1:26" ht="16" thickBot="1">
      <c r="A53" s="84" t="s">
        <v>80</v>
      </c>
      <c r="B53" s="84" t="s">
        <v>28</v>
      </c>
      <c r="C53" s="85">
        <v>7</v>
      </c>
      <c r="D53" s="84">
        <v>51</v>
      </c>
      <c r="E53" s="84">
        <v>60</v>
      </c>
      <c r="F53" s="86">
        <f t="shared" si="0"/>
        <v>0.11666666666666667</v>
      </c>
      <c r="G53" s="87">
        <f t="shared" si="1"/>
        <v>0.76666666666666661</v>
      </c>
      <c r="H53" s="84" t="str">
        <f t="shared" si="2"/>
        <v>R</v>
      </c>
      <c r="I53" s="89" t="str">
        <f>IF(Elect2018!H53=H53,"N","Y")</f>
        <v>N</v>
      </c>
      <c r="J53" s="85">
        <v>2</v>
      </c>
      <c r="K53" s="84">
        <v>28</v>
      </c>
      <c r="L53" s="84">
        <v>30</v>
      </c>
      <c r="M53" s="86">
        <f t="shared" si="3"/>
        <v>6.6666666666666666E-2</v>
      </c>
      <c r="N53" s="86">
        <f t="shared" si="4"/>
        <v>0.8666666666666667</v>
      </c>
      <c r="O53" s="84" t="str">
        <f t="shared" si="5"/>
        <v>R</v>
      </c>
      <c r="P53" s="89" t="str">
        <f>IF(Elect2018!O53=O53,"N","Y")</f>
        <v>N</v>
      </c>
      <c r="Q53" s="85">
        <f t="shared" si="6"/>
        <v>9</v>
      </c>
      <c r="R53" s="84">
        <f t="shared" si="6"/>
        <v>79</v>
      </c>
      <c r="S53" s="86">
        <f t="shared" si="7"/>
        <v>0.1</v>
      </c>
      <c r="T53" s="86">
        <f t="shared" si="8"/>
        <v>0.8</v>
      </c>
      <c r="U53" s="84" t="str">
        <f t="shared" si="9"/>
        <v>R</v>
      </c>
      <c r="V53" s="84" t="s">
        <v>19</v>
      </c>
      <c r="W53" s="84" t="str">
        <f t="shared" si="10"/>
        <v>U</v>
      </c>
      <c r="X53" s="84">
        <f>C53-Elect2018!C53</f>
        <v>-2</v>
      </c>
      <c r="Y53" s="84">
        <f>J53-Elect2018!J53</f>
        <v>-1</v>
      </c>
      <c r="Z53" s="84">
        <f t="shared" si="11"/>
        <v>-3</v>
      </c>
    </row>
    <row r="54" spans="1:26">
      <c r="A54" s="1" t="s">
        <v>81</v>
      </c>
      <c r="C54" s="81">
        <f>SUM(C4:C53)</f>
        <v>2451</v>
      </c>
      <c r="D54" s="1">
        <f>SUM(D4:D53)</f>
        <v>2930</v>
      </c>
      <c r="E54" s="1">
        <v>5411</v>
      </c>
      <c r="F54" s="83">
        <f>C54/E54</f>
        <v>0.45296618000369615</v>
      </c>
      <c r="J54" s="81">
        <f>SUM(J4:J53)</f>
        <v>851</v>
      </c>
      <c r="K54" s="1">
        <f>SUM(K4:K53)</f>
        <v>1069</v>
      </c>
      <c r="L54" s="1">
        <v>1923</v>
      </c>
      <c r="M54" s="83">
        <f>J54/L54</f>
        <v>0.44253770150806032</v>
      </c>
      <c r="Q54" s="81">
        <f>SUM(Q4:Q53)</f>
        <v>3302</v>
      </c>
      <c r="R54" s="1">
        <f>SUM(R4:R53)</f>
        <v>3999</v>
      </c>
      <c r="S54" s="83">
        <f>Q54/(E54+L54)</f>
        <v>0.45023179710935368</v>
      </c>
      <c r="T54" s="83">
        <f>AVERAGE(T4:T53)</f>
        <v>0.35834253946663097</v>
      </c>
      <c r="X54" s="1">
        <f>SUM(X4:X53)</f>
        <v>-149</v>
      </c>
      <c r="Y54" s="1">
        <f>SUM(Y4:Y53)</f>
        <v>-11</v>
      </c>
      <c r="Z54" s="1">
        <f>SUM(Z4:Z53)</f>
        <v>-160</v>
      </c>
    </row>
    <row r="56" spans="1:26" ht="13">
      <c r="A56" s="1" t="s">
        <v>113</v>
      </c>
      <c r="D56" s="82"/>
      <c r="E56" s="82"/>
      <c r="F56" s="82"/>
      <c r="G56" s="88"/>
      <c r="H56" s="82"/>
      <c r="I56" s="82"/>
      <c r="J56" s="82"/>
      <c r="K56" s="82"/>
      <c r="L56" s="82"/>
      <c r="N56" s="82"/>
      <c r="O56" s="82"/>
      <c r="P56" s="82"/>
      <c r="Q56" s="82"/>
      <c r="R56" s="82"/>
      <c r="S56" s="88"/>
      <c r="T56" s="88"/>
    </row>
    <row r="57" spans="1:26">
      <c r="A57" s="1" t="s">
        <v>83</v>
      </c>
      <c r="C57" s="1">
        <f>SUM(C7,C4,C12,C13,C20:C21,C23,C27,C36,C39,C43,C45,C46,C49,C51)</f>
        <v>657</v>
      </c>
      <c r="D57" s="82"/>
      <c r="E57" s="1">
        <v>1767</v>
      </c>
      <c r="F57" s="1">
        <f>C57/E57</f>
        <v>0.37181663837011886</v>
      </c>
      <c r="G57" s="88"/>
      <c r="H57" s="82"/>
      <c r="I57" s="82"/>
      <c r="J57" s="1">
        <f>SUM(J4,J7,J12:J13,J20:J21,J23,J27,J36,J39,J43,J45:J46,J49,J51)</f>
        <v>219</v>
      </c>
      <c r="K57" s="82"/>
      <c r="L57" s="1">
        <v>624</v>
      </c>
      <c r="M57" s="1">
        <f>J57/L57</f>
        <v>0.35096153846153844</v>
      </c>
      <c r="N57" s="82"/>
      <c r="O57" s="82"/>
      <c r="P57" s="82"/>
      <c r="Q57" s="1">
        <f>C57+J57</f>
        <v>876</v>
      </c>
      <c r="S57" s="83">
        <f>Q57/(E57+L57)</f>
        <v>0.36637390213299875</v>
      </c>
      <c r="T57" s="88"/>
    </row>
    <row r="58" spans="1:26">
      <c r="A58" s="1" t="s">
        <v>84</v>
      </c>
      <c r="C58" s="1">
        <f>SUM(C5:C6,C8:C11,C14:C19,C22,C24,C25:C26,C28:C29,C31:C35,C37:C38,C40:C42,C44,C47:C48,C50,C52:C53)</f>
        <v>1794</v>
      </c>
      <c r="D58" s="82"/>
      <c r="E58" s="1">
        <v>3644</v>
      </c>
      <c r="F58" s="1">
        <f>C58/E58</f>
        <v>0.49231613611416025</v>
      </c>
      <c r="G58" s="88"/>
      <c r="H58" s="82"/>
      <c r="I58" s="82"/>
      <c r="J58" s="1">
        <v>633</v>
      </c>
      <c r="K58" s="82"/>
      <c r="L58" s="1">
        <v>1299</v>
      </c>
      <c r="M58" s="1">
        <f t="shared" ref="M58:M61" si="12">J58/L58</f>
        <v>0.48729792147806006</v>
      </c>
      <c r="N58" s="82"/>
      <c r="O58" s="82"/>
      <c r="P58" s="82"/>
      <c r="Q58" s="1">
        <f t="shared" ref="Q58:Q61" si="13">C58+J58</f>
        <v>2427</v>
      </c>
      <c r="S58" s="83">
        <f t="shared" ref="S58:S61" si="14">Q58/(E58+L58)</f>
        <v>0.49099737001820759</v>
      </c>
      <c r="T58" s="88"/>
    </row>
    <row r="59" spans="1:26">
      <c r="A59" s="1" t="s">
        <v>85</v>
      </c>
      <c r="B59" s="82"/>
      <c r="C59" s="1">
        <f>SUM(C10:C11,C22,C24,C32:C33,C35,C41:C42,C48)</f>
        <v>921</v>
      </c>
      <c r="D59" s="82"/>
      <c r="E59" s="1">
        <v>1561</v>
      </c>
      <c r="F59" s="1">
        <f t="shared" ref="F59:F61" si="15">C59/E59</f>
        <v>0.59000640614990396</v>
      </c>
      <c r="G59" s="88"/>
      <c r="H59" s="82"/>
      <c r="I59" s="82"/>
      <c r="J59" s="1">
        <f>SUM(J10:J11,J22,J24,J32:J33,J35,J41:J42,J48)</f>
        <v>246</v>
      </c>
      <c r="K59" s="82"/>
      <c r="L59" s="1">
        <v>377</v>
      </c>
      <c r="M59" s="1">
        <f t="shared" si="12"/>
        <v>0.65251989389920428</v>
      </c>
      <c r="N59" s="82"/>
      <c r="O59" s="82"/>
      <c r="P59" s="82"/>
      <c r="Q59" s="1">
        <f t="shared" si="13"/>
        <v>1167</v>
      </c>
      <c r="S59" s="83">
        <f t="shared" si="14"/>
        <v>0.60216718266253866</v>
      </c>
      <c r="T59" s="88"/>
    </row>
    <row r="60" spans="1:26">
      <c r="A60" s="1" t="s">
        <v>86</v>
      </c>
      <c r="B60" s="82"/>
      <c r="C60" s="1">
        <f>SUM(C16:C19,C25:C26,C28,C37:C38,C52,C44)</f>
        <v>446</v>
      </c>
      <c r="D60" s="82"/>
      <c r="E60" s="1">
        <v>1212</v>
      </c>
      <c r="F60" s="1">
        <f t="shared" si="15"/>
        <v>0.367986798679868</v>
      </c>
      <c r="G60" s="88"/>
      <c r="H60" s="82"/>
      <c r="I60" s="82"/>
      <c r="J60" s="1">
        <f>SUM(J16:J19,J25:J26,J28,J37:J38,J52,J44)</f>
        <v>170</v>
      </c>
      <c r="K60" s="82"/>
      <c r="L60" s="1">
        <v>486</v>
      </c>
      <c r="M60" s="1">
        <f t="shared" si="12"/>
        <v>0.34979423868312759</v>
      </c>
      <c r="N60" s="82"/>
      <c r="O60" s="82"/>
      <c r="P60" s="82"/>
      <c r="Q60" s="1">
        <f t="shared" si="13"/>
        <v>616</v>
      </c>
      <c r="S60" s="83">
        <f t="shared" si="14"/>
        <v>0.36277974087161369</v>
      </c>
      <c r="T60" s="88"/>
    </row>
    <row r="61" spans="1:26">
      <c r="A61" s="1" t="s">
        <v>87</v>
      </c>
      <c r="B61" s="82"/>
      <c r="C61" s="1">
        <f>SUM(C5:C6,C8:C9,C14:C15,C29,C31,C34,C40,C47,C53,C50)</f>
        <v>427</v>
      </c>
      <c r="D61" s="82"/>
      <c r="E61" s="1">
        <v>871</v>
      </c>
      <c r="F61" s="1">
        <f t="shared" si="15"/>
        <v>0.49024110218140071</v>
      </c>
      <c r="G61" s="88"/>
      <c r="H61" s="82"/>
      <c r="I61" s="82"/>
      <c r="J61" s="1">
        <f>SUM(J53,J50,J47,J40,J34,J31,J29,J5:J6,J8:J9,J14:J15)</f>
        <v>216</v>
      </c>
      <c r="K61" s="82"/>
      <c r="L61" s="1">
        <v>436</v>
      </c>
      <c r="M61" s="1">
        <f t="shared" si="12"/>
        <v>0.49541284403669728</v>
      </c>
      <c r="N61" s="82"/>
      <c r="O61" s="82"/>
      <c r="P61" s="82"/>
      <c r="Q61" s="1">
        <f t="shared" si="13"/>
        <v>643</v>
      </c>
      <c r="S61" s="83">
        <f t="shared" si="14"/>
        <v>0.49196633511859217</v>
      </c>
      <c r="T61" s="88"/>
    </row>
    <row r="62" spans="1:26" ht="13">
      <c r="A62" s="82"/>
      <c r="B62" s="82"/>
      <c r="C62" s="82"/>
      <c r="D62" s="82"/>
      <c r="E62" s="82"/>
      <c r="F62" s="82"/>
      <c r="G62" s="88"/>
      <c r="H62" s="82"/>
      <c r="I62" s="82"/>
      <c r="J62" s="82"/>
      <c r="K62" s="82"/>
      <c r="L62" s="82"/>
      <c r="N62" s="82"/>
      <c r="O62" s="82"/>
      <c r="P62" s="82"/>
      <c r="Q62" s="82"/>
      <c r="R62" s="82"/>
      <c r="S62" s="88"/>
      <c r="T62" s="88"/>
    </row>
    <row r="63" spans="1:26" ht="13">
      <c r="A63" s="82"/>
      <c r="B63" s="82"/>
      <c r="C63" s="82"/>
      <c r="D63" s="82"/>
      <c r="E63" s="82"/>
      <c r="F63" s="82"/>
      <c r="G63" s="88"/>
      <c r="H63" s="82"/>
      <c r="I63" s="82"/>
      <c r="J63" s="82"/>
      <c r="K63" s="82"/>
      <c r="L63" s="82"/>
      <c r="N63" s="82"/>
      <c r="O63" s="82"/>
      <c r="P63" s="82"/>
      <c r="Q63" s="82"/>
      <c r="R63" s="82"/>
      <c r="S63" s="88"/>
      <c r="T63" s="88"/>
    </row>
    <row r="64" spans="1:26" ht="13">
      <c r="A64" s="50" t="s">
        <v>114</v>
      </c>
      <c r="B64" s="50"/>
      <c r="C64" s="50" t="s">
        <v>89</v>
      </c>
      <c r="D64" s="50"/>
      <c r="E64" s="50" t="s">
        <v>26</v>
      </c>
      <c r="F64" s="50" t="s">
        <v>90</v>
      </c>
      <c r="G64" s="88"/>
      <c r="H64" s="82"/>
      <c r="I64" s="82"/>
      <c r="J64" s="82"/>
      <c r="K64" s="82"/>
      <c r="L64" s="82"/>
      <c r="N64" s="82"/>
      <c r="O64" s="82"/>
      <c r="P64" s="82"/>
      <c r="Q64" s="82"/>
      <c r="R64" s="82"/>
      <c r="S64" s="88"/>
      <c r="T64" s="88"/>
    </row>
    <row r="65" spans="1:20" ht="13">
      <c r="A65" s="1" t="s">
        <v>81</v>
      </c>
      <c r="C65" s="37">
        <f>C54-Elect2018!C54</f>
        <v>-149</v>
      </c>
      <c r="D65" s="82"/>
      <c r="E65" s="37">
        <f>J54-Elect2018!J54</f>
        <v>-11</v>
      </c>
      <c r="F65" s="37">
        <f>SUM(C65,E65)</f>
        <v>-160</v>
      </c>
      <c r="G65" s="88"/>
      <c r="H65" s="82"/>
      <c r="I65" s="82"/>
      <c r="J65" s="82"/>
      <c r="K65" s="82"/>
      <c r="L65" s="82"/>
      <c r="N65" s="82"/>
      <c r="O65" s="82"/>
      <c r="P65" s="82"/>
      <c r="Q65" s="82"/>
      <c r="R65" s="82"/>
      <c r="S65" s="88"/>
      <c r="T65" s="88"/>
    </row>
    <row r="66" spans="1:20" ht="13">
      <c r="A66" s="1" t="s">
        <v>83</v>
      </c>
      <c r="C66" s="37">
        <f>C57-Elect2018!C57</f>
        <v>-47</v>
      </c>
      <c r="D66" s="82"/>
      <c r="E66" s="37">
        <f>J57-Elect2018!J57</f>
        <v>-10</v>
      </c>
      <c r="F66" s="37">
        <f t="shared" ref="F66:F69" si="16">SUM(C66,E66)</f>
        <v>-57</v>
      </c>
      <c r="G66" s="88"/>
      <c r="H66" s="82"/>
      <c r="I66" s="82"/>
      <c r="J66" s="82"/>
      <c r="K66" s="82"/>
      <c r="L66" s="82"/>
      <c r="N66" s="82"/>
      <c r="O66" s="82"/>
      <c r="P66" s="82"/>
      <c r="Q66" s="82"/>
      <c r="R66" s="82"/>
      <c r="S66" s="88"/>
      <c r="T66" s="88"/>
    </row>
    <row r="67" spans="1:20" ht="13">
      <c r="A67" s="1" t="s">
        <v>85</v>
      </c>
      <c r="C67" s="37">
        <f>C59-Elect2018!C59</f>
        <v>-62</v>
      </c>
      <c r="D67" s="82"/>
      <c r="E67" s="37">
        <f>J59-Elect2018!J59</f>
        <v>0</v>
      </c>
      <c r="F67" s="37">
        <f t="shared" si="16"/>
        <v>-62</v>
      </c>
      <c r="G67" s="88"/>
      <c r="H67" s="82"/>
      <c r="I67" s="82"/>
      <c r="J67" s="82"/>
      <c r="K67" s="82"/>
      <c r="L67" s="82"/>
      <c r="N67" s="82"/>
      <c r="O67" s="82"/>
      <c r="P67" s="82"/>
      <c r="Q67" s="82"/>
      <c r="R67" s="82"/>
      <c r="S67" s="88"/>
      <c r="T67" s="88"/>
    </row>
    <row r="68" spans="1:20" ht="13">
      <c r="A68" s="1" t="s">
        <v>86</v>
      </c>
      <c r="C68" s="37">
        <f>C60-Elect2018!C60</f>
        <v>-20</v>
      </c>
      <c r="D68" s="82"/>
      <c r="E68" s="37">
        <f>J60-Elect2018!J60</f>
        <v>-4</v>
      </c>
      <c r="F68" s="37">
        <f t="shared" si="16"/>
        <v>-24</v>
      </c>
      <c r="G68" s="88"/>
      <c r="H68" s="82"/>
      <c r="I68" s="82"/>
      <c r="J68" s="82"/>
      <c r="K68" s="82"/>
      <c r="L68" s="82"/>
      <c r="N68" s="82"/>
      <c r="O68" s="82"/>
      <c r="P68" s="82"/>
      <c r="Q68" s="82"/>
      <c r="R68" s="82"/>
      <c r="S68" s="88"/>
      <c r="T68" s="88"/>
    </row>
    <row r="69" spans="1:20" ht="13">
      <c r="A69" s="1" t="s">
        <v>87</v>
      </c>
      <c r="C69" s="37">
        <f>C61-Elect2018!C61</f>
        <v>-20</v>
      </c>
      <c r="D69" s="82"/>
      <c r="E69" s="37">
        <f>J61-Elect2018!J61</f>
        <v>3</v>
      </c>
      <c r="F69" s="37">
        <f t="shared" si="16"/>
        <v>-17</v>
      </c>
      <c r="G69" s="88"/>
      <c r="H69" s="82"/>
      <c r="I69" s="82"/>
      <c r="J69" s="82"/>
      <c r="K69" s="82"/>
      <c r="L69" s="82"/>
      <c r="N69" s="82"/>
      <c r="O69" s="82"/>
      <c r="P69" s="82"/>
      <c r="Q69" s="82"/>
      <c r="R69" s="82"/>
      <c r="S69" s="88"/>
      <c r="T69" s="88"/>
    </row>
    <row r="70" spans="1:20" ht="13">
      <c r="A70" s="82"/>
      <c r="B70" s="82"/>
      <c r="C70" s="82"/>
      <c r="D70" s="82"/>
      <c r="E70" s="82"/>
      <c r="F70" s="82"/>
      <c r="G70" s="88"/>
      <c r="H70" s="82"/>
      <c r="I70" s="82"/>
      <c r="J70" s="82"/>
      <c r="K70" s="82"/>
      <c r="L70" s="82"/>
      <c r="N70" s="82"/>
      <c r="O70" s="82"/>
      <c r="P70" s="82"/>
      <c r="Q70" s="82"/>
      <c r="R70" s="82"/>
      <c r="S70" s="88"/>
      <c r="T70" s="88"/>
    </row>
    <row r="71" spans="1:20" ht="13">
      <c r="A71" s="82"/>
      <c r="B71" s="82"/>
      <c r="C71" s="82"/>
      <c r="D71" s="82"/>
      <c r="E71" s="82"/>
      <c r="F71" s="82"/>
      <c r="G71" s="88"/>
      <c r="H71" s="82"/>
      <c r="I71" s="82"/>
      <c r="J71" s="82"/>
      <c r="K71" s="82"/>
      <c r="L71" s="82"/>
      <c r="N71" s="82"/>
      <c r="O71" s="82"/>
      <c r="P71" s="82"/>
      <c r="Q71" s="82"/>
      <c r="R71" s="82"/>
      <c r="S71" s="88"/>
      <c r="T71" s="88"/>
    </row>
    <row r="72" spans="1:20" ht="13">
      <c r="A72" s="1" t="s">
        <v>91</v>
      </c>
      <c r="F72" s="1">
        <v>11</v>
      </c>
      <c r="G72" s="88"/>
      <c r="H72" s="82"/>
      <c r="I72" s="82"/>
      <c r="J72" s="82"/>
      <c r="K72" s="82"/>
      <c r="L72" s="82"/>
      <c r="N72" s="82"/>
      <c r="O72" s="82"/>
      <c r="P72" s="82"/>
      <c r="Q72" s="82"/>
      <c r="R72" s="82"/>
      <c r="S72" s="88"/>
      <c r="T72" s="88"/>
    </row>
    <row r="73" spans="1:20" ht="13">
      <c r="G73" s="88"/>
      <c r="H73" s="82"/>
      <c r="I73" s="82"/>
      <c r="J73" s="82"/>
      <c r="K73" s="82"/>
      <c r="L73" s="82"/>
      <c r="N73" s="82"/>
      <c r="O73" s="82"/>
      <c r="P73" s="82"/>
      <c r="Q73" s="82"/>
      <c r="R73" s="82"/>
      <c r="S73" s="88"/>
      <c r="T73" s="88"/>
    </row>
    <row r="74" spans="1:20" ht="13">
      <c r="A74" s="1" t="s">
        <v>92</v>
      </c>
      <c r="C74" s="1">
        <v>2</v>
      </c>
      <c r="E74" s="1">
        <v>2</v>
      </c>
      <c r="F74" s="1">
        <v>4</v>
      </c>
      <c r="G74" s="88"/>
      <c r="H74" s="82"/>
      <c r="I74" s="82"/>
      <c r="J74" s="82"/>
      <c r="K74" s="82"/>
      <c r="L74" s="82"/>
      <c r="N74" s="82"/>
      <c r="O74" s="82"/>
      <c r="P74" s="82"/>
      <c r="Q74" s="82"/>
      <c r="R74" s="82"/>
      <c r="S74" s="88"/>
      <c r="T74" s="88"/>
    </row>
    <row r="75" spans="1:20" ht="13">
      <c r="A75" s="82"/>
      <c r="B75" s="82"/>
      <c r="C75" s="82"/>
      <c r="D75" s="82"/>
      <c r="E75" s="82"/>
      <c r="F75" s="82"/>
      <c r="G75" s="88"/>
      <c r="H75" s="1" t="s">
        <v>110</v>
      </c>
      <c r="I75" s="82"/>
      <c r="J75" s="82"/>
      <c r="K75" s="82"/>
      <c r="L75" s="82"/>
      <c r="N75" s="82"/>
      <c r="O75" s="82"/>
      <c r="P75" s="82"/>
      <c r="Q75" s="82"/>
      <c r="R75" s="82"/>
      <c r="S75" s="88"/>
      <c r="T75" s="88"/>
    </row>
    <row r="76" spans="1:20" ht="13">
      <c r="A76" s="1" t="s">
        <v>115</v>
      </c>
      <c r="C76" s="1">
        <v>19</v>
      </c>
      <c r="E76" s="1">
        <v>18</v>
      </c>
      <c r="F76" s="1">
        <v>18</v>
      </c>
      <c r="G76" s="88"/>
      <c r="H76" s="1">
        <v>37</v>
      </c>
      <c r="I76" s="82"/>
      <c r="J76" s="82"/>
      <c r="K76" s="82"/>
      <c r="L76" s="82"/>
      <c r="N76" s="82"/>
      <c r="O76" s="82"/>
      <c r="P76" s="82"/>
      <c r="Q76" s="82"/>
      <c r="R76" s="82"/>
      <c r="S76" s="88"/>
      <c r="T76" s="88"/>
    </row>
    <row r="77" spans="1:20" ht="13">
      <c r="A77" s="1" t="s">
        <v>116</v>
      </c>
      <c r="C77" s="1">
        <v>30</v>
      </c>
      <c r="E77" s="1">
        <v>31</v>
      </c>
      <c r="F77" s="1">
        <v>30</v>
      </c>
      <c r="G77" s="88"/>
      <c r="H77" s="1">
        <v>61</v>
      </c>
      <c r="I77" s="82"/>
      <c r="J77" s="82"/>
      <c r="K77" s="82"/>
      <c r="L77" s="82"/>
      <c r="N77" s="82"/>
      <c r="O77" s="82"/>
      <c r="P77" s="82"/>
      <c r="Q77" s="82"/>
      <c r="R77" s="82"/>
      <c r="S77" s="88"/>
      <c r="T77" s="88"/>
    </row>
    <row r="78" spans="1:20" ht="13">
      <c r="A78" s="1" t="s">
        <v>95</v>
      </c>
      <c r="F78" s="1">
        <v>1</v>
      </c>
      <c r="G78" s="88"/>
      <c r="H78" s="82"/>
      <c r="I78" s="82"/>
      <c r="J78" s="82"/>
      <c r="K78" s="82"/>
      <c r="L78" s="82"/>
      <c r="N78" s="82"/>
      <c r="O78" s="82"/>
      <c r="P78" s="82"/>
      <c r="Q78" s="82"/>
      <c r="R78" s="82"/>
      <c r="S78" s="88"/>
      <c r="T78" s="88"/>
    </row>
    <row r="79" spans="1:20" ht="13">
      <c r="A79" s="82"/>
      <c r="B79" s="82"/>
      <c r="C79" s="82"/>
      <c r="D79" s="82"/>
      <c r="E79" s="82"/>
      <c r="F79" s="82"/>
      <c r="G79" s="88"/>
      <c r="H79" s="82"/>
      <c r="I79" s="82"/>
      <c r="J79" s="82"/>
      <c r="K79" s="82"/>
      <c r="L79" s="82"/>
      <c r="N79" s="82"/>
      <c r="O79" s="82"/>
      <c r="P79" s="82"/>
      <c r="Q79" s="82"/>
      <c r="R79" s="82"/>
      <c r="S79" s="88"/>
      <c r="T79" s="88"/>
    </row>
    <row r="80" spans="1:20" ht="13">
      <c r="A80" s="1" t="s">
        <v>117</v>
      </c>
      <c r="F80" s="1">
        <v>23</v>
      </c>
      <c r="G80" s="88"/>
      <c r="H80" s="82"/>
      <c r="I80" s="82"/>
      <c r="J80" s="82"/>
      <c r="K80" s="82"/>
      <c r="L80" s="82"/>
      <c r="N80" s="82"/>
      <c r="O80" s="82"/>
      <c r="P80" s="82"/>
      <c r="Q80" s="82"/>
      <c r="R80" s="82"/>
      <c r="S80" s="88"/>
      <c r="T80" s="88"/>
    </row>
    <row r="81" spans="1:20" ht="13">
      <c r="A81" s="82"/>
      <c r="B81" s="82"/>
      <c r="C81" s="82"/>
      <c r="D81" s="82"/>
      <c r="E81" s="82"/>
      <c r="F81" s="82"/>
      <c r="G81" s="88"/>
      <c r="H81" s="82"/>
      <c r="I81" s="82"/>
      <c r="J81" s="82"/>
      <c r="K81" s="82"/>
      <c r="L81" s="82"/>
      <c r="N81" s="82"/>
      <c r="O81" s="82"/>
      <c r="P81" s="82"/>
      <c r="Q81" s="82"/>
      <c r="R81" s="82"/>
      <c r="S81" s="88"/>
      <c r="T81" s="88"/>
    </row>
    <row r="82" spans="1:20" ht="13">
      <c r="A82" s="82"/>
      <c r="B82" s="82"/>
      <c r="C82" s="82"/>
      <c r="D82" s="82"/>
      <c r="E82" s="82"/>
      <c r="F82" s="82"/>
      <c r="G82" s="88"/>
      <c r="H82" s="82"/>
      <c r="I82" s="82"/>
      <c r="J82" s="82"/>
      <c r="K82" s="82"/>
      <c r="L82" s="82"/>
      <c r="N82" s="82"/>
      <c r="O82" s="82"/>
      <c r="P82" s="82"/>
      <c r="Q82" s="82"/>
      <c r="R82" s="82"/>
      <c r="S82" s="88"/>
      <c r="T82" s="88"/>
    </row>
    <row r="83" spans="1:20" ht="13">
      <c r="A83" s="1" t="s">
        <v>97</v>
      </c>
      <c r="D83" s="82"/>
      <c r="E83" s="82"/>
      <c r="F83" s="82"/>
      <c r="G83" s="88"/>
      <c r="H83" s="82"/>
      <c r="I83" s="82"/>
      <c r="J83" s="82"/>
      <c r="K83" s="82"/>
      <c r="L83" s="82"/>
      <c r="N83" s="82"/>
      <c r="O83" s="82"/>
      <c r="P83" s="82"/>
      <c r="Q83" s="82"/>
      <c r="R83" s="82"/>
      <c r="S83" s="88"/>
      <c r="T83" s="88"/>
    </row>
    <row r="84" spans="1:20" ht="13">
      <c r="A84" s="1" t="s">
        <v>83</v>
      </c>
      <c r="C84" s="16">
        <f>AVERAGE(G4,G7,G12:G13,G20:G21,G23,G27,G36,G39,G43,G45:G46,G49,G51)</f>
        <v>0.34902523131085644</v>
      </c>
      <c r="D84" s="82"/>
      <c r="E84" s="16">
        <f>AVERAGE(N4,N7,N12:N13,N20:N21,N23,N27,N36,N39,N43,N45:N46,N49,N51)</f>
        <v>0.36779773893040535</v>
      </c>
      <c r="F84" s="16">
        <f>AVERAGE(T4,T7,T12:T13,T20:T21,T23,T27,T36,T39,T43,T45:T46,T49,T51)</f>
        <v>0.35387783099074555</v>
      </c>
      <c r="G84" s="88"/>
      <c r="H84" s="82"/>
      <c r="I84" s="82"/>
      <c r="J84" s="82"/>
      <c r="K84" s="82"/>
      <c r="L84" s="82"/>
      <c r="N84" s="82"/>
      <c r="O84" s="82"/>
      <c r="P84" s="82"/>
      <c r="Q84" s="82"/>
      <c r="R84" s="82"/>
      <c r="S84" s="88"/>
      <c r="T84" s="88"/>
    </row>
    <row r="85" spans="1:20" ht="13">
      <c r="A85" s="1" t="s">
        <v>84</v>
      </c>
      <c r="C85" s="16">
        <f>AVERAGE(G5:G6,G8:G11,G14:G19,G22,G24,G25,G26,G28:G29,G31,G32,G33,G34,G35,G37:G38,G40,G41,G42,G44,G47,G48,G50,G52,G53)</f>
        <v>0.3486304851195226</v>
      </c>
      <c r="D85" s="82"/>
      <c r="E85" s="16">
        <f>AVERAGE(N5:N6,N8:N11,N14:N19,N22,N24,N25,N26,N28:N29,N31,N32,N33,N34,N35,N37:N38,N40,N41,N42,N44,N47,N48,N50,N52,N53)</f>
        <v>0.40000097446700439</v>
      </c>
      <c r="F85" s="16">
        <f>AVERAGE(T5:T6,T8:T11,T14:T19,T22, T24,T25,T26,T28:T29,T31,T32,T33,T34,T35,T37:T38,T40,T41,T42,T44,T47,T48,T50,T52,T53)</f>
        <v>0.36031226379422754</v>
      </c>
      <c r="G85" s="88"/>
      <c r="H85" s="82"/>
      <c r="I85" s="82"/>
      <c r="J85" s="82"/>
      <c r="K85" s="82"/>
      <c r="L85" s="82"/>
      <c r="N85" s="82"/>
      <c r="O85" s="82"/>
      <c r="P85" s="82"/>
      <c r="Q85" s="82"/>
      <c r="R85" s="82"/>
      <c r="S85" s="88"/>
      <c r="T85" s="88"/>
    </row>
    <row r="86" spans="1:20" ht="13">
      <c r="A86" s="82"/>
      <c r="B86" s="82"/>
      <c r="C86" s="82"/>
      <c r="D86" s="82"/>
      <c r="E86" s="82"/>
      <c r="F86" s="82"/>
      <c r="G86" s="88"/>
      <c r="H86" s="82"/>
      <c r="I86" s="82"/>
      <c r="J86" s="82"/>
      <c r="K86" s="82"/>
      <c r="L86" s="82"/>
      <c r="N86" s="82"/>
      <c r="O86" s="82"/>
      <c r="P86" s="82"/>
      <c r="Q86" s="82"/>
      <c r="R86" s="82"/>
      <c r="S86" s="88"/>
      <c r="T86" s="88"/>
    </row>
    <row r="87" spans="1:20" ht="13">
      <c r="A87" s="82"/>
      <c r="B87" s="82"/>
      <c r="C87" s="82"/>
      <c r="D87" s="82"/>
      <c r="E87" s="82"/>
      <c r="F87" s="82"/>
      <c r="G87" s="88"/>
      <c r="H87" s="82"/>
      <c r="I87" s="82"/>
      <c r="J87" s="82"/>
      <c r="K87" s="82"/>
      <c r="L87" s="82"/>
      <c r="N87" s="82"/>
      <c r="O87" s="82"/>
      <c r="P87" s="82"/>
      <c r="Q87" s="82"/>
      <c r="R87" s="82"/>
      <c r="S87" s="88"/>
      <c r="T87" s="88"/>
    </row>
    <row r="88" spans="1:20" ht="13">
      <c r="A88" s="1" t="s">
        <v>98</v>
      </c>
      <c r="D88" s="82"/>
      <c r="E88" s="82"/>
      <c r="F88" s="82"/>
      <c r="G88" s="88"/>
      <c r="H88" s="82"/>
      <c r="I88" s="82"/>
      <c r="J88" s="82"/>
      <c r="K88" s="82"/>
      <c r="L88" s="82"/>
      <c r="N88" s="82"/>
      <c r="O88" s="82"/>
      <c r="P88" s="82"/>
      <c r="Q88" s="82"/>
      <c r="R88" s="82"/>
      <c r="S88" s="88"/>
      <c r="T88" s="88"/>
    </row>
    <row r="89" spans="1:20" ht="13">
      <c r="A89" s="1" t="s">
        <v>99</v>
      </c>
      <c r="C89" s="1">
        <f>DCOUNT(B3:T53,F3,CritHD55)</f>
        <v>5</v>
      </c>
      <c r="D89" s="82"/>
      <c r="E89" s="1">
        <f>DCOUNT(B3:T53,M3,CritHD55)</f>
        <v>5</v>
      </c>
      <c r="F89" s="1">
        <v>10</v>
      </c>
      <c r="G89" s="88"/>
      <c r="H89" s="82"/>
      <c r="I89" s="82"/>
      <c r="J89" s="82"/>
      <c r="K89" s="82"/>
      <c r="L89" s="82"/>
      <c r="N89" s="82"/>
      <c r="O89" s="82"/>
      <c r="P89" s="82"/>
      <c r="Q89" s="82"/>
      <c r="R89" s="82"/>
      <c r="S89" s="88"/>
      <c r="T89" s="88"/>
    </row>
    <row r="90" spans="1:20" ht="13">
      <c r="A90" s="82"/>
      <c r="B90" s="82"/>
      <c r="C90" s="82"/>
      <c r="D90" s="82"/>
      <c r="E90" s="82"/>
      <c r="F90" s="82"/>
      <c r="G90" s="88"/>
      <c r="H90" s="82"/>
      <c r="I90" s="82"/>
      <c r="J90" s="82"/>
      <c r="K90" s="82"/>
      <c r="L90" s="82"/>
      <c r="N90" s="82"/>
      <c r="O90" s="82"/>
      <c r="P90" s="82"/>
      <c r="Q90" s="82"/>
      <c r="R90" s="82"/>
      <c r="S90" s="88"/>
      <c r="T90" s="88"/>
    </row>
    <row r="91" spans="1:20" ht="13">
      <c r="A91" s="82"/>
      <c r="B91" s="82"/>
      <c r="C91" s="82"/>
      <c r="D91" s="82"/>
      <c r="E91" s="82"/>
      <c r="F91" s="82"/>
      <c r="G91" s="88"/>
      <c r="H91" s="82"/>
      <c r="I91" s="82"/>
      <c r="J91" s="82"/>
      <c r="K91" s="82"/>
      <c r="L91" s="82"/>
      <c r="N91" s="82"/>
      <c r="O91" s="82"/>
      <c r="P91" s="82"/>
      <c r="Q91" s="82"/>
      <c r="R91" s="82"/>
      <c r="S91" s="88"/>
      <c r="T91" s="88"/>
    </row>
    <row r="92" spans="1:20">
      <c r="A92" s="1" t="s">
        <v>118</v>
      </c>
      <c r="C92" s="1">
        <v>15</v>
      </c>
      <c r="D92" s="82"/>
    </row>
    <row r="93" spans="1:20">
      <c r="A93" s="1" t="s">
        <v>119</v>
      </c>
      <c r="C93" s="1">
        <v>23</v>
      </c>
      <c r="D93" s="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5E3A-3E7D-45E6-907F-CB2AF0B59580}">
  <dimension ref="A1"/>
  <sheetViews>
    <sheetView workbookViewId="0">
      <selection activeCell="N27" sqref="N27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03A3-67CC-4278-A1D2-A33D5DB507F2}">
  <dimension ref="A1:AR1023"/>
  <sheetViews>
    <sheetView workbookViewId="0">
      <pane xSplit="1" topLeftCell="K1" activePane="topRight" state="frozen"/>
      <selection activeCell="H24" sqref="H24"/>
      <selection pane="topRight" activeCell="H24" sqref="H24"/>
    </sheetView>
  </sheetViews>
  <sheetFormatPr baseColWidth="10" defaultColWidth="8.6640625" defaultRowHeight="13"/>
  <cols>
    <col min="1" max="16384" width="8.6640625" style="1"/>
  </cols>
  <sheetData>
    <row r="1" spans="1:23">
      <c r="B1" s="2"/>
      <c r="C1" s="3">
        <v>2002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W1" s="2"/>
    </row>
    <row r="2" spans="1:23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5"/>
    </row>
    <row r="3" spans="1:23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18</v>
      </c>
      <c r="R3" s="8" t="s">
        <v>19</v>
      </c>
      <c r="S3" s="9" t="s">
        <v>20</v>
      </c>
      <c r="T3" s="8" t="s">
        <v>21</v>
      </c>
      <c r="U3" s="8" t="s">
        <v>22</v>
      </c>
      <c r="V3" s="8" t="s">
        <v>23</v>
      </c>
      <c r="W3" s="11" t="s">
        <v>24</v>
      </c>
    </row>
    <row r="4" spans="1:23">
      <c r="A4" s="12" t="s">
        <v>25</v>
      </c>
      <c r="B4" s="13" t="s">
        <v>26</v>
      </c>
      <c r="C4" s="14">
        <v>64</v>
      </c>
      <c r="D4" s="14">
        <v>41</v>
      </c>
      <c r="E4" s="15">
        <v>105</v>
      </c>
      <c r="F4" s="16">
        <f t="shared" ref="F4:F29" si="0">C4/E4</f>
        <v>0.60952380952380958</v>
      </c>
      <c r="G4" s="16">
        <f t="shared" ref="G4:G29" si="1">ABS(F4-(1-F4))</f>
        <v>0.21904761904761916</v>
      </c>
      <c r="H4" s="1" t="str">
        <f t="shared" ref="H4:H29" si="2">IF(F4&gt;0.5,"D",IF(F4=0.5,"T","R"))</f>
        <v>D</v>
      </c>
      <c r="I4" s="17" t="str">
        <f>IF([1]Elect2000!G4=H4,"N","Y")</f>
        <v>N</v>
      </c>
      <c r="J4" s="14">
        <v>25</v>
      </c>
      <c r="K4" s="14">
        <v>10</v>
      </c>
      <c r="L4" s="15">
        <v>35</v>
      </c>
      <c r="M4" s="16">
        <f t="shared" ref="M4:M29" si="3">J4/L4</f>
        <v>0.7142857142857143</v>
      </c>
      <c r="N4" s="16">
        <f t="shared" ref="N4:N29" si="4">ABS(M4-(1-M4))</f>
        <v>0.4285714285714286</v>
      </c>
      <c r="O4" s="1" t="str">
        <f t="shared" ref="O4:O29" si="5">IF(M4&gt;0.5,"D",IF(M4=0.5,"T","R"))</f>
        <v>D</v>
      </c>
      <c r="P4" s="17" t="str">
        <f>IF([1]Elect2000!M4=O4,"N","Y")</f>
        <v>N</v>
      </c>
      <c r="Q4" s="1">
        <f t="shared" ref="Q4:R29" si="6">C4+J4</f>
        <v>89</v>
      </c>
      <c r="R4" s="1">
        <f t="shared" si="6"/>
        <v>51</v>
      </c>
      <c r="S4" s="16">
        <f t="shared" ref="S4:S29" si="7">Q4/(E4+L4)</f>
        <v>0.63571428571428568</v>
      </c>
      <c r="T4" s="16">
        <f t="shared" ref="T4:T29" si="8">ABS(S4-(1-S4))</f>
        <v>0.27142857142857135</v>
      </c>
      <c r="U4" s="1" t="str">
        <f t="shared" ref="U4:U29" si="9">IF(H4=O4,O4,"S")</f>
        <v>D</v>
      </c>
      <c r="V4" s="18" t="s">
        <v>19</v>
      </c>
      <c r="W4" s="2" t="str">
        <f t="shared" ref="W4:W29" si="10">IF(V4=U4,"U","D")</f>
        <v>D</v>
      </c>
    </row>
    <row r="5" spans="1:23">
      <c r="A5" s="12" t="s">
        <v>27</v>
      </c>
      <c r="B5" s="13" t="s">
        <v>28</v>
      </c>
      <c r="C5" s="14">
        <v>13</v>
      </c>
      <c r="D5" s="14">
        <v>27</v>
      </c>
      <c r="E5" s="19">
        <v>40</v>
      </c>
      <c r="F5" s="16">
        <f t="shared" si="0"/>
        <v>0.32500000000000001</v>
      </c>
      <c r="G5" s="16">
        <f t="shared" si="1"/>
        <v>0.35000000000000003</v>
      </c>
      <c r="H5" s="1" t="str">
        <f t="shared" si="2"/>
        <v>R</v>
      </c>
      <c r="I5" s="17" t="str">
        <f>IF([1]Elect2000!G5=H5,"N","Y")</f>
        <v>N</v>
      </c>
      <c r="J5" s="14">
        <v>8</v>
      </c>
      <c r="K5" s="14">
        <v>11</v>
      </c>
      <c r="L5" s="19">
        <v>20</v>
      </c>
      <c r="M5" s="16">
        <f t="shared" si="3"/>
        <v>0.4</v>
      </c>
      <c r="N5" s="16">
        <f t="shared" si="4"/>
        <v>0.19999999999999996</v>
      </c>
      <c r="O5" s="1" t="str">
        <f t="shared" si="5"/>
        <v>R</v>
      </c>
      <c r="P5" s="17" t="str">
        <f>IF([1]Elect2000!M5=O5,"N","Y")</f>
        <v>N</v>
      </c>
      <c r="Q5" s="1">
        <f t="shared" si="6"/>
        <v>21</v>
      </c>
      <c r="R5" s="1">
        <f t="shared" si="6"/>
        <v>38</v>
      </c>
      <c r="S5" s="16">
        <f t="shared" si="7"/>
        <v>0.35</v>
      </c>
      <c r="T5" s="16">
        <f t="shared" si="8"/>
        <v>0.30000000000000004</v>
      </c>
      <c r="U5" s="1" t="str">
        <f t="shared" si="9"/>
        <v>R</v>
      </c>
      <c r="V5" s="18" t="s">
        <v>19</v>
      </c>
      <c r="W5" s="2" t="str">
        <f t="shared" si="10"/>
        <v>U</v>
      </c>
    </row>
    <row r="6" spans="1:23">
      <c r="A6" s="12" t="s">
        <v>29</v>
      </c>
      <c r="B6" s="13" t="s">
        <v>28</v>
      </c>
      <c r="C6" s="20">
        <v>21</v>
      </c>
      <c r="D6" s="20">
        <v>39</v>
      </c>
      <c r="E6" s="19">
        <v>60</v>
      </c>
      <c r="F6" s="16">
        <f t="shared" si="0"/>
        <v>0.35</v>
      </c>
      <c r="G6" s="16">
        <f t="shared" si="1"/>
        <v>0.30000000000000004</v>
      </c>
      <c r="H6" s="1" t="str">
        <f t="shared" si="2"/>
        <v>R</v>
      </c>
      <c r="I6" s="17" t="str">
        <f>IF([1]Elect2000!G6=H6,"N","Y")</f>
        <v>N</v>
      </c>
      <c r="J6" s="14">
        <v>13</v>
      </c>
      <c r="K6" s="14">
        <v>17</v>
      </c>
      <c r="L6" s="19">
        <v>30</v>
      </c>
      <c r="M6" s="16">
        <f t="shared" si="3"/>
        <v>0.43333333333333335</v>
      </c>
      <c r="N6" s="16">
        <f t="shared" si="4"/>
        <v>0.1333333333333333</v>
      </c>
      <c r="O6" s="1" t="str">
        <f t="shared" si="5"/>
        <v>R</v>
      </c>
      <c r="P6" s="17" t="str">
        <f>IF([1]Elect2000!M6=O6,"N","Y")</f>
        <v>Y</v>
      </c>
      <c r="Q6" s="1">
        <f t="shared" si="6"/>
        <v>34</v>
      </c>
      <c r="R6" s="1">
        <f t="shared" si="6"/>
        <v>56</v>
      </c>
      <c r="S6" s="16">
        <f t="shared" si="7"/>
        <v>0.37777777777777777</v>
      </c>
      <c r="T6" s="16">
        <f t="shared" si="8"/>
        <v>0.24444444444444446</v>
      </c>
      <c r="U6" s="1" t="str">
        <f t="shared" si="9"/>
        <v>R</v>
      </c>
      <c r="V6" s="18" t="s">
        <v>18</v>
      </c>
      <c r="W6" s="2" t="str">
        <f t="shared" si="10"/>
        <v>D</v>
      </c>
    </row>
    <row r="7" spans="1:23">
      <c r="A7" s="12" t="s">
        <v>30</v>
      </c>
      <c r="B7" s="13" t="s">
        <v>26</v>
      </c>
      <c r="C7" s="14">
        <v>70</v>
      </c>
      <c r="D7" s="14">
        <v>30</v>
      </c>
      <c r="E7" s="19">
        <v>100</v>
      </c>
      <c r="F7" s="16">
        <f t="shared" si="0"/>
        <v>0.7</v>
      </c>
      <c r="G7" s="16">
        <f t="shared" si="1"/>
        <v>0.39999999999999991</v>
      </c>
      <c r="H7" s="1" t="str">
        <f t="shared" si="2"/>
        <v>D</v>
      </c>
      <c r="I7" s="17" t="str">
        <f>IF([1]Elect2000!G7=H7,"N","Y")</f>
        <v>N</v>
      </c>
      <c r="J7" s="14">
        <v>27</v>
      </c>
      <c r="K7" s="14">
        <v>8</v>
      </c>
      <c r="L7" s="19">
        <v>35</v>
      </c>
      <c r="M7" s="16">
        <f t="shared" si="3"/>
        <v>0.77142857142857146</v>
      </c>
      <c r="N7" s="16">
        <f t="shared" si="4"/>
        <v>0.54285714285714293</v>
      </c>
      <c r="O7" s="1" t="str">
        <f t="shared" si="5"/>
        <v>D</v>
      </c>
      <c r="P7" s="17" t="str">
        <f>IF([1]Elect2000!M7=O7,"N","Y")</f>
        <v>N</v>
      </c>
      <c r="Q7" s="1">
        <f t="shared" si="6"/>
        <v>97</v>
      </c>
      <c r="R7" s="1">
        <f t="shared" si="6"/>
        <v>38</v>
      </c>
      <c r="S7" s="16">
        <f t="shared" si="7"/>
        <v>0.71851851851851856</v>
      </c>
      <c r="T7" s="16">
        <f t="shared" si="8"/>
        <v>0.43703703703703711</v>
      </c>
      <c r="U7" s="1" t="str">
        <f t="shared" si="9"/>
        <v>D</v>
      </c>
      <c r="V7" s="18" t="s">
        <v>19</v>
      </c>
      <c r="W7" s="2" t="str">
        <f t="shared" si="10"/>
        <v>D</v>
      </c>
    </row>
    <row r="8" spans="1:23">
      <c r="A8" s="12" t="s">
        <v>31</v>
      </c>
      <c r="B8" s="13" t="s">
        <v>28</v>
      </c>
      <c r="C8" s="14">
        <v>48</v>
      </c>
      <c r="D8" s="14">
        <v>32</v>
      </c>
      <c r="E8" s="19">
        <v>80</v>
      </c>
      <c r="F8" s="16">
        <f t="shared" si="0"/>
        <v>0.6</v>
      </c>
      <c r="G8" s="16">
        <f t="shared" si="1"/>
        <v>0.19999999999999996</v>
      </c>
      <c r="H8" s="1" t="str">
        <f t="shared" si="2"/>
        <v>D</v>
      </c>
      <c r="I8" s="17" t="str">
        <f>IF([1]Elect2000!G8=H8,"N","Y")</f>
        <v>N</v>
      </c>
      <c r="J8" s="14">
        <v>26</v>
      </c>
      <c r="K8" s="14">
        <v>14</v>
      </c>
      <c r="L8" s="19">
        <v>40</v>
      </c>
      <c r="M8" s="16">
        <f t="shared" si="3"/>
        <v>0.65</v>
      </c>
      <c r="N8" s="16">
        <f t="shared" si="4"/>
        <v>0.30000000000000004</v>
      </c>
      <c r="O8" s="1" t="str">
        <f t="shared" si="5"/>
        <v>D</v>
      </c>
      <c r="P8" s="17" t="str">
        <f>IF([1]Elect2000!M8=O8,"N","Y")</f>
        <v>N</v>
      </c>
      <c r="Q8" s="1">
        <f t="shared" si="6"/>
        <v>74</v>
      </c>
      <c r="R8" s="1">
        <f t="shared" si="6"/>
        <v>46</v>
      </c>
      <c r="S8" s="16">
        <f t="shared" si="7"/>
        <v>0.6166666666666667</v>
      </c>
      <c r="T8" s="16">
        <f t="shared" si="8"/>
        <v>0.23333333333333339</v>
      </c>
      <c r="U8" s="1" t="str">
        <f t="shared" si="9"/>
        <v>D</v>
      </c>
      <c r="V8" s="18" t="s">
        <v>18</v>
      </c>
      <c r="W8" s="2" t="str">
        <f t="shared" si="10"/>
        <v>U</v>
      </c>
    </row>
    <row r="9" spans="1:23">
      <c r="A9" s="12" t="s">
        <v>32</v>
      </c>
      <c r="B9" s="13" t="s">
        <v>28</v>
      </c>
      <c r="C9" s="14">
        <v>28</v>
      </c>
      <c r="D9" s="14">
        <v>37</v>
      </c>
      <c r="E9" s="19">
        <v>65</v>
      </c>
      <c r="F9" s="16">
        <f t="shared" si="0"/>
        <v>0.43076923076923079</v>
      </c>
      <c r="G9" s="16">
        <f t="shared" si="1"/>
        <v>0.13846153846153841</v>
      </c>
      <c r="H9" s="1" t="str">
        <f t="shared" si="2"/>
        <v>R</v>
      </c>
      <c r="I9" s="17" t="str">
        <f>IF([1]Elect2000!G9=H9,"N","Y")</f>
        <v>N</v>
      </c>
      <c r="J9" s="14">
        <v>17</v>
      </c>
      <c r="K9" s="14">
        <v>18</v>
      </c>
      <c r="L9" s="19">
        <v>35</v>
      </c>
      <c r="M9" s="16">
        <f t="shared" si="3"/>
        <v>0.48571428571428571</v>
      </c>
      <c r="N9" s="16">
        <f t="shared" si="4"/>
        <v>2.8571428571428525E-2</v>
      </c>
      <c r="O9" s="1" t="str">
        <f t="shared" si="5"/>
        <v>R</v>
      </c>
      <c r="P9" s="17" t="str">
        <f>IF([1]Elect2000!M9=O9,"N","Y")</f>
        <v>Y</v>
      </c>
      <c r="Q9" s="1">
        <f t="shared" si="6"/>
        <v>45</v>
      </c>
      <c r="R9" s="1">
        <f t="shared" si="6"/>
        <v>55</v>
      </c>
      <c r="S9" s="16">
        <f t="shared" si="7"/>
        <v>0.45</v>
      </c>
      <c r="T9" s="16">
        <f t="shared" si="8"/>
        <v>0.10000000000000003</v>
      </c>
      <c r="U9" s="1" t="str">
        <f t="shared" si="9"/>
        <v>R</v>
      </c>
      <c r="V9" s="18" t="s">
        <v>19</v>
      </c>
      <c r="W9" s="2" t="str">
        <f t="shared" si="10"/>
        <v>U</v>
      </c>
    </row>
    <row r="10" spans="1:23">
      <c r="A10" s="12" t="s">
        <v>33</v>
      </c>
      <c r="B10" s="13" t="s">
        <v>34</v>
      </c>
      <c r="C10" s="14">
        <v>94</v>
      </c>
      <c r="D10" s="14">
        <v>57</v>
      </c>
      <c r="E10" s="19">
        <v>151</v>
      </c>
      <c r="F10" s="16">
        <f t="shared" si="0"/>
        <v>0.62251655629139069</v>
      </c>
      <c r="G10" s="16">
        <f t="shared" si="1"/>
        <v>0.24503311258278138</v>
      </c>
      <c r="H10" s="1" t="str">
        <f t="shared" si="2"/>
        <v>D</v>
      </c>
      <c r="I10" s="17" t="str">
        <f>IF([1]Elect2000!G10=H10,"N","Y")</f>
        <v>N</v>
      </c>
      <c r="J10" s="14">
        <v>21</v>
      </c>
      <c r="K10" s="14">
        <v>15</v>
      </c>
      <c r="L10" s="19">
        <v>36</v>
      </c>
      <c r="M10" s="16">
        <f t="shared" si="3"/>
        <v>0.58333333333333337</v>
      </c>
      <c r="N10" s="16">
        <f t="shared" si="4"/>
        <v>0.16666666666666674</v>
      </c>
      <c r="O10" s="1" t="str">
        <f t="shared" si="5"/>
        <v>D</v>
      </c>
      <c r="P10" s="17" t="str">
        <f>IF([1]Elect2000!M10=O10,"N","Y")</f>
        <v>N</v>
      </c>
      <c r="Q10" s="1">
        <f t="shared" si="6"/>
        <v>115</v>
      </c>
      <c r="R10" s="1">
        <f t="shared" si="6"/>
        <v>72</v>
      </c>
      <c r="S10" s="16">
        <f t="shared" si="7"/>
        <v>0.61497326203208558</v>
      </c>
      <c r="T10" s="16">
        <f t="shared" si="8"/>
        <v>0.22994652406417115</v>
      </c>
      <c r="U10" s="1" t="str">
        <f t="shared" si="9"/>
        <v>D</v>
      </c>
      <c r="V10" s="18" t="s">
        <v>19</v>
      </c>
      <c r="W10" s="2" t="str">
        <f t="shared" si="10"/>
        <v>D</v>
      </c>
    </row>
    <row r="11" spans="1:23">
      <c r="A11" s="12" t="s">
        <v>35</v>
      </c>
      <c r="B11" s="13" t="s">
        <v>34</v>
      </c>
      <c r="C11" s="14">
        <v>12</v>
      </c>
      <c r="D11" s="14">
        <v>29</v>
      </c>
      <c r="E11" s="19">
        <v>41</v>
      </c>
      <c r="F11" s="16">
        <f t="shared" si="0"/>
        <v>0.29268292682926828</v>
      </c>
      <c r="G11" s="16">
        <f t="shared" si="1"/>
        <v>0.41463414634146339</v>
      </c>
      <c r="H11" s="1" t="str">
        <f t="shared" si="2"/>
        <v>R</v>
      </c>
      <c r="I11" s="17" t="str">
        <f>IF([1]Elect2000!G11=H11,"N","Y")</f>
        <v>N</v>
      </c>
      <c r="J11" s="14">
        <v>13</v>
      </c>
      <c r="K11" s="14">
        <v>8</v>
      </c>
      <c r="L11" s="19">
        <v>21</v>
      </c>
      <c r="M11" s="16">
        <f t="shared" si="3"/>
        <v>0.61904761904761907</v>
      </c>
      <c r="N11" s="16">
        <f t="shared" si="4"/>
        <v>0.23809523809523814</v>
      </c>
      <c r="O11" s="1" t="str">
        <f t="shared" si="5"/>
        <v>D</v>
      </c>
      <c r="P11" s="17" t="str">
        <f>IF([1]Elect2000!M11=O11,"N","Y")</f>
        <v>N</v>
      </c>
      <c r="Q11" s="1">
        <f t="shared" si="6"/>
        <v>25</v>
      </c>
      <c r="R11" s="1">
        <f t="shared" si="6"/>
        <v>37</v>
      </c>
      <c r="S11" s="16">
        <f t="shared" si="7"/>
        <v>0.40322580645161288</v>
      </c>
      <c r="T11" s="16">
        <f t="shared" si="8"/>
        <v>0.19354838709677424</v>
      </c>
      <c r="U11" s="1" t="str">
        <f t="shared" si="9"/>
        <v>S</v>
      </c>
      <c r="V11" s="18" t="s">
        <v>18</v>
      </c>
      <c r="W11" s="2" t="str">
        <f t="shared" si="10"/>
        <v>D</v>
      </c>
    </row>
    <row r="12" spans="1:23">
      <c r="A12" s="12" t="s">
        <v>36</v>
      </c>
      <c r="B12" s="13" t="s">
        <v>26</v>
      </c>
      <c r="C12" s="14">
        <v>39</v>
      </c>
      <c r="D12" s="14">
        <v>81</v>
      </c>
      <c r="E12" s="19">
        <v>120</v>
      </c>
      <c r="F12" s="16">
        <f t="shared" si="0"/>
        <v>0.32500000000000001</v>
      </c>
      <c r="G12" s="16">
        <f t="shared" si="1"/>
        <v>0.35000000000000003</v>
      </c>
      <c r="H12" s="1" t="str">
        <f t="shared" si="2"/>
        <v>R</v>
      </c>
      <c r="I12" s="17" t="str">
        <f>IF([1]Elect2000!G12=H12,"N","Y")</f>
        <v>N</v>
      </c>
      <c r="J12" s="14">
        <v>14</v>
      </c>
      <c r="K12" s="14">
        <v>26</v>
      </c>
      <c r="L12" s="19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IF([1]Elect2000!M12=O12,"N","Y")</f>
        <v>N</v>
      </c>
      <c r="Q12" s="1">
        <f t="shared" si="6"/>
        <v>53</v>
      </c>
      <c r="R12" s="1">
        <f t="shared" si="6"/>
        <v>107</v>
      </c>
      <c r="S12" s="16">
        <f t="shared" si="7"/>
        <v>0.33124999999999999</v>
      </c>
      <c r="T12" s="16">
        <f t="shared" si="8"/>
        <v>0.33749999999999997</v>
      </c>
      <c r="U12" s="1" t="str">
        <f t="shared" si="9"/>
        <v>R</v>
      </c>
      <c r="V12" s="18" t="s">
        <v>19</v>
      </c>
      <c r="W12" s="2" t="str">
        <f t="shared" si="10"/>
        <v>U</v>
      </c>
    </row>
    <row r="13" spans="1:23">
      <c r="A13" s="12" t="s">
        <v>37</v>
      </c>
      <c r="B13" s="13" t="s">
        <v>26</v>
      </c>
      <c r="C13" s="14">
        <v>106</v>
      </c>
      <c r="D13" s="14">
        <v>73</v>
      </c>
      <c r="E13" s="19">
        <v>180</v>
      </c>
      <c r="F13" s="16">
        <f t="shared" si="0"/>
        <v>0.58888888888888891</v>
      </c>
      <c r="G13" s="16">
        <f t="shared" si="1"/>
        <v>0.17777777777777781</v>
      </c>
      <c r="H13" s="1" t="str">
        <f t="shared" si="2"/>
        <v>D</v>
      </c>
      <c r="I13" s="17" t="str">
        <f>IF([1]Elect2000!G13=H13,"N","Y")</f>
        <v>N</v>
      </c>
      <c r="J13" s="14">
        <v>27</v>
      </c>
      <c r="K13" s="14">
        <v>29</v>
      </c>
      <c r="L13" s="19">
        <v>56</v>
      </c>
      <c r="M13" s="16">
        <f t="shared" si="3"/>
        <v>0.48214285714285715</v>
      </c>
      <c r="N13" s="16">
        <f t="shared" si="4"/>
        <v>3.5714285714285643E-2</v>
      </c>
      <c r="O13" s="1" t="str">
        <f t="shared" si="5"/>
        <v>R</v>
      </c>
      <c r="P13" s="17" t="str">
        <f>IF([1]Elect2000!M13=O13,"N","Y")</f>
        <v>Y</v>
      </c>
      <c r="Q13" s="1">
        <f t="shared" si="6"/>
        <v>133</v>
      </c>
      <c r="R13" s="1">
        <f t="shared" si="6"/>
        <v>102</v>
      </c>
      <c r="S13" s="16">
        <f t="shared" si="7"/>
        <v>0.56355932203389836</v>
      </c>
      <c r="T13" s="16">
        <f t="shared" si="8"/>
        <v>0.12711864406779672</v>
      </c>
      <c r="U13" s="1" t="str">
        <f t="shared" si="9"/>
        <v>S</v>
      </c>
      <c r="V13" s="18" t="s">
        <v>19</v>
      </c>
      <c r="W13" s="2" t="str">
        <f t="shared" si="10"/>
        <v>D</v>
      </c>
    </row>
    <row r="14" spans="1:23">
      <c r="A14" s="12" t="s">
        <v>38</v>
      </c>
      <c r="B14" s="13" t="s">
        <v>28</v>
      </c>
      <c r="C14" s="14">
        <v>36</v>
      </c>
      <c r="D14" s="14">
        <v>15</v>
      </c>
      <c r="E14" s="19">
        <v>51</v>
      </c>
      <c r="F14" s="16">
        <f t="shared" si="0"/>
        <v>0.70588235294117652</v>
      </c>
      <c r="G14" s="16">
        <f t="shared" si="1"/>
        <v>0.41176470588235303</v>
      </c>
      <c r="H14" s="1" t="str">
        <f t="shared" si="2"/>
        <v>D</v>
      </c>
      <c r="I14" s="17" t="str">
        <f>IF([1]Elect2000!G14=H14,"N","Y")</f>
        <v>N</v>
      </c>
      <c r="J14" s="14">
        <v>20</v>
      </c>
      <c r="K14" s="14">
        <v>5</v>
      </c>
      <c r="L14" s="19">
        <v>25</v>
      </c>
      <c r="M14" s="16">
        <f t="shared" si="3"/>
        <v>0.8</v>
      </c>
      <c r="N14" s="16">
        <f t="shared" si="4"/>
        <v>0.60000000000000009</v>
      </c>
      <c r="O14" s="1" t="str">
        <f t="shared" si="5"/>
        <v>D</v>
      </c>
      <c r="P14" s="17" t="str">
        <f>IF([1]Elect2000!M14=O14,"N","Y")</f>
        <v>N</v>
      </c>
      <c r="Q14" s="1">
        <f t="shared" si="6"/>
        <v>56</v>
      </c>
      <c r="R14" s="1">
        <f t="shared" si="6"/>
        <v>20</v>
      </c>
      <c r="S14" s="16">
        <f t="shared" si="7"/>
        <v>0.73684210526315785</v>
      </c>
      <c r="T14" s="16">
        <f t="shared" si="8"/>
        <v>0.47368421052631571</v>
      </c>
      <c r="U14" s="1" t="str">
        <f t="shared" si="9"/>
        <v>D</v>
      </c>
      <c r="V14" s="18" t="s">
        <v>19</v>
      </c>
      <c r="W14" s="2" t="str">
        <f t="shared" si="10"/>
        <v>D</v>
      </c>
    </row>
    <row r="15" spans="1:23">
      <c r="A15" s="12" t="s">
        <v>39</v>
      </c>
      <c r="B15" s="13" t="s">
        <v>28</v>
      </c>
      <c r="C15" s="14">
        <v>16</v>
      </c>
      <c r="D15" s="14">
        <v>54</v>
      </c>
      <c r="E15" s="19">
        <v>70</v>
      </c>
      <c r="F15" s="16">
        <f t="shared" si="0"/>
        <v>0.22857142857142856</v>
      </c>
      <c r="G15" s="16">
        <f t="shared" si="1"/>
        <v>0.54285714285714293</v>
      </c>
      <c r="H15" s="1" t="str">
        <f t="shared" si="2"/>
        <v>R</v>
      </c>
      <c r="I15" s="17" t="str">
        <f>IF([1]Elect2000!G15=H15,"N","Y")</f>
        <v>N</v>
      </c>
      <c r="J15" s="14">
        <v>7</v>
      </c>
      <c r="K15" s="14">
        <v>28</v>
      </c>
      <c r="L15" s="19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IF([1]Elect2000!M15=O15,"N","Y")</f>
        <v>N</v>
      </c>
      <c r="Q15" s="1">
        <f t="shared" si="6"/>
        <v>23</v>
      </c>
      <c r="R15" s="1">
        <f t="shared" si="6"/>
        <v>82</v>
      </c>
      <c r="S15" s="16">
        <f t="shared" si="7"/>
        <v>0.21904761904761905</v>
      </c>
      <c r="T15" s="16">
        <f t="shared" si="8"/>
        <v>0.56190476190476191</v>
      </c>
      <c r="U15" s="1" t="str">
        <f t="shared" si="9"/>
        <v>R</v>
      </c>
      <c r="V15" s="18" t="s">
        <v>19</v>
      </c>
      <c r="W15" s="2" t="str">
        <f t="shared" si="10"/>
        <v>U</v>
      </c>
    </row>
    <row r="16" spans="1:23">
      <c r="A16" s="12" t="s">
        <v>40</v>
      </c>
      <c r="B16" s="13" t="s">
        <v>41</v>
      </c>
      <c r="C16" s="14">
        <v>66</v>
      </c>
      <c r="D16" s="14">
        <v>52</v>
      </c>
      <c r="E16" s="19">
        <v>118</v>
      </c>
      <c r="F16" s="16">
        <f t="shared" si="0"/>
        <v>0.55932203389830504</v>
      </c>
      <c r="G16" s="16">
        <f t="shared" si="1"/>
        <v>0.11864406779661008</v>
      </c>
      <c r="H16" s="1" t="str">
        <f t="shared" si="2"/>
        <v>D</v>
      </c>
      <c r="I16" s="17" t="str">
        <f>IF([1]Elect2000!G16=H16,"N","Y")</f>
        <v>N</v>
      </c>
      <c r="J16" s="14">
        <v>32</v>
      </c>
      <c r="K16" s="14">
        <v>27</v>
      </c>
      <c r="L16" s="19">
        <v>59</v>
      </c>
      <c r="M16" s="16">
        <f t="shared" si="3"/>
        <v>0.5423728813559322</v>
      </c>
      <c r="N16" s="16">
        <f t="shared" si="4"/>
        <v>8.4745762711864403E-2</v>
      </c>
      <c r="O16" s="1" t="str">
        <f t="shared" si="5"/>
        <v>D</v>
      </c>
      <c r="P16" s="17" t="str">
        <f>IF([1]Elect2000!M16=O16,"N","Y")</f>
        <v>Y</v>
      </c>
      <c r="Q16" s="1">
        <f t="shared" si="6"/>
        <v>98</v>
      </c>
      <c r="R16" s="1">
        <f t="shared" si="6"/>
        <v>79</v>
      </c>
      <c r="S16" s="16">
        <f t="shared" si="7"/>
        <v>0.5536723163841808</v>
      </c>
      <c r="T16" s="16">
        <f t="shared" si="8"/>
        <v>0.10734463276836159</v>
      </c>
      <c r="U16" s="1" t="str">
        <f t="shared" si="9"/>
        <v>D</v>
      </c>
      <c r="V16" s="18" t="s">
        <v>18</v>
      </c>
      <c r="W16" s="2" t="str">
        <f t="shared" si="10"/>
        <v>U</v>
      </c>
    </row>
    <row r="17" spans="1:23">
      <c r="A17" s="12" t="s">
        <v>42</v>
      </c>
      <c r="B17" s="13" t="s">
        <v>41</v>
      </c>
      <c r="C17" s="14">
        <v>51</v>
      </c>
      <c r="D17" s="14">
        <v>49</v>
      </c>
      <c r="E17" s="19">
        <v>100</v>
      </c>
      <c r="F17" s="16">
        <f t="shared" si="0"/>
        <v>0.51</v>
      </c>
      <c r="G17" s="16">
        <f t="shared" si="1"/>
        <v>2.0000000000000018E-2</v>
      </c>
      <c r="H17" s="1" t="str">
        <f t="shared" si="2"/>
        <v>D</v>
      </c>
      <c r="I17" s="17" t="str">
        <f>IF([1]Elect2000!G17=H17,"N","Y")</f>
        <v>N</v>
      </c>
      <c r="J17" s="14">
        <v>18</v>
      </c>
      <c r="K17" s="14">
        <v>32</v>
      </c>
      <c r="L17" s="19">
        <v>50</v>
      </c>
      <c r="M17" s="16">
        <f t="shared" si="3"/>
        <v>0.36</v>
      </c>
      <c r="N17" s="16">
        <f t="shared" si="4"/>
        <v>0.28000000000000003</v>
      </c>
      <c r="O17" s="1" t="str">
        <f t="shared" si="5"/>
        <v>R</v>
      </c>
      <c r="P17" s="17" t="str">
        <f>IF([1]Elect2000!M17=O17,"N","Y")</f>
        <v>N</v>
      </c>
      <c r="Q17" s="1">
        <f t="shared" si="6"/>
        <v>69</v>
      </c>
      <c r="R17" s="1">
        <f t="shared" si="6"/>
        <v>81</v>
      </c>
      <c r="S17" s="16">
        <f t="shared" si="7"/>
        <v>0.46</v>
      </c>
      <c r="T17" s="16">
        <f t="shared" si="8"/>
        <v>8.0000000000000016E-2</v>
      </c>
      <c r="U17" s="1" t="str">
        <f t="shared" si="9"/>
        <v>S</v>
      </c>
      <c r="V17" s="18" t="s">
        <v>18</v>
      </c>
      <c r="W17" s="2" t="str">
        <f t="shared" si="10"/>
        <v>D</v>
      </c>
    </row>
    <row r="18" spans="1:23">
      <c r="A18" s="12" t="s">
        <v>43</v>
      </c>
      <c r="B18" s="13" t="s">
        <v>41</v>
      </c>
      <c r="C18" s="14">
        <v>46</v>
      </c>
      <c r="D18" s="14">
        <v>54</v>
      </c>
      <c r="E18" s="19">
        <v>100</v>
      </c>
      <c r="F18" s="16">
        <f t="shared" si="0"/>
        <v>0.46</v>
      </c>
      <c r="G18" s="16">
        <f t="shared" si="1"/>
        <v>8.0000000000000016E-2</v>
      </c>
      <c r="H18" s="1" t="str">
        <f t="shared" si="2"/>
        <v>R</v>
      </c>
      <c r="I18" s="17" t="str">
        <f>IF([1]Elect2000!G18=H18,"N","Y")</f>
        <v>N</v>
      </c>
      <c r="J18" s="14">
        <v>21</v>
      </c>
      <c r="K18" s="14">
        <v>29</v>
      </c>
      <c r="L18" s="19">
        <v>50</v>
      </c>
      <c r="M18" s="16">
        <f t="shared" si="3"/>
        <v>0.42</v>
      </c>
      <c r="N18" s="16">
        <f t="shared" si="4"/>
        <v>0.16000000000000009</v>
      </c>
      <c r="O18" s="1" t="str">
        <f t="shared" si="5"/>
        <v>R</v>
      </c>
      <c r="P18" s="17" t="str">
        <f>IF([1]Elect2000!M18=O18,"N","Y")</f>
        <v>N</v>
      </c>
      <c r="Q18" s="1">
        <f t="shared" si="6"/>
        <v>67</v>
      </c>
      <c r="R18" s="1">
        <f t="shared" si="6"/>
        <v>83</v>
      </c>
      <c r="S18" s="16">
        <f t="shared" si="7"/>
        <v>0.44666666666666666</v>
      </c>
      <c r="T18" s="16">
        <f t="shared" si="8"/>
        <v>0.10666666666666669</v>
      </c>
      <c r="U18" s="1" t="str">
        <f t="shared" si="9"/>
        <v>R</v>
      </c>
      <c r="V18" s="18" t="s">
        <v>18</v>
      </c>
      <c r="W18" s="2" t="str">
        <f t="shared" si="10"/>
        <v>D</v>
      </c>
    </row>
    <row r="19" spans="1:23">
      <c r="A19" s="12" t="s">
        <v>44</v>
      </c>
      <c r="B19" s="13" t="s">
        <v>41</v>
      </c>
      <c r="C19" s="14">
        <v>45</v>
      </c>
      <c r="D19" s="14">
        <v>80</v>
      </c>
      <c r="E19" s="19">
        <v>125</v>
      </c>
      <c r="F19" s="16">
        <f t="shared" si="0"/>
        <v>0.36</v>
      </c>
      <c r="G19" s="16">
        <f t="shared" si="1"/>
        <v>0.28000000000000003</v>
      </c>
      <c r="H19" s="1" t="str">
        <f t="shared" si="2"/>
        <v>R</v>
      </c>
      <c r="I19" s="17" t="str">
        <f>IF([1]Elect2000!G19=H19,"N","Y")</f>
        <v>N</v>
      </c>
      <c r="J19" s="14">
        <v>10</v>
      </c>
      <c r="K19" s="14">
        <v>30</v>
      </c>
      <c r="L19" s="19">
        <v>40</v>
      </c>
      <c r="M19" s="16">
        <f t="shared" si="3"/>
        <v>0.25</v>
      </c>
      <c r="N19" s="16">
        <f t="shared" si="4"/>
        <v>0.5</v>
      </c>
      <c r="O19" s="1" t="str">
        <f t="shared" si="5"/>
        <v>R</v>
      </c>
      <c r="P19" s="17" t="str">
        <f>IF([1]Elect2000!M19=O19,"N","Y")</f>
        <v>N</v>
      </c>
      <c r="Q19" s="1">
        <f t="shared" si="6"/>
        <v>55</v>
      </c>
      <c r="R19" s="1">
        <f t="shared" si="6"/>
        <v>110</v>
      </c>
      <c r="S19" s="16">
        <f t="shared" si="7"/>
        <v>0.33333333333333331</v>
      </c>
      <c r="T19" s="16">
        <f t="shared" si="8"/>
        <v>0.33333333333333343</v>
      </c>
      <c r="U19" s="1" t="str">
        <f t="shared" si="9"/>
        <v>R</v>
      </c>
      <c r="V19" s="18" t="s">
        <v>18</v>
      </c>
      <c r="W19" s="2" t="str">
        <f t="shared" si="10"/>
        <v>D</v>
      </c>
    </row>
    <row r="20" spans="1:23">
      <c r="A20" s="12" t="s">
        <v>45</v>
      </c>
      <c r="B20" s="13" t="s">
        <v>26</v>
      </c>
      <c r="C20" s="14">
        <v>65</v>
      </c>
      <c r="D20" s="14">
        <v>35</v>
      </c>
      <c r="E20" s="19">
        <v>100</v>
      </c>
      <c r="F20" s="16">
        <f t="shared" si="0"/>
        <v>0.65</v>
      </c>
      <c r="G20" s="16">
        <f t="shared" si="1"/>
        <v>0.30000000000000004</v>
      </c>
      <c r="H20" s="1" t="str">
        <f t="shared" si="2"/>
        <v>D</v>
      </c>
      <c r="I20" s="17" t="str">
        <f>IF([1]Elect2000!G20=H20,"N","Y")</f>
        <v>N</v>
      </c>
      <c r="J20" s="14">
        <v>17</v>
      </c>
      <c r="K20" s="14">
        <v>21</v>
      </c>
      <c r="L20" s="19">
        <v>38</v>
      </c>
      <c r="M20" s="16">
        <f t="shared" si="3"/>
        <v>0.44736842105263158</v>
      </c>
      <c r="N20" s="16">
        <f t="shared" si="4"/>
        <v>0.10526315789473678</v>
      </c>
      <c r="O20" s="1" t="str">
        <f t="shared" si="5"/>
        <v>R</v>
      </c>
      <c r="P20" s="17" t="str">
        <f>IF([1]Elect2000!M20=O20,"N","Y")</f>
        <v>N</v>
      </c>
      <c r="Q20" s="1">
        <f t="shared" si="6"/>
        <v>82</v>
      </c>
      <c r="R20" s="1">
        <f t="shared" si="6"/>
        <v>56</v>
      </c>
      <c r="S20" s="16">
        <f t="shared" si="7"/>
        <v>0.59420289855072461</v>
      </c>
      <c r="T20" s="16">
        <f t="shared" si="8"/>
        <v>0.18840579710144922</v>
      </c>
      <c r="U20" s="1" t="str">
        <f t="shared" si="9"/>
        <v>S</v>
      </c>
      <c r="V20" s="18" t="s">
        <v>18</v>
      </c>
      <c r="W20" s="2" t="str">
        <f t="shared" si="10"/>
        <v>D</v>
      </c>
    </row>
    <row r="21" spans="1:23">
      <c r="A21" s="12" t="s">
        <v>46</v>
      </c>
      <c r="B21" s="13" t="s">
        <v>26</v>
      </c>
      <c r="C21" s="14">
        <v>71</v>
      </c>
      <c r="D21" s="14">
        <v>34</v>
      </c>
      <c r="E21" s="19">
        <v>105</v>
      </c>
      <c r="F21" s="16">
        <f t="shared" si="0"/>
        <v>0.67619047619047623</v>
      </c>
      <c r="G21" s="16">
        <f t="shared" si="1"/>
        <v>0.35238095238095246</v>
      </c>
      <c r="H21" s="1" t="str">
        <f t="shared" si="2"/>
        <v>D</v>
      </c>
      <c r="I21" s="17" t="str">
        <f>IF([1]Elect2000!G21=H21,"N","Y")</f>
        <v>N</v>
      </c>
      <c r="J21" s="14">
        <v>26</v>
      </c>
      <c r="K21" s="14">
        <v>13</v>
      </c>
      <c r="L21" s="19">
        <v>39</v>
      </c>
      <c r="M21" s="16">
        <f t="shared" si="3"/>
        <v>0.66666666666666663</v>
      </c>
      <c r="N21" s="16">
        <f t="shared" si="4"/>
        <v>0.33333333333333326</v>
      </c>
      <c r="O21" s="1" t="str">
        <f t="shared" si="5"/>
        <v>D</v>
      </c>
      <c r="P21" s="17" t="str">
        <f>IF([1]Elect2000!M21=O21,"N","Y")</f>
        <v>N</v>
      </c>
      <c r="Q21" s="1">
        <f t="shared" si="6"/>
        <v>97</v>
      </c>
      <c r="R21" s="1">
        <f t="shared" si="6"/>
        <v>47</v>
      </c>
      <c r="S21" s="16">
        <f t="shared" si="7"/>
        <v>0.67361111111111116</v>
      </c>
      <c r="T21" s="16">
        <f t="shared" si="8"/>
        <v>0.34722222222222232</v>
      </c>
      <c r="U21" s="1" t="str">
        <f t="shared" si="9"/>
        <v>D</v>
      </c>
      <c r="V21" s="18" t="s">
        <v>19</v>
      </c>
      <c r="W21" s="2" t="str">
        <f t="shared" si="10"/>
        <v>D</v>
      </c>
    </row>
    <row r="22" spans="1:23">
      <c r="A22" s="12" t="s">
        <v>47</v>
      </c>
      <c r="B22" s="13" t="s">
        <v>34</v>
      </c>
      <c r="C22" s="14">
        <v>80</v>
      </c>
      <c r="D22" s="14">
        <v>67</v>
      </c>
      <c r="E22" s="19">
        <v>151</v>
      </c>
      <c r="F22" s="16">
        <f t="shared" si="0"/>
        <v>0.5298013245033113</v>
      </c>
      <c r="G22" s="16">
        <f t="shared" si="1"/>
        <v>5.9602649006622599E-2</v>
      </c>
      <c r="H22" s="1" t="str">
        <f t="shared" si="2"/>
        <v>D</v>
      </c>
      <c r="I22" s="17" t="str">
        <f>IF([1]Elect2000!G22=H22,"N","Y")</f>
        <v>N</v>
      </c>
      <c r="J22" s="14">
        <v>18</v>
      </c>
      <c r="K22" s="14">
        <v>17</v>
      </c>
      <c r="L22" s="19">
        <v>35</v>
      </c>
      <c r="M22" s="16">
        <f t="shared" si="3"/>
        <v>0.51428571428571423</v>
      </c>
      <c r="N22" s="16">
        <f t="shared" si="4"/>
        <v>2.857142857142847E-2</v>
      </c>
      <c r="O22" s="1" t="str">
        <f t="shared" si="5"/>
        <v>D</v>
      </c>
      <c r="P22" s="17" t="str">
        <f>IF([1]Elect2000!M22=O22,"N","Y")</f>
        <v>Y</v>
      </c>
      <c r="Q22" s="1">
        <f t="shared" si="6"/>
        <v>98</v>
      </c>
      <c r="R22" s="1">
        <f t="shared" si="6"/>
        <v>84</v>
      </c>
      <c r="S22" s="16">
        <f t="shared" si="7"/>
        <v>0.5268817204301075</v>
      </c>
      <c r="T22" s="16">
        <f t="shared" si="8"/>
        <v>5.3763440860215006E-2</v>
      </c>
      <c r="U22" s="1" t="str">
        <f t="shared" si="9"/>
        <v>D</v>
      </c>
      <c r="V22" s="18" t="s">
        <v>18</v>
      </c>
      <c r="W22" s="2" t="str">
        <f t="shared" si="10"/>
        <v>U</v>
      </c>
    </row>
    <row r="23" spans="1:23">
      <c r="A23" s="12" t="s">
        <v>48</v>
      </c>
      <c r="B23" s="13" t="s">
        <v>26</v>
      </c>
      <c r="C23" s="14">
        <v>98</v>
      </c>
      <c r="D23" s="14">
        <v>43</v>
      </c>
      <c r="E23" s="19">
        <v>141</v>
      </c>
      <c r="F23" s="16">
        <f t="shared" si="0"/>
        <v>0.69503546099290781</v>
      </c>
      <c r="G23" s="16">
        <f t="shared" si="1"/>
        <v>0.39007092198581561</v>
      </c>
      <c r="H23" s="1" t="str">
        <f t="shared" si="2"/>
        <v>D</v>
      </c>
      <c r="I23" s="17" t="str">
        <f>IF([1]Elect2000!G23=H23,"N","Y")</f>
        <v>N</v>
      </c>
      <c r="J23" s="14">
        <v>33</v>
      </c>
      <c r="K23" s="14">
        <v>14</v>
      </c>
      <c r="L23" s="19">
        <v>47</v>
      </c>
      <c r="M23" s="16">
        <f t="shared" si="3"/>
        <v>0.7021276595744681</v>
      </c>
      <c r="N23" s="16">
        <f t="shared" si="4"/>
        <v>0.4042553191489362</v>
      </c>
      <c r="O23" s="1" t="str">
        <f t="shared" si="5"/>
        <v>D</v>
      </c>
      <c r="P23" s="17" t="str">
        <f>IF([1]Elect2000!M23=O23,"N","Y")</f>
        <v>N</v>
      </c>
      <c r="Q23" s="1">
        <f t="shared" si="6"/>
        <v>131</v>
      </c>
      <c r="R23" s="1">
        <f t="shared" si="6"/>
        <v>57</v>
      </c>
      <c r="S23" s="16">
        <f t="shared" si="7"/>
        <v>0.69680851063829785</v>
      </c>
      <c r="T23" s="16">
        <f t="shared" si="8"/>
        <v>0.3936170212765957</v>
      </c>
      <c r="U23" s="1" t="str">
        <f t="shared" si="9"/>
        <v>D</v>
      </c>
      <c r="V23" s="18" t="s">
        <v>19</v>
      </c>
      <c r="W23" s="2" t="str">
        <f t="shared" si="10"/>
        <v>D</v>
      </c>
    </row>
    <row r="24" spans="1:23">
      <c r="A24" s="12" t="s">
        <v>49</v>
      </c>
      <c r="B24" s="13" t="s">
        <v>34</v>
      </c>
      <c r="C24" s="14">
        <v>136</v>
      </c>
      <c r="D24" s="14">
        <v>23</v>
      </c>
      <c r="E24" s="19">
        <v>160</v>
      </c>
      <c r="F24" s="16">
        <f t="shared" si="0"/>
        <v>0.85</v>
      </c>
      <c r="G24" s="16">
        <f t="shared" si="1"/>
        <v>0.7</v>
      </c>
      <c r="H24" s="1" t="str">
        <f t="shared" si="2"/>
        <v>D</v>
      </c>
      <c r="I24" s="17" t="str">
        <f>IF([1]Elect2000!G24=H24,"N","Y")</f>
        <v>N</v>
      </c>
      <c r="J24" s="14">
        <v>34</v>
      </c>
      <c r="K24" s="14">
        <v>6</v>
      </c>
      <c r="L24" s="19">
        <v>40</v>
      </c>
      <c r="M24" s="16">
        <f t="shared" si="3"/>
        <v>0.85</v>
      </c>
      <c r="N24" s="16">
        <f t="shared" si="4"/>
        <v>0.7</v>
      </c>
      <c r="O24" s="1" t="str">
        <f t="shared" si="5"/>
        <v>D</v>
      </c>
      <c r="P24" s="17" t="str">
        <f>IF([1]Elect2000!M24=O24,"N","Y")</f>
        <v>N</v>
      </c>
      <c r="Q24" s="1">
        <f t="shared" si="6"/>
        <v>170</v>
      </c>
      <c r="R24" s="1">
        <f t="shared" si="6"/>
        <v>29</v>
      </c>
      <c r="S24" s="16">
        <f t="shared" si="7"/>
        <v>0.85</v>
      </c>
      <c r="T24" s="16">
        <f t="shared" si="8"/>
        <v>0.7</v>
      </c>
      <c r="U24" s="1" t="str">
        <f t="shared" si="9"/>
        <v>D</v>
      </c>
      <c r="V24" s="18" t="s">
        <v>19</v>
      </c>
      <c r="W24" s="2" t="str">
        <f t="shared" si="10"/>
        <v>D</v>
      </c>
    </row>
    <row r="25" spans="1:23">
      <c r="A25" s="12" t="s">
        <v>50</v>
      </c>
      <c r="B25" s="13" t="s">
        <v>41</v>
      </c>
      <c r="C25" s="14">
        <v>47</v>
      </c>
      <c r="D25" s="14">
        <v>63</v>
      </c>
      <c r="E25" s="19">
        <v>110</v>
      </c>
      <c r="F25" s="16">
        <f t="shared" si="0"/>
        <v>0.42727272727272725</v>
      </c>
      <c r="G25" s="16">
        <f t="shared" si="1"/>
        <v>0.1454545454545455</v>
      </c>
      <c r="H25" s="1" t="str">
        <f t="shared" si="2"/>
        <v>R</v>
      </c>
      <c r="I25" s="17" t="str">
        <f>IF([1]Elect2000!G25=H25,"N","Y")</f>
        <v>N</v>
      </c>
      <c r="J25" s="14">
        <v>16</v>
      </c>
      <c r="K25" s="14">
        <v>22</v>
      </c>
      <c r="L25" s="19">
        <v>38</v>
      </c>
      <c r="M25" s="16">
        <f t="shared" si="3"/>
        <v>0.42105263157894735</v>
      </c>
      <c r="N25" s="16">
        <f t="shared" si="4"/>
        <v>0.15789473684210531</v>
      </c>
      <c r="O25" s="1" t="str">
        <f t="shared" si="5"/>
        <v>R</v>
      </c>
      <c r="P25" s="17" t="str">
        <f>IF([1]Elect2000!M25=O25,"N","Y")</f>
        <v>N</v>
      </c>
      <c r="Q25" s="1">
        <f t="shared" si="6"/>
        <v>63</v>
      </c>
      <c r="R25" s="1">
        <f t="shared" si="6"/>
        <v>85</v>
      </c>
      <c r="S25" s="16">
        <f t="shared" si="7"/>
        <v>0.42567567567567566</v>
      </c>
      <c r="T25" s="16">
        <f t="shared" si="8"/>
        <v>0.14864864864864868</v>
      </c>
      <c r="U25" s="1" t="str">
        <f t="shared" si="9"/>
        <v>R</v>
      </c>
      <c r="V25" s="18" t="s">
        <v>18</v>
      </c>
      <c r="W25" s="2" t="str">
        <f t="shared" si="10"/>
        <v>D</v>
      </c>
    </row>
    <row r="26" spans="1:23">
      <c r="A26" s="12" t="s">
        <v>51</v>
      </c>
      <c r="B26" s="13" t="s">
        <v>41</v>
      </c>
      <c r="C26" s="14">
        <v>52</v>
      </c>
      <c r="D26" s="14">
        <v>82</v>
      </c>
      <c r="E26" s="19">
        <v>134</v>
      </c>
      <c r="F26" s="16">
        <f t="shared" si="0"/>
        <v>0.38805970149253732</v>
      </c>
      <c r="G26" s="16">
        <f t="shared" si="1"/>
        <v>0.22388059701492535</v>
      </c>
      <c r="H26" s="1" t="str">
        <f t="shared" si="2"/>
        <v>R</v>
      </c>
      <c r="I26" s="17" t="str">
        <f>IF([1]Elect2000!G26=H26,"N","Y")</f>
        <v>N</v>
      </c>
      <c r="J26" s="14">
        <v>35</v>
      </c>
      <c r="K26" s="14">
        <v>31</v>
      </c>
      <c r="L26" s="19">
        <v>67</v>
      </c>
      <c r="M26" s="16">
        <f t="shared" si="3"/>
        <v>0.52238805970149249</v>
      </c>
      <c r="N26" s="16">
        <f t="shared" si="4"/>
        <v>4.4776119402984982E-2</v>
      </c>
      <c r="O26" s="1" t="str">
        <f t="shared" si="5"/>
        <v>D</v>
      </c>
      <c r="P26" s="17" t="str">
        <f>IF([1]Elect2000!M26=O26,"N","Y")</f>
        <v>N</v>
      </c>
      <c r="Q26" s="1">
        <f t="shared" si="6"/>
        <v>87</v>
      </c>
      <c r="R26" s="1">
        <f t="shared" si="6"/>
        <v>113</v>
      </c>
      <c r="S26" s="16">
        <f t="shared" si="7"/>
        <v>0.43283582089552236</v>
      </c>
      <c r="T26" s="16">
        <f t="shared" si="8"/>
        <v>0.13432835820895533</v>
      </c>
      <c r="U26" s="1" t="str">
        <f t="shared" si="9"/>
        <v>S</v>
      </c>
      <c r="V26" s="18" t="s">
        <v>19</v>
      </c>
      <c r="W26" s="2" t="str">
        <f t="shared" si="10"/>
        <v>D</v>
      </c>
    </row>
    <row r="27" spans="1:23">
      <c r="A27" s="12" t="s">
        <v>52</v>
      </c>
      <c r="B27" s="13" t="s">
        <v>26</v>
      </c>
      <c r="C27" s="14">
        <v>86</v>
      </c>
      <c r="D27" s="14">
        <v>33</v>
      </c>
      <c r="E27" s="19">
        <v>122</v>
      </c>
      <c r="F27" s="16">
        <f t="shared" si="0"/>
        <v>0.70491803278688525</v>
      </c>
      <c r="G27" s="16">
        <f t="shared" si="1"/>
        <v>0.4098360655737705</v>
      </c>
      <c r="H27" s="1" t="str">
        <f t="shared" si="2"/>
        <v>D</v>
      </c>
      <c r="I27" s="17" t="str">
        <f>IF([1]Elect2000!G27=H27,"N","Y")</f>
        <v>N</v>
      </c>
      <c r="J27" s="14">
        <v>33</v>
      </c>
      <c r="K27" s="14">
        <v>18</v>
      </c>
      <c r="L27" s="19">
        <v>52</v>
      </c>
      <c r="M27" s="16">
        <f t="shared" si="3"/>
        <v>0.63461538461538458</v>
      </c>
      <c r="N27" s="16">
        <f t="shared" si="4"/>
        <v>0.26923076923076916</v>
      </c>
      <c r="O27" s="1" t="str">
        <f t="shared" si="5"/>
        <v>D</v>
      </c>
      <c r="P27" s="17" t="str">
        <f>IF([1]Elect2000!M27=O27,"N","Y")</f>
        <v>N</v>
      </c>
      <c r="Q27" s="1">
        <f t="shared" si="6"/>
        <v>119</v>
      </c>
      <c r="R27" s="1">
        <f t="shared" si="6"/>
        <v>51</v>
      </c>
      <c r="S27" s="16">
        <f t="shared" si="7"/>
        <v>0.68390804597701149</v>
      </c>
      <c r="T27" s="16">
        <f t="shared" si="8"/>
        <v>0.36781609195402298</v>
      </c>
      <c r="U27" s="1" t="str">
        <f t="shared" si="9"/>
        <v>D</v>
      </c>
      <c r="V27" s="18" t="s">
        <v>18</v>
      </c>
      <c r="W27" s="2" t="str">
        <f t="shared" si="10"/>
        <v>U</v>
      </c>
    </row>
    <row r="28" spans="1:23">
      <c r="A28" s="12" t="s">
        <v>53</v>
      </c>
      <c r="B28" s="13" t="s">
        <v>41</v>
      </c>
      <c r="C28" s="14">
        <v>73</v>
      </c>
      <c r="D28" s="14">
        <v>90</v>
      </c>
      <c r="E28" s="19">
        <v>163</v>
      </c>
      <c r="F28" s="16">
        <f t="shared" si="0"/>
        <v>0.44785276073619634</v>
      </c>
      <c r="G28" s="16">
        <f t="shared" si="1"/>
        <v>0.10429447852760726</v>
      </c>
      <c r="H28" s="1" t="str">
        <f t="shared" si="2"/>
        <v>R</v>
      </c>
      <c r="I28" s="17" t="str">
        <f>IF([1]Elect2000!G28=H28,"N","Y")</f>
        <v>Y</v>
      </c>
      <c r="J28" s="14">
        <v>14</v>
      </c>
      <c r="K28" s="14">
        <v>20</v>
      </c>
      <c r="L28" s="19">
        <v>34</v>
      </c>
      <c r="M28" s="16">
        <f t="shared" si="3"/>
        <v>0.41176470588235292</v>
      </c>
      <c r="N28" s="16">
        <f t="shared" si="4"/>
        <v>0.17647058823529416</v>
      </c>
      <c r="O28" s="1" t="str">
        <f t="shared" si="5"/>
        <v>R</v>
      </c>
      <c r="P28" s="17" t="str">
        <f>IF([1]Elect2000!M28=O28,"N","Y")</f>
        <v>Y</v>
      </c>
      <c r="Q28" s="1">
        <f t="shared" si="6"/>
        <v>87</v>
      </c>
      <c r="R28" s="1">
        <f t="shared" si="6"/>
        <v>110</v>
      </c>
      <c r="S28" s="16">
        <f t="shared" si="7"/>
        <v>0.44162436548223349</v>
      </c>
      <c r="T28" s="16">
        <f t="shared" si="8"/>
        <v>0.11675126903553301</v>
      </c>
      <c r="U28" s="1" t="str">
        <f t="shared" si="9"/>
        <v>R</v>
      </c>
      <c r="V28" s="18" t="s">
        <v>18</v>
      </c>
      <c r="W28" s="2" t="str">
        <f t="shared" si="10"/>
        <v>D</v>
      </c>
    </row>
    <row r="29" spans="1:23">
      <c r="A29" s="12" t="s">
        <v>54</v>
      </c>
      <c r="B29" s="13" t="s">
        <v>28</v>
      </c>
      <c r="C29" s="14">
        <v>47</v>
      </c>
      <c r="D29" s="14">
        <v>53</v>
      </c>
      <c r="E29" s="19">
        <v>100</v>
      </c>
      <c r="F29" s="16">
        <f t="shared" si="0"/>
        <v>0.47</v>
      </c>
      <c r="G29" s="16">
        <f t="shared" si="1"/>
        <v>6.0000000000000053E-2</v>
      </c>
      <c r="H29" s="1" t="str">
        <f t="shared" si="2"/>
        <v>R</v>
      </c>
      <c r="I29" s="17" t="str">
        <f>IF([1]Elect2000!G29=H29,"N","Y")</f>
        <v>N</v>
      </c>
      <c r="J29" s="14">
        <v>21</v>
      </c>
      <c r="K29" s="14">
        <v>29</v>
      </c>
      <c r="L29" s="19">
        <v>50</v>
      </c>
      <c r="M29" s="16">
        <f t="shared" si="3"/>
        <v>0.42</v>
      </c>
      <c r="N29" s="16">
        <f t="shared" si="4"/>
        <v>0.16000000000000009</v>
      </c>
      <c r="O29" s="1" t="str">
        <f t="shared" si="5"/>
        <v>R</v>
      </c>
      <c r="P29" s="17" t="str">
        <f>IF([1]Elect2000!M29=O29,"N","Y")</f>
        <v>N</v>
      </c>
      <c r="Q29" s="1">
        <f t="shared" si="6"/>
        <v>68</v>
      </c>
      <c r="R29" s="1">
        <f t="shared" si="6"/>
        <v>82</v>
      </c>
      <c r="S29" s="16">
        <f t="shared" si="7"/>
        <v>0.45333333333333331</v>
      </c>
      <c r="T29" s="16">
        <f t="shared" si="8"/>
        <v>9.3333333333333324E-2</v>
      </c>
      <c r="U29" s="1" t="str">
        <f t="shared" si="9"/>
        <v>R</v>
      </c>
      <c r="V29" s="18" t="s">
        <v>19</v>
      </c>
      <c r="W29" s="2" t="str">
        <f t="shared" si="10"/>
        <v>U</v>
      </c>
    </row>
    <row r="30" spans="1:23">
      <c r="A30" s="12" t="s">
        <v>55</v>
      </c>
      <c r="B30" s="13" t="s">
        <v>41</v>
      </c>
      <c r="C30" s="21"/>
      <c r="D30" s="21"/>
      <c r="F30" s="16"/>
      <c r="G30" s="16"/>
      <c r="I30" s="17" t="str">
        <f>IF([1]Elect2000!G30=H30,"N","Y")</f>
        <v>N</v>
      </c>
      <c r="J30" s="22" t="s">
        <v>56</v>
      </c>
      <c r="K30" s="22"/>
      <c r="L30" s="23"/>
      <c r="M30" s="16"/>
      <c r="N30" s="16"/>
      <c r="P30" s="17" t="str">
        <f>IF([1]Elect2000!M30=O30,"N","Y")</f>
        <v>N</v>
      </c>
      <c r="R30" s="1">
        <f t="shared" ref="R30:R54" si="11">D30+K30</f>
        <v>0</v>
      </c>
      <c r="S30" s="16"/>
      <c r="T30" s="16"/>
      <c r="V30" s="18" t="s">
        <v>19</v>
      </c>
      <c r="W30" s="2"/>
    </row>
    <row r="31" spans="1:23">
      <c r="A31" s="12" t="s">
        <v>57</v>
      </c>
      <c r="B31" s="13" t="s">
        <v>28</v>
      </c>
      <c r="C31" s="14">
        <v>23</v>
      </c>
      <c r="D31" s="24">
        <v>19</v>
      </c>
      <c r="E31" s="19">
        <v>42</v>
      </c>
      <c r="F31" s="16">
        <f t="shared" ref="F31:F54" si="12">C31/E31</f>
        <v>0.54761904761904767</v>
      </c>
      <c r="G31" s="16">
        <f t="shared" ref="G31:G53" si="13">ABS(F31-(1-F31))</f>
        <v>9.5238095238095344E-2</v>
      </c>
      <c r="H31" s="1" t="str">
        <f t="shared" ref="H31:H53" si="14">IF(F31&gt;0.5,"D",IF(F31=0.5,"T","R"))</f>
        <v>D</v>
      </c>
      <c r="I31" s="17" t="str">
        <f>IF([1]Elect2000!G31=H31,"N","Y")</f>
        <v>N</v>
      </c>
      <c r="J31" s="14">
        <v>9</v>
      </c>
      <c r="K31" s="14">
        <v>12</v>
      </c>
      <c r="L31" s="19">
        <v>21</v>
      </c>
      <c r="M31" s="16">
        <f t="shared" ref="M31:M54" si="15">J31/L31</f>
        <v>0.42857142857142855</v>
      </c>
      <c r="N31" s="16">
        <f t="shared" ref="N31:N53" si="16">ABS(M31-(1-M31))</f>
        <v>0.14285714285714285</v>
      </c>
      <c r="O31" s="1" t="str">
        <f t="shared" ref="O31:O53" si="17">IF(M31&gt;0.5,"D",IF(M31=0.5,"T","R"))</f>
        <v>R</v>
      </c>
      <c r="P31" s="17" t="str">
        <f>IF([1]Elect2000!M31=O31,"N","Y")</f>
        <v>N</v>
      </c>
      <c r="Q31" s="1">
        <f t="shared" ref="Q31:Q53" si="18">C31+J31</f>
        <v>32</v>
      </c>
      <c r="R31" s="1">
        <f t="shared" si="11"/>
        <v>31</v>
      </c>
      <c r="S31" s="16">
        <f t="shared" ref="S31:S54" si="19">Q31/(E31+L31)</f>
        <v>0.50793650793650791</v>
      </c>
      <c r="T31" s="16">
        <f t="shared" ref="T31:T53" si="20">ABS(S31-(1-S31))</f>
        <v>1.5873015873015817E-2</v>
      </c>
      <c r="U31" s="1" t="str">
        <f t="shared" ref="U31:U53" si="21">IF(H31=O31,O31,"S")</f>
        <v>S</v>
      </c>
      <c r="V31" s="18" t="s">
        <v>19</v>
      </c>
      <c r="W31" s="2" t="str">
        <f t="shared" ref="W31:W53" si="22">IF(V31=U31,"U","D")</f>
        <v>D</v>
      </c>
    </row>
    <row r="32" spans="1:23">
      <c r="A32" s="12" t="s">
        <v>58</v>
      </c>
      <c r="B32" s="13" t="s">
        <v>34</v>
      </c>
      <c r="C32" s="14">
        <v>119</v>
      </c>
      <c r="D32" s="14">
        <v>281</v>
      </c>
      <c r="E32" s="19">
        <v>400</v>
      </c>
      <c r="F32" s="16">
        <f t="shared" si="12"/>
        <v>0.29749999999999999</v>
      </c>
      <c r="G32" s="16">
        <f t="shared" si="13"/>
        <v>0.40500000000000003</v>
      </c>
      <c r="H32" s="1" t="str">
        <f t="shared" si="14"/>
        <v>R</v>
      </c>
      <c r="I32" s="17" t="str">
        <f>IF([1]Elect2000!G32=H32,"N","Y")</f>
        <v>N</v>
      </c>
      <c r="J32" s="14">
        <v>6</v>
      </c>
      <c r="K32" s="14">
        <v>18</v>
      </c>
      <c r="L32" s="19">
        <v>24</v>
      </c>
      <c r="M32" s="16">
        <f t="shared" si="15"/>
        <v>0.25</v>
      </c>
      <c r="N32" s="16">
        <f t="shared" si="16"/>
        <v>0.5</v>
      </c>
      <c r="O32" s="1" t="str">
        <f t="shared" si="17"/>
        <v>R</v>
      </c>
      <c r="P32" s="17" t="str">
        <f>IF([1]Elect2000!M32=O32,"N","Y")</f>
        <v>N</v>
      </c>
      <c r="Q32" s="1">
        <f t="shared" si="18"/>
        <v>125</v>
      </c>
      <c r="R32" s="1">
        <f t="shared" si="11"/>
        <v>299</v>
      </c>
      <c r="S32" s="16">
        <f t="shared" si="19"/>
        <v>0.294811320754717</v>
      </c>
      <c r="T32" s="16">
        <f t="shared" si="20"/>
        <v>0.41037735849056606</v>
      </c>
      <c r="U32" s="1" t="str">
        <f t="shared" si="21"/>
        <v>R</v>
      </c>
      <c r="V32" s="18" t="s">
        <v>19</v>
      </c>
      <c r="W32" s="2" t="str">
        <f t="shared" si="22"/>
        <v>U</v>
      </c>
    </row>
    <row r="33" spans="1:23">
      <c r="A33" s="12" t="s">
        <v>59</v>
      </c>
      <c r="B33" s="13" t="s">
        <v>34</v>
      </c>
      <c r="C33" s="14">
        <v>44</v>
      </c>
      <c r="D33" s="14">
        <v>36</v>
      </c>
      <c r="E33" s="19">
        <v>80</v>
      </c>
      <c r="F33" s="16">
        <f t="shared" si="12"/>
        <v>0.55000000000000004</v>
      </c>
      <c r="G33" s="16">
        <f t="shared" si="13"/>
        <v>0.10000000000000009</v>
      </c>
      <c r="H33" s="1" t="str">
        <f t="shared" si="14"/>
        <v>D</v>
      </c>
      <c r="I33" s="17" t="str">
        <f>IF([1]Elect2000!G33=H33,"N","Y")</f>
        <v>Y</v>
      </c>
      <c r="J33" s="14">
        <v>20</v>
      </c>
      <c r="K33" s="14">
        <v>20</v>
      </c>
      <c r="L33" s="19">
        <v>40</v>
      </c>
      <c r="M33" s="16">
        <f t="shared" si="15"/>
        <v>0.5</v>
      </c>
      <c r="N33" s="16">
        <f t="shared" si="16"/>
        <v>0</v>
      </c>
      <c r="O33" s="1" t="str">
        <f t="shared" si="17"/>
        <v>T</v>
      </c>
      <c r="P33" s="17" t="str">
        <f>IF([1]Elect2000!M33=O33,"N","Y")</f>
        <v>Y</v>
      </c>
      <c r="Q33" s="1">
        <f t="shared" si="18"/>
        <v>64</v>
      </c>
      <c r="R33" s="1">
        <f t="shared" si="11"/>
        <v>56</v>
      </c>
      <c r="S33" s="16">
        <f t="shared" si="19"/>
        <v>0.53333333333333333</v>
      </c>
      <c r="T33" s="16">
        <f t="shared" si="20"/>
        <v>6.6666666666666652E-2</v>
      </c>
      <c r="U33" s="1" t="str">
        <f t="shared" si="21"/>
        <v>S</v>
      </c>
      <c r="V33" s="18" t="s">
        <v>18</v>
      </c>
      <c r="W33" s="2" t="str">
        <f t="shared" si="22"/>
        <v>D</v>
      </c>
    </row>
    <row r="34" spans="1:23">
      <c r="A34" s="12" t="s">
        <v>60</v>
      </c>
      <c r="B34" s="13" t="s">
        <v>28</v>
      </c>
      <c r="C34" s="14">
        <v>42</v>
      </c>
      <c r="D34" s="14">
        <v>28</v>
      </c>
      <c r="E34" s="19">
        <v>70</v>
      </c>
      <c r="F34" s="16">
        <f t="shared" si="12"/>
        <v>0.6</v>
      </c>
      <c r="G34" s="16">
        <f t="shared" si="13"/>
        <v>0.19999999999999996</v>
      </c>
      <c r="H34" s="1" t="str">
        <f t="shared" si="14"/>
        <v>D</v>
      </c>
      <c r="I34" s="17" t="str">
        <f>IF([1]Elect2000!G34=H34,"N","Y")</f>
        <v>N</v>
      </c>
      <c r="J34" s="14">
        <v>24</v>
      </c>
      <c r="K34" s="14">
        <v>17</v>
      </c>
      <c r="L34" s="19">
        <v>42</v>
      </c>
      <c r="M34" s="16">
        <f t="shared" si="15"/>
        <v>0.5714285714285714</v>
      </c>
      <c r="N34" s="16">
        <f t="shared" si="16"/>
        <v>0.14285714285714279</v>
      </c>
      <c r="O34" s="1" t="str">
        <f t="shared" si="17"/>
        <v>D</v>
      </c>
      <c r="P34" s="17" t="str">
        <f>IF([1]Elect2000!M34=O34,"N","Y")</f>
        <v>N</v>
      </c>
      <c r="Q34" s="1">
        <f t="shared" si="18"/>
        <v>66</v>
      </c>
      <c r="R34" s="1">
        <f t="shared" si="11"/>
        <v>45</v>
      </c>
      <c r="S34" s="16">
        <f t="shared" si="19"/>
        <v>0.5892857142857143</v>
      </c>
      <c r="T34" s="16">
        <f t="shared" si="20"/>
        <v>0.1785714285714286</v>
      </c>
      <c r="U34" s="1" t="str">
        <f t="shared" si="21"/>
        <v>D</v>
      </c>
      <c r="V34" s="18" t="s">
        <v>18</v>
      </c>
      <c r="W34" s="2" t="str">
        <f t="shared" si="22"/>
        <v>U</v>
      </c>
    </row>
    <row r="35" spans="1:23">
      <c r="A35" s="12" t="s">
        <v>61</v>
      </c>
      <c r="B35" s="13" t="s">
        <v>34</v>
      </c>
      <c r="C35" s="14">
        <v>103</v>
      </c>
      <c r="D35" s="14">
        <v>47</v>
      </c>
      <c r="E35" s="19">
        <v>150</v>
      </c>
      <c r="F35" s="16">
        <f t="shared" si="12"/>
        <v>0.68666666666666665</v>
      </c>
      <c r="G35" s="16">
        <f t="shared" si="13"/>
        <v>0.37333333333333329</v>
      </c>
      <c r="H35" s="1" t="str">
        <f t="shared" si="14"/>
        <v>D</v>
      </c>
      <c r="I35" s="17" t="str">
        <f>IF([1]Elect2000!G35=H35,"N","Y")</f>
        <v>N</v>
      </c>
      <c r="J35" s="14">
        <v>25</v>
      </c>
      <c r="K35" s="14">
        <v>37</v>
      </c>
      <c r="L35" s="19">
        <v>62</v>
      </c>
      <c r="M35" s="16">
        <f t="shared" si="15"/>
        <v>0.40322580645161288</v>
      </c>
      <c r="N35" s="16">
        <f t="shared" si="16"/>
        <v>0.19354838709677424</v>
      </c>
      <c r="O35" s="1" t="str">
        <f t="shared" si="17"/>
        <v>R</v>
      </c>
      <c r="P35" s="17" t="str">
        <f>IF([1]Elect2000!M35=O35,"N","Y")</f>
        <v>N</v>
      </c>
      <c r="Q35" s="1">
        <f t="shared" si="18"/>
        <v>128</v>
      </c>
      <c r="R35" s="1">
        <f t="shared" si="11"/>
        <v>84</v>
      </c>
      <c r="S35" s="16">
        <f t="shared" si="19"/>
        <v>0.60377358490566035</v>
      </c>
      <c r="T35" s="16">
        <f t="shared" si="20"/>
        <v>0.20754716981132071</v>
      </c>
      <c r="U35" s="1" t="str">
        <f t="shared" si="21"/>
        <v>S</v>
      </c>
      <c r="V35" s="18" t="s">
        <v>19</v>
      </c>
      <c r="W35" s="2" t="str">
        <f t="shared" si="22"/>
        <v>D</v>
      </c>
    </row>
    <row r="36" spans="1:23">
      <c r="A36" s="12" t="s">
        <v>62</v>
      </c>
      <c r="B36" s="13" t="s">
        <v>26</v>
      </c>
      <c r="C36" s="14">
        <v>59</v>
      </c>
      <c r="D36" s="14">
        <v>61</v>
      </c>
      <c r="E36" s="19">
        <v>120</v>
      </c>
      <c r="F36" s="16">
        <f t="shared" si="12"/>
        <v>0.49166666666666664</v>
      </c>
      <c r="G36" s="16">
        <f t="shared" si="13"/>
        <v>1.6666666666666663E-2</v>
      </c>
      <c r="H36" s="1" t="str">
        <f t="shared" si="14"/>
        <v>R</v>
      </c>
      <c r="I36" s="17" t="str">
        <f>IF([1]Elect2000!G36=H36,"N","Y")</f>
        <v>Y</v>
      </c>
      <c r="J36" s="14">
        <v>28</v>
      </c>
      <c r="K36" s="14">
        <v>22</v>
      </c>
      <c r="L36" s="19">
        <v>50</v>
      </c>
      <c r="M36" s="16">
        <f t="shared" si="15"/>
        <v>0.56000000000000005</v>
      </c>
      <c r="N36" s="16">
        <f t="shared" si="16"/>
        <v>0.12000000000000011</v>
      </c>
      <c r="O36" s="1" t="str">
        <f t="shared" si="17"/>
        <v>D</v>
      </c>
      <c r="P36" s="17" t="str">
        <f>IF([1]Elect2000!M36=O36,"N","Y")</f>
        <v>N</v>
      </c>
      <c r="Q36" s="1">
        <f t="shared" si="18"/>
        <v>87</v>
      </c>
      <c r="R36" s="1">
        <f t="shared" si="11"/>
        <v>83</v>
      </c>
      <c r="S36" s="16">
        <f t="shared" si="19"/>
        <v>0.5117647058823529</v>
      </c>
      <c r="T36" s="16">
        <f t="shared" si="20"/>
        <v>2.3529411764705799E-2</v>
      </c>
      <c r="U36" s="1" t="str">
        <f t="shared" si="21"/>
        <v>S</v>
      </c>
      <c r="V36" s="18" t="s">
        <v>18</v>
      </c>
      <c r="W36" s="2" t="str">
        <f t="shared" si="22"/>
        <v>D</v>
      </c>
    </row>
    <row r="37" spans="1:23">
      <c r="A37" s="12" t="s">
        <v>63</v>
      </c>
      <c r="B37" s="13" t="s">
        <v>41</v>
      </c>
      <c r="C37" s="14">
        <v>28</v>
      </c>
      <c r="D37" s="14">
        <v>66</v>
      </c>
      <c r="E37" s="19">
        <v>94</v>
      </c>
      <c r="F37" s="16">
        <f t="shared" si="12"/>
        <v>0.2978723404255319</v>
      </c>
      <c r="G37" s="16">
        <f t="shared" si="13"/>
        <v>0.4042553191489362</v>
      </c>
      <c r="H37" s="1" t="str">
        <f t="shared" si="14"/>
        <v>R</v>
      </c>
      <c r="I37" s="17" t="str">
        <f>IF([1]Elect2000!G37=H37,"N","Y")</f>
        <v>N</v>
      </c>
      <c r="J37" s="14">
        <v>16</v>
      </c>
      <c r="K37" s="14">
        <v>31</v>
      </c>
      <c r="L37" s="19">
        <v>47</v>
      </c>
      <c r="M37" s="16">
        <f t="shared" si="15"/>
        <v>0.34042553191489361</v>
      </c>
      <c r="N37" s="16">
        <f t="shared" si="16"/>
        <v>0.31914893617021273</v>
      </c>
      <c r="O37" s="1" t="str">
        <f t="shared" si="17"/>
        <v>R</v>
      </c>
      <c r="P37" s="17" t="str">
        <f>IF([1]Elect2000!M37=O37,"N","Y")</f>
        <v>N</v>
      </c>
      <c r="Q37" s="1">
        <f t="shared" si="18"/>
        <v>44</v>
      </c>
      <c r="R37" s="1">
        <f t="shared" si="11"/>
        <v>97</v>
      </c>
      <c r="S37" s="16">
        <f t="shared" si="19"/>
        <v>0.31205673758865249</v>
      </c>
      <c r="T37" s="16">
        <f t="shared" si="20"/>
        <v>0.37588652482269502</v>
      </c>
      <c r="U37" s="1" t="str">
        <f t="shared" si="21"/>
        <v>R</v>
      </c>
      <c r="V37" s="18" t="s">
        <v>19</v>
      </c>
      <c r="W37" s="2" t="str">
        <f t="shared" si="22"/>
        <v>U</v>
      </c>
    </row>
    <row r="38" spans="1:23">
      <c r="A38" s="12" t="s">
        <v>64</v>
      </c>
      <c r="B38" s="13" t="s">
        <v>41</v>
      </c>
      <c r="C38" s="14">
        <v>37</v>
      </c>
      <c r="D38" s="14">
        <v>62</v>
      </c>
      <c r="E38" s="19">
        <v>99</v>
      </c>
      <c r="F38" s="16">
        <f t="shared" si="12"/>
        <v>0.37373737373737376</v>
      </c>
      <c r="G38" s="16">
        <f t="shared" si="13"/>
        <v>0.25252525252525254</v>
      </c>
      <c r="H38" s="1" t="str">
        <f t="shared" si="14"/>
        <v>R</v>
      </c>
      <c r="I38" s="17" t="str">
        <f>IF([1]Elect2000!G38=H38,"N","Y")</f>
        <v>N</v>
      </c>
      <c r="J38" s="14">
        <v>11</v>
      </c>
      <c r="K38" s="14">
        <v>22</v>
      </c>
      <c r="L38" s="19">
        <v>33</v>
      </c>
      <c r="M38" s="16">
        <f t="shared" si="15"/>
        <v>0.33333333333333331</v>
      </c>
      <c r="N38" s="16">
        <f t="shared" si="16"/>
        <v>0.33333333333333343</v>
      </c>
      <c r="O38" s="1" t="str">
        <f t="shared" si="17"/>
        <v>R</v>
      </c>
      <c r="P38" s="17" t="str">
        <f>IF([1]Elect2000!M38=O38,"N","Y")</f>
        <v>N</v>
      </c>
      <c r="Q38" s="1">
        <f t="shared" si="18"/>
        <v>48</v>
      </c>
      <c r="R38" s="1">
        <f t="shared" si="11"/>
        <v>84</v>
      </c>
      <c r="S38" s="16">
        <f t="shared" si="19"/>
        <v>0.36363636363636365</v>
      </c>
      <c r="T38" s="16">
        <f t="shared" si="20"/>
        <v>0.27272727272727271</v>
      </c>
      <c r="U38" s="1" t="str">
        <f t="shared" si="21"/>
        <v>R</v>
      </c>
      <c r="V38" s="18" t="s">
        <v>19</v>
      </c>
      <c r="W38" s="2" t="str">
        <f t="shared" si="22"/>
        <v>U</v>
      </c>
    </row>
    <row r="39" spans="1:23">
      <c r="A39" s="12" t="s">
        <v>65</v>
      </c>
      <c r="B39" s="13" t="s">
        <v>26</v>
      </c>
      <c r="C39" s="14">
        <v>53</v>
      </c>
      <c r="D39" s="14">
        <v>48</v>
      </c>
      <c r="E39" s="19">
        <v>101</v>
      </c>
      <c r="F39" s="16">
        <f t="shared" si="12"/>
        <v>0.52475247524752477</v>
      </c>
      <c r="G39" s="16">
        <f t="shared" si="13"/>
        <v>4.9504950495049549E-2</v>
      </c>
      <c r="H39" s="1" t="str">
        <f t="shared" si="14"/>
        <v>D</v>
      </c>
      <c r="I39" s="17" t="str">
        <f>IF([1]Elect2000!G39=H39,"N","Y")</f>
        <v>N</v>
      </c>
      <c r="J39" s="14">
        <v>28</v>
      </c>
      <c r="K39" s="14">
        <v>20</v>
      </c>
      <c r="L39" s="19">
        <v>48</v>
      </c>
      <c r="M39" s="16">
        <f t="shared" si="15"/>
        <v>0.58333333333333337</v>
      </c>
      <c r="N39" s="16">
        <f t="shared" si="16"/>
        <v>0.16666666666666674</v>
      </c>
      <c r="O39" s="1" t="str">
        <f t="shared" si="17"/>
        <v>D</v>
      </c>
      <c r="P39" s="17" t="str">
        <f>IF([1]Elect2000!M39=O39,"N","Y")</f>
        <v>N</v>
      </c>
      <c r="Q39" s="1">
        <f t="shared" si="18"/>
        <v>81</v>
      </c>
      <c r="R39" s="1">
        <f t="shared" si="11"/>
        <v>68</v>
      </c>
      <c r="S39" s="16">
        <f t="shared" si="19"/>
        <v>0.5436241610738255</v>
      </c>
      <c r="T39" s="16">
        <f t="shared" si="20"/>
        <v>8.7248322147650992E-2</v>
      </c>
      <c r="U39" s="1" t="str">
        <f t="shared" si="21"/>
        <v>D</v>
      </c>
      <c r="V39" s="18" t="s">
        <v>18</v>
      </c>
      <c r="W39" s="2" t="str">
        <f t="shared" si="22"/>
        <v>U</v>
      </c>
    </row>
    <row r="40" spans="1:23">
      <c r="A40" s="12" t="s">
        <v>66</v>
      </c>
      <c r="B40" s="13" t="s">
        <v>28</v>
      </c>
      <c r="C40" s="24">
        <v>25</v>
      </c>
      <c r="D40" s="24">
        <v>35</v>
      </c>
      <c r="E40" s="19">
        <v>60</v>
      </c>
      <c r="F40" s="16">
        <f t="shared" si="12"/>
        <v>0.41666666666666669</v>
      </c>
      <c r="G40" s="16">
        <f t="shared" si="13"/>
        <v>0.16666666666666657</v>
      </c>
      <c r="H40" s="1" t="str">
        <f t="shared" si="14"/>
        <v>R</v>
      </c>
      <c r="I40" s="17" t="str">
        <f>IF([1]Elect2000!G40=H40,"N","Y")</f>
        <v>N</v>
      </c>
      <c r="J40" s="14">
        <v>15</v>
      </c>
      <c r="K40" s="14">
        <v>15</v>
      </c>
      <c r="L40" s="19">
        <v>30</v>
      </c>
      <c r="M40" s="16">
        <f t="shared" si="15"/>
        <v>0.5</v>
      </c>
      <c r="N40" s="16">
        <f t="shared" si="16"/>
        <v>0</v>
      </c>
      <c r="O40" s="1" t="str">
        <f t="shared" si="17"/>
        <v>T</v>
      </c>
      <c r="P40" s="17" t="str">
        <f>IF([1]Elect2000!M40=O40,"N","Y")</f>
        <v>Y</v>
      </c>
      <c r="Q40" s="1">
        <f t="shared" si="18"/>
        <v>40</v>
      </c>
      <c r="R40" s="1">
        <f t="shared" si="11"/>
        <v>50</v>
      </c>
      <c r="S40" s="16">
        <f t="shared" si="19"/>
        <v>0.44444444444444442</v>
      </c>
      <c r="T40" s="16">
        <f t="shared" si="20"/>
        <v>0.11111111111111116</v>
      </c>
      <c r="U40" s="1" t="str">
        <f t="shared" si="21"/>
        <v>S</v>
      </c>
      <c r="V40" s="18" t="s">
        <v>67</v>
      </c>
      <c r="W40" s="2" t="str">
        <f t="shared" si="22"/>
        <v>D</v>
      </c>
    </row>
    <row r="41" spans="1:23">
      <c r="A41" s="12" t="s">
        <v>68</v>
      </c>
      <c r="B41" s="13" t="s">
        <v>34</v>
      </c>
      <c r="C41" s="14">
        <v>94</v>
      </c>
      <c r="D41" s="14">
        <v>109</v>
      </c>
      <c r="E41" s="19">
        <v>203</v>
      </c>
      <c r="F41" s="16">
        <f t="shared" si="12"/>
        <v>0.46305418719211822</v>
      </c>
      <c r="G41" s="16">
        <f t="shared" si="13"/>
        <v>7.3891625615763568E-2</v>
      </c>
      <c r="H41" s="1" t="str">
        <f t="shared" si="14"/>
        <v>R</v>
      </c>
      <c r="I41" s="17" t="str">
        <f>IF([1]Elect2000!G41=H41,"N","Y")</f>
        <v>N</v>
      </c>
      <c r="J41" s="14">
        <v>21</v>
      </c>
      <c r="K41" s="14">
        <v>29</v>
      </c>
      <c r="L41" s="19">
        <v>50</v>
      </c>
      <c r="M41" s="16">
        <f t="shared" si="15"/>
        <v>0.42</v>
      </c>
      <c r="N41" s="16">
        <f t="shared" si="16"/>
        <v>0.16000000000000009</v>
      </c>
      <c r="O41" s="1" t="str">
        <f t="shared" si="17"/>
        <v>R</v>
      </c>
      <c r="P41" s="17" t="str">
        <f>IF([1]Elect2000!M41=O41,"N","Y")</f>
        <v>N</v>
      </c>
      <c r="Q41" s="1">
        <f t="shared" si="18"/>
        <v>115</v>
      </c>
      <c r="R41" s="1">
        <f t="shared" si="11"/>
        <v>138</v>
      </c>
      <c r="S41" s="16">
        <f t="shared" si="19"/>
        <v>0.45454545454545453</v>
      </c>
      <c r="T41" s="16">
        <f t="shared" si="20"/>
        <v>9.0909090909090884E-2</v>
      </c>
      <c r="U41" s="1" t="str">
        <f t="shared" si="21"/>
        <v>R</v>
      </c>
      <c r="V41" s="18" t="s">
        <v>18</v>
      </c>
      <c r="W41" s="2" t="str">
        <f t="shared" si="22"/>
        <v>D</v>
      </c>
    </row>
    <row r="42" spans="1:23">
      <c r="A42" s="12" t="s">
        <v>69</v>
      </c>
      <c r="B42" s="13" t="s">
        <v>34</v>
      </c>
      <c r="C42" s="14">
        <v>63</v>
      </c>
      <c r="D42" s="14">
        <v>11</v>
      </c>
      <c r="E42" s="19">
        <v>75</v>
      </c>
      <c r="F42" s="16">
        <f t="shared" si="12"/>
        <v>0.84</v>
      </c>
      <c r="G42" s="16">
        <f t="shared" si="13"/>
        <v>0.67999999999999994</v>
      </c>
      <c r="H42" s="1" t="str">
        <f t="shared" si="14"/>
        <v>D</v>
      </c>
      <c r="I42" s="17" t="str">
        <f>IF([1]Elect2000!G42=H42,"N","Y")</f>
        <v>N</v>
      </c>
      <c r="J42" s="14">
        <v>32</v>
      </c>
      <c r="K42" s="14">
        <v>6</v>
      </c>
      <c r="L42" s="19">
        <v>38</v>
      </c>
      <c r="M42" s="16">
        <f t="shared" si="15"/>
        <v>0.84210526315789469</v>
      </c>
      <c r="N42" s="16">
        <f t="shared" si="16"/>
        <v>0.68421052631578938</v>
      </c>
      <c r="O42" s="1" t="str">
        <f t="shared" si="17"/>
        <v>D</v>
      </c>
      <c r="P42" s="17" t="str">
        <f>IF([1]Elect2000!M42=O42,"N","Y")</f>
        <v>N</v>
      </c>
      <c r="Q42" s="1">
        <f t="shared" si="18"/>
        <v>95</v>
      </c>
      <c r="R42" s="1">
        <f t="shared" si="11"/>
        <v>17</v>
      </c>
      <c r="S42" s="16">
        <f t="shared" si="19"/>
        <v>0.84070796460176989</v>
      </c>
      <c r="T42" s="16">
        <f t="shared" si="20"/>
        <v>0.68141592920353977</v>
      </c>
      <c r="U42" s="1" t="str">
        <f t="shared" si="21"/>
        <v>D</v>
      </c>
      <c r="V42" s="18" t="s">
        <v>19</v>
      </c>
      <c r="W42" s="2" t="str">
        <f t="shared" si="22"/>
        <v>D</v>
      </c>
    </row>
    <row r="43" spans="1:23">
      <c r="A43" s="12" t="s">
        <v>70</v>
      </c>
      <c r="B43" s="13" t="s">
        <v>26</v>
      </c>
      <c r="C43" s="14">
        <v>51</v>
      </c>
      <c r="D43" s="14">
        <v>73</v>
      </c>
      <c r="E43" s="19">
        <v>124</v>
      </c>
      <c r="F43" s="16">
        <f t="shared" si="12"/>
        <v>0.41129032258064518</v>
      </c>
      <c r="G43" s="16">
        <f t="shared" si="13"/>
        <v>0.17741935483870958</v>
      </c>
      <c r="H43" s="1" t="str">
        <f t="shared" si="14"/>
        <v>R</v>
      </c>
      <c r="I43" s="17" t="str">
        <f>IF([1]Elect2000!G43=H43,"N","Y")</f>
        <v>N</v>
      </c>
      <c r="J43" s="14">
        <v>21</v>
      </c>
      <c r="K43" s="14">
        <v>25</v>
      </c>
      <c r="L43" s="19">
        <v>46</v>
      </c>
      <c r="M43" s="16">
        <f t="shared" si="15"/>
        <v>0.45652173913043476</v>
      </c>
      <c r="N43" s="16">
        <f t="shared" si="16"/>
        <v>8.6956521739130432E-2</v>
      </c>
      <c r="O43" s="1" t="str">
        <f t="shared" si="17"/>
        <v>R</v>
      </c>
      <c r="P43" s="17" t="str">
        <f>IF([1]Elect2000!M43=O43,"N","Y")</f>
        <v>Y</v>
      </c>
      <c r="Q43" s="1">
        <f t="shared" si="18"/>
        <v>72</v>
      </c>
      <c r="R43" s="1">
        <f t="shared" si="11"/>
        <v>98</v>
      </c>
      <c r="S43" s="16">
        <f t="shared" si="19"/>
        <v>0.42352941176470588</v>
      </c>
      <c r="T43" s="16">
        <f t="shared" si="20"/>
        <v>0.15294117647058819</v>
      </c>
      <c r="U43" s="1" t="str">
        <f t="shared" si="21"/>
        <v>R</v>
      </c>
      <c r="V43" s="18" t="s">
        <v>19</v>
      </c>
      <c r="W43" s="2" t="str">
        <f t="shared" si="22"/>
        <v>U</v>
      </c>
    </row>
    <row r="44" spans="1:23">
      <c r="A44" s="12" t="s">
        <v>71</v>
      </c>
      <c r="B44" s="13" t="s">
        <v>41</v>
      </c>
      <c r="C44" s="14">
        <v>21</v>
      </c>
      <c r="D44" s="14">
        <v>49</v>
      </c>
      <c r="E44" s="19">
        <v>70</v>
      </c>
      <c r="F44" s="16">
        <f t="shared" si="12"/>
        <v>0.3</v>
      </c>
      <c r="G44" s="16">
        <f t="shared" si="13"/>
        <v>0.39999999999999997</v>
      </c>
      <c r="H44" s="1" t="str">
        <f t="shared" si="14"/>
        <v>R</v>
      </c>
      <c r="I44" s="17" t="str">
        <f>IF([1]Elect2000!G44=H44,"N","Y")</f>
        <v>N</v>
      </c>
      <c r="J44" s="14">
        <v>9</v>
      </c>
      <c r="K44" s="14">
        <v>25</v>
      </c>
      <c r="L44" s="19">
        <v>35</v>
      </c>
      <c r="M44" s="16">
        <f t="shared" si="15"/>
        <v>0.25714285714285712</v>
      </c>
      <c r="N44" s="16">
        <f t="shared" si="16"/>
        <v>0.48571428571428577</v>
      </c>
      <c r="O44" s="1" t="str">
        <f t="shared" si="17"/>
        <v>R</v>
      </c>
      <c r="P44" s="17" t="str">
        <f>IF([1]Elect2000!M44=O44,"N","Y")</f>
        <v>N</v>
      </c>
      <c r="Q44" s="1">
        <f t="shared" si="18"/>
        <v>30</v>
      </c>
      <c r="R44" s="1">
        <f t="shared" si="11"/>
        <v>74</v>
      </c>
      <c r="S44" s="16">
        <f t="shared" si="19"/>
        <v>0.2857142857142857</v>
      </c>
      <c r="T44" s="16">
        <f t="shared" si="20"/>
        <v>0.4285714285714286</v>
      </c>
      <c r="U44" s="1" t="str">
        <f t="shared" si="21"/>
        <v>R</v>
      </c>
      <c r="V44" s="18" t="s">
        <v>19</v>
      </c>
      <c r="W44" s="2" t="str">
        <f t="shared" si="22"/>
        <v>U</v>
      </c>
    </row>
    <row r="45" spans="1:23">
      <c r="A45" s="12" t="s">
        <v>72</v>
      </c>
      <c r="B45" s="13" t="s">
        <v>26</v>
      </c>
      <c r="C45" s="14">
        <v>54</v>
      </c>
      <c r="D45" s="14">
        <v>45</v>
      </c>
      <c r="E45" s="19">
        <v>99</v>
      </c>
      <c r="F45" s="16">
        <f t="shared" si="12"/>
        <v>0.54545454545454541</v>
      </c>
      <c r="G45" s="16">
        <f t="shared" si="13"/>
        <v>9.0909090909090828E-2</v>
      </c>
      <c r="H45" s="1" t="str">
        <f t="shared" si="14"/>
        <v>D</v>
      </c>
      <c r="I45" s="17" t="str">
        <f>IF([1]Elect2000!G45=H45,"N","Y")</f>
        <v>N</v>
      </c>
      <c r="J45" s="14">
        <v>18</v>
      </c>
      <c r="K45" s="14">
        <v>15</v>
      </c>
      <c r="L45" s="19">
        <v>33</v>
      </c>
      <c r="M45" s="16">
        <f t="shared" si="15"/>
        <v>0.54545454545454541</v>
      </c>
      <c r="N45" s="16">
        <f t="shared" si="16"/>
        <v>9.0909090909090828E-2</v>
      </c>
      <c r="O45" s="1" t="str">
        <f t="shared" si="17"/>
        <v>D</v>
      </c>
      <c r="P45" s="17" t="str">
        <f>IF([1]Elect2000!M45=O45,"N","Y")</f>
        <v>N</v>
      </c>
      <c r="Q45" s="1">
        <f t="shared" si="18"/>
        <v>72</v>
      </c>
      <c r="R45" s="1">
        <f t="shared" si="11"/>
        <v>60</v>
      </c>
      <c r="S45" s="16">
        <f t="shared" si="19"/>
        <v>0.54545454545454541</v>
      </c>
      <c r="T45" s="16">
        <f t="shared" si="20"/>
        <v>9.0909090909090828E-2</v>
      </c>
      <c r="U45" s="1" t="str">
        <f t="shared" si="21"/>
        <v>D</v>
      </c>
      <c r="V45" s="18" t="s">
        <v>18</v>
      </c>
      <c r="W45" s="2" t="str">
        <f t="shared" si="22"/>
        <v>U</v>
      </c>
    </row>
    <row r="46" spans="1:23">
      <c r="A46" s="12" t="s">
        <v>73</v>
      </c>
      <c r="B46" s="13" t="s">
        <v>26</v>
      </c>
      <c r="C46" s="14">
        <v>62</v>
      </c>
      <c r="D46" s="14">
        <v>88</v>
      </c>
      <c r="E46" s="19">
        <v>150</v>
      </c>
      <c r="F46" s="16">
        <f t="shared" si="12"/>
        <v>0.41333333333333333</v>
      </c>
      <c r="G46" s="16">
        <f t="shared" si="13"/>
        <v>0.17333333333333334</v>
      </c>
      <c r="H46" s="1" t="str">
        <f t="shared" si="14"/>
        <v>R</v>
      </c>
      <c r="I46" s="17" t="str">
        <f>IF([1]Elect2000!G46=H46,"N","Y")</f>
        <v>Y</v>
      </c>
      <c r="J46" s="14">
        <v>12</v>
      </c>
      <c r="K46" s="14">
        <v>19</v>
      </c>
      <c r="L46" s="19">
        <v>31</v>
      </c>
      <c r="M46" s="16">
        <f t="shared" si="15"/>
        <v>0.38709677419354838</v>
      </c>
      <c r="N46" s="16">
        <f t="shared" si="16"/>
        <v>0.22580645161290325</v>
      </c>
      <c r="O46" s="1" t="str">
        <f t="shared" si="17"/>
        <v>R</v>
      </c>
      <c r="P46" s="17" t="str">
        <f>IF([1]Elect2000!M46=O46,"N","Y")</f>
        <v>N</v>
      </c>
      <c r="Q46" s="1">
        <f t="shared" si="18"/>
        <v>74</v>
      </c>
      <c r="R46" s="1">
        <f t="shared" si="11"/>
        <v>107</v>
      </c>
      <c r="S46" s="16">
        <f t="shared" si="19"/>
        <v>0.40883977900552487</v>
      </c>
      <c r="T46" s="16">
        <f t="shared" si="20"/>
        <v>0.1823204419889502</v>
      </c>
      <c r="U46" s="1" t="str">
        <f t="shared" si="21"/>
        <v>R</v>
      </c>
      <c r="V46" s="18" t="s">
        <v>19</v>
      </c>
      <c r="W46" s="2" t="str">
        <f t="shared" si="22"/>
        <v>U</v>
      </c>
    </row>
    <row r="47" spans="1:23">
      <c r="A47" s="12" t="s">
        <v>74</v>
      </c>
      <c r="B47" s="13" t="s">
        <v>28</v>
      </c>
      <c r="C47" s="14">
        <v>19</v>
      </c>
      <c r="D47" s="14">
        <v>56</v>
      </c>
      <c r="E47" s="19">
        <v>75</v>
      </c>
      <c r="F47" s="16">
        <f t="shared" si="12"/>
        <v>0.25333333333333335</v>
      </c>
      <c r="G47" s="16">
        <f t="shared" si="13"/>
        <v>0.49333333333333323</v>
      </c>
      <c r="H47" s="1" t="str">
        <f t="shared" si="14"/>
        <v>R</v>
      </c>
      <c r="I47" s="17" t="str">
        <f>IF([1]Elect2000!G47=H47,"N","Y")</f>
        <v>N</v>
      </c>
      <c r="J47" s="14">
        <v>7</v>
      </c>
      <c r="K47" s="14">
        <v>22</v>
      </c>
      <c r="L47" s="19">
        <v>29</v>
      </c>
      <c r="M47" s="16">
        <f t="shared" si="15"/>
        <v>0.2413793103448276</v>
      </c>
      <c r="N47" s="16">
        <f t="shared" si="16"/>
        <v>0.51724137931034475</v>
      </c>
      <c r="O47" s="1" t="str">
        <f t="shared" si="17"/>
        <v>R</v>
      </c>
      <c r="P47" s="17" t="str">
        <f>IF([1]Elect2000!M47=O47,"N","Y")</f>
        <v>N</v>
      </c>
      <c r="Q47" s="1">
        <f t="shared" si="18"/>
        <v>26</v>
      </c>
      <c r="R47" s="1">
        <f t="shared" si="11"/>
        <v>78</v>
      </c>
      <c r="S47" s="16">
        <f t="shared" si="19"/>
        <v>0.25</v>
      </c>
      <c r="T47" s="16">
        <f t="shared" si="20"/>
        <v>0.5</v>
      </c>
      <c r="U47" s="1" t="str">
        <f t="shared" si="21"/>
        <v>R</v>
      </c>
      <c r="V47" s="18" t="s">
        <v>19</v>
      </c>
      <c r="W47" s="2" t="str">
        <f t="shared" si="22"/>
        <v>U</v>
      </c>
    </row>
    <row r="48" spans="1:23">
      <c r="A48" s="12" t="s">
        <v>75</v>
      </c>
      <c r="B48" s="13" t="s">
        <v>34</v>
      </c>
      <c r="C48" s="14">
        <v>70</v>
      </c>
      <c r="D48" s="14">
        <v>73</v>
      </c>
      <c r="E48" s="19">
        <v>150</v>
      </c>
      <c r="F48" s="16">
        <f t="shared" si="12"/>
        <v>0.46666666666666667</v>
      </c>
      <c r="G48" s="16">
        <f t="shared" si="13"/>
        <v>6.6666666666666652E-2</v>
      </c>
      <c r="H48" s="1" t="str">
        <f t="shared" si="14"/>
        <v>R</v>
      </c>
      <c r="I48" s="17" t="str">
        <f>IF([1]Elect2000!G48=H48,"N","Y")</f>
        <v>N</v>
      </c>
      <c r="J48" s="14">
        <v>19</v>
      </c>
      <c r="K48" s="14">
        <v>11</v>
      </c>
      <c r="L48" s="19">
        <v>30</v>
      </c>
      <c r="M48" s="16">
        <f t="shared" si="15"/>
        <v>0.6333333333333333</v>
      </c>
      <c r="N48" s="16">
        <f t="shared" si="16"/>
        <v>0.26666666666666661</v>
      </c>
      <c r="O48" s="1" t="str">
        <f t="shared" si="17"/>
        <v>D</v>
      </c>
      <c r="P48" s="17" t="str">
        <f>IF([1]Elect2000!M48=O48,"N","Y")</f>
        <v>N</v>
      </c>
      <c r="Q48" s="1">
        <f t="shared" si="18"/>
        <v>89</v>
      </c>
      <c r="R48" s="1">
        <f t="shared" si="11"/>
        <v>84</v>
      </c>
      <c r="S48" s="16">
        <f t="shared" si="19"/>
        <v>0.49444444444444446</v>
      </c>
      <c r="T48" s="16">
        <f t="shared" si="20"/>
        <v>1.1111111111111072E-2</v>
      </c>
      <c r="U48" s="1" t="str">
        <f t="shared" si="21"/>
        <v>S</v>
      </c>
      <c r="V48" s="18" t="s">
        <v>19</v>
      </c>
      <c r="W48" s="2" t="str">
        <f t="shared" si="22"/>
        <v>D</v>
      </c>
    </row>
    <row r="49" spans="1:23">
      <c r="A49" s="12" t="s">
        <v>76</v>
      </c>
      <c r="B49" s="13" t="s">
        <v>26</v>
      </c>
      <c r="C49" s="14">
        <v>33</v>
      </c>
      <c r="D49" s="14">
        <v>65</v>
      </c>
      <c r="E49" s="19">
        <v>100</v>
      </c>
      <c r="F49" s="16">
        <f t="shared" si="12"/>
        <v>0.33</v>
      </c>
      <c r="G49" s="16">
        <f t="shared" si="13"/>
        <v>0.33999999999999991</v>
      </c>
      <c r="H49" s="1" t="str">
        <f t="shared" si="14"/>
        <v>R</v>
      </c>
      <c r="I49" s="17" t="str">
        <f>IF([1]Elect2000!G49=H49,"N","Y")</f>
        <v>N</v>
      </c>
      <c r="J49" s="14">
        <v>17</v>
      </c>
      <c r="K49" s="14">
        <v>23</v>
      </c>
      <c r="L49" s="19">
        <v>40</v>
      </c>
      <c r="M49" s="16">
        <f t="shared" si="15"/>
        <v>0.42499999999999999</v>
      </c>
      <c r="N49" s="16">
        <f t="shared" si="16"/>
        <v>0.14999999999999997</v>
      </c>
      <c r="O49" s="1" t="str">
        <f t="shared" si="17"/>
        <v>R</v>
      </c>
      <c r="P49" s="17" t="str">
        <f>IF([1]Elect2000!M49=O49,"N","Y")</f>
        <v>N</v>
      </c>
      <c r="Q49" s="1">
        <f t="shared" si="18"/>
        <v>50</v>
      </c>
      <c r="R49" s="1">
        <f t="shared" si="11"/>
        <v>88</v>
      </c>
      <c r="S49" s="16">
        <f t="shared" si="19"/>
        <v>0.35714285714285715</v>
      </c>
      <c r="T49" s="16">
        <f t="shared" si="20"/>
        <v>0.28571428571428564</v>
      </c>
      <c r="U49" s="1" t="str">
        <f t="shared" si="21"/>
        <v>R</v>
      </c>
      <c r="V49" s="18" t="s">
        <v>18</v>
      </c>
      <c r="W49" s="2" t="str">
        <f t="shared" si="22"/>
        <v>D</v>
      </c>
    </row>
    <row r="50" spans="1:23">
      <c r="A50" s="12" t="s">
        <v>77</v>
      </c>
      <c r="B50" s="13" t="s">
        <v>28</v>
      </c>
      <c r="C50" s="20">
        <v>52</v>
      </c>
      <c r="D50" s="20">
        <v>46</v>
      </c>
      <c r="E50" s="19">
        <v>98</v>
      </c>
      <c r="F50" s="16">
        <f t="shared" si="12"/>
        <v>0.53061224489795922</v>
      </c>
      <c r="G50" s="16">
        <f t="shared" si="13"/>
        <v>6.1224489795918435E-2</v>
      </c>
      <c r="H50" s="1" t="str">
        <f t="shared" si="14"/>
        <v>D</v>
      </c>
      <c r="I50" s="17" t="str">
        <f>IF([1]Elect2000!G50=H50,"N","Y")</f>
        <v>Y</v>
      </c>
      <c r="J50" s="20">
        <v>24</v>
      </c>
      <c r="K50" s="20">
        <v>25</v>
      </c>
      <c r="L50" s="19">
        <v>49</v>
      </c>
      <c r="M50" s="16">
        <f t="shared" si="15"/>
        <v>0.48979591836734693</v>
      </c>
      <c r="N50" s="16">
        <f t="shared" si="16"/>
        <v>2.0408163265306145E-2</v>
      </c>
      <c r="O50" s="1" t="str">
        <f t="shared" si="17"/>
        <v>R</v>
      </c>
      <c r="P50" s="17" t="str">
        <f>IF([1]Elect2000!M50=O50,"N","Y")</f>
        <v>Y</v>
      </c>
      <c r="Q50" s="1">
        <f t="shared" si="18"/>
        <v>76</v>
      </c>
      <c r="R50" s="1">
        <f t="shared" si="11"/>
        <v>71</v>
      </c>
      <c r="S50" s="16">
        <f t="shared" si="19"/>
        <v>0.51700680272108845</v>
      </c>
      <c r="T50" s="16">
        <f t="shared" si="20"/>
        <v>3.4013605442176909E-2</v>
      </c>
      <c r="U50" s="1" t="str">
        <f t="shared" si="21"/>
        <v>S</v>
      </c>
      <c r="V50" s="18" t="s">
        <v>18</v>
      </c>
      <c r="W50" s="2" t="str">
        <f t="shared" si="22"/>
        <v>D</v>
      </c>
    </row>
    <row r="51" spans="1:23">
      <c r="A51" s="12" t="s">
        <v>78</v>
      </c>
      <c r="B51" s="13" t="s">
        <v>26</v>
      </c>
      <c r="C51" s="14">
        <v>68</v>
      </c>
      <c r="D51" s="14">
        <v>32</v>
      </c>
      <c r="E51" s="19">
        <v>100</v>
      </c>
      <c r="F51" s="16">
        <f t="shared" si="12"/>
        <v>0.68</v>
      </c>
      <c r="G51" s="16">
        <f t="shared" si="13"/>
        <v>0.3600000000000001</v>
      </c>
      <c r="H51" s="1" t="str">
        <f t="shared" si="14"/>
        <v>D</v>
      </c>
      <c r="I51" s="17" t="str">
        <f>IF([1]Elect2000!G51=H51,"N","Y")</f>
        <v>N</v>
      </c>
      <c r="J51" s="14">
        <v>24</v>
      </c>
      <c r="K51" s="14">
        <v>10</v>
      </c>
      <c r="L51" s="19">
        <v>34</v>
      </c>
      <c r="M51" s="16">
        <f t="shared" si="15"/>
        <v>0.70588235294117652</v>
      </c>
      <c r="N51" s="16">
        <f t="shared" si="16"/>
        <v>0.41176470588235303</v>
      </c>
      <c r="O51" s="1" t="str">
        <f t="shared" si="17"/>
        <v>D</v>
      </c>
      <c r="P51" s="17" t="str">
        <f>IF([1]Elect2000!M51=O51,"N","Y")</f>
        <v>N</v>
      </c>
      <c r="Q51" s="1">
        <f t="shared" si="18"/>
        <v>92</v>
      </c>
      <c r="R51" s="1">
        <f t="shared" si="11"/>
        <v>42</v>
      </c>
      <c r="S51" s="16">
        <f t="shared" si="19"/>
        <v>0.68656716417910446</v>
      </c>
      <c r="T51" s="16">
        <f t="shared" si="20"/>
        <v>0.37313432835820892</v>
      </c>
      <c r="U51" s="1" t="str">
        <f t="shared" si="21"/>
        <v>D</v>
      </c>
      <c r="V51" s="18" t="s">
        <v>18</v>
      </c>
      <c r="W51" s="2" t="str">
        <f t="shared" si="22"/>
        <v>U</v>
      </c>
    </row>
    <row r="52" spans="1:23">
      <c r="A52" s="12" t="s">
        <v>79</v>
      </c>
      <c r="B52" s="13" t="s">
        <v>41</v>
      </c>
      <c r="C52" s="14">
        <v>41</v>
      </c>
      <c r="D52" s="14">
        <v>58</v>
      </c>
      <c r="E52" s="19">
        <v>99</v>
      </c>
      <c r="F52" s="16">
        <f t="shared" si="12"/>
        <v>0.41414141414141414</v>
      </c>
      <c r="G52" s="16">
        <f t="shared" si="13"/>
        <v>0.17171717171717171</v>
      </c>
      <c r="H52" s="1" t="str">
        <f t="shared" si="14"/>
        <v>R</v>
      </c>
      <c r="I52" s="17" t="str">
        <f>IF([1]Elect2000!G52=H52,"N","Y")</f>
        <v>N</v>
      </c>
      <c r="J52" s="14">
        <v>15</v>
      </c>
      <c r="K52" s="14">
        <v>18</v>
      </c>
      <c r="L52" s="19">
        <v>33</v>
      </c>
      <c r="M52" s="16">
        <f t="shared" si="15"/>
        <v>0.45454545454545453</v>
      </c>
      <c r="N52" s="16">
        <f t="shared" si="16"/>
        <v>9.0909090909090884E-2</v>
      </c>
      <c r="O52" s="1" t="str">
        <f t="shared" si="17"/>
        <v>R</v>
      </c>
      <c r="P52" s="17" t="str">
        <f>IF([1]Elect2000!M52=O52,"N","Y")</f>
        <v>Y</v>
      </c>
      <c r="Q52" s="1">
        <f t="shared" si="18"/>
        <v>56</v>
      </c>
      <c r="R52" s="1">
        <f t="shared" si="11"/>
        <v>76</v>
      </c>
      <c r="S52" s="16">
        <f t="shared" si="19"/>
        <v>0.42424242424242425</v>
      </c>
      <c r="T52" s="16">
        <f t="shared" si="20"/>
        <v>0.15151515151515144</v>
      </c>
      <c r="U52" s="1" t="str">
        <f t="shared" si="21"/>
        <v>R</v>
      </c>
      <c r="V52" s="18" t="s">
        <v>18</v>
      </c>
      <c r="W52" s="2" t="str">
        <f t="shared" si="22"/>
        <v>D</v>
      </c>
    </row>
    <row r="53" spans="1:23">
      <c r="A53" s="12" t="s">
        <v>80</v>
      </c>
      <c r="B53" s="13" t="s">
        <v>28</v>
      </c>
      <c r="C53" s="14">
        <v>15</v>
      </c>
      <c r="D53" s="14">
        <v>45</v>
      </c>
      <c r="E53" s="19">
        <v>60</v>
      </c>
      <c r="F53" s="16">
        <f t="shared" si="12"/>
        <v>0.25</v>
      </c>
      <c r="G53" s="16">
        <f t="shared" si="13"/>
        <v>0.5</v>
      </c>
      <c r="H53" s="1" t="str">
        <f t="shared" si="14"/>
        <v>R</v>
      </c>
      <c r="I53" s="17" t="str">
        <f>IF([1]Elect2000!G53=H53,"N","Y")</f>
        <v>N</v>
      </c>
      <c r="J53" s="14">
        <v>10</v>
      </c>
      <c r="K53" s="14">
        <v>20</v>
      </c>
      <c r="L53" s="19">
        <v>30</v>
      </c>
      <c r="M53" s="16">
        <f t="shared" si="15"/>
        <v>0.33333333333333331</v>
      </c>
      <c r="N53" s="16">
        <f t="shared" si="16"/>
        <v>0.33333333333333343</v>
      </c>
      <c r="O53" s="1" t="str">
        <f t="shared" si="17"/>
        <v>R</v>
      </c>
      <c r="P53" s="17" t="str">
        <f>IF([1]Elect2000!M53=O53,"N","Y")</f>
        <v>N</v>
      </c>
      <c r="Q53" s="1">
        <f t="shared" si="18"/>
        <v>25</v>
      </c>
      <c r="R53" s="1">
        <f t="shared" si="11"/>
        <v>65</v>
      </c>
      <c r="S53" s="25">
        <f t="shared" si="19"/>
        <v>0.27777777777777779</v>
      </c>
      <c r="T53" s="26">
        <f t="shared" si="20"/>
        <v>0.44444444444444442</v>
      </c>
      <c r="U53" s="1" t="str">
        <f t="shared" si="21"/>
        <v>R</v>
      </c>
      <c r="V53" s="18" t="s">
        <v>18</v>
      </c>
      <c r="W53" s="2" t="str">
        <f t="shared" si="22"/>
        <v>D</v>
      </c>
    </row>
    <row r="54" spans="1:23">
      <c r="A54" s="27" t="s">
        <v>81</v>
      </c>
      <c r="B54" s="28"/>
      <c r="C54" s="29">
        <f>SUM(C3:C53)</f>
        <v>2686</v>
      </c>
      <c r="D54" s="29">
        <f>SUM(D3:D53)</f>
        <v>2706</v>
      </c>
      <c r="E54" s="29">
        <f>SUM(E3:E53)</f>
        <v>5411</v>
      </c>
      <c r="F54" s="30">
        <f t="shared" si="12"/>
        <v>0.4963962299020514</v>
      </c>
      <c r="G54" s="30"/>
      <c r="H54" s="31"/>
      <c r="I54" s="32"/>
      <c r="J54" s="29">
        <f>SUM(J3:J53)</f>
        <v>957</v>
      </c>
      <c r="K54" s="29">
        <f>SUM(K3:K53)</f>
        <v>960</v>
      </c>
      <c r="L54" s="29">
        <f>SUM(L3:L53)</f>
        <v>1922</v>
      </c>
      <c r="M54" s="30">
        <f t="shared" si="15"/>
        <v>0.49791883454734653</v>
      </c>
      <c r="N54" s="30"/>
      <c r="O54" s="31"/>
      <c r="P54" s="32"/>
      <c r="Q54" s="33">
        <f>SUM(Q4:Q53)</f>
        <v>3643</v>
      </c>
      <c r="R54" s="1">
        <f t="shared" si="11"/>
        <v>3666</v>
      </c>
      <c r="S54" s="16">
        <f t="shared" si="19"/>
        <v>0.49679530887767626</v>
      </c>
      <c r="T54" s="34">
        <f>AVERAGE(T4:T53)</f>
        <v>0.24199418563136829</v>
      </c>
      <c r="U54" s="31"/>
    </row>
    <row r="55" spans="1:23">
      <c r="A55" s="35"/>
      <c r="B55" s="35"/>
      <c r="C55" s="36"/>
      <c r="D55" s="36"/>
      <c r="E55" s="36"/>
      <c r="F55" s="16"/>
      <c r="G55" s="16"/>
      <c r="J55" s="36"/>
      <c r="K55" s="36"/>
      <c r="L55" s="36"/>
      <c r="M55" s="16"/>
      <c r="Q55" s="37"/>
      <c r="R55" s="37"/>
      <c r="S55" s="16"/>
      <c r="T55" s="16"/>
    </row>
    <row r="56" spans="1:23">
      <c r="A56" s="38" t="s">
        <v>82</v>
      </c>
    </row>
    <row r="57" spans="1:23">
      <c r="A57" s="1" t="s">
        <v>83</v>
      </c>
      <c r="C57" s="37">
        <f>DSUM(_xlnm.Database,C3,critRGS)</f>
        <v>979</v>
      </c>
      <c r="D57" s="37"/>
      <c r="E57" s="37">
        <f>DSUM(_xlnm.Database,E3,critRGS)</f>
        <v>1767</v>
      </c>
      <c r="F57" s="16">
        <f>C57/E57</f>
        <v>0.55404640633842672</v>
      </c>
      <c r="J57" s="37">
        <f>DSUM(_xlnm.Database,J3,critRGS)</f>
        <v>350</v>
      </c>
      <c r="K57" s="37"/>
      <c r="L57" s="37">
        <f>DSUM(_xlnm.Database,L3,critRGS)</f>
        <v>624</v>
      </c>
      <c r="M57" s="16">
        <f>J57/L57</f>
        <v>0.5608974358974359</v>
      </c>
      <c r="Q57" s="37">
        <f>DSUM(_xlnm.Database,Q3,critRGS)</f>
        <v>1329</v>
      </c>
      <c r="R57" s="37"/>
      <c r="S57" s="16">
        <f>Q57/(E57+L57)</f>
        <v>0.55583437892095355</v>
      </c>
      <c r="T57" s="16"/>
    </row>
    <row r="58" spans="1:23">
      <c r="A58" s="1" t="s">
        <v>84</v>
      </c>
      <c r="C58" s="37">
        <f>DSUM(_xlnm.Database,C3,CritRGN)</f>
        <v>1707</v>
      </c>
      <c r="D58" s="37"/>
      <c r="E58" s="37">
        <f>DSUM(_xlnm.Database,E3,CritRGN)</f>
        <v>3644</v>
      </c>
      <c r="F58" s="16">
        <f>C58/E58</f>
        <v>0.46844127332601537</v>
      </c>
      <c r="J58" s="37">
        <f>DSUM(_xlnm.Database,J3,CritRGN)</f>
        <v>607</v>
      </c>
      <c r="K58" s="37"/>
      <c r="L58" s="37">
        <f>DSUM(_xlnm.Database,L3,CritRGN)</f>
        <v>1298</v>
      </c>
      <c r="M58" s="16">
        <f>J58/L58</f>
        <v>0.46764252696456088</v>
      </c>
      <c r="Q58" s="37">
        <f>DSUM(_xlnm.Database,Q3,CritRGN)</f>
        <v>2314</v>
      </c>
      <c r="R58" s="37"/>
      <c r="S58" s="16">
        <f>Q58/(E58+L58)</f>
        <v>0.46823148522865238</v>
      </c>
      <c r="T58" s="16"/>
    </row>
    <row r="59" spans="1:23">
      <c r="A59" s="1" t="s">
        <v>85</v>
      </c>
      <c r="C59" s="37">
        <f>DSUM(_xlnm.Database,C3,CRITE)</f>
        <v>815</v>
      </c>
      <c r="D59" s="37"/>
      <c r="E59" s="37">
        <f>DSUM(_xlnm.Database,E3,CRITE)</f>
        <v>1561</v>
      </c>
      <c r="F59" s="16">
        <f>C59/E59</f>
        <v>0.52210121716848179</v>
      </c>
      <c r="J59" s="37">
        <f>DSUM(_xlnm.Database,J3,CRITE)</f>
        <v>209</v>
      </c>
      <c r="K59" s="37"/>
      <c r="L59" s="37">
        <f>DSUM(_xlnm.Database,L3,CRITE)</f>
        <v>376</v>
      </c>
      <c r="M59" s="16">
        <f>J59/L59</f>
        <v>0.55585106382978722</v>
      </c>
      <c r="Q59" s="37">
        <f>DSUM(_xlnm.Database,Q3,CRITE)</f>
        <v>1024</v>
      </c>
      <c r="R59" s="37"/>
      <c r="S59" s="16">
        <f>Q59/(E59+L59)</f>
        <v>0.52865255549819312</v>
      </c>
      <c r="T59" s="16"/>
    </row>
    <row r="60" spans="1:23">
      <c r="A60" s="1" t="s">
        <v>86</v>
      </c>
      <c r="C60" s="37">
        <f>DSUM(_xlnm.Database,C3,CRITM)</f>
        <v>507</v>
      </c>
      <c r="D60" s="37"/>
      <c r="E60" s="37">
        <f>DSUM(_xlnm.Database,E3,CRITM)</f>
        <v>1212</v>
      </c>
      <c r="F60" s="16">
        <f>C60/E60</f>
        <v>0.4183168316831683</v>
      </c>
      <c r="J60" s="37">
        <f>DSUM(_xlnm.Database,J3,CRITM)</f>
        <v>197</v>
      </c>
      <c r="K60" s="37"/>
      <c r="L60" s="37">
        <f>DSUM(_xlnm.Database,L3,CRITM)</f>
        <v>486</v>
      </c>
      <c r="M60" s="16">
        <f>J60/L60</f>
        <v>0.40534979423868311</v>
      </c>
      <c r="Q60" s="37">
        <f>DSUM(_xlnm.Database,Q3,CRITM)</f>
        <v>704</v>
      </c>
      <c r="R60" s="37"/>
      <c r="S60" s="16">
        <f>Q60/(E60+L60)</f>
        <v>0.41460541813898705</v>
      </c>
      <c r="T60" s="16"/>
    </row>
    <row r="61" spans="1:23">
      <c r="A61" s="1" t="s">
        <v>87</v>
      </c>
      <c r="C61" s="37">
        <f>DSUM(_xlnm.Database,C3,CRITW)</f>
        <v>385</v>
      </c>
      <c r="D61" s="37"/>
      <c r="E61" s="37">
        <f>DSUM(_xlnm.Database,E3,CRITW)</f>
        <v>871</v>
      </c>
      <c r="F61" s="16">
        <f>C61/E61</f>
        <v>0.44202066590126293</v>
      </c>
      <c r="J61" s="37">
        <f>DSUM(_xlnm.Database,J3,CRITW)</f>
        <v>201</v>
      </c>
      <c r="K61" s="37"/>
      <c r="L61" s="37">
        <f>DSUM(_xlnm.Database,L3,CRITW)</f>
        <v>436</v>
      </c>
      <c r="M61" s="16">
        <f>J61/L61</f>
        <v>0.46100917431192662</v>
      </c>
      <c r="Q61" s="37">
        <f>DSUM(_xlnm.Database,Q3,CRITW)</f>
        <v>586</v>
      </c>
      <c r="R61" s="37"/>
      <c r="S61" s="16">
        <f>Q61/(E61+L61)</f>
        <v>0.44835501147666412</v>
      </c>
      <c r="T61" s="16"/>
    </row>
    <row r="62" spans="1:23">
      <c r="F62" s="16"/>
      <c r="M62" s="16"/>
      <c r="S62" s="16"/>
      <c r="T62" s="16"/>
    </row>
    <row r="63" spans="1:23">
      <c r="F63" s="16"/>
      <c r="M63" s="16"/>
      <c r="S63" s="16"/>
      <c r="T63" s="16"/>
    </row>
    <row r="64" spans="1:23">
      <c r="A64" s="38" t="s">
        <v>88</v>
      </c>
      <c r="C64" s="39" t="s">
        <v>89</v>
      </c>
      <c r="D64" s="39"/>
      <c r="E64" s="39" t="s">
        <v>26</v>
      </c>
      <c r="F64" s="39" t="s">
        <v>90</v>
      </c>
      <c r="M64" s="16"/>
      <c r="S64" s="16"/>
      <c r="T64" s="16"/>
    </row>
    <row r="65" spans="1:20">
      <c r="A65" s="35" t="s">
        <v>81</v>
      </c>
      <c r="C65" s="40">
        <f>C54-[1]Elect2000!C54</f>
        <v>-136</v>
      </c>
      <c r="D65" s="40"/>
      <c r="E65" s="40">
        <f>J54-[1]Elect2000!I54</f>
        <v>-41</v>
      </c>
      <c r="F65" s="40">
        <f>Q54-[1]Elect2000!O54</f>
        <v>-177</v>
      </c>
      <c r="M65" s="16"/>
      <c r="S65" s="16"/>
      <c r="T65" s="16"/>
    </row>
    <row r="66" spans="1:20">
      <c r="A66" s="1" t="s">
        <v>83</v>
      </c>
      <c r="C66" s="40">
        <f>C57-[1]Elect2000!C57</f>
        <v>-61</v>
      </c>
      <c r="D66" s="40"/>
      <c r="E66" s="40">
        <f>J57-[1]Elect2000!I57</f>
        <v>-27</v>
      </c>
      <c r="F66" s="40">
        <f>Q57-[1]Elect2000!O57</f>
        <v>-88</v>
      </c>
      <c r="M66" s="16"/>
      <c r="S66" s="16"/>
      <c r="T66" s="16"/>
    </row>
    <row r="67" spans="1:20">
      <c r="A67" s="1" t="s">
        <v>85</v>
      </c>
      <c r="C67" s="40">
        <f>C59-[1]Elect2000!C59</f>
        <v>-47</v>
      </c>
      <c r="D67" s="40"/>
      <c r="E67" s="40">
        <f>J59-[1]Elect2000!I59</f>
        <v>-8</v>
      </c>
      <c r="F67" s="40">
        <f>Q59-[1]Elect2000!O59</f>
        <v>-55</v>
      </c>
      <c r="M67" s="16"/>
      <c r="S67" s="16"/>
      <c r="T67" s="16"/>
    </row>
    <row r="68" spans="1:20">
      <c r="A68" s="1" t="s">
        <v>86</v>
      </c>
      <c r="C68" s="40">
        <f>C60-[1]Elect2000!C60</f>
        <v>-32</v>
      </c>
      <c r="D68" s="40"/>
      <c r="E68" s="40">
        <f>J60-[1]Elect2000!I60</f>
        <v>-7</v>
      </c>
      <c r="F68" s="40">
        <f>Q60-[1]Elect2000!O60</f>
        <v>-39</v>
      </c>
      <c r="M68" s="16"/>
      <c r="S68" s="16"/>
      <c r="T68" s="16"/>
    </row>
    <row r="69" spans="1:20">
      <c r="A69" s="1" t="s">
        <v>87</v>
      </c>
      <c r="C69" s="40">
        <f>C61-[1]Elect2000!C61</f>
        <v>4</v>
      </c>
      <c r="D69" s="40"/>
      <c r="E69" s="40">
        <f>J61-[1]Elect2000!I61</f>
        <v>1</v>
      </c>
      <c r="F69" s="40">
        <f>Q61-[1]Elect2000!O61</f>
        <v>5</v>
      </c>
      <c r="M69" s="16"/>
      <c r="S69" s="16"/>
      <c r="T69" s="16"/>
    </row>
    <row r="70" spans="1:20">
      <c r="F70" s="16"/>
      <c r="M70" s="16"/>
      <c r="S70" s="16"/>
      <c r="T70" s="16"/>
    </row>
    <row r="71" spans="1:20">
      <c r="G71" s="8"/>
    </row>
    <row r="72" spans="1:20">
      <c r="A72" s="38" t="s">
        <v>91</v>
      </c>
      <c r="F72" s="1">
        <f>DCOUNTA(_xlnm.Database,"Div?",critdiv)</f>
        <v>29</v>
      </c>
    </row>
    <row r="73" spans="1:20">
      <c r="A73" s="38"/>
    </row>
    <row r="74" spans="1:20">
      <c r="A74" s="38" t="s">
        <v>92</v>
      </c>
      <c r="C74" s="1">
        <f>DCOUNTA(_xlnm.Database,"HSwch",CritHSwch)</f>
        <v>5</v>
      </c>
      <c r="E74" s="1">
        <f>DCOUNTA(_xlnm.Database,"sSwch",CritSSwch)</f>
        <v>11</v>
      </c>
    </row>
    <row r="75" spans="1:20">
      <c r="A75" s="38"/>
    </row>
    <row r="76" spans="1:20">
      <c r="A76" s="38" t="s">
        <v>93</v>
      </c>
      <c r="C76" s="1">
        <f>DCOUNTA(_xlnm.Database,"hCntrl",CritHCntrlD)</f>
        <v>23</v>
      </c>
      <c r="E76" s="1">
        <f>DCOUNTA(_xlnm.Database,"sCntrl",CritSCntrlD)</f>
        <v>20</v>
      </c>
      <c r="F76" s="1">
        <f>DCOUNTA(_xlnm.Database,"TCntrl",CritTCntrlD)</f>
        <v>16</v>
      </c>
    </row>
    <row r="77" spans="1:20">
      <c r="A77" s="38" t="s">
        <v>94</v>
      </c>
      <c r="C77" s="1">
        <f>DCOUNTA(_xlnm.Database,"HCntrl",critHCntrlR)</f>
        <v>26</v>
      </c>
      <c r="E77" s="1">
        <f>DCOUNTA(_xlnm.Database,"sCntrl",CritSCntrlR)</f>
        <v>27</v>
      </c>
      <c r="F77" s="1">
        <f>DCOUNTA(_xlnm.Database,"TCntrl",CritTCntrlR)</f>
        <v>21</v>
      </c>
    </row>
    <row r="78" spans="1:20">
      <c r="A78" s="38" t="s">
        <v>95</v>
      </c>
      <c r="F78" s="1">
        <f>DCOUNTA(_xlnm.Database,"TCntrl",CritTCntrlS)</f>
        <v>12</v>
      </c>
    </row>
    <row r="79" spans="1:20">
      <c r="A79" s="38"/>
    </row>
    <row r="80" spans="1:20">
      <c r="A80" s="38" t="s">
        <v>96</v>
      </c>
      <c r="F80" s="1">
        <f>DCOUNTA(_xlnm.Database,"Gov",CritGovD)</f>
        <v>23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0.25379644886725239</v>
      </c>
      <c r="D84" s="16"/>
      <c r="E84" s="16">
        <f>DAVERAGE(_xlnm.Database,"SMargin",critRGS)</f>
        <v>0.24475525823738511</v>
      </c>
      <c r="F84" s="16">
        <f>DAVERAGE(_xlnm.Database,"Margin",critRGS)</f>
        <v>0.24439616282941171</v>
      </c>
      <c r="G84" s="16"/>
    </row>
    <row r="85" spans="1:20">
      <c r="A85" s="1" t="s">
        <v>84</v>
      </c>
      <c r="C85" s="16">
        <f>DAVERAGE(_xlnm.Database,"HMargin",CritRGN)</f>
        <v>0.25995526288137433</v>
      </c>
      <c r="D85" s="16"/>
      <c r="E85" s="16">
        <f>DAVERAGE(_xlnm.Database,"SMargin",CritRGN)</f>
        <v>0.25733393206646377</v>
      </c>
      <c r="F85" s="16">
        <f>DAVERAGE(_xlnm.Database,"Margin",CritRGN)</f>
        <v>0.240934489808702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0.49511773362080352</v>
      </c>
    </row>
    <row r="88" spans="1:20">
      <c r="A88" s="41" t="s">
        <v>98</v>
      </c>
      <c r="T88" s="16">
        <f>AVERAGE(T4:T53)</f>
        <v>0.24199418563136829</v>
      </c>
    </row>
    <row r="89" spans="1:20">
      <c r="A89" s="1" t="s">
        <v>99</v>
      </c>
      <c r="C89" s="1">
        <f>DCOUNT(_xlnm.Database,F3,CritHD55)</f>
        <v>11</v>
      </c>
      <c r="E89" s="1">
        <f>DCOUNT(_xlnm.Database,M3,CritSD55)</f>
        <v>11</v>
      </c>
      <c r="F89" s="1">
        <f>SUM(C89:E89)</f>
        <v>22</v>
      </c>
    </row>
    <row r="92" spans="1:20">
      <c r="A92" s="1" t="s">
        <v>100</v>
      </c>
      <c r="C92" s="1">
        <f>DCOUNTA(_xlnm.Database,"Div?",CritUnifD)</f>
        <v>8</v>
      </c>
    </row>
    <row r="93" spans="1:20">
      <c r="A93" s="1" t="s">
        <v>101</v>
      </c>
      <c r="C93" s="1">
        <f>DCOUNTA(_xlnm.Database,"Div?",CritUnifR)</f>
        <v>12</v>
      </c>
    </row>
    <row r="1016" spans="31:44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</row>
    <row r="1017" spans="31:44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</row>
    <row r="1019" spans="31:44">
      <c r="AG1019" s="1" t="s">
        <v>23</v>
      </c>
      <c r="AJ1019" s="8" t="s">
        <v>16</v>
      </c>
      <c r="AL1019" s="8" t="s">
        <v>16</v>
      </c>
      <c r="AN1019" s="8"/>
    </row>
    <row r="1020" spans="31:44">
      <c r="AG1020" s="1" t="s">
        <v>18</v>
      </c>
      <c r="AJ1020" s="1" t="s">
        <v>18</v>
      </c>
      <c r="AL1020" s="1" t="s">
        <v>19</v>
      </c>
    </row>
    <row r="1022" spans="31:44">
      <c r="AJ1022" s="8" t="s">
        <v>22</v>
      </c>
      <c r="AL1022" s="8" t="s">
        <v>22</v>
      </c>
      <c r="AN1022" s="8" t="s">
        <v>22</v>
      </c>
    </row>
    <row r="1023" spans="31:44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3583-5DC0-4034-AA2D-C4158DE114C1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1" width="5.5" style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2004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18</v>
      </c>
      <c r="R3" s="8" t="s">
        <v>19</v>
      </c>
      <c r="S3" s="9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>
      <c r="A4" s="12" t="s">
        <v>25</v>
      </c>
      <c r="B4" s="13" t="s">
        <v>26</v>
      </c>
      <c r="C4" s="42">
        <v>63</v>
      </c>
      <c r="D4" s="42">
        <v>42</v>
      </c>
      <c r="E4" s="43">
        <v>105</v>
      </c>
      <c r="F4" s="16">
        <f t="shared" ref="F4:F29" si="0">C4/E4</f>
        <v>0.6</v>
      </c>
      <c r="G4" s="16">
        <f t="shared" ref="G4:G29" si="1">ABS(F4-(1-F4))</f>
        <v>0.19999999999999996</v>
      </c>
      <c r="H4" s="1" t="str">
        <f t="shared" ref="H4:H29" si="2">IF(F4&gt;0.5,"D",IF(F4=0.5,"T","R"))</f>
        <v>D</v>
      </c>
      <c r="I4" s="17" t="str">
        <f>IF(Elect2002!H4=H4,"N","Y")</f>
        <v>N</v>
      </c>
      <c r="J4" s="42">
        <v>25</v>
      </c>
      <c r="K4" s="42">
        <v>10</v>
      </c>
      <c r="L4" s="43">
        <v>35</v>
      </c>
      <c r="M4" s="16">
        <f t="shared" ref="M4:M29" si="3">J4/L4</f>
        <v>0.7142857142857143</v>
      </c>
      <c r="N4" s="16">
        <f t="shared" ref="N4:N29" si="4">ABS(M4-(1-M4))</f>
        <v>0.4285714285714286</v>
      </c>
      <c r="O4" s="1" t="str">
        <f t="shared" ref="O4:O29" si="5">IF(M4&gt;0.5,"D",IF(M4=0.5,"T","R"))</f>
        <v>D</v>
      </c>
      <c r="P4" s="17" t="str">
        <f>IF(Elect2002!O4=O4,"N","Y")</f>
        <v>N</v>
      </c>
      <c r="Q4" s="1">
        <f t="shared" ref="Q4:R29" si="6">C4+J4</f>
        <v>88</v>
      </c>
      <c r="R4" s="1">
        <f t="shared" si="6"/>
        <v>52</v>
      </c>
      <c r="S4" s="16">
        <f t="shared" ref="S4:S29" si="7">Q4/(E4+L4)</f>
        <v>0.62857142857142856</v>
      </c>
      <c r="T4" s="16">
        <f t="shared" ref="T4:T29" si="8">ABS(S4-(1-S4))</f>
        <v>0.25714285714285712</v>
      </c>
      <c r="U4" s="1" t="str">
        <f t="shared" ref="U4:U29" si="9">IF(H4=O4,O4,"S")</f>
        <v>D</v>
      </c>
      <c r="V4" s="1" t="s">
        <v>19</v>
      </c>
      <c r="W4" s="1" t="str">
        <f t="shared" ref="W4:W29" si="10">IF(V4=U4,"U","D")</f>
        <v>D</v>
      </c>
      <c r="X4" s="1">
        <f>C4-Elect2002!C4</f>
        <v>-1</v>
      </c>
      <c r="Y4" s="1">
        <f>J4-Elect2002!J4</f>
        <v>0</v>
      </c>
      <c r="Z4" s="1">
        <f>X4+Y4</f>
        <v>-1</v>
      </c>
    </row>
    <row r="5" spans="1:26">
      <c r="A5" s="12" t="s">
        <v>27</v>
      </c>
      <c r="B5" s="13" t="s">
        <v>28</v>
      </c>
      <c r="C5" s="42">
        <v>14</v>
      </c>
      <c r="D5" s="42">
        <v>26</v>
      </c>
      <c r="E5" s="43">
        <v>40</v>
      </c>
      <c r="F5" s="16">
        <f t="shared" si="0"/>
        <v>0.35</v>
      </c>
      <c r="G5" s="16">
        <f t="shared" si="1"/>
        <v>0.30000000000000004</v>
      </c>
      <c r="H5" s="1" t="str">
        <f t="shared" si="2"/>
        <v>R</v>
      </c>
      <c r="I5" s="17" t="str">
        <f>IF(Elect2002!H5=H5,"N","Y")</f>
        <v>N</v>
      </c>
      <c r="J5" s="42">
        <v>8</v>
      </c>
      <c r="K5" s="42">
        <v>12</v>
      </c>
      <c r="L5" s="43">
        <v>20</v>
      </c>
      <c r="M5" s="16">
        <f t="shared" si="3"/>
        <v>0.4</v>
      </c>
      <c r="N5" s="16">
        <f t="shared" si="4"/>
        <v>0.19999999999999996</v>
      </c>
      <c r="O5" s="1" t="str">
        <f t="shared" si="5"/>
        <v>R</v>
      </c>
      <c r="P5" s="17" t="str">
        <f>IF(Elect2002!O5=O5,"N","Y")</f>
        <v>N</v>
      </c>
      <c r="Q5" s="1">
        <f t="shared" si="6"/>
        <v>22</v>
      </c>
      <c r="R5" s="1">
        <f t="shared" si="6"/>
        <v>38</v>
      </c>
      <c r="S5" s="16">
        <f t="shared" si="7"/>
        <v>0.36666666666666664</v>
      </c>
      <c r="T5" s="16">
        <f t="shared" si="8"/>
        <v>0.26666666666666666</v>
      </c>
      <c r="U5" s="1" t="str">
        <f t="shared" si="9"/>
        <v>R</v>
      </c>
      <c r="V5" s="1" t="s">
        <v>19</v>
      </c>
      <c r="W5" s="1" t="str">
        <f t="shared" si="10"/>
        <v>U</v>
      </c>
      <c r="X5" s="1">
        <f>C5-Elect2002!C5</f>
        <v>1</v>
      </c>
      <c r="Y5" s="1">
        <f>J5-Elect2002!J5</f>
        <v>0</v>
      </c>
      <c r="Z5" s="1">
        <f t="shared" ref="Z5:Z53" si="11">X5+Y5</f>
        <v>1</v>
      </c>
    </row>
    <row r="6" spans="1:26">
      <c r="A6" s="12" t="s">
        <v>29</v>
      </c>
      <c r="B6" s="13" t="s">
        <v>28</v>
      </c>
      <c r="C6" s="42">
        <v>22</v>
      </c>
      <c r="D6" s="42">
        <v>38</v>
      </c>
      <c r="E6" s="43">
        <v>60</v>
      </c>
      <c r="F6" s="16">
        <f t="shared" si="0"/>
        <v>0.36666666666666664</v>
      </c>
      <c r="G6" s="16">
        <f t="shared" si="1"/>
        <v>0.26666666666666666</v>
      </c>
      <c r="H6" s="1" t="str">
        <f t="shared" si="2"/>
        <v>R</v>
      </c>
      <c r="I6" s="17" t="str">
        <f>IF(Elect2002!H6=H6,"N","Y")</f>
        <v>N</v>
      </c>
      <c r="J6" s="42">
        <v>12</v>
      </c>
      <c r="K6" s="42">
        <v>18</v>
      </c>
      <c r="L6" s="43">
        <v>30</v>
      </c>
      <c r="M6" s="16">
        <f t="shared" si="3"/>
        <v>0.4</v>
      </c>
      <c r="N6" s="16">
        <f t="shared" si="4"/>
        <v>0.19999999999999996</v>
      </c>
      <c r="O6" s="1" t="str">
        <f t="shared" si="5"/>
        <v>R</v>
      </c>
      <c r="P6" s="17" t="str">
        <f>IF(Elect2002!O6=O6,"N","Y")</f>
        <v>N</v>
      </c>
      <c r="Q6" s="1">
        <f t="shared" si="6"/>
        <v>34</v>
      </c>
      <c r="R6" s="1">
        <f t="shared" si="6"/>
        <v>56</v>
      </c>
      <c r="S6" s="16">
        <f t="shared" si="7"/>
        <v>0.37777777777777777</v>
      </c>
      <c r="T6" s="16">
        <f t="shared" si="8"/>
        <v>0.24444444444444446</v>
      </c>
      <c r="U6" s="1" t="str">
        <f t="shared" si="9"/>
        <v>R</v>
      </c>
      <c r="V6" s="1" t="s">
        <v>18</v>
      </c>
      <c r="W6" s="1" t="str">
        <f t="shared" si="10"/>
        <v>D</v>
      </c>
      <c r="X6" s="1">
        <f>C6-Elect2002!C6</f>
        <v>1</v>
      </c>
      <c r="Y6" s="1">
        <f>J6-Elect2002!J6</f>
        <v>-1</v>
      </c>
      <c r="Z6" s="1">
        <f t="shared" si="11"/>
        <v>0</v>
      </c>
    </row>
    <row r="7" spans="1:26">
      <c r="A7" s="12" t="s">
        <v>30</v>
      </c>
      <c r="B7" s="13" t="s">
        <v>26</v>
      </c>
      <c r="C7" s="42">
        <v>72</v>
      </c>
      <c r="D7" s="42">
        <v>28</v>
      </c>
      <c r="E7" s="43">
        <v>100</v>
      </c>
      <c r="F7" s="16">
        <f t="shared" si="0"/>
        <v>0.72</v>
      </c>
      <c r="G7" s="16">
        <f t="shared" si="1"/>
        <v>0.43999999999999995</v>
      </c>
      <c r="H7" s="1" t="str">
        <f t="shared" si="2"/>
        <v>D</v>
      </c>
      <c r="I7" s="17" t="str">
        <f>IF(Elect2002!H7=H7,"N","Y")</f>
        <v>N</v>
      </c>
      <c r="J7" s="42">
        <v>27</v>
      </c>
      <c r="K7" s="42">
        <v>8</v>
      </c>
      <c r="L7" s="43">
        <v>35</v>
      </c>
      <c r="M7" s="16">
        <f t="shared" si="3"/>
        <v>0.77142857142857146</v>
      </c>
      <c r="N7" s="16">
        <f t="shared" si="4"/>
        <v>0.54285714285714293</v>
      </c>
      <c r="O7" s="1" t="str">
        <f t="shared" si="5"/>
        <v>D</v>
      </c>
      <c r="P7" s="17" t="str">
        <f>IF(Elect2002!O7=O7,"N","Y")</f>
        <v>N</v>
      </c>
      <c r="Q7" s="1">
        <f t="shared" si="6"/>
        <v>99</v>
      </c>
      <c r="R7" s="1">
        <f t="shared" si="6"/>
        <v>36</v>
      </c>
      <c r="S7" s="16">
        <f t="shared" si="7"/>
        <v>0.73333333333333328</v>
      </c>
      <c r="T7" s="16">
        <f t="shared" si="8"/>
        <v>0.46666666666666656</v>
      </c>
      <c r="U7" s="1" t="str">
        <f t="shared" si="9"/>
        <v>D</v>
      </c>
      <c r="V7" s="1" t="s">
        <v>19</v>
      </c>
      <c r="W7" s="1" t="str">
        <f t="shared" si="10"/>
        <v>D</v>
      </c>
      <c r="X7" s="1">
        <f>C7-Elect2002!C7</f>
        <v>2</v>
      </c>
      <c r="Y7" s="1">
        <f>J7-Elect2002!J7</f>
        <v>0</v>
      </c>
      <c r="Z7" s="1">
        <f t="shared" si="11"/>
        <v>2</v>
      </c>
    </row>
    <row r="8" spans="1:26">
      <c r="A8" s="12" t="s">
        <v>31</v>
      </c>
      <c r="B8" s="13" t="s">
        <v>28</v>
      </c>
      <c r="C8" s="44">
        <v>48</v>
      </c>
      <c r="D8" s="44">
        <v>32</v>
      </c>
      <c r="E8" s="45">
        <v>80</v>
      </c>
      <c r="F8" s="16">
        <f t="shared" si="0"/>
        <v>0.6</v>
      </c>
      <c r="G8" s="16">
        <f t="shared" si="1"/>
        <v>0.19999999999999996</v>
      </c>
      <c r="H8" s="1" t="str">
        <f t="shared" si="2"/>
        <v>D</v>
      </c>
      <c r="I8" s="17" t="str">
        <f>IF(Elect2002!H8=H8,"N","Y")</f>
        <v>N</v>
      </c>
      <c r="J8" s="44">
        <v>25</v>
      </c>
      <c r="K8" s="44">
        <v>15</v>
      </c>
      <c r="L8" s="45">
        <v>40</v>
      </c>
      <c r="M8" s="16">
        <f t="shared" si="3"/>
        <v>0.625</v>
      </c>
      <c r="N8" s="16">
        <f t="shared" si="4"/>
        <v>0.25</v>
      </c>
      <c r="O8" s="1" t="str">
        <f t="shared" si="5"/>
        <v>D</v>
      </c>
      <c r="P8" s="17" t="str">
        <f>IF(Elect2002!O8=O8,"N","Y")</f>
        <v>N</v>
      </c>
      <c r="Q8" s="1">
        <f t="shared" si="6"/>
        <v>73</v>
      </c>
      <c r="R8" s="1">
        <f t="shared" si="6"/>
        <v>47</v>
      </c>
      <c r="S8" s="16">
        <f t="shared" si="7"/>
        <v>0.60833333333333328</v>
      </c>
      <c r="T8" s="16">
        <f t="shared" si="8"/>
        <v>0.21666666666666656</v>
      </c>
      <c r="U8" s="1" t="str">
        <f t="shared" si="9"/>
        <v>D</v>
      </c>
      <c r="V8" s="1" t="s">
        <v>19</v>
      </c>
      <c r="W8" s="1" t="str">
        <f t="shared" si="10"/>
        <v>D</v>
      </c>
      <c r="X8" s="1">
        <f>C8-Elect2002!C8</f>
        <v>0</v>
      </c>
      <c r="Y8" s="1">
        <f>J8-Elect2002!J8</f>
        <v>-1</v>
      </c>
      <c r="Z8" s="1">
        <f t="shared" si="11"/>
        <v>-1</v>
      </c>
    </row>
    <row r="9" spans="1:26">
      <c r="A9" s="12" t="s">
        <v>32</v>
      </c>
      <c r="B9" s="13" t="s">
        <v>28</v>
      </c>
      <c r="C9" s="46">
        <v>35</v>
      </c>
      <c r="D9" s="46">
        <v>30</v>
      </c>
      <c r="E9" s="47">
        <v>65</v>
      </c>
      <c r="F9" s="16">
        <f t="shared" si="0"/>
        <v>0.53846153846153844</v>
      </c>
      <c r="G9" s="16">
        <f t="shared" si="1"/>
        <v>7.6923076923076872E-2</v>
      </c>
      <c r="H9" s="1" t="str">
        <f t="shared" si="2"/>
        <v>D</v>
      </c>
      <c r="I9" s="17" t="str">
        <f>IF(Elect2002!H9=H9,"N","Y")</f>
        <v>Y</v>
      </c>
      <c r="J9" s="46">
        <v>18</v>
      </c>
      <c r="K9" s="46">
        <v>17</v>
      </c>
      <c r="L9" s="47">
        <v>35</v>
      </c>
      <c r="M9" s="16">
        <f t="shared" si="3"/>
        <v>0.51428571428571423</v>
      </c>
      <c r="N9" s="16">
        <f t="shared" si="4"/>
        <v>2.857142857142847E-2</v>
      </c>
      <c r="O9" s="1" t="str">
        <f t="shared" si="5"/>
        <v>D</v>
      </c>
      <c r="P9" s="17" t="str">
        <f>IF(Elect2002!O9=O9,"N","Y")</f>
        <v>Y</v>
      </c>
      <c r="Q9" s="1">
        <f t="shared" si="6"/>
        <v>53</v>
      </c>
      <c r="R9" s="1">
        <f t="shared" si="6"/>
        <v>47</v>
      </c>
      <c r="S9" s="16">
        <f t="shared" si="7"/>
        <v>0.53</v>
      </c>
      <c r="T9" s="16">
        <f t="shared" si="8"/>
        <v>6.0000000000000053E-2</v>
      </c>
      <c r="U9" s="1" t="str">
        <f t="shared" si="9"/>
        <v>D</v>
      </c>
      <c r="V9" s="1" t="s">
        <v>19</v>
      </c>
      <c r="W9" s="1" t="str">
        <f t="shared" si="10"/>
        <v>D</v>
      </c>
      <c r="X9" s="1">
        <f>C9-Elect2002!C9</f>
        <v>7</v>
      </c>
      <c r="Y9" s="1">
        <f>J9-Elect2002!J9</f>
        <v>1</v>
      </c>
      <c r="Z9" s="1">
        <f t="shared" si="11"/>
        <v>8</v>
      </c>
    </row>
    <row r="10" spans="1:26">
      <c r="A10" s="12" t="s">
        <v>33</v>
      </c>
      <c r="B10" s="13" t="s">
        <v>34</v>
      </c>
      <c r="C10" s="42">
        <v>99</v>
      </c>
      <c r="D10" s="42">
        <v>52</v>
      </c>
      <c r="E10" s="43">
        <v>151</v>
      </c>
      <c r="F10" s="16">
        <f t="shared" si="0"/>
        <v>0.6556291390728477</v>
      </c>
      <c r="G10" s="16">
        <f t="shared" si="1"/>
        <v>0.3112582781456954</v>
      </c>
      <c r="H10" s="1" t="str">
        <f t="shared" si="2"/>
        <v>D</v>
      </c>
      <c r="I10" s="17" t="str">
        <f>IF(Elect2002!H10=H10,"N","Y")</f>
        <v>N</v>
      </c>
      <c r="J10" s="42">
        <v>24</v>
      </c>
      <c r="K10" s="42">
        <v>12</v>
      </c>
      <c r="L10" s="43">
        <v>36</v>
      </c>
      <c r="M10" s="16">
        <f t="shared" si="3"/>
        <v>0.66666666666666663</v>
      </c>
      <c r="N10" s="16">
        <f t="shared" si="4"/>
        <v>0.33333333333333326</v>
      </c>
      <c r="O10" s="1" t="str">
        <f t="shared" si="5"/>
        <v>D</v>
      </c>
      <c r="P10" s="17" t="str">
        <f>IF(Elect2002!O10=O10,"N","Y")</f>
        <v>N</v>
      </c>
      <c r="Q10" s="1">
        <f t="shared" si="6"/>
        <v>123</v>
      </c>
      <c r="R10" s="1">
        <f t="shared" si="6"/>
        <v>64</v>
      </c>
      <c r="S10" s="16">
        <f t="shared" si="7"/>
        <v>0.65775401069518713</v>
      </c>
      <c r="T10" s="16">
        <f t="shared" si="8"/>
        <v>0.31550802139037426</v>
      </c>
      <c r="U10" s="1" t="str">
        <f t="shared" si="9"/>
        <v>D</v>
      </c>
      <c r="V10" s="1" t="s">
        <v>19</v>
      </c>
      <c r="W10" s="1" t="str">
        <f t="shared" si="10"/>
        <v>D</v>
      </c>
      <c r="X10" s="1">
        <f>C10-Elect2002!C10</f>
        <v>5</v>
      </c>
      <c r="Y10" s="1">
        <f>J10-Elect2002!J10</f>
        <v>3</v>
      </c>
      <c r="Z10" s="1">
        <f t="shared" si="11"/>
        <v>8</v>
      </c>
    </row>
    <row r="11" spans="1:26">
      <c r="A11" s="12" t="s">
        <v>35</v>
      </c>
      <c r="B11" s="13" t="s">
        <v>34</v>
      </c>
      <c r="C11" s="42">
        <v>15</v>
      </c>
      <c r="D11" s="42">
        <v>26</v>
      </c>
      <c r="E11" s="43">
        <v>41</v>
      </c>
      <c r="F11" s="16">
        <f t="shared" si="0"/>
        <v>0.36585365853658536</v>
      </c>
      <c r="G11" s="16">
        <f t="shared" si="1"/>
        <v>0.26829268292682928</v>
      </c>
      <c r="H11" s="1" t="str">
        <f t="shared" si="2"/>
        <v>R</v>
      </c>
      <c r="I11" s="17" t="str">
        <f>IF(Elect2002!H11=H11,"N","Y")</f>
        <v>N</v>
      </c>
      <c r="J11" s="42">
        <v>13</v>
      </c>
      <c r="K11" s="42">
        <v>8</v>
      </c>
      <c r="L11" s="43">
        <v>21</v>
      </c>
      <c r="M11" s="16">
        <f t="shared" si="3"/>
        <v>0.61904761904761907</v>
      </c>
      <c r="N11" s="16">
        <f t="shared" si="4"/>
        <v>0.23809523809523814</v>
      </c>
      <c r="O11" s="1" t="str">
        <f t="shared" si="5"/>
        <v>D</v>
      </c>
      <c r="P11" s="17" t="str">
        <f>IF(Elect2002!O11=O11,"N","Y")</f>
        <v>N</v>
      </c>
      <c r="Q11" s="1">
        <f t="shared" si="6"/>
        <v>28</v>
      </c>
      <c r="R11" s="1">
        <f t="shared" si="6"/>
        <v>34</v>
      </c>
      <c r="S11" s="16">
        <f t="shared" si="7"/>
        <v>0.45161290322580644</v>
      </c>
      <c r="T11" s="16">
        <f t="shared" si="8"/>
        <v>9.6774193548387066E-2</v>
      </c>
      <c r="U11" s="1" t="str">
        <f t="shared" si="9"/>
        <v>S</v>
      </c>
      <c r="V11" s="1" t="s">
        <v>18</v>
      </c>
      <c r="W11" s="1" t="str">
        <f t="shared" si="10"/>
        <v>D</v>
      </c>
      <c r="X11" s="1">
        <f>C11-Elect2002!C11</f>
        <v>3</v>
      </c>
      <c r="Y11" s="1">
        <f>J11-Elect2002!J11</f>
        <v>0</v>
      </c>
      <c r="Z11" s="1">
        <f t="shared" si="11"/>
        <v>3</v>
      </c>
    </row>
    <row r="12" spans="1:26">
      <c r="A12" s="12" t="s">
        <v>36</v>
      </c>
      <c r="B12" s="13" t="s">
        <v>26</v>
      </c>
      <c r="C12" s="42">
        <v>36</v>
      </c>
      <c r="D12" s="42">
        <v>84</v>
      </c>
      <c r="E12" s="43">
        <v>120</v>
      </c>
      <c r="F12" s="16">
        <f t="shared" si="0"/>
        <v>0.3</v>
      </c>
      <c r="G12" s="16">
        <f t="shared" si="1"/>
        <v>0.39999999999999997</v>
      </c>
      <c r="H12" s="1" t="str">
        <f t="shared" si="2"/>
        <v>R</v>
      </c>
      <c r="I12" s="17" t="str">
        <f>IF(Elect2002!H12=H12,"N","Y")</f>
        <v>N</v>
      </c>
      <c r="J12" s="42">
        <v>14</v>
      </c>
      <c r="K12" s="42">
        <v>26</v>
      </c>
      <c r="L12" s="43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IF(Elect2002!O12=O12,"N","Y")</f>
        <v>N</v>
      </c>
      <c r="Q12" s="1">
        <f t="shared" si="6"/>
        <v>50</v>
      </c>
      <c r="R12" s="1">
        <f t="shared" si="6"/>
        <v>110</v>
      </c>
      <c r="S12" s="16">
        <f t="shared" si="7"/>
        <v>0.3125</v>
      </c>
      <c r="T12" s="16">
        <f t="shared" si="8"/>
        <v>0.375</v>
      </c>
      <c r="U12" s="1" t="str">
        <f t="shared" si="9"/>
        <v>R</v>
      </c>
      <c r="V12" s="1" t="s">
        <v>19</v>
      </c>
      <c r="W12" s="1" t="str">
        <f t="shared" si="10"/>
        <v>U</v>
      </c>
      <c r="X12" s="1">
        <f>C12-Elect2002!C12</f>
        <v>-3</v>
      </c>
      <c r="Y12" s="1">
        <f>J12-Elect2002!J12</f>
        <v>0</v>
      </c>
      <c r="Z12" s="1">
        <f t="shared" si="11"/>
        <v>-3</v>
      </c>
    </row>
    <row r="13" spans="1:26">
      <c r="A13" s="12" t="s">
        <v>37</v>
      </c>
      <c r="B13" s="13" t="s">
        <v>26</v>
      </c>
      <c r="C13" s="44">
        <v>81</v>
      </c>
      <c r="D13" s="44">
        <v>99</v>
      </c>
      <c r="E13" s="45">
        <v>180</v>
      </c>
      <c r="F13" s="16">
        <f t="shared" si="0"/>
        <v>0.45</v>
      </c>
      <c r="G13" s="16">
        <f t="shared" si="1"/>
        <v>0.10000000000000003</v>
      </c>
      <c r="H13" s="1" t="str">
        <f t="shared" si="2"/>
        <v>R</v>
      </c>
      <c r="I13" s="17" t="str">
        <f>IF(Elect2002!H13=H13,"N","Y")</f>
        <v>Y</v>
      </c>
      <c r="J13" s="44">
        <v>23</v>
      </c>
      <c r="K13" s="44">
        <v>33</v>
      </c>
      <c r="L13" s="45">
        <v>56</v>
      </c>
      <c r="M13" s="16">
        <f t="shared" si="3"/>
        <v>0.4107142857142857</v>
      </c>
      <c r="N13" s="16">
        <f t="shared" si="4"/>
        <v>0.1785714285714286</v>
      </c>
      <c r="O13" s="1" t="str">
        <f t="shared" si="5"/>
        <v>R</v>
      </c>
      <c r="P13" s="17" t="str">
        <f>IF(Elect2002!O13=O13,"N","Y")</f>
        <v>N</v>
      </c>
      <c r="Q13" s="1">
        <f t="shared" si="6"/>
        <v>104</v>
      </c>
      <c r="R13" s="1">
        <f t="shared" si="6"/>
        <v>132</v>
      </c>
      <c r="S13" s="16">
        <f t="shared" si="7"/>
        <v>0.44067796610169491</v>
      </c>
      <c r="T13" s="16">
        <f t="shared" si="8"/>
        <v>0.11864406779661024</v>
      </c>
      <c r="U13" s="1" t="str">
        <f t="shared" si="9"/>
        <v>R</v>
      </c>
      <c r="V13" s="1" t="s">
        <v>19</v>
      </c>
      <c r="W13" s="1" t="str">
        <f t="shared" si="10"/>
        <v>U</v>
      </c>
      <c r="X13" s="1">
        <f>C13-Elect2002!C13</f>
        <v>-25</v>
      </c>
      <c r="Y13" s="1">
        <f>J13-Elect2002!J13</f>
        <v>-4</v>
      </c>
      <c r="Z13" s="1">
        <f t="shared" si="11"/>
        <v>-29</v>
      </c>
    </row>
    <row r="14" spans="1:26">
      <c r="A14" s="12" t="s">
        <v>38</v>
      </c>
      <c r="B14" s="13" t="s">
        <v>28</v>
      </c>
      <c r="C14" s="46">
        <v>41</v>
      </c>
      <c r="D14" s="46">
        <v>10</v>
      </c>
      <c r="E14" s="47">
        <v>51</v>
      </c>
      <c r="F14" s="16">
        <f t="shared" si="0"/>
        <v>0.80392156862745101</v>
      </c>
      <c r="G14" s="16">
        <f t="shared" si="1"/>
        <v>0.60784313725490202</v>
      </c>
      <c r="H14" s="1" t="str">
        <f t="shared" si="2"/>
        <v>D</v>
      </c>
      <c r="I14" s="17" t="str">
        <f>IF(Elect2002!H14=H14,"N","Y")</f>
        <v>N</v>
      </c>
      <c r="J14" s="46">
        <v>20</v>
      </c>
      <c r="K14" s="46">
        <v>5</v>
      </c>
      <c r="L14" s="47">
        <v>25</v>
      </c>
      <c r="M14" s="16">
        <f t="shared" si="3"/>
        <v>0.8</v>
      </c>
      <c r="N14" s="16">
        <f t="shared" si="4"/>
        <v>0.60000000000000009</v>
      </c>
      <c r="O14" s="1" t="str">
        <f t="shared" si="5"/>
        <v>D</v>
      </c>
      <c r="P14" s="17" t="str">
        <f>IF(Elect2002!O14=O14,"N","Y")</f>
        <v>N</v>
      </c>
      <c r="Q14" s="1">
        <f t="shared" si="6"/>
        <v>61</v>
      </c>
      <c r="R14" s="1">
        <f t="shared" si="6"/>
        <v>15</v>
      </c>
      <c r="S14" s="16">
        <f t="shared" si="7"/>
        <v>0.80263157894736847</v>
      </c>
      <c r="T14" s="16">
        <f t="shared" si="8"/>
        <v>0.60526315789473695</v>
      </c>
      <c r="U14" s="1" t="str">
        <f t="shared" si="9"/>
        <v>D</v>
      </c>
      <c r="V14" s="1" t="s">
        <v>19</v>
      </c>
      <c r="W14" s="1" t="str">
        <f t="shared" si="10"/>
        <v>D</v>
      </c>
      <c r="X14" s="1">
        <f>C14-Elect2002!C14</f>
        <v>5</v>
      </c>
      <c r="Y14" s="1">
        <f>J14-Elect2002!J14</f>
        <v>0</v>
      </c>
      <c r="Z14" s="1">
        <f t="shared" si="11"/>
        <v>5</v>
      </c>
    </row>
    <row r="15" spans="1:26">
      <c r="A15" s="12" t="s">
        <v>39</v>
      </c>
      <c r="B15" s="13" t="s">
        <v>28</v>
      </c>
      <c r="C15" s="42">
        <v>13</v>
      </c>
      <c r="D15" s="42">
        <v>57</v>
      </c>
      <c r="E15" s="43">
        <v>70</v>
      </c>
      <c r="F15" s="16">
        <f t="shared" si="0"/>
        <v>0.18571428571428572</v>
      </c>
      <c r="G15" s="16">
        <f t="shared" si="1"/>
        <v>0.62857142857142856</v>
      </c>
      <c r="H15" s="1" t="str">
        <f t="shared" si="2"/>
        <v>R</v>
      </c>
      <c r="I15" s="17" t="str">
        <f>IF(Elect2002!H15=H15,"N","Y")</f>
        <v>N</v>
      </c>
      <c r="J15" s="42">
        <v>7</v>
      </c>
      <c r="K15" s="42">
        <v>28</v>
      </c>
      <c r="L15" s="43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IF(Elect2002!O15=O15,"N","Y")</f>
        <v>N</v>
      </c>
      <c r="Q15" s="1">
        <f t="shared" si="6"/>
        <v>20</v>
      </c>
      <c r="R15" s="1">
        <f t="shared" si="6"/>
        <v>85</v>
      </c>
      <c r="S15" s="16">
        <f t="shared" si="7"/>
        <v>0.19047619047619047</v>
      </c>
      <c r="T15" s="16">
        <f t="shared" si="8"/>
        <v>0.61904761904761907</v>
      </c>
      <c r="U15" s="1" t="str">
        <f t="shared" si="9"/>
        <v>R</v>
      </c>
      <c r="V15" s="1" t="s">
        <v>19</v>
      </c>
      <c r="W15" s="1" t="str">
        <f t="shared" si="10"/>
        <v>U</v>
      </c>
      <c r="X15" s="1">
        <f>C15-Elect2002!C15</f>
        <v>-3</v>
      </c>
      <c r="Y15" s="1">
        <f>J15-Elect2002!J15</f>
        <v>0</v>
      </c>
      <c r="Z15" s="1">
        <f t="shared" si="11"/>
        <v>-3</v>
      </c>
    </row>
    <row r="16" spans="1:26">
      <c r="A16" s="12" t="s">
        <v>40</v>
      </c>
      <c r="B16" s="13" t="s">
        <v>41</v>
      </c>
      <c r="C16" s="42">
        <v>65</v>
      </c>
      <c r="D16" s="42">
        <v>53</v>
      </c>
      <c r="E16" s="43">
        <v>118</v>
      </c>
      <c r="F16" s="16">
        <f t="shared" si="0"/>
        <v>0.55084745762711862</v>
      </c>
      <c r="G16" s="16">
        <f t="shared" si="1"/>
        <v>0.10169491525423724</v>
      </c>
      <c r="H16" s="1" t="str">
        <f t="shared" si="2"/>
        <v>D</v>
      </c>
      <c r="I16" s="17" t="str">
        <f>IF(Elect2002!H16=H16,"N","Y")</f>
        <v>N</v>
      </c>
      <c r="J16" s="42">
        <v>31</v>
      </c>
      <c r="K16" s="42">
        <v>27</v>
      </c>
      <c r="L16" s="43">
        <v>59</v>
      </c>
      <c r="M16" s="16">
        <f t="shared" si="3"/>
        <v>0.52542372881355937</v>
      </c>
      <c r="N16" s="16">
        <f t="shared" si="4"/>
        <v>5.0847457627118731E-2</v>
      </c>
      <c r="O16" s="1" t="str">
        <f t="shared" si="5"/>
        <v>D</v>
      </c>
      <c r="P16" s="17" t="str">
        <f>IF(Elect2002!O16=O16,"N","Y")</f>
        <v>N</v>
      </c>
      <c r="Q16" s="1">
        <f t="shared" si="6"/>
        <v>96</v>
      </c>
      <c r="R16" s="1">
        <f t="shared" si="6"/>
        <v>80</v>
      </c>
      <c r="S16" s="16">
        <f t="shared" si="7"/>
        <v>0.5423728813559322</v>
      </c>
      <c r="T16" s="16">
        <f t="shared" si="8"/>
        <v>8.4745762711864403E-2</v>
      </c>
      <c r="U16" s="1" t="str">
        <f t="shared" si="9"/>
        <v>D</v>
      </c>
      <c r="V16" s="1" t="s">
        <v>18</v>
      </c>
      <c r="W16" s="1" t="str">
        <f t="shared" si="10"/>
        <v>U</v>
      </c>
      <c r="X16" s="1">
        <f>C16-Elect2002!C16</f>
        <v>-1</v>
      </c>
      <c r="Y16" s="1">
        <f>J16-Elect2002!J16</f>
        <v>-1</v>
      </c>
      <c r="Z16" s="1">
        <f t="shared" si="11"/>
        <v>-2</v>
      </c>
    </row>
    <row r="17" spans="1:26">
      <c r="A17" s="12" t="s">
        <v>42</v>
      </c>
      <c r="B17" s="13" t="s">
        <v>41</v>
      </c>
      <c r="C17" s="42">
        <v>48</v>
      </c>
      <c r="D17" s="42">
        <v>52</v>
      </c>
      <c r="E17" s="43">
        <v>100</v>
      </c>
      <c r="F17" s="16">
        <f t="shared" si="0"/>
        <v>0.48</v>
      </c>
      <c r="G17" s="16">
        <f t="shared" si="1"/>
        <v>4.0000000000000036E-2</v>
      </c>
      <c r="H17" s="1" t="str">
        <f t="shared" si="2"/>
        <v>R</v>
      </c>
      <c r="I17" s="17" t="str">
        <f>IF(Elect2002!H17=H17,"N","Y")</f>
        <v>Y</v>
      </c>
      <c r="J17" s="42">
        <v>17</v>
      </c>
      <c r="K17" s="42">
        <v>33</v>
      </c>
      <c r="L17" s="43">
        <v>50</v>
      </c>
      <c r="M17" s="16">
        <f t="shared" si="3"/>
        <v>0.34</v>
      </c>
      <c r="N17" s="16">
        <f t="shared" si="4"/>
        <v>0.3199999999999999</v>
      </c>
      <c r="O17" s="1" t="str">
        <f t="shared" si="5"/>
        <v>R</v>
      </c>
      <c r="P17" s="17" t="str">
        <f>IF(Elect2002!O17=O17,"N","Y")</f>
        <v>N</v>
      </c>
      <c r="Q17" s="1">
        <f t="shared" si="6"/>
        <v>65</v>
      </c>
      <c r="R17" s="1">
        <f t="shared" si="6"/>
        <v>85</v>
      </c>
      <c r="S17" s="16">
        <f t="shared" si="7"/>
        <v>0.43333333333333335</v>
      </c>
      <c r="T17" s="16">
        <f t="shared" si="8"/>
        <v>0.1333333333333333</v>
      </c>
      <c r="U17" s="1" t="str">
        <f t="shared" si="9"/>
        <v>R</v>
      </c>
      <c r="V17" s="1" t="s">
        <v>19</v>
      </c>
      <c r="W17" s="1" t="str">
        <f t="shared" si="10"/>
        <v>U</v>
      </c>
      <c r="X17" s="1">
        <f>C17-Elect2002!C17</f>
        <v>-3</v>
      </c>
      <c r="Y17" s="1">
        <f>J17-Elect2002!J17</f>
        <v>-1</v>
      </c>
      <c r="Z17" s="1">
        <f t="shared" si="11"/>
        <v>-4</v>
      </c>
    </row>
    <row r="18" spans="1:26">
      <c r="A18" s="12" t="s">
        <v>43</v>
      </c>
      <c r="B18" s="13" t="s">
        <v>41</v>
      </c>
      <c r="C18" s="44">
        <v>49</v>
      </c>
      <c r="D18" s="44">
        <v>51</v>
      </c>
      <c r="E18" s="45">
        <v>100</v>
      </c>
      <c r="F18" s="16">
        <f t="shared" si="0"/>
        <v>0.49</v>
      </c>
      <c r="G18" s="16">
        <f t="shared" si="1"/>
        <v>2.0000000000000018E-2</v>
      </c>
      <c r="H18" s="1" t="str">
        <f t="shared" si="2"/>
        <v>R</v>
      </c>
      <c r="I18" s="17" t="str">
        <f>IF(Elect2002!H18=H18,"N","Y")</f>
        <v>N</v>
      </c>
      <c r="J18" s="44">
        <v>25</v>
      </c>
      <c r="K18" s="44">
        <v>25</v>
      </c>
      <c r="L18" s="45">
        <v>50</v>
      </c>
      <c r="M18" s="16">
        <f t="shared" si="3"/>
        <v>0.5</v>
      </c>
      <c r="N18" s="16">
        <f t="shared" si="4"/>
        <v>0</v>
      </c>
      <c r="O18" s="1" t="str">
        <f t="shared" si="5"/>
        <v>T</v>
      </c>
      <c r="P18" s="17" t="str">
        <f>IF(Elect2002!O18=O18,"N","Y")</f>
        <v>Y</v>
      </c>
      <c r="Q18" s="1">
        <f t="shared" si="6"/>
        <v>74</v>
      </c>
      <c r="R18" s="1">
        <f t="shared" si="6"/>
        <v>76</v>
      </c>
      <c r="S18" s="16">
        <f t="shared" si="7"/>
        <v>0.49333333333333335</v>
      </c>
      <c r="T18" s="16">
        <f t="shared" si="8"/>
        <v>1.3333333333333253E-2</v>
      </c>
      <c r="U18" s="1" t="str">
        <f t="shared" si="9"/>
        <v>S</v>
      </c>
      <c r="V18" s="1" t="s">
        <v>18</v>
      </c>
      <c r="W18" s="1" t="str">
        <f t="shared" si="10"/>
        <v>D</v>
      </c>
      <c r="X18" s="1">
        <f>C18-Elect2002!C18</f>
        <v>3</v>
      </c>
      <c r="Y18" s="1">
        <f>J18-Elect2002!J18</f>
        <v>4</v>
      </c>
      <c r="Z18" s="1">
        <f t="shared" si="11"/>
        <v>7</v>
      </c>
    </row>
    <row r="19" spans="1:26">
      <c r="A19" s="12" t="s">
        <v>44</v>
      </c>
      <c r="B19" s="13" t="s">
        <v>41</v>
      </c>
      <c r="C19" s="46">
        <v>42</v>
      </c>
      <c r="D19" s="46">
        <v>83</v>
      </c>
      <c r="E19" s="47">
        <v>125</v>
      </c>
      <c r="F19" s="16">
        <f t="shared" si="0"/>
        <v>0.33600000000000002</v>
      </c>
      <c r="G19" s="16">
        <f t="shared" si="1"/>
        <v>0.3279999999999999</v>
      </c>
      <c r="H19" s="1" t="str">
        <f t="shared" si="2"/>
        <v>R</v>
      </c>
      <c r="I19" s="17" t="str">
        <f>IF(Elect2002!H19=H19,"N","Y")</f>
        <v>N</v>
      </c>
      <c r="J19" s="46">
        <v>10</v>
      </c>
      <c r="K19" s="46">
        <v>30</v>
      </c>
      <c r="L19" s="47">
        <v>40</v>
      </c>
      <c r="M19" s="16">
        <f t="shared" si="3"/>
        <v>0.25</v>
      </c>
      <c r="N19" s="16">
        <f t="shared" si="4"/>
        <v>0.5</v>
      </c>
      <c r="O19" s="1" t="str">
        <f t="shared" si="5"/>
        <v>R</v>
      </c>
      <c r="P19" s="17" t="str">
        <f>IF(Elect2002!O19=O19,"N","Y")</f>
        <v>N</v>
      </c>
      <c r="Q19" s="1">
        <f t="shared" si="6"/>
        <v>52</v>
      </c>
      <c r="R19" s="1">
        <f t="shared" si="6"/>
        <v>113</v>
      </c>
      <c r="S19" s="16">
        <f t="shared" si="7"/>
        <v>0.31515151515151513</v>
      </c>
      <c r="T19" s="16">
        <f t="shared" si="8"/>
        <v>0.36969696969696969</v>
      </c>
      <c r="U19" s="1" t="str">
        <f t="shared" si="9"/>
        <v>R</v>
      </c>
      <c r="V19" s="1" t="s">
        <v>18</v>
      </c>
      <c r="W19" s="1" t="str">
        <f t="shared" si="10"/>
        <v>D</v>
      </c>
      <c r="X19" s="1">
        <f>C19-Elect2002!C19</f>
        <v>-3</v>
      </c>
      <c r="Y19" s="1">
        <f>J19-Elect2002!J19</f>
        <v>0</v>
      </c>
      <c r="Z19" s="1">
        <f t="shared" si="11"/>
        <v>-3</v>
      </c>
    </row>
    <row r="20" spans="1:26">
      <c r="A20" s="12" t="s">
        <v>45</v>
      </c>
      <c r="B20" s="13" t="s">
        <v>26</v>
      </c>
      <c r="C20" s="42">
        <v>57</v>
      </c>
      <c r="D20" s="42">
        <v>43</v>
      </c>
      <c r="E20" s="43">
        <v>100</v>
      </c>
      <c r="F20" s="16">
        <f t="shared" si="0"/>
        <v>0.56999999999999995</v>
      </c>
      <c r="G20" s="16">
        <f t="shared" si="1"/>
        <v>0.1399999999999999</v>
      </c>
      <c r="H20" s="1" t="str">
        <f t="shared" si="2"/>
        <v>D</v>
      </c>
      <c r="I20" s="17" t="str">
        <f>IF(Elect2002!H20=H20,"N","Y")</f>
        <v>N</v>
      </c>
      <c r="J20" s="42">
        <v>15</v>
      </c>
      <c r="K20" s="42">
        <v>23</v>
      </c>
      <c r="L20" s="43">
        <v>38</v>
      </c>
      <c r="M20" s="16">
        <f t="shared" si="3"/>
        <v>0.39473684210526316</v>
      </c>
      <c r="N20" s="16">
        <f t="shared" si="4"/>
        <v>0.21052631578947367</v>
      </c>
      <c r="O20" s="1" t="str">
        <f t="shared" si="5"/>
        <v>R</v>
      </c>
      <c r="P20" s="17" t="str">
        <f>IF(Elect2002!O20=O20,"N","Y")</f>
        <v>N</v>
      </c>
      <c r="Q20" s="1">
        <f t="shared" si="6"/>
        <v>72</v>
      </c>
      <c r="R20" s="1">
        <f t="shared" si="6"/>
        <v>66</v>
      </c>
      <c r="S20" s="16">
        <f t="shared" si="7"/>
        <v>0.52173913043478259</v>
      </c>
      <c r="T20" s="16">
        <f t="shared" si="8"/>
        <v>4.3478260869565188E-2</v>
      </c>
      <c r="U20" s="1" t="str">
        <f t="shared" si="9"/>
        <v>S</v>
      </c>
      <c r="V20" s="1" t="s">
        <v>19</v>
      </c>
      <c r="W20" s="1" t="str">
        <f t="shared" si="10"/>
        <v>D</v>
      </c>
      <c r="X20" s="1">
        <f>C20-Elect2002!C20</f>
        <v>-8</v>
      </c>
      <c r="Y20" s="1">
        <f>J20-Elect2002!J20</f>
        <v>-2</v>
      </c>
      <c r="Z20" s="1">
        <f t="shared" si="11"/>
        <v>-10</v>
      </c>
    </row>
    <row r="21" spans="1:26">
      <c r="A21" s="12" t="s">
        <v>46</v>
      </c>
      <c r="B21" s="13" t="s">
        <v>26</v>
      </c>
      <c r="C21" s="42">
        <v>68</v>
      </c>
      <c r="D21" s="42">
        <v>36</v>
      </c>
      <c r="E21" s="43">
        <v>105</v>
      </c>
      <c r="F21" s="16">
        <f t="shared" si="0"/>
        <v>0.64761904761904765</v>
      </c>
      <c r="G21" s="16">
        <f t="shared" si="1"/>
        <v>0.2952380952380953</v>
      </c>
      <c r="H21" s="1" t="str">
        <f t="shared" si="2"/>
        <v>D</v>
      </c>
      <c r="I21" s="17" t="str">
        <f>IF(Elect2002!H21=H21,"N","Y")</f>
        <v>N</v>
      </c>
      <c r="J21" s="42">
        <v>26</v>
      </c>
      <c r="K21" s="42">
        <v>13</v>
      </c>
      <c r="L21" s="43">
        <v>39</v>
      </c>
      <c r="M21" s="16">
        <f t="shared" si="3"/>
        <v>0.66666666666666663</v>
      </c>
      <c r="N21" s="16">
        <f t="shared" si="4"/>
        <v>0.33333333333333326</v>
      </c>
      <c r="O21" s="1" t="str">
        <f t="shared" si="5"/>
        <v>D</v>
      </c>
      <c r="P21" s="17" t="str">
        <f>IF(Elect2002!O21=O21,"N","Y")</f>
        <v>N</v>
      </c>
      <c r="Q21" s="1">
        <f t="shared" si="6"/>
        <v>94</v>
      </c>
      <c r="R21" s="1">
        <f t="shared" si="6"/>
        <v>49</v>
      </c>
      <c r="S21" s="16">
        <f t="shared" si="7"/>
        <v>0.65277777777777779</v>
      </c>
      <c r="T21" s="16">
        <f t="shared" si="8"/>
        <v>0.30555555555555558</v>
      </c>
      <c r="U21" s="1" t="str">
        <f t="shared" si="9"/>
        <v>D</v>
      </c>
      <c r="V21" s="1" t="s">
        <v>18</v>
      </c>
      <c r="W21" s="1" t="str">
        <f t="shared" si="10"/>
        <v>U</v>
      </c>
      <c r="X21" s="1">
        <f>C21-Elect2002!C21</f>
        <v>-3</v>
      </c>
      <c r="Y21" s="1">
        <f>J21-Elect2002!J21</f>
        <v>0</v>
      </c>
      <c r="Z21" s="1">
        <f t="shared" si="11"/>
        <v>-3</v>
      </c>
    </row>
    <row r="22" spans="1:26">
      <c r="A22" s="12" t="s">
        <v>47</v>
      </c>
      <c r="B22" s="13" t="s">
        <v>34</v>
      </c>
      <c r="C22" s="42">
        <v>76</v>
      </c>
      <c r="D22" s="42">
        <v>73</v>
      </c>
      <c r="E22" s="43">
        <v>151</v>
      </c>
      <c r="F22" s="16">
        <f t="shared" si="0"/>
        <v>0.50331125827814571</v>
      </c>
      <c r="G22" s="16">
        <f t="shared" si="1"/>
        <v>6.6225165562914245E-3</v>
      </c>
      <c r="H22" s="1" t="str">
        <f t="shared" si="2"/>
        <v>D</v>
      </c>
      <c r="I22" s="17" t="str">
        <f>IF(Elect2002!H22=H22,"N","Y")</f>
        <v>N</v>
      </c>
      <c r="J22" s="42">
        <v>18</v>
      </c>
      <c r="K22" s="42">
        <v>17</v>
      </c>
      <c r="L22" s="43">
        <v>35</v>
      </c>
      <c r="M22" s="16">
        <f t="shared" si="3"/>
        <v>0.51428571428571423</v>
      </c>
      <c r="N22" s="16">
        <f t="shared" si="4"/>
        <v>2.857142857142847E-2</v>
      </c>
      <c r="O22" s="1" t="str">
        <f t="shared" si="5"/>
        <v>D</v>
      </c>
      <c r="P22" s="17" t="str">
        <f>IF(Elect2002!O22=O22,"N","Y")</f>
        <v>N</v>
      </c>
      <c r="Q22" s="1">
        <f t="shared" si="6"/>
        <v>94</v>
      </c>
      <c r="R22" s="1">
        <f t="shared" si="6"/>
        <v>90</v>
      </c>
      <c r="S22" s="16">
        <f t="shared" si="7"/>
        <v>0.5053763440860215</v>
      </c>
      <c r="T22" s="16">
        <f t="shared" si="8"/>
        <v>1.0752688172043001E-2</v>
      </c>
      <c r="U22" s="1" t="str">
        <f t="shared" si="9"/>
        <v>D</v>
      </c>
      <c r="V22" s="1" t="s">
        <v>18</v>
      </c>
      <c r="W22" s="1" t="str">
        <f t="shared" si="10"/>
        <v>U</v>
      </c>
      <c r="X22" s="1">
        <f>C22-Elect2002!C22</f>
        <v>-4</v>
      </c>
      <c r="Y22" s="1">
        <f>J22-Elect2002!J22</f>
        <v>0</v>
      </c>
      <c r="Z22" s="1">
        <f t="shared" si="11"/>
        <v>-4</v>
      </c>
    </row>
    <row r="23" spans="1:26">
      <c r="A23" s="12" t="s">
        <v>48</v>
      </c>
      <c r="B23" s="13" t="s">
        <v>26</v>
      </c>
      <c r="C23" s="44">
        <v>98</v>
      </c>
      <c r="D23" s="44">
        <v>43</v>
      </c>
      <c r="E23" s="45">
        <v>141</v>
      </c>
      <c r="F23" s="16">
        <f t="shared" si="0"/>
        <v>0.69503546099290781</v>
      </c>
      <c r="G23" s="16">
        <f t="shared" si="1"/>
        <v>0.39007092198581561</v>
      </c>
      <c r="H23" s="1" t="str">
        <f t="shared" si="2"/>
        <v>D</v>
      </c>
      <c r="I23" s="17" t="str">
        <f>IF(Elect2002!H23=H23,"N","Y")</f>
        <v>N</v>
      </c>
      <c r="J23" s="44">
        <v>33</v>
      </c>
      <c r="K23" s="44">
        <v>14</v>
      </c>
      <c r="L23" s="45">
        <v>47</v>
      </c>
      <c r="M23" s="16">
        <f t="shared" si="3"/>
        <v>0.7021276595744681</v>
      </c>
      <c r="N23" s="16">
        <f t="shared" si="4"/>
        <v>0.4042553191489362</v>
      </c>
      <c r="O23" s="1" t="str">
        <f t="shared" si="5"/>
        <v>D</v>
      </c>
      <c r="P23" s="17" t="str">
        <f>IF(Elect2002!O23=O23,"N","Y")</f>
        <v>N</v>
      </c>
      <c r="Q23" s="1">
        <f t="shared" si="6"/>
        <v>131</v>
      </c>
      <c r="R23" s="1">
        <f t="shared" si="6"/>
        <v>57</v>
      </c>
      <c r="S23" s="16">
        <f t="shared" si="7"/>
        <v>0.69680851063829785</v>
      </c>
      <c r="T23" s="16">
        <f t="shared" si="8"/>
        <v>0.3936170212765957</v>
      </c>
      <c r="U23" s="1" t="str">
        <f t="shared" si="9"/>
        <v>D</v>
      </c>
      <c r="V23" s="1" t="s">
        <v>19</v>
      </c>
      <c r="W23" s="1" t="str">
        <f t="shared" si="10"/>
        <v>D</v>
      </c>
      <c r="X23" s="1">
        <f>C23-Elect2002!C23</f>
        <v>0</v>
      </c>
      <c r="Y23" s="1">
        <f>J23-Elect2002!J23</f>
        <v>0</v>
      </c>
      <c r="Z23" s="1">
        <f t="shared" si="11"/>
        <v>0</v>
      </c>
    </row>
    <row r="24" spans="1:26">
      <c r="A24" s="12" t="s">
        <v>49</v>
      </c>
      <c r="B24" s="13" t="s">
        <v>34</v>
      </c>
      <c r="C24" s="46">
        <v>139</v>
      </c>
      <c r="D24" s="46">
        <v>20</v>
      </c>
      <c r="E24" s="47">
        <v>160</v>
      </c>
      <c r="F24" s="16">
        <f t="shared" si="0"/>
        <v>0.86875000000000002</v>
      </c>
      <c r="G24" s="16">
        <f t="shared" si="1"/>
        <v>0.73750000000000004</v>
      </c>
      <c r="H24" s="1" t="str">
        <f t="shared" si="2"/>
        <v>D</v>
      </c>
      <c r="I24" s="17" t="str">
        <f>IF(Elect2002!H24=H24,"N","Y")</f>
        <v>N</v>
      </c>
      <c r="J24" s="46">
        <v>34</v>
      </c>
      <c r="K24" s="46">
        <v>6</v>
      </c>
      <c r="L24" s="47">
        <v>40</v>
      </c>
      <c r="M24" s="16">
        <f t="shared" si="3"/>
        <v>0.85</v>
      </c>
      <c r="N24" s="16">
        <f t="shared" si="4"/>
        <v>0.7</v>
      </c>
      <c r="O24" s="1" t="str">
        <f t="shared" si="5"/>
        <v>D</v>
      </c>
      <c r="P24" s="17" t="str">
        <f>IF(Elect2002!O24=O24,"N","Y")</f>
        <v>N</v>
      </c>
      <c r="Q24" s="1">
        <f t="shared" si="6"/>
        <v>173</v>
      </c>
      <c r="R24" s="1">
        <f t="shared" si="6"/>
        <v>26</v>
      </c>
      <c r="S24" s="16">
        <f t="shared" si="7"/>
        <v>0.86499999999999999</v>
      </c>
      <c r="T24" s="16">
        <f t="shared" si="8"/>
        <v>0.73</v>
      </c>
      <c r="U24" s="1" t="str">
        <f t="shared" si="9"/>
        <v>D</v>
      </c>
      <c r="V24" s="1" t="s">
        <v>19</v>
      </c>
      <c r="W24" s="1" t="str">
        <f t="shared" si="10"/>
        <v>D</v>
      </c>
      <c r="X24" s="1">
        <f>C24-Elect2002!C24</f>
        <v>3</v>
      </c>
      <c r="Y24" s="1">
        <f>J24-Elect2002!J24</f>
        <v>0</v>
      </c>
      <c r="Z24" s="1">
        <f t="shared" si="11"/>
        <v>3</v>
      </c>
    </row>
    <row r="25" spans="1:26">
      <c r="A25" s="12" t="s">
        <v>50</v>
      </c>
      <c r="B25" s="13" t="s">
        <v>41</v>
      </c>
      <c r="C25" s="42">
        <v>52</v>
      </c>
      <c r="D25" s="42">
        <v>58</v>
      </c>
      <c r="E25" s="43">
        <v>110</v>
      </c>
      <c r="F25" s="16">
        <f t="shared" si="0"/>
        <v>0.47272727272727272</v>
      </c>
      <c r="G25" s="16">
        <f t="shared" si="1"/>
        <v>5.4545454545454619E-2</v>
      </c>
      <c r="H25" s="1" t="str">
        <f t="shared" si="2"/>
        <v>R</v>
      </c>
      <c r="I25" s="17" t="str">
        <f>IF(Elect2002!H25=H25,"N","Y")</f>
        <v>N</v>
      </c>
      <c r="J25" s="42">
        <v>16</v>
      </c>
      <c r="K25" s="42">
        <v>22</v>
      </c>
      <c r="L25" s="43">
        <v>38</v>
      </c>
      <c r="M25" s="16">
        <f t="shared" si="3"/>
        <v>0.42105263157894735</v>
      </c>
      <c r="N25" s="16">
        <f t="shared" si="4"/>
        <v>0.15789473684210531</v>
      </c>
      <c r="O25" s="1" t="str">
        <f t="shared" si="5"/>
        <v>R</v>
      </c>
      <c r="P25" s="17" t="str">
        <f>IF(Elect2002!O25=O25,"N","Y")</f>
        <v>N</v>
      </c>
      <c r="Q25" s="1">
        <f t="shared" si="6"/>
        <v>68</v>
      </c>
      <c r="R25" s="1">
        <f t="shared" si="6"/>
        <v>80</v>
      </c>
      <c r="S25" s="16">
        <f t="shared" si="7"/>
        <v>0.45945945945945948</v>
      </c>
      <c r="T25" s="16">
        <f t="shared" si="8"/>
        <v>8.1081081081081086E-2</v>
      </c>
      <c r="U25" s="1" t="str">
        <f t="shared" si="9"/>
        <v>R</v>
      </c>
      <c r="V25" s="1" t="s">
        <v>18</v>
      </c>
      <c r="W25" s="1" t="str">
        <f t="shared" si="10"/>
        <v>D</v>
      </c>
      <c r="X25" s="1">
        <f>C25-Elect2002!C25</f>
        <v>5</v>
      </c>
      <c r="Y25" s="1">
        <f>J25-Elect2002!J25</f>
        <v>0</v>
      </c>
      <c r="Z25" s="1">
        <f t="shared" si="11"/>
        <v>5</v>
      </c>
    </row>
    <row r="26" spans="1:26">
      <c r="A26" s="12" t="s">
        <v>51</v>
      </c>
      <c r="B26" s="13" t="s">
        <v>41</v>
      </c>
      <c r="C26" s="42">
        <v>66</v>
      </c>
      <c r="D26" s="42">
        <v>68</v>
      </c>
      <c r="E26" s="43">
        <v>134</v>
      </c>
      <c r="F26" s="16">
        <f t="shared" si="0"/>
        <v>0.4925373134328358</v>
      </c>
      <c r="G26" s="16">
        <f t="shared" si="1"/>
        <v>1.4925373134328401E-2</v>
      </c>
      <c r="H26" s="1" t="str">
        <f t="shared" si="2"/>
        <v>R</v>
      </c>
      <c r="I26" s="17" t="str">
        <f>IF(Elect2002!H26=H26,"N","Y")</f>
        <v>N</v>
      </c>
      <c r="J26" s="42">
        <v>35</v>
      </c>
      <c r="K26" s="42">
        <v>31</v>
      </c>
      <c r="L26" s="43">
        <v>67</v>
      </c>
      <c r="M26" s="16">
        <f t="shared" si="3"/>
        <v>0.52238805970149249</v>
      </c>
      <c r="N26" s="16">
        <f t="shared" si="4"/>
        <v>4.4776119402984982E-2</v>
      </c>
      <c r="O26" s="1" t="str">
        <f t="shared" si="5"/>
        <v>D</v>
      </c>
      <c r="P26" s="17" t="str">
        <f>IF(Elect2002!O26=O26,"N","Y")</f>
        <v>N</v>
      </c>
      <c r="Q26" s="1">
        <f t="shared" si="6"/>
        <v>101</v>
      </c>
      <c r="R26" s="1">
        <f t="shared" si="6"/>
        <v>99</v>
      </c>
      <c r="S26" s="16">
        <f t="shared" si="7"/>
        <v>0.50248756218905477</v>
      </c>
      <c r="T26" s="16">
        <f t="shared" si="8"/>
        <v>4.9751243781095411E-3</v>
      </c>
      <c r="U26" s="1" t="str">
        <f t="shared" si="9"/>
        <v>S</v>
      </c>
      <c r="V26" s="1" t="s">
        <v>19</v>
      </c>
      <c r="W26" s="1" t="str">
        <f t="shared" si="10"/>
        <v>D</v>
      </c>
      <c r="X26" s="1">
        <f>C26-Elect2002!C26</f>
        <v>14</v>
      </c>
      <c r="Y26" s="1">
        <f>J26-Elect2002!J26</f>
        <v>0</v>
      </c>
      <c r="Z26" s="1">
        <f t="shared" si="11"/>
        <v>14</v>
      </c>
    </row>
    <row r="27" spans="1:26">
      <c r="A27" s="12" t="s">
        <v>52</v>
      </c>
      <c r="B27" s="13" t="s">
        <v>26</v>
      </c>
      <c r="C27" s="42">
        <v>75</v>
      </c>
      <c r="D27" s="42">
        <v>47</v>
      </c>
      <c r="E27" s="43">
        <v>122</v>
      </c>
      <c r="F27" s="16">
        <f t="shared" si="0"/>
        <v>0.61475409836065575</v>
      </c>
      <c r="G27" s="16">
        <f t="shared" si="1"/>
        <v>0.22950819672131151</v>
      </c>
      <c r="H27" s="1" t="str">
        <f t="shared" si="2"/>
        <v>D</v>
      </c>
      <c r="I27" s="17" t="str">
        <f>IF(Elect2002!H27=H27,"N","Y")</f>
        <v>N</v>
      </c>
      <c r="J27" s="42">
        <v>28</v>
      </c>
      <c r="K27" s="42">
        <v>24</v>
      </c>
      <c r="L27" s="43">
        <v>52</v>
      </c>
      <c r="M27" s="16">
        <f t="shared" si="3"/>
        <v>0.53846153846153844</v>
      </c>
      <c r="N27" s="16">
        <f t="shared" si="4"/>
        <v>7.6923076923076872E-2</v>
      </c>
      <c r="O27" s="1" t="str">
        <f t="shared" si="5"/>
        <v>D</v>
      </c>
      <c r="P27" s="17" t="str">
        <f>IF(Elect2002!O27=O27,"N","Y")</f>
        <v>N</v>
      </c>
      <c r="Q27" s="1">
        <f t="shared" si="6"/>
        <v>103</v>
      </c>
      <c r="R27" s="1">
        <f t="shared" si="6"/>
        <v>71</v>
      </c>
      <c r="S27" s="16">
        <f t="shared" si="7"/>
        <v>0.59195402298850575</v>
      </c>
      <c r="T27" s="16">
        <f t="shared" si="8"/>
        <v>0.18390804597701149</v>
      </c>
      <c r="U27" s="1" t="str">
        <f t="shared" si="9"/>
        <v>D</v>
      </c>
      <c r="V27" s="1" t="s">
        <v>19</v>
      </c>
      <c r="W27" s="1" t="str">
        <f t="shared" si="10"/>
        <v>D</v>
      </c>
      <c r="X27" s="1">
        <f>C27-Elect2002!C27</f>
        <v>-11</v>
      </c>
      <c r="Y27" s="1">
        <f>J27-Elect2002!J27</f>
        <v>-5</v>
      </c>
      <c r="Z27" s="1">
        <f t="shared" si="11"/>
        <v>-16</v>
      </c>
    </row>
    <row r="28" spans="1:26">
      <c r="A28" s="12" t="s">
        <v>53</v>
      </c>
      <c r="B28" s="13" t="s">
        <v>41</v>
      </c>
      <c r="C28" s="44">
        <v>66</v>
      </c>
      <c r="D28" s="44">
        <v>97</v>
      </c>
      <c r="E28" s="45">
        <v>163</v>
      </c>
      <c r="F28" s="16">
        <f t="shared" si="0"/>
        <v>0.40490797546012269</v>
      </c>
      <c r="G28" s="16">
        <f t="shared" si="1"/>
        <v>0.19018404907975461</v>
      </c>
      <c r="H28" s="1" t="str">
        <f t="shared" si="2"/>
        <v>R</v>
      </c>
      <c r="I28" s="17" t="str">
        <f>IF(Elect2002!H28=H28,"N","Y")</f>
        <v>N</v>
      </c>
      <c r="J28" s="44">
        <v>11</v>
      </c>
      <c r="K28" s="44">
        <v>23</v>
      </c>
      <c r="L28" s="45">
        <v>34</v>
      </c>
      <c r="M28" s="16">
        <f t="shared" si="3"/>
        <v>0.3235294117647059</v>
      </c>
      <c r="N28" s="16">
        <f t="shared" si="4"/>
        <v>0.35294117647058826</v>
      </c>
      <c r="O28" s="1" t="str">
        <f t="shared" si="5"/>
        <v>R</v>
      </c>
      <c r="P28" s="17" t="str">
        <f>IF(Elect2002!O28=O28,"N","Y")</f>
        <v>N</v>
      </c>
      <c r="Q28" s="1">
        <f t="shared" si="6"/>
        <v>77</v>
      </c>
      <c r="R28" s="1">
        <f t="shared" si="6"/>
        <v>120</v>
      </c>
      <c r="S28" s="16">
        <f t="shared" si="7"/>
        <v>0.39086294416243655</v>
      </c>
      <c r="T28" s="16">
        <f t="shared" si="8"/>
        <v>0.21827411167512695</v>
      </c>
      <c r="U28" s="1" t="str">
        <f t="shared" si="9"/>
        <v>R</v>
      </c>
      <c r="V28" s="1" t="s">
        <v>19</v>
      </c>
      <c r="W28" s="1" t="str">
        <f t="shared" si="10"/>
        <v>U</v>
      </c>
      <c r="X28" s="1">
        <f>C28-Elect2002!C28</f>
        <v>-7</v>
      </c>
      <c r="Y28" s="1">
        <f>J28-Elect2002!J28</f>
        <v>-3</v>
      </c>
      <c r="Z28" s="1">
        <f t="shared" si="11"/>
        <v>-10</v>
      </c>
    </row>
    <row r="29" spans="1:26">
      <c r="A29" s="12" t="s">
        <v>54</v>
      </c>
      <c r="B29" s="13" t="s">
        <v>28</v>
      </c>
      <c r="C29" s="46">
        <v>50</v>
      </c>
      <c r="D29" s="46">
        <v>50</v>
      </c>
      <c r="E29" s="47">
        <v>100</v>
      </c>
      <c r="F29" s="16">
        <f t="shared" si="0"/>
        <v>0.5</v>
      </c>
      <c r="G29" s="16">
        <f t="shared" si="1"/>
        <v>0</v>
      </c>
      <c r="H29" s="1" t="str">
        <f t="shared" si="2"/>
        <v>T</v>
      </c>
      <c r="I29" s="17" t="str">
        <f>IF(Elect2002!H29=H29,"N","Y")</f>
        <v>Y</v>
      </c>
      <c r="J29" s="46">
        <v>27</v>
      </c>
      <c r="K29" s="46">
        <v>23</v>
      </c>
      <c r="L29" s="47">
        <v>50</v>
      </c>
      <c r="M29" s="16">
        <f t="shared" si="3"/>
        <v>0.54</v>
      </c>
      <c r="N29" s="16">
        <f t="shared" si="4"/>
        <v>8.0000000000000071E-2</v>
      </c>
      <c r="O29" s="1" t="str">
        <f t="shared" si="5"/>
        <v>D</v>
      </c>
      <c r="P29" s="17" t="str">
        <f>IF(Elect2002!O29=O29,"N","Y")</f>
        <v>Y</v>
      </c>
      <c r="Q29" s="1">
        <f t="shared" si="6"/>
        <v>77</v>
      </c>
      <c r="R29" s="1">
        <f t="shared" si="6"/>
        <v>73</v>
      </c>
      <c r="S29" s="16">
        <f t="shared" si="7"/>
        <v>0.51333333333333331</v>
      </c>
      <c r="T29" s="16">
        <f t="shared" si="8"/>
        <v>2.6666666666666616E-2</v>
      </c>
      <c r="U29" s="1" t="str">
        <f t="shared" si="9"/>
        <v>S</v>
      </c>
      <c r="V29" s="1" t="s">
        <v>18</v>
      </c>
      <c r="W29" s="1" t="str">
        <f t="shared" si="10"/>
        <v>D</v>
      </c>
      <c r="X29" s="1">
        <f>C29-Elect2002!C29</f>
        <v>3</v>
      </c>
      <c r="Y29" s="1">
        <f>J29-Elect2002!J29</f>
        <v>6</v>
      </c>
      <c r="Z29" s="1">
        <f t="shared" si="11"/>
        <v>9</v>
      </c>
    </row>
    <row r="30" spans="1:26">
      <c r="A30" s="12" t="s">
        <v>55</v>
      </c>
      <c r="B30" s="13" t="s">
        <v>41</v>
      </c>
      <c r="C30" s="48"/>
      <c r="D30" s="48"/>
      <c r="E30" s="49" t="s">
        <v>109</v>
      </c>
      <c r="F30" s="16"/>
      <c r="G30" s="16"/>
      <c r="I30" s="17"/>
      <c r="J30" s="42" t="s">
        <v>56</v>
      </c>
      <c r="K30" s="42"/>
      <c r="L30" s="43"/>
      <c r="M30" s="16"/>
      <c r="N30" s="16"/>
      <c r="P30" s="17" t="str">
        <f>IF(Elect2002!O30=O30,"N","Y")</f>
        <v>N</v>
      </c>
      <c r="S30" s="16"/>
      <c r="T30" s="16"/>
      <c r="V30" s="1" t="s">
        <v>19</v>
      </c>
    </row>
    <row r="31" spans="1:26">
      <c r="A31" s="12" t="s">
        <v>57</v>
      </c>
      <c r="B31" s="13" t="s">
        <v>28</v>
      </c>
      <c r="C31" s="42">
        <v>26</v>
      </c>
      <c r="D31" s="42">
        <v>16</v>
      </c>
      <c r="E31" s="43">
        <v>42</v>
      </c>
      <c r="F31" s="16">
        <f t="shared" ref="F31:F54" si="12">C31/E31</f>
        <v>0.61904761904761907</v>
      </c>
      <c r="G31" s="16">
        <f t="shared" ref="G31:G53" si="13">ABS(F31-(1-F31))</f>
        <v>0.23809523809523814</v>
      </c>
      <c r="H31" s="1" t="str">
        <f t="shared" ref="H31:H53" si="14">IF(F31&gt;0.5,"D",IF(F31=0.5,"T","R"))</f>
        <v>D</v>
      </c>
      <c r="I31" s="17" t="str">
        <f>IF(Elect2002!H31=H31,"N","Y")</f>
        <v>N</v>
      </c>
      <c r="J31" s="42">
        <v>9</v>
      </c>
      <c r="K31" s="42">
        <v>12</v>
      </c>
      <c r="L31" s="43">
        <v>21</v>
      </c>
      <c r="M31" s="16">
        <f t="shared" ref="M31:M54" si="15">J31/L31</f>
        <v>0.42857142857142855</v>
      </c>
      <c r="N31" s="16">
        <f t="shared" ref="N31:N53" si="16">ABS(M31-(1-M31))</f>
        <v>0.14285714285714285</v>
      </c>
      <c r="O31" s="1" t="str">
        <f t="shared" ref="O31:O53" si="17">IF(M31&gt;0.5,"D",IF(M31=0.5,"T","R"))</f>
        <v>R</v>
      </c>
      <c r="P31" s="17" t="str">
        <f>IF(Elect2002!O31=O31,"N","Y")</f>
        <v>N</v>
      </c>
      <c r="Q31" s="1">
        <f t="shared" ref="Q31:R53" si="18">C31+J31</f>
        <v>35</v>
      </c>
      <c r="R31" s="1">
        <f t="shared" si="18"/>
        <v>28</v>
      </c>
      <c r="S31" s="16">
        <f t="shared" ref="S31:S54" si="19">Q31/(E31+L31)</f>
        <v>0.55555555555555558</v>
      </c>
      <c r="T31" s="16">
        <f t="shared" ref="T31:T53" si="20">ABS(S31-(1-S31))</f>
        <v>0.11111111111111116</v>
      </c>
      <c r="U31" s="1" t="str">
        <f t="shared" ref="U31:U53" si="21">IF(H31=O31,O31,"S")</f>
        <v>S</v>
      </c>
      <c r="V31" s="1" t="s">
        <v>19</v>
      </c>
      <c r="W31" s="1" t="str">
        <f t="shared" ref="W31:W53" si="22">IF(V31=U31,"U","D")</f>
        <v>D</v>
      </c>
      <c r="X31" s="1">
        <f>C31-Elect2002!C31</f>
        <v>3</v>
      </c>
      <c r="Y31" s="1">
        <f>J31-Elect2002!J31</f>
        <v>0</v>
      </c>
      <c r="Z31" s="1">
        <f t="shared" si="11"/>
        <v>3</v>
      </c>
    </row>
    <row r="32" spans="1:26">
      <c r="A32" s="12" t="s">
        <v>58</v>
      </c>
      <c r="B32" s="13" t="s">
        <v>34</v>
      </c>
      <c r="C32" s="42">
        <v>147</v>
      </c>
      <c r="D32" s="42">
        <v>253</v>
      </c>
      <c r="E32" s="43">
        <v>400</v>
      </c>
      <c r="F32" s="16">
        <f t="shared" si="12"/>
        <v>0.36749999999999999</v>
      </c>
      <c r="G32" s="16">
        <f t="shared" si="13"/>
        <v>0.26500000000000007</v>
      </c>
      <c r="H32" s="1" t="str">
        <f t="shared" si="14"/>
        <v>R</v>
      </c>
      <c r="I32" s="17" t="str">
        <f>IF(Elect2002!H32=H32,"N","Y")</f>
        <v>N</v>
      </c>
      <c r="J32" s="42">
        <v>8</v>
      </c>
      <c r="K32" s="42">
        <v>16</v>
      </c>
      <c r="L32" s="43">
        <v>24</v>
      </c>
      <c r="M32" s="16">
        <f t="shared" si="15"/>
        <v>0.33333333333333331</v>
      </c>
      <c r="N32" s="16">
        <f t="shared" si="16"/>
        <v>0.33333333333333343</v>
      </c>
      <c r="O32" s="1" t="str">
        <f t="shared" si="17"/>
        <v>R</v>
      </c>
      <c r="P32" s="17" t="str">
        <f>IF(Elect2002!O32=O32,"N","Y")</f>
        <v>N</v>
      </c>
      <c r="Q32" s="1">
        <f t="shared" si="18"/>
        <v>155</v>
      </c>
      <c r="R32" s="1">
        <f t="shared" si="18"/>
        <v>269</v>
      </c>
      <c r="S32" s="16">
        <f t="shared" si="19"/>
        <v>0.36556603773584906</v>
      </c>
      <c r="T32" s="16">
        <f t="shared" si="20"/>
        <v>0.26886792452830188</v>
      </c>
      <c r="U32" s="1" t="str">
        <f t="shared" si="21"/>
        <v>R</v>
      </c>
      <c r="V32" s="1" t="s">
        <v>18</v>
      </c>
      <c r="W32" s="1" t="str">
        <f t="shared" si="22"/>
        <v>D</v>
      </c>
      <c r="X32" s="1">
        <f>C32-Elect2002!C32</f>
        <v>28</v>
      </c>
      <c r="Y32" s="1">
        <f>J32-Elect2002!J32</f>
        <v>2</v>
      </c>
      <c r="Z32" s="1">
        <f t="shared" si="11"/>
        <v>30</v>
      </c>
    </row>
    <row r="33" spans="1:26">
      <c r="A33" s="12" t="s">
        <v>59</v>
      </c>
      <c r="B33" s="13" t="s">
        <v>34</v>
      </c>
      <c r="C33" s="44">
        <v>49</v>
      </c>
      <c r="D33" s="44">
        <v>31</v>
      </c>
      <c r="E33" s="45">
        <v>80</v>
      </c>
      <c r="F33" s="16">
        <f t="shared" si="12"/>
        <v>0.61250000000000004</v>
      </c>
      <c r="G33" s="16">
        <f t="shared" si="13"/>
        <v>0.22500000000000009</v>
      </c>
      <c r="H33" s="1" t="str">
        <f t="shared" si="14"/>
        <v>D</v>
      </c>
      <c r="I33" s="17" t="str">
        <f>IF(Elect2002!H33=H33,"N","Y")</f>
        <v>N</v>
      </c>
      <c r="J33" s="44">
        <v>22</v>
      </c>
      <c r="K33" s="44">
        <v>18</v>
      </c>
      <c r="L33" s="45">
        <v>40</v>
      </c>
      <c r="M33" s="16">
        <f t="shared" si="15"/>
        <v>0.55000000000000004</v>
      </c>
      <c r="N33" s="16">
        <f t="shared" si="16"/>
        <v>0.10000000000000009</v>
      </c>
      <c r="O33" s="1" t="str">
        <f t="shared" si="17"/>
        <v>D</v>
      </c>
      <c r="P33" s="17" t="str">
        <f>IF(Elect2002!O33=O33,"N","Y")</f>
        <v>Y</v>
      </c>
      <c r="Q33" s="1">
        <f t="shared" si="18"/>
        <v>71</v>
      </c>
      <c r="R33" s="1">
        <f t="shared" si="18"/>
        <v>49</v>
      </c>
      <c r="S33" s="16">
        <f t="shared" si="19"/>
        <v>0.59166666666666667</v>
      </c>
      <c r="T33" s="16">
        <f t="shared" si="20"/>
        <v>0.18333333333333335</v>
      </c>
      <c r="U33" s="1" t="str">
        <f t="shared" si="21"/>
        <v>D</v>
      </c>
      <c r="V33" s="1" t="s">
        <v>18</v>
      </c>
      <c r="W33" s="1" t="str">
        <f t="shared" si="22"/>
        <v>U</v>
      </c>
      <c r="X33" s="1">
        <f>C33-Elect2002!C33</f>
        <v>5</v>
      </c>
      <c r="Y33" s="1">
        <f>J33-Elect2002!J33</f>
        <v>2</v>
      </c>
      <c r="Z33" s="1">
        <f t="shared" si="11"/>
        <v>7</v>
      </c>
    </row>
    <row r="34" spans="1:26">
      <c r="A34" s="12" t="s">
        <v>60</v>
      </c>
      <c r="B34" s="13" t="s">
        <v>28</v>
      </c>
      <c r="C34" s="46">
        <v>42</v>
      </c>
      <c r="D34" s="46">
        <v>28</v>
      </c>
      <c r="E34" s="47">
        <v>70</v>
      </c>
      <c r="F34" s="16">
        <f t="shared" si="12"/>
        <v>0.6</v>
      </c>
      <c r="G34" s="16">
        <f t="shared" si="13"/>
        <v>0.19999999999999996</v>
      </c>
      <c r="H34" s="1" t="str">
        <f t="shared" si="14"/>
        <v>D</v>
      </c>
      <c r="I34" s="17" t="str">
        <f>IF(Elect2002!H34=H34,"N","Y")</f>
        <v>N</v>
      </c>
      <c r="J34" s="46">
        <v>23</v>
      </c>
      <c r="K34" s="46">
        <v>19</v>
      </c>
      <c r="L34" s="47">
        <v>42</v>
      </c>
      <c r="M34" s="16">
        <f t="shared" si="15"/>
        <v>0.54761904761904767</v>
      </c>
      <c r="N34" s="16">
        <f t="shared" si="16"/>
        <v>9.5238095238095344E-2</v>
      </c>
      <c r="O34" s="1" t="str">
        <f t="shared" si="17"/>
        <v>D</v>
      </c>
      <c r="P34" s="17" t="str">
        <f>IF(Elect2002!O34=O34,"N","Y")</f>
        <v>N</v>
      </c>
      <c r="Q34" s="1">
        <f t="shared" si="18"/>
        <v>65</v>
      </c>
      <c r="R34" s="1">
        <f t="shared" si="18"/>
        <v>47</v>
      </c>
      <c r="S34" s="16">
        <f t="shared" si="19"/>
        <v>0.5803571428571429</v>
      </c>
      <c r="T34" s="16">
        <f t="shared" si="20"/>
        <v>0.16071428571428581</v>
      </c>
      <c r="U34" s="1" t="str">
        <f t="shared" si="21"/>
        <v>D</v>
      </c>
      <c r="V34" s="1" t="s">
        <v>18</v>
      </c>
      <c r="W34" s="1" t="str">
        <f t="shared" si="22"/>
        <v>U</v>
      </c>
      <c r="X34" s="1">
        <f>C34-Elect2002!C34</f>
        <v>0</v>
      </c>
      <c r="Y34" s="1">
        <f>J34-Elect2002!J34</f>
        <v>-1</v>
      </c>
      <c r="Z34" s="1">
        <f t="shared" si="11"/>
        <v>-1</v>
      </c>
    </row>
    <row r="35" spans="1:26">
      <c r="A35" s="12" t="s">
        <v>61</v>
      </c>
      <c r="B35" s="13" t="s">
        <v>34</v>
      </c>
      <c r="C35" s="42">
        <v>104</v>
      </c>
      <c r="D35" s="42">
        <v>46</v>
      </c>
      <c r="E35" s="43">
        <v>150</v>
      </c>
      <c r="F35" s="16">
        <f t="shared" si="12"/>
        <v>0.69333333333333336</v>
      </c>
      <c r="G35" s="16">
        <f t="shared" si="13"/>
        <v>0.38666666666666671</v>
      </c>
      <c r="H35" s="1" t="str">
        <f t="shared" si="14"/>
        <v>D</v>
      </c>
      <c r="I35" s="17" t="str">
        <f>IF(Elect2002!H35=H35,"N","Y")</f>
        <v>N</v>
      </c>
      <c r="J35" s="42">
        <v>27</v>
      </c>
      <c r="K35" s="42">
        <v>34</v>
      </c>
      <c r="L35" s="43">
        <v>62</v>
      </c>
      <c r="M35" s="16">
        <f t="shared" si="15"/>
        <v>0.43548387096774194</v>
      </c>
      <c r="N35" s="16">
        <f t="shared" si="16"/>
        <v>0.12903225806451607</v>
      </c>
      <c r="O35" s="1" t="str">
        <f t="shared" si="17"/>
        <v>R</v>
      </c>
      <c r="P35" s="17" t="str">
        <f>IF(Elect2002!O35=O35,"N","Y")</f>
        <v>N</v>
      </c>
      <c r="Q35" s="1">
        <f t="shared" si="18"/>
        <v>131</v>
      </c>
      <c r="R35" s="1">
        <f t="shared" si="18"/>
        <v>80</v>
      </c>
      <c r="S35" s="16">
        <f t="shared" si="19"/>
        <v>0.61792452830188682</v>
      </c>
      <c r="T35" s="16">
        <f t="shared" si="20"/>
        <v>0.23584905660377364</v>
      </c>
      <c r="U35" s="1" t="str">
        <f t="shared" si="21"/>
        <v>S</v>
      </c>
      <c r="V35" s="1" t="s">
        <v>19</v>
      </c>
      <c r="W35" s="1" t="str">
        <f t="shared" si="22"/>
        <v>D</v>
      </c>
      <c r="X35" s="1">
        <f>C35-Elect2002!C35</f>
        <v>1</v>
      </c>
      <c r="Y35" s="1">
        <f>J35-Elect2002!J35</f>
        <v>2</v>
      </c>
      <c r="Z35" s="1">
        <f t="shared" si="11"/>
        <v>3</v>
      </c>
    </row>
    <row r="36" spans="1:26">
      <c r="A36" s="12" t="s">
        <v>62</v>
      </c>
      <c r="B36" s="13" t="s">
        <v>26</v>
      </c>
      <c r="C36" s="42">
        <v>63</v>
      </c>
      <c r="D36" s="42">
        <v>57</v>
      </c>
      <c r="E36" s="43">
        <v>120</v>
      </c>
      <c r="F36" s="16">
        <f t="shared" si="12"/>
        <v>0.52500000000000002</v>
      </c>
      <c r="G36" s="16">
        <f t="shared" si="13"/>
        <v>5.0000000000000044E-2</v>
      </c>
      <c r="H36" s="1" t="str">
        <f t="shared" si="14"/>
        <v>D</v>
      </c>
      <c r="I36" s="17" t="str">
        <f>IF(Elect2002!H36=H36,"N","Y")</f>
        <v>Y</v>
      </c>
      <c r="J36" s="42">
        <v>29</v>
      </c>
      <c r="K36" s="42">
        <v>21</v>
      </c>
      <c r="L36" s="43">
        <v>50</v>
      </c>
      <c r="M36" s="16">
        <f t="shared" si="15"/>
        <v>0.57999999999999996</v>
      </c>
      <c r="N36" s="16">
        <f t="shared" si="16"/>
        <v>0.15999999999999992</v>
      </c>
      <c r="O36" s="1" t="str">
        <f t="shared" si="17"/>
        <v>D</v>
      </c>
      <c r="P36" s="17" t="str">
        <f>IF(Elect2002!O36=O36,"N","Y")</f>
        <v>N</v>
      </c>
      <c r="Q36" s="1">
        <f t="shared" si="18"/>
        <v>92</v>
      </c>
      <c r="R36" s="1">
        <f t="shared" si="18"/>
        <v>78</v>
      </c>
      <c r="S36" s="16">
        <f t="shared" si="19"/>
        <v>0.54117647058823526</v>
      </c>
      <c r="T36" s="16">
        <f t="shared" si="20"/>
        <v>8.2352941176470518E-2</v>
      </c>
      <c r="U36" s="1" t="str">
        <f t="shared" si="21"/>
        <v>D</v>
      </c>
      <c r="V36" s="1" t="s">
        <v>18</v>
      </c>
      <c r="W36" s="1" t="str">
        <f t="shared" si="22"/>
        <v>U</v>
      </c>
      <c r="X36" s="1">
        <f>C36-Elect2002!C36</f>
        <v>4</v>
      </c>
      <c r="Y36" s="1">
        <f>J36-Elect2002!J36</f>
        <v>1</v>
      </c>
      <c r="Z36" s="1">
        <f t="shared" si="11"/>
        <v>5</v>
      </c>
    </row>
    <row r="37" spans="1:26">
      <c r="A37" s="12" t="s">
        <v>63</v>
      </c>
      <c r="B37" s="13" t="s">
        <v>41</v>
      </c>
      <c r="C37" s="42">
        <v>26</v>
      </c>
      <c r="D37" s="42">
        <v>66</v>
      </c>
      <c r="E37" s="43">
        <v>94</v>
      </c>
      <c r="F37" s="16">
        <f t="shared" si="12"/>
        <v>0.27659574468085107</v>
      </c>
      <c r="G37" s="16">
        <f t="shared" si="13"/>
        <v>0.4468085106382978</v>
      </c>
      <c r="H37" s="1" t="str">
        <f t="shared" si="14"/>
        <v>R</v>
      </c>
      <c r="I37" s="17" t="str">
        <f>IF(Elect2002!H37=H37,"N","Y")</f>
        <v>N</v>
      </c>
      <c r="J37" s="42">
        <v>15</v>
      </c>
      <c r="K37" s="42">
        <v>32</v>
      </c>
      <c r="L37" s="43">
        <v>47</v>
      </c>
      <c r="M37" s="16">
        <f t="shared" si="15"/>
        <v>0.31914893617021278</v>
      </c>
      <c r="N37" s="16">
        <f t="shared" si="16"/>
        <v>0.36170212765957444</v>
      </c>
      <c r="O37" s="1" t="str">
        <f t="shared" si="17"/>
        <v>R</v>
      </c>
      <c r="P37" s="17" t="str">
        <f>IF(Elect2002!O37=O37,"N","Y")</f>
        <v>N</v>
      </c>
      <c r="Q37" s="1">
        <f t="shared" si="18"/>
        <v>41</v>
      </c>
      <c r="R37" s="1">
        <f t="shared" si="18"/>
        <v>98</v>
      </c>
      <c r="S37" s="16">
        <f t="shared" si="19"/>
        <v>0.29078014184397161</v>
      </c>
      <c r="T37" s="16">
        <f t="shared" si="20"/>
        <v>0.41843971631205679</v>
      </c>
      <c r="U37" s="1" t="str">
        <f t="shared" si="21"/>
        <v>R</v>
      </c>
      <c r="V37" s="1" t="s">
        <v>19</v>
      </c>
      <c r="W37" s="1" t="str">
        <f t="shared" si="22"/>
        <v>U</v>
      </c>
      <c r="X37" s="1">
        <f>C37-Elect2002!C37</f>
        <v>-2</v>
      </c>
      <c r="Y37" s="1">
        <f>J37-Elect2002!J37</f>
        <v>-1</v>
      </c>
      <c r="Z37" s="1">
        <f t="shared" si="11"/>
        <v>-3</v>
      </c>
    </row>
    <row r="38" spans="1:26">
      <c r="A38" s="12" t="s">
        <v>64</v>
      </c>
      <c r="B38" s="13" t="s">
        <v>41</v>
      </c>
      <c r="C38" s="44">
        <v>38</v>
      </c>
      <c r="D38" s="44">
        <v>61</v>
      </c>
      <c r="E38" s="45">
        <v>99</v>
      </c>
      <c r="F38" s="16">
        <f t="shared" si="12"/>
        <v>0.38383838383838381</v>
      </c>
      <c r="G38" s="16">
        <f t="shared" si="13"/>
        <v>0.23232323232323232</v>
      </c>
      <c r="H38" s="1" t="str">
        <f t="shared" si="14"/>
        <v>R</v>
      </c>
      <c r="I38" s="17" t="str">
        <f>IF(Elect2002!H38=H38,"N","Y")</f>
        <v>N</v>
      </c>
      <c r="J38" s="44">
        <v>11</v>
      </c>
      <c r="K38" s="44">
        <v>22</v>
      </c>
      <c r="L38" s="45">
        <v>33</v>
      </c>
      <c r="M38" s="16">
        <f t="shared" si="15"/>
        <v>0.33333333333333331</v>
      </c>
      <c r="N38" s="16">
        <f t="shared" si="16"/>
        <v>0.33333333333333343</v>
      </c>
      <c r="O38" s="1" t="str">
        <f t="shared" si="17"/>
        <v>R</v>
      </c>
      <c r="P38" s="17" t="str">
        <f>IF(Elect2002!O38=O38,"N","Y")</f>
        <v>N</v>
      </c>
      <c r="Q38" s="1">
        <f t="shared" si="18"/>
        <v>49</v>
      </c>
      <c r="R38" s="1">
        <f t="shared" si="18"/>
        <v>83</v>
      </c>
      <c r="S38" s="16">
        <f t="shared" si="19"/>
        <v>0.37121212121212122</v>
      </c>
      <c r="T38" s="16">
        <f t="shared" si="20"/>
        <v>0.25757575757575757</v>
      </c>
      <c r="U38" s="1" t="str">
        <f t="shared" si="21"/>
        <v>R</v>
      </c>
      <c r="V38" s="1" t="s">
        <v>19</v>
      </c>
      <c r="W38" s="1" t="str">
        <f t="shared" si="22"/>
        <v>U</v>
      </c>
      <c r="X38" s="1">
        <f>C38-Elect2002!C38</f>
        <v>1</v>
      </c>
      <c r="Y38" s="1">
        <f>J38-Elect2002!J38</f>
        <v>0</v>
      </c>
      <c r="Z38" s="1">
        <f t="shared" si="11"/>
        <v>1</v>
      </c>
    </row>
    <row r="39" spans="1:26">
      <c r="A39" s="12" t="s">
        <v>65</v>
      </c>
      <c r="B39" s="13" t="s">
        <v>26</v>
      </c>
      <c r="C39" s="46">
        <v>44</v>
      </c>
      <c r="D39" s="46">
        <v>57</v>
      </c>
      <c r="E39" s="47">
        <v>101</v>
      </c>
      <c r="F39" s="16">
        <f t="shared" si="12"/>
        <v>0.43564356435643564</v>
      </c>
      <c r="G39" s="16">
        <f t="shared" si="13"/>
        <v>0.12871287128712877</v>
      </c>
      <c r="H39" s="1" t="str">
        <f t="shared" si="14"/>
        <v>R</v>
      </c>
      <c r="I39" s="17" t="str">
        <f>IF(Elect2002!H39=H39,"N","Y")</f>
        <v>Y</v>
      </c>
      <c r="J39" s="46">
        <v>26</v>
      </c>
      <c r="K39" s="46">
        <v>22</v>
      </c>
      <c r="L39" s="47">
        <v>48</v>
      </c>
      <c r="M39" s="16">
        <f t="shared" si="15"/>
        <v>0.54166666666666663</v>
      </c>
      <c r="N39" s="16">
        <f t="shared" si="16"/>
        <v>8.3333333333333259E-2</v>
      </c>
      <c r="O39" s="1" t="str">
        <f t="shared" si="17"/>
        <v>D</v>
      </c>
      <c r="P39" s="17" t="str">
        <f>IF(Elect2002!O39=O39,"N","Y")</f>
        <v>N</v>
      </c>
      <c r="Q39" s="1">
        <f t="shared" si="18"/>
        <v>70</v>
      </c>
      <c r="R39" s="1">
        <f t="shared" si="18"/>
        <v>79</v>
      </c>
      <c r="S39" s="16">
        <f t="shared" si="19"/>
        <v>0.46979865771812079</v>
      </c>
      <c r="T39" s="16">
        <f t="shared" si="20"/>
        <v>6.0402684563758413E-2</v>
      </c>
      <c r="U39" s="1" t="str">
        <f t="shared" si="21"/>
        <v>S</v>
      </c>
      <c r="V39" s="1" t="s">
        <v>18</v>
      </c>
      <c r="W39" s="1" t="str">
        <f t="shared" si="22"/>
        <v>D</v>
      </c>
      <c r="X39" s="1">
        <f>C39-Elect2002!C39</f>
        <v>-9</v>
      </c>
      <c r="Y39" s="1">
        <f>J39-Elect2002!J39</f>
        <v>-2</v>
      </c>
      <c r="Z39" s="1">
        <f t="shared" si="11"/>
        <v>-11</v>
      </c>
    </row>
    <row r="40" spans="1:26">
      <c r="A40" s="12" t="s">
        <v>66</v>
      </c>
      <c r="B40" s="13" t="s">
        <v>28</v>
      </c>
      <c r="C40" s="42">
        <v>27</v>
      </c>
      <c r="D40" s="42">
        <v>33</v>
      </c>
      <c r="E40" s="43">
        <v>60</v>
      </c>
      <c r="F40" s="16">
        <f t="shared" si="12"/>
        <v>0.45</v>
      </c>
      <c r="G40" s="16">
        <f t="shared" si="13"/>
        <v>0.10000000000000003</v>
      </c>
      <c r="H40" s="1" t="str">
        <f t="shared" si="14"/>
        <v>R</v>
      </c>
      <c r="I40" s="17" t="str">
        <f>IF(Elect2002!H40=H40,"N","Y")</f>
        <v>N</v>
      </c>
      <c r="J40" s="42">
        <v>18</v>
      </c>
      <c r="K40" s="42">
        <v>12</v>
      </c>
      <c r="L40" s="43">
        <v>30</v>
      </c>
      <c r="M40" s="16">
        <f t="shared" si="15"/>
        <v>0.6</v>
      </c>
      <c r="N40" s="16">
        <f t="shared" si="16"/>
        <v>0.19999999999999996</v>
      </c>
      <c r="O40" s="1" t="str">
        <f t="shared" si="17"/>
        <v>D</v>
      </c>
      <c r="P40" s="17" t="str">
        <f>IF(Elect2002!O40=O40,"N","Y")</f>
        <v>Y</v>
      </c>
      <c r="Q40" s="1">
        <f t="shared" si="18"/>
        <v>45</v>
      </c>
      <c r="R40" s="1">
        <f t="shared" si="18"/>
        <v>45</v>
      </c>
      <c r="S40" s="16">
        <f t="shared" si="19"/>
        <v>0.5</v>
      </c>
      <c r="T40" s="16">
        <f t="shared" si="20"/>
        <v>0</v>
      </c>
      <c r="U40" s="1" t="str">
        <f t="shared" si="21"/>
        <v>S</v>
      </c>
      <c r="V40" s="1" t="s">
        <v>18</v>
      </c>
      <c r="W40" s="1" t="str">
        <f t="shared" si="22"/>
        <v>D</v>
      </c>
      <c r="X40" s="1">
        <f>C40-Elect2002!C40</f>
        <v>2</v>
      </c>
      <c r="Y40" s="1">
        <f>J40-Elect2002!J40</f>
        <v>3</v>
      </c>
      <c r="Z40" s="1">
        <f t="shared" si="11"/>
        <v>5</v>
      </c>
    </row>
    <row r="41" spans="1:26">
      <c r="A41" s="12" t="s">
        <v>68</v>
      </c>
      <c r="B41" s="13" t="s">
        <v>34</v>
      </c>
      <c r="C41" s="42">
        <v>93</v>
      </c>
      <c r="D41" s="42">
        <v>110</v>
      </c>
      <c r="E41" s="43">
        <v>203</v>
      </c>
      <c r="F41" s="16">
        <f t="shared" si="12"/>
        <v>0.45812807881773399</v>
      </c>
      <c r="G41" s="16">
        <f t="shared" si="13"/>
        <v>8.3743842364532028E-2</v>
      </c>
      <c r="H41" s="1" t="str">
        <f t="shared" si="14"/>
        <v>R</v>
      </c>
      <c r="I41" s="17" t="str">
        <f>IF(Elect2002!H41=H41,"N","Y")</f>
        <v>N</v>
      </c>
      <c r="J41" s="42">
        <v>20</v>
      </c>
      <c r="K41" s="42">
        <v>30</v>
      </c>
      <c r="L41" s="43">
        <v>50</v>
      </c>
      <c r="M41" s="16">
        <f t="shared" si="15"/>
        <v>0.4</v>
      </c>
      <c r="N41" s="16">
        <f t="shared" si="16"/>
        <v>0.19999999999999996</v>
      </c>
      <c r="O41" s="1" t="str">
        <f t="shared" si="17"/>
        <v>R</v>
      </c>
      <c r="P41" s="17" t="str">
        <f>IF(Elect2002!O41=O41,"N","Y")</f>
        <v>N</v>
      </c>
      <c r="Q41" s="1">
        <f t="shared" si="18"/>
        <v>113</v>
      </c>
      <c r="R41" s="1">
        <f t="shared" si="18"/>
        <v>140</v>
      </c>
      <c r="S41" s="16">
        <f t="shared" si="19"/>
        <v>0.44664031620553357</v>
      </c>
      <c r="T41" s="16">
        <f t="shared" si="20"/>
        <v>0.10671936758893286</v>
      </c>
      <c r="U41" s="1" t="str">
        <f t="shared" si="21"/>
        <v>R</v>
      </c>
      <c r="V41" s="1" t="s">
        <v>18</v>
      </c>
      <c r="W41" s="1" t="str">
        <f t="shared" si="22"/>
        <v>D</v>
      </c>
      <c r="X41" s="1">
        <f>C41-Elect2002!C41</f>
        <v>-1</v>
      </c>
      <c r="Y41" s="1">
        <f>J41-Elect2002!J41</f>
        <v>-1</v>
      </c>
      <c r="Z41" s="1">
        <f t="shared" si="11"/>
        <v>-2</v>
      </c>
    </row>
    <row r="42" spans="1:26">
      <c r="A42" s="12" t="s">
        <v>69</v>
      </c>
      <c r="B42" s="13" t="s">
        <v>34</v>
      </c>
      <c r="C42" s="42">
        <v>59</v>
      </c>
      <c r="D42" s="42">
        <v>16</v>
      </c>
      <c r="E42" s="43">
        <v>75</v>
      </c>
      <c r="F42" s="16">
        <f t="shared" si="12"/>
        <v>0.78666666666666663</v>
      </c>
      <c r="G42" s="16">
        <f t="shared" si="13"/>
        <v>0.57333333333333325</v>
      </c>
      <c r="H42" s="1" t="str">
        <f t="shared" si="14"/>
        <v>D</v>
      </c>
      <c r="I42" s="17" t="str">
        <f>IF(Elect2002!H42=H42,"N","Y")</f>
        <v>N</v>
      </c>
      <c r="J42" s="42">
        <v>33</v>
      </c>
      <c r="K42" s="42">
        <v>5</v>
      </c>
      <c r="L42" s="43">
        <v>38</v>
      </c>
      <c r="M42" s="16">
        <f t="shared" si="15"/>
        <v>0.86842105263157898</v>
      </c>
      <c r="N42" s="16">
        <f t="shared" si="16"/>
        <v>0.73684210526315796</v>
      </c>
      <c r="O42" s="1" t="str">
        <f t="shared" si="17"/>
        <v>D</v>
      </c>
      <c r="P42" s="17" t="str">
        <f>IF(Elect2002!O42=O42,"N","Y")</f>
        <v>N</v>
      </c>
      <c r="Q42" s="1">
        <f t="shared" si="18"/>
        <v>92</v>
      </c>
      <c r="R42" s="1">
        <f t="shared" si="18"/>
        <v>21</v>
      </c>
      <c r="S42" s="16">
        <f t="shared" si="19"/>
        <v>0.81415929203539827</v>
      </c>
      <c r="T42" s="16">
        <f t="shared" si="20"/>
        <v>0.62831858407079655</v>
      </c>
      <c r="U42" s="1" t="str">
        <f t="shared" si="21"/>
        <v>D</v>
      </c>
      <c r="V42" s="1" t="s">
        <v>19</v>
      </c>
      <c r="W42" s="1" t="str">
        <f t="shared" si="22"/>
        <v>D</v>
      </c>
      <c r="X42" s="1">
        <f>C42-Elect2002!C42</f>
        <v>-4</v>
      </c>
      <c r="Y42" s="1">
        <f>J42-Elect2002!J42</f>
        <v>1</v>
      </c>
      <c r="Z42" s="1">
        <f t="shared" si="11"/>
        <v>-3</v>
      </c>
    </row>
    <row r="43" spans="1:26">
      <c r="A43" s="12" t="s">
        <v>70</v>
      </c>
      <c r="B43" s="13" t="s">
        <v>26</v>
      </c>
      <c r="C43" s="44">
        <v>50</v>
      </c>
      <c r="D43" s="44">
        <v>74</v>
      </c>
      <c r="E43" s="45">
        <v>124</v>
      </c>
      <c r="F43" s="16">
        <f t="shared" si="12"/>
        <v>0.40322580645161288</v>
      </c>
      <c r="G43" s="16">
        <f t="shared" si="13"/>
        <v>0.19354838709677424</v>
      </c>
      <c r="H43" s="1" t="str">
        <f t="shared" si="14"/>
        <v>R</v>
      </c>
      <c r="I43" s="17" t="str">
        <f>IF(Elect2002!H43=H43,"N","Y")</f>
        <v>N</v>
      </c>
      <c r="J43" s="44">
        <v>19</v>
      </c>
      <c r="K43" s="44">
        <v>27</v>
      </c>
      <c r="L43" s="45">
        <v>46</v>
      </c>
      <c r="M43" s="16">
        <f t="shared" si="15"/>
        <v>0.41304347826086957</v>
      </c>
      <c r="N43" s="16">
        <f t="shared" si="16"/>
        <v>0.17391304347826081</v>
      </c>
      <c r="O43" s="1" t="str">
        <f t="shared" si="17"/>
        <v>R</v>
      </c>
      <c r="P43" s="17" t="str">
        <f>IF(Elect2002!O43=O43,"N","Y")</f>
        <v>N</v>
      </c>
      <c r="Q43" s="1">
        <f t="shared" si="18"/>
        <v>69</v>
      </c>
      <c r="R43" s="1">
        <f t="shared" si="18"/>
        <v>101</v>
      </c>
      <c r="S43" s="16">
        <f t="shared" si="19"/>
        <v>0.40588235294117647</v>
      </c>
      <c r="T43" s="16">
        <f t="shared" si="20"/>
        <v>0.18823529411764706</v>
      </c>
      <c r="U43" s="1" t="str">
        <f t="shared" si="21"/>
        <v>R</v>
      </c>
      <c r="V43" s="1" t="s">
        <v>19</v>
      </c>
      <c r="W43" s="1" t="str">
        <f t="shared" si="22"/>
        <v>U</v>
      </c>
      <c r="X43" s="1">
        <f>C43-Elect2002!C43</f>
        <v>-1</v>
      </c>
      <c r="Y43" s="1">
        <f>J43-Elect2002!J43</f>
        <v>-2</v>
      </c>
      <c r="Z43" s="1">
        <f t="shared" si="11"/>
        <v>-3</v>
      </c>
    </row>
    <row r="44" spans="1:26">
      <c r="A44" s="12" t="s">
        <v>71</v>
      </c>
      <c r="B44" s="13" t="s">
        <v>41</v>
      </c>
      <c r="C44" s="46">
        <v>19</v>
      </c>
      <c r="D44" s="46">
        <v>51</v>
      </c>
      <c r="E44" s="47">
        <v>70</v>
      </c>
      <c r="F44" s="16">
        <f t="shared" si="12"/>
        <v>0.27142857142857141</v>
      </c>
      <c r="G44" s="16">
        <f t="shared" si="13"/>
        <v>0.45714285714285724</v>
      </c>
      <c r="H44" s="1" t="str">
        <f t="shared" si="14"/>
        <v>R</v>
      </c>
      <c r="I44" s="17" t="str">
        <f>IF(Elect2002!H44=H44,"N","Y")</f>
        <v>N</v>
      </c>
      <c r="J44" s="46">
        <v>10</v>
      </c>
      <c r="K44" s="46">
        <v>25</v>
      </c>
      <c r="L44" s="47">
        <v>35</v>
      </c>
      <c r="M44" s="16">
        <f t="shared" si="15"/>
        <v>0.2857142857142857</v>
      </c>
      <c r="N44" s="16">
        <f t="shared" si="16"/>
        <v>0.4285714285714286</v>
      </c>
      <c r="O44" s="1" t="str">
        <f t="shared" si="17"/>
        <v>R</v>
      </c>
      <c r="P44" s="17" t="str">
        <f>IF(Elect2002!O44=O44,"N","Y")</f>
        <v>N</v>
      </c>
      <c r="Q44" s="1">
        <f t="shared" si="18"/>
        <v>29</v>
      </c>
      <c r="R44" s="1">
        <f t="shared" si="18"/>
        <v>76</v>
      </c>
      <c r="S44" s="16">
        <f t="shared" si="19"/>
        <v>0.27619047619047621</v>
      </c>
      <c r="T44" s="16">
        <f t="shared" si="20"/>
        <v>0.44761904761904758</v>
      </c>
      <c r="U44" s="1" t="str">
        <f t="shared" si="21"/>
        <v>R</v>
      </c>
      <c r="V44" s="1" t="s">
        <v>19</v>
      </c>
      <c r="W44" s="1" t="str">
        <f t="shared" si="22"/>
        <v>U</v>
      </c>
      <c r="X44" s="1">
        <f>C44-Elect2002!C44</f>
        <v>-2</v>
      </c>
      <c r="Y44" s="1">
        <f>J44-Elect2002!J44</f>
        <v>1</v>
      </c>
      <c r="Z44" s="1">
        <f t="shared" si="11"/>
        <v>-1</v>
      </c>
    </row>
    <row r="45" spans="1:26">
      <c r="A45" s="12" t="s">
        <v>72</v>
      </c>
      <c r="B45" s="13" t="s">
        <v>26</v>
      </c>
      <c r="C45" s="42">
        <v>53</v>
      </c>
      <c r="D45" s="42">
        <v>46</v>
      </c>
      <c r="E45" s="43">
        <v>99</v>
      </c>
      <c r="F45" s="16">
        <f t="shared" si="12"/>
        <v>0.53535353535353536</v>
      </c>
      <c r="G45" s="16">
        <f t="shared" si="13"/>
        <v>7.0707070707070718E-2</v>
      </c>
      <c r="H45" s="1" t="str">
        <f t="shared" si="14"/>
        <v>D</v>
      </c>
      <c r="I45" s="17" t="str">
        <f>IF(Elect2002!H45=H45,"N","Y")</f>
        <v>N</v>
      </c>
      <c r="J45" s="42">
        <v>16</v>
      </c>
      <c r="K45" s="42">
        <v>17</v>
      </c>
      <c r="L45" s="43">
        <v>33</v>
      </c>
      <c r="M45" s="16">
        <f t="shared" si="15"/>
        <v>0.48484848484848486</v>
      </c>
      <c r="N45" s="16">
        <f t="shared" si="16"/>
        <v>3.0303030303030276E-2</v>
      </c>
      <c r="O45" s="1" t="str">
        <f t="shared" si="17"/>
        <v>R</v>
      </c>
      <c r="P45" s="17" t="str">
        <f>IF(Elect2002!O45=O45,"N","Y")</f>
        <v>Y</v>
      </c>
      <c r="Q45" s="1">
        <f t="shared" si="18"/>
        <v>69</v>
      </c>
      <c r="R45" s="1">
        <f t="shared" si="18"/>
        <v>63</v>
      </c>
      <c r="S45" s="16">
        <f t="shared" si="19"/>
        <v>0.52272727272727271</v>
      </c>
      <c r="T45" s="16">
        <f t="shared" si="20"/>
        <v>4.5454545454545414E-2</v>
      </c>
      <c r="U45" s="1" t="str">
        <f t="shared" si="21"/>
        <v>S</v>
      </c>
      <c r="V45" s="1" t="s">
        <v>18</v>
      </c>
      <c r="W45" s="1" t="str">
        <f t="shared" si="22"/>
        <v>D</v>
      </c>
      <c r="X45" s="1">
        <f>C45-Elect2002!C45</f>
        <v>-1</v>
      </c>
      <c r="Y45" s="1">
        <f>J45-Elect2002!J45</f>
        <v>-2</v>
      </c>
      <c r="Z45" s="1">
        <f t="shared" si="11"/>
        <v>-3</v>
      </c>
    </row>
    <row r="46" spans="1:26">
      <c r="A46" s="12" t="s">
        <v>73</v>
      </c>
      <c r="B46" s="13" t="s">
        <v>26</v>
      </c>
      <c r="C46" s="42">
        <v>63</v>
      </c>
      <c r="D46" s="42">
        <v>87</v>
      </c>
      <c r="E46" s="43">
        <v>150</v>
      </c>
      <c r="F46" s="16">
        <f t="shared" si="12"/>
        <v>0.42</v>
      </c>
      <c r="G46" s="16">
        <f t="shared" si="13"/>
        <v>0.16000000000000009</v>
      </c>
      <c r="H46" s="1" t="str">
        <f t="shared" si="14"/>
        <v>R</v>
      </c>
      <c r="I46" s="17" t="str">
        <f>IF(Elect2002!H46=H46,"N","Y")</f>
        <v>N</v>
      </c>
      <c r="J46" s="42">
        <v>12</v>
      </c>
      <c r="K46" s="42">
        <v>19</v>
      </c>
      <c r="L46" s="43">
        <v>31</v>
      </c>
      <c r="M46" s="16">
        <f t="shared" si="15"/>
        <v>0.38709677419354838</v>
      </c>
      <c r="N46" s="16">
        <f t="shared" si="16"/>
        <v>0.22580645161290325</v>
      </c>
      <c r="O46" s="1" t="str">
        <f t="shared" si="17"/>
        <v>R</v>
      </c>
      <c r="P46" s="17" t="str">
        <f>IF(Elect2002!O46=O46,"N","Y")</f>
        <v>N</v>
      </c>
      <c r="Q46" s="1">
        <f t="shared" si="18"/>
        <v>75</v>
      </c>
      <c r="R46" s="1">
        <f t="shared" si="18"/>
        <v>106</v>
      </c>
      <c r="S46" s="16">
        <f t="shared" si="19"/>
        <v>0.4143646408839779</v>
      </c>
      <c r="T46" s="16">
        <f t="shared" si="20"/>
        <v>0.17127071823204426</v>
      </c>
      <c r="U46" s="1" t="str">
        <f t="shared" si="21"/>
        <v>R</v>
      </c>
      <c r="V46" s="1" t="s">
        <v>19</v>
      </c>
      <c r="W46" s="1" t="str">
        <f t="shared" si="22"/>
        <v>U</v>
      </c>
      <c r="X46" s="1">
        <f>C46-Elect2002!C46</f>
        <v>1</v>
      </c>
      <c r="Y46" s="1">
        <f>J46-Elect2002!J46</f>
        <v>0</v>
      </c>
      <c r="Z46" s="1">
        <f t="shared" si="11"/>
        <v>1</v>
      </c>
    </row>
    <row r="47" spans="1:26">
      <c r="A47" s="12" t="s">
        <v>74</v>
      </c>
      <c r="B47" s="13" t="s">
        <v>28</v>
      </c>
      <c r="C47" s="42">
        <v>19</v>
      </c>
      <c r="D47" s="42">
        <v>56</v>
      </c>
      <c r="E47" s="43">
        <v>75</v>
      </c>
      <c r="F47" s="16">
        <f t="shared" si="12"/>
        <v>0.25333333333333335</v>
      </c>
      <c r="G47" s="16">
        <f t="shared" si="13"/>
        <v>0.49333333333333323</v>
      </c>
      <c r="H47" s="1" t="str">
        <f t="shared" si="14"/>
        <v>R</v>
      </c>
      <c r="I47" s="17" t="str">
        <f>IF(Elect2002!H47=H47,"N","Y")</f>
        <v>N</v>
      </c>
      <c r="J47" s="42">
        <v>8</v>
      </c>
      <c r="K47" s="42">
        <v>21</v>
      </c>
      <c r="L47" s="43">
        <v>29</v>
      </c>
      <c r="M47" s="16">
        <f t="shared" si="15"/>
        <v>0.27586206896551724</v>
      </c>
      <c r="N47" s="16">
        <f t="shared" si="16"/>
        <v>0.44827586206896552</v>
      </c>
      <c r="O47" s="1" t="str">
        <f t="shared" si="17"/>
        <v>R</v>
      </c>
      <c r="P47" s="17" t="str">
        <f>IF(Elect2002!O47=O47,"N","Y")</f>
        <v>N</v>
      </c>
      <c r="Q47" s="1">
        <f t="shared" si="18"/>
        <v>27</v>
      </c>
      <c r="R47" s="1">
        <f t="shared" si="18"/>
        <v>77</v>
      </c>
      <c r="S47" s="16">
        <f t="shared" si="19"/>
        <v>0.25961538461538464</v>
      </c>
      <c r="T47" s="16">
        <f t="shared" si="20"/>
        <v>0.48076923076923078</v>
      </c>
      <c r="U47" s="1" t="str">
        <f t="shared" si="21"/>
        <v>R</v>
      </c>
      <c r="V47" s="1" t="s">
        <v>19</v>
      </c>
      <c r="W47" s="1" t="str">
        <f t="shared" si="22"/>
        <v>U</v>
      </c>
      <c r="X47" s="1">
        <f>C47-Elect2002!C47</f>
        <v>0</v>
      </c>
      <c r="Y47" s="1">
        <f>J47-Elect2002!J47</f>
        <v>1</v>
      </c>
      <c r="Z47" s="1">
        <f t="shared" si="11"/>
        <v>1</v>
      </c>
    </row>
    <row r="48" spans="1:26">
      <c r="A48" s="12" t="s">
        <v>75</v>
      </c>
      <c r="B48" s="13" t="s">
        <v>34</v>
      </c>
      <c r="C48" s="44">
        <v>83</v>
      </c>
      <c r="D48" s="44">
        <v>60</v>
      </c>
      <c r="E48" s="45">
        <v>150</v>
      </c>
      <c r="F48" s="16">
        <f t="shared" si="12"/>
        <v>0.55333333333333334</v>
      </c>
      <c r="G48" s="16">
        <f t="shared" si="13"/>
        <v>0.10666666666666669</v>
      </c>
      <c r="H48" s="1" t="str">
        <f t="shared" si="14"/>
        <v>D</v>
      </c>
      <c r="I48" s="17" t="str">
        <f>IF(Elect2002!H48=H48,"N","Y")</f>
        <v>Y</v>
      </c>
      <c r="J48" s="44">
        <v>21</v>
      </c>
      <c r="K48" s="44">
        <v>9</v>
      </c>
      <c r="L48" s="45">
        <v>30</v>
      </c>
      <c r="M48" s="16">
        <f t="shared" si="15"/>
        <v>0.7</v>
      </c>
      <c r="N48" s="16">
        <f t="shared" si="16"/>
        <v>0.39999999999999991</v>
      </c>
      <c r="O48" s="1" t="str">
        <f t="shared" si="17"/>
        <v>D</v>
      </c>
      <c r="P48" s="17" t="str">
        <f>IF(Elect2002!O48=O48,"N","Y")</f>
        <v>N</v>
      </c>
      <c r="Q48" s="1">
        <f t="shared" si="18"/>
        <v>104</v>
      </c>
      <c r="R48" s="1">
        <f t="shared" si="18"/>
        <v>69</v>
      </c>
      <c r="S48" s="16">
        <f t="shared" si="19"/>
        <v>0.57777777777777772</v>
      </c>
      <c r="T48" s="16">
        <f t="shared" si="20"/>
        <v>0.15555555555555545</v>
      </c>
      <c r="U48" s="1" t="str">
        <f t="shared" si="21"/>
        <v>D</v>
      </c>
      <c r="V48" s="1" t="s">
        <v>19</v>
      </c>
      <c r="W48" s="1" t="str">
        <f t="shared" si="22"/>
        <v>D</v>
      </c>
      <c r="X48" s="1">
        <f>C48-Elect2002!C48</f>
        <v>13</v>
      </c>
      <c r="Y48" s="1">
        <f>J48-Elect2002!J48</f>
        <v>2</v>
      </c>
      <c r="Z48" s="1">
        <f t="shared" si="11"/>
        <v>15</v>
      </c>
    </row>
    <row r="49" spans="1:26">
      <c r="A49" s="12" t="s">
        <v>76</v>
      </c>
      <c r="B49" s="13" t="s">
        <v>26</v>
      </c>
      <c r="C49" s="42">
        <v>40</v>
      </c>
      <c r="D49" s="42">
        <v>56</v>
      </c>
      <c r="E49" s="43">
        <v>100</v>
      </c>
      <c r="F49" s="16">
        <f t="shared" si="12"/>
        <v>0.4</v>
      </c>
      <c r="G49" s="16">
        <f t="shared" si="13"/>
        <v>0.19999999999999996</v>
      </c>
      <c r="H49" s="1" t="str">
        <f t="shared" si="14"/>
        <v>R</v>
      </c>
      <c r="I49" s="17" t="str">
        <f>IF(Elect2002!H49=H49,"N","Y")</f>
        <v>N</v>
      </c>
      <c r="J49" s="42">
        <v>17</v>
      </c>
      <c r="K49" s="42">
        <v>23</v>
      </c>
      <c r="L49" s="43">
        <v>40</v>
      </c>
      <c r="M49" s="16">
        <f t="shared" si="15"/>
        <v>0.42499999999999999</v>
      </c>
      <c r="N49" s="16">
        <f t="shared" si="16"/>
        <v>0.14999999999999997</v>
      </c>
      <c r="O49" s="1" t="str">
        <f t="shared" si="17"/>
        <v>R</v>
      </c>
      <c r="P49" s="17" t="str">
        <f>IF(Elect2002!O49=O49,"N","Y")</f>
        <v>N</v>
      </c>
      <c r="Q49" s="1">
        <f t="shared" si="18"/>
        <v>57</v>
      </c>
      <c r="R49" s="1">
        <f t="shared" si="18"/>
        <v>79</v>
      </c>
      <c r="S49" s="16">
        <f t="shared" si="19"/>
        <v>0.40714285714285714</v>
      </c>
      <c r="T49" s="16">
        <f t="shared" si="20"/>
        <v>0.18571428571428572</v>
      </c>
      <c r="U49" s="1" t="str">
        <f t="shared" si="21"/>
        <v>R</v>
      </c>
      <c r="V49" s="1" t="s">
        <v>18</v>
      </c>
      <c r="W49" s="1" t="str">
        <f t="shared" si="22"/>
        <v>D</v>
      </c>
      <c r="X49" s="1">
        <f>C49-Elect2002!C49</f>
        <v>7</v>
      </c>
      <c r="Y49" s="1">
        <f>J49-Elect2002!J49</f>
        <v>0</v>
      </c>
      <c r="Z49" s="1">
        <f t="shared" si="11"/>
        <v>7</v>
      </c>
    </row>
    <row r="50" spans="1:26">
      <c r="A50" s="12" t="s">
        <v>77</v>
      </c>
      <c r="B50" s="13" t="s">
        <v>28</v>
      </c>
      <c r="C50" s="42">
        <v>55</v>
      </c>
      <c r="D50" s="42">
        <v>43</v>
      </c>
      <c r="E50" s="43">
        <v>98</v>
      </c>
      <c r="F50" s="16">
        <f t="shared" si="12"/>
        <v>0.56122448979591832</v>
      </c>
      <c r="G50" s="16">
        <f t="shared" si="13"/>
        <v>0.12244897959183665</v>
      </c>
      <c r="H50" s="1" t="str">
        <f t="shared" si="14"/>
        <v>D</v>
      </c>
      <c r="I50" s="17" t="str">
        <f>IF(Elect2002!H50=H50,"N","Y")</f>
        <v>N</v>
      </c>
      <c r="J50" s="42">
        <v>26</v>
      </c>
      <c r="K50" s="42">
        <v>23</v>
      </c>
      <c r="L50" s="43">
        <v>49</v>
      </c>
      <c r="M50" s="16">
        <f t="shared" si="15"/>
        <v>0.53061224489795922</v>
      </c>
      <c r="N50" s="16">
        <f t="shared" si="16"/>
        <v>6.1224489795918435E-2</v>
      </c>
      <c r="O50" s="1" t="str">
        <f t="shared" si="17"/>
        <v>D</v>
      </c>
      <c r="P50" s="17" t="str">
        <f>IF(Elect2002!O50=O50,"N","Y")</f>
        <v>Y</v>
      </c>
      <c r="Q50" s="1">
        <f t="shared" si="18"/>
        <v>81</v>
      </c>
      <c r="R50" s="1">
        <f t="shared" si="18"/>
        <v>66</v>
      </c>
      <c r="S50" s="16">
        <f t="shared" si="19"/>
        <v>0.55102040816326525</v>
      </c>
      <c r="T50" s="16">
        <f t="shared" si="20"/>
        <v>0.1020408163265305</v>
      </c>
      <c r="U50" s="1" t="str">
        <f t="shared" si="21"/>
        <v>D</v>
      </c>
      <c r="V50" s="1" t="s">
        <v>18</v>
      </c>
      <c r="W50" s="1" t="str">
        <f t="shared" si="22"/>
        <v>U</v>
      </c>
      <c r="X50" s="1">
        <f>C50-Elect2002!C50</f>
        <v>3</v>
      </c>
      <c r="Y50" s="1">
        <f>J50-Elect2002!J50</f>
        <v>2</v>
      </c>
      <c r="Z50" s="1">
        <f t="shared" si="11"/>
        <v>5</v>
      </c>
    </row>
    <row r="51" spans="1:26">
      <c r="A51" s="12" t="s">
        <v>78</v>
      </c>
      <c r="B51" s="13" t="s">
        <v>26</v>
      </c>
      <c r="C51" s="42">
        <v>68</v>
      </c>
      <c r="D51" s="42">
        <v>32</v>
      </c>
      <c r="E51" s="43">
        <v>100</v>
      </c>
      <c r="F51" s="16">
        <f t="shared" si="12"/>
        <v>0.68</v>
      </c>
      <c r="G51" s="16">
        <f t="shared" si="13"/>
        <v>0.3600000000000001</v>
      </c>
      <c r="H51" s="1" t="str">
        <f t="shared" si="14"/>
        <v>D</v>
      </c>
      <c r="I51" s="17" t="str">
        <f>IF(Elect2002!H51=H51,"N","Y")</f>
        <v>N</v>
      </c>
      <c r="J51" s="42">
        <v>21</v>
      </c>
      <c r="K51" s="42">
        <v>13</v>
      </c>
      <c r="L51" s="43">
        <v>34</v>
      </c>
      <c r="M51" s="16">
        <f t="shared" si="15"/>
        <v>0.61764705882352944</v>
      </c>
      <c r="N51" s="16">
        <f t="shared" si="16"/>
        <v>0.23529411764705888</v>
      </c>
      <c r="O51" s="1" t="str">
        <f t="shared" si="17"/>
        <v>D</v>
      </c>
      <c r="P51" s="17" t="str">
        <f>IF(Elect2002!O51=O51,"N","Y")</f>
        <v>N</v>
      </c>
      <c r="Q51" s="1">
        <f t="shared" si="18"/>
        <v>89</v>
      </c>
      <c r="R51" s="1">
        <f t="shared" si="18"/>
        <v>45</v>
      </c>
      <c r="S51" s="16">
        <f t="shared" si="19"/>
        <v>0.66417910447761197</v>
      </c>
      <c r="T51" s="16">
        <f t="shared" si="20"/>
        <v>0.32835820895522394</v>
      </c>
      <c r="U51" s="1" t="str">
        <f t="shared" si="21"/>
        <v>D</v>
      </c>
      <c r="V51" s="1" t="s">
        <v>18</v>
      </c>
      <c r="W51" s="1" t="str">
        <f t="shared" si="22"/>
        <v>U</v>
      </c>
      <c r="X51" s="1">
        <f>C51-Elect2002!C51</f>
        <v>0</v>
      </c>
      <c r="Y51" s="1">
        <f>J51-Elect2002!J51</f>
        <v>-3</v>
      </c>
      <c r="Z51" s="1">
        <f t="shared" si="11"/>
        <v>-3</v>
      </c>
    </row>
    <row r="52" spans="1:26">
      <c r="A52" s="12" t="s">
        <v>79</v>
      </c>
      <c r="B52" s="13" t="s">
        <v>41</v>
      </c>
      <c r="C52" s="42">
        <v>39</v>
      </c>
      <c r="D52" s="42">
        <v>60</v>
      </c>
      <c r="E52" s="43">
        <v>99</v>
      </c>
      <c r="F52" s="16">
        <f t="shared" si="12"/>
        <v>0.39393939393939392</v>
      </c>
      <c r="G52" s="16">
        <f t="shared" si="13"/>
        <v>0.21212121212121215</v>
      </c>
      <c r="H52" s="1" t="str">
        <f t="shared" si="14"/>
        <v>R</v>
      </c>
      <c r="I52" s="17" t="str">
        <f>IF(Elect2002!H52=H52,"N","Y")</f>
        <v>N</v>
      </c>
      <c r="J52" s="42">
        <v>14</v>
      </c>
      <c r="K52" s="42">
        <v>19</v>
      </c>
      <c r="L52" s="43">
        <v>33</v>
      </c>
      <c r="M52" s="16">
        <f t="shared" si="15"/>
        <v>0.42424242424242425</v>
      </c>
      <c r="N52" s="16">
        <f t="shared" si="16"/>
        <v>0.15151515151515144</v>
      </c>
      <c r="O52" s="1" t="str">
        <f t="shared" si="17"/>
        <v>R</v>
      </c>
      <c r="P52" s="17" t="str">
        <f>IF(Elect2002!O52=O52,"N","Y")</f>
        <v>N</v>
      </c>
      <c r="Q52" s="1">
        <f t="shared" si="18"/>
        <v>53</v>
      </c>
      <c r="R52" s="1">
        <f t="shared" si="18"/>
        <v>79</v>
      </c>
      <c r="S52" s="16">
        <f t="shared" si="19"/>
        <v>0.40151515151515149</v>
      </c>
      <c r="T52" s="16">
        <f t="shared" si="20"/>
        <v>0.19696969696969702</v>
      </c>
      <c r="U52" s="1" t="str">
        <f t="shared" si="21"/>
        <v>R</v>
      </c>
      <c r="V52" s="1" t="s">
        <v>18</v>
      </c>
      <c r="W52" s="1" t="str">
        <f t="shared" si="22"/>
        <v>D</v>
      </c>
      <c r="X52" s="1">
        <f>C52-Elect2002!C52</f>
        <v>-2</v>
      </c>
      <c r="Y52" s="1">
        <f>J52-Elect2002!J52</f>
        <v>-1</v>
      </c>
      <c r="Z52" s="1">
        <f t="shared" si="11"/>
        <v>-3</v>
      </c>
    </row>
    <row r="53" spans="1:26">
      <c r="A53" s="12" t="s">
        <v>80</v>
      </c>
      <c r="B53" s="13" t="s">
        <v>28</v>
      </c>
      <c r="C53" s="1">
        <v>14</v>
      </c>
      <c r="D53" s="1">
        <v>46</v>
      </c>
      <c r="E53" s="1">
        <v>60</v>
      </c>
      <c r="F53" s="16">
        <f t="shared" si="12"/>
        <v>0.23333333333333334</v>
      </c>
      <c r="G53" s="16">
        <f t="shared" si="13"/>
        <v>0.53333333333333321</v>
      </c>
      <c r="H53" s="1" t="str">
        <f t="shared" si="14"/>
        <v>R</v>
      </c>
      <c r="I53" s="17" t="str">
        <f>IF(Elect2002!H53=H53,"N","Y")</f>
        <v>N</v>
      </c>
      <c r="J53" s="42">
        <v>7</v>
      </c>
      <c r="K53" s="42">
        <v>23</v>
      </c>
      <c r="L53" s="43">
        <v>30</v>
      </c>
      <c r="M53" s="16">
        <f t="shared" si="15"/>
        <v>0.23333333333333334</v>
      </c>
      <c r="N53" s="16">
        <f t="shared" si="16"/>
        <v>0.53333333333333321</v>
      </c>
      <c r="O53" s="1" t="str">
        <f t="shared" si="17"/>
        <v>R</v>
      </c>
      <c r="P53" s="17" t="str">
        <f>IF(Elect2002!O53=O53,"N","Y")</f>
        <v>N</v>
      </c>
      <c r="Q53" s="1">
        <f t="shared" si="18"/>
        <v>21</v>
      </c>
      <c r="R53" s="50">
        <f t="shared" si="18"/>
        <v>69</v>
      </c>
      <c r="S53" s="25">
        <f t="shared" si="19"/>
        <v>0.23333333333333334</v>
      </c>
      <c r="T53" s="26">
        <f t="shared" si="20"/>
        <v>0.53333333333333321</v>
      </c>
      <c r="U53" s="1" t="str">
        <f t="shared" si="21"/>
        <v>R</v>
      </c>
      <c r="V53" s="1" t="s">
        <v>18</v>
      </c>
      <c r="W53" s="1" t="str">
        <f t="shared" si="22"/>
        <v>D</v>
      </c>
      <c r="X53" s="1">
        <f>C53-Elect2002!C53</f>
        <v>-1</v>
      </c>
      <c r="Y53" s="1">
        <f>J53-Elect2002!J53</f>
        <v>-3</v>
      </c>
      <c r="Z53" s="1">
        <f t="shared" si="11"/>
        <v>-4</v>
      </c>
    </row>
    <row r="54" spans="1:26">
      <c r="A54" s="27" t="s">
        <v>81</v>
      </c>
      <c r="B54" s="28"/>
      <c r="C54" s="29">
        <f>SUM(C4:C53)</f>
        <v>2711</v>
      </c>
      <c r="D54" s="29">
        <f>SUM(D4:D53)</f>
        <v>2683</v>
      </c>
      <c r="E54" s="29">
        <f>SUM(E3:E53)</f>
        <v>5411</v>
      </c>
      <c r="F54" s="30">
        <f t="shared" si="12"/>
        <v>0.50101644797634448</v>
      </c>
      <c r="G54" s="30"/>
      <c r="H54" s="31"/>
      <c r="I54" s="32"/>
      <c r="J54" s="29">
        <f>SUM(J3:J53)</f>
        <v>954</v>
      </c>
      <c r="K54" s="29">
        <f>SUM(K3:K53)</f>
        <v>965</v>
      </c>
      <c r="L54" s="29">
        <f>SUM(L3:L53)</f>
        <v>1922</v>
      </c>
      <c r="M54" s="30">
        <f t="shared" si="15"/>
        <v>0.49635796045785641</v>
      </c>
      <c r="N54" s="30"/>
      <c r="O54" s="31"/>
      <c r="P54" s="32"/>
      <c r="Q54" s="33">
        <f>SUM(Q4:Q53)</f>
        <v>3665</v>
      </c>
      <c r="R54" s="1">
        <f t="shared" ref="R54" si="23">D54+K54</f>
        <v>3648</v>
      </c>
      <c r="S54" s="16">
        <f t="shared" si="19"/>
        <v>0.49979544524751124</v>
      </c>
      <c r="T54" s="34">
        <f>AVERAGE(T4:T53)</f>
        <v>0.23653566962485723</v>
      </c>
      <c r="U54" s="31"/>
      <c r="X54" s="33">
        <f t="shared" ref="X54:Z54" si="24">SUM(X4:X53)</f>
        <v>25</v>
      </c>
      <c r="Y54" s="33">
        <f t="shared" si="24"/>
        <v>-3</v>
      </c>
      <c r="Z54" s="33">
        <f t="shared" si="24"/>
        <v>22</v>
      </c>
    </row>
    <row r="55" spans="1:26">
      <c r="A55" s="35"/>
      <c r="B55" s="35"/>
      <c r="C55" s="36"/>
      <c r="D55" s="36"/>
      <c r="E55" s="36"/>
      <c r="F55" s="16"/>
      <c r="G55" s="16"/>
      <c r="J55" s="36"/>
      <c r="K55" s="36"/>
      <c r="L55" s="36"/>
      <c r="M55" s="16"/>
      <c r="Q55" s="37"/>
      <c r="R55" s="37"/>
      <c r="S55" s="16"/>
      <c r="T55" s="16"/>
    </row>
    <row r="56" spans="1:26">
      <c r="A56" s="38" t="s">
        <v>82</v>
      </c>
    </row>
    <row r="57" spans="1:26">
      <c r="A57" s="1" t="s">
        <v>83</v>
      </c>
      <c r="C57" s="37">
        <f>DSUM(_xlnm.Database,C3,critRGS)</f>
        <v>931</v>
      </c>
      <c r="D57" s="37"/>
      <c r="E57" s="37">
        <f>DSUM(_xlnm.Database,E3,critRGS)</f>
        <v>1767</v>
      </c>
      <c r="F57" s="16">
        <f>C57/E57</f>
        <v>0.5268817204301075</v>
      </c>
      <c r="J57" s="37">
        <f>DSUM(_xlnm.Database,J3,critRGS)</f>
        <v>331</v>
      </c>
      <c r="K57" s="37"/>
      <c r="L57" s="37">
        <f>DSUM(_xlnm.Database,L3,critRGS)</f>
        <v>624</v>
      </c>
      <c r="M57" s="16">
        <f>J57/L57</f>
        <v>0.53044871794871795</v>
      </c>
      <c r="Q57" s="37">
        <f>DSUM(_xlnm.Database,Q3,critRGS)</f>
        <v>1262</v>
      </c>
      <c r="R57" s="37"/>
      <c r="S57" s="16">
        <f>Q57/(E57+L57)</f>
        <v>0.52781263069845252</v>
      </c>
      <c r="T57" s="16"/>
    </row>
    <row r="58" spans="1:26">
      <c r="A58" s="1" t="s">
        <v>84</v>
      </c>
      <c r="C58" s="37">
        <f>DSUM(_xlnm.Database,C3,CritRGN)</f>
        <v>1780</v>
      </c>
      <c r="D58" s="37"/>
      <c r="E58" s="37">
        <f>DSUM(_xlnm.Database,E3,CritRGN)</f>
        <v>3644</v>
      </c>
      <c r="F58" s="16">
        <f>C58/E58</f>
        <v>0.48847420417124038</v>
      </c>
      <c r="J58" s="37">
        <f>DSUM(_xlnm.Database,J3,CritRGN)</f>
        <v>623</v>
      </c>
      <c r="K58" s="37"/>
      <c r="L58" s="37">
        <f>DSUM(_xlnm.Database,L3,CritRGN)</f>
        <v>1298</v>
      </c>
      <c r="M58" s="16">
        <f>J58/L58</f>
        <v>0.47996918335901384</v>
      </c>
      <c r="Q58" s="37">
        <f>DSUM(_xlnm.Database,Q3,CritRGN)</f>
        <v>2403</v>
      </c>
      <c r="R58" s="37"/>
      <c r="S58" s="16">
        <f>Q58/(E58+L58)</f>
        <v>0.48624038850667745</v>
      </c>
      <c r="T58" s="16"/>
    </row>
    <row r="59" spans="1:26">
      <c r="A59" s="1" t="s">
        <v>85</v>
      </c>
      <c r="C59" s="37">
        <f>DSUM(_xlnm.Database,C3,CRITE)</f>
        <v>864</v>
      </c>
      <c r="D59" s="37"/>
      <c r="E59" s="37">
        <f>DSUM(_xlnm.Database,E3,CRITE)</f>
        <v>1561</v>
      </c>
      <c r="F59" s="16">
        <f>C59/E59</f>
        <v>0.55349135169762975</v>
      </c>
      <c r="J59" s="37">
        <f>DSUM(_xlnm.Database,J3,CRITE)</f>
        <v>220</v>
      </c>
      <c r="K59" s="37"/>
      <c r="L59" s="37">
        <f>DSUM(_xlnm.Database,L3,CRITE)</f>
        <v>376</v>
      </c>
      <c r="M59" s="16">
        <f>J59/L59</f>
        <v>0.58510638297872342</v>
      </c>
      <c r="Q59" s="37">
        <f>DSUM(_xlnm.Database,Q3,CRITE)</f>
        <v>1084</v>
      </c>
      <c r="R59" s="37"/>
      <c r="S59" s="16">
        <f>Q59/(E59+L59)</f>
        <v>0.55962829117191537</v>
      </c>
      <c r="T59" s="16"/>
    </row>
    <row r="60" spans="1:26">
      <c r="A60" s="1" t="s">
        <v>86</v>
      </c>
      <c r="C60" s="37">
        <f>DSUM(_xlnm.Database,C3,CRITM)</f>
        <v>510</v>
      </c>
      <c r="D60" s="37"/>
      <c r="E60" s="37">
        <f>DSUM(_xlnm.Database,E3,CRITM)</f>
        <v>1212</v>
      </c>
      <c r="F60" s="16">
        <f>C60/E60</f>
        <v>0.42079207920792078</v>
      </c>
      <c r="J60" s="37">
        <f>DSUM(_xlnm.Database,J3,CRITM)</f>
        <v>195</v>
      </c>
      <c r="K60" s="37"/>
      <c r="L60" s="37">
        <f>DSUM(_xlnm.Database,L3,CRITM)</f>
        <v>486</v>
      </c>
      <c r="M60" s="16">
        <f>J60/L60</f>
        <v>0.40123456790123457</v>
      </c>
      <c r="Q60" s="37">
        <f>DSUM(_xlnm.Database,Q3,CRITM)</f>
        <v>705</v>
      </c>
      <c r="R60" s="37"/>
      <c r="S60" s="16">
        <f>Q60/(E60+L60)</f>
        <v>0.41519434628975266</v>
      </c>
      <c r="T60" s="16"/>
    </row>
    <row r="61" spans="1:26">
      <c r="A61" s="1" t="s">
        <v>87</v>
      </c>
      <c r="C61" s="37">
        <f>DSUM(_xlnm.Database,C3,CRITW)</f>
        <v>406</v>
      </c>
      <c r="D61" s="37"/>
      <c r="E61" s="37">
        <f>DSUM(_xlnm.Database,E3,CRITW)</f>
        <v>871</v>
      </c>
      <c r="F61" s="16">
        <f>C61/E61</f>
        <v>0.46613088404133179</v>
      </c>
      <c r="J61" s="37">
        <f>DSUM(_xlnm.Database,J3,CRITW)</f>
        <v>208</v>
      </c>
      <c r="K61" s="37"/>
      <c r="L61" s="37">
        <f>DSUM(_xlnm.Database,L3,CRITW)</f>
        <v>436</v>
      </c>
      <c r="M61" s="16">
        <f>J61/L61</f>
        <v>0.47706422018348627</v>
      </c>
      <c r="Q61" s="37">
        <f>DSUM(_xlnm.Database,Q3,CRITW)</f>
        <v>614</v>
      </c>
      <c r="R61" s="37"/>
      <c r="S61" s="16">
        <f>Q61/(E61+L61)</f>
        <v>0.46977811782708495</v>
      </c>
      <c r="T61" s="16"/>
    </row>
    <row r="62" spans="1:26">
      <c r="F62" s="16"/>
      <c r="M62" s="16"/>
      <c r="S62" s="16"/>
      <c r="T62" s="16"/>
    </row>
    <row r="63" spans="1:26">
      <c r="F63" s="16"/>
      <c r="M63" s="16"/>
      <c r="S63" s="16"/>
      <c r="T63" s="16"/>
    </row>
    <row r="64" spans="1:26">
      <c r="A64" s="38" t="s">
        <v>88</v>
      </c>
      <c r="C64" s="51" t="s">
        <v>89</v>
      </c>
      <c r="D64" s="51"/>
      <c r="E64" s="51" t="s">
        <v>26</v>
      </c>
      <c r="F64" s="51" t="s">
        <v>90</v>
      </c>
      <c r="M64" s="16"/>
      <c r="S64" s="16"/>
      <c r="T64" s="16"/>
    </row>
    <row r="65" spans="1:20">
      <c r="A65" s="35" t="s">
        <v>81</v>
      </c>
      <c r="C65" s="40">
        <f>C54-Elect2002!C54</f>
        <v>25</v>
      </c>
      <c r="D65" s="40"/>
      <c r="E65" s="40">
        <f>J54-Elect2002!J54</f>
        <v>-3</v>
      </c>
      <c r="F65" s="40">
        <f>Q54-Elect2002!Q54</f>
        <v>22</v>
      </c>
      <c r="M65" s="16"/>
      <c r="S65" s="16"/>
      <c r="T65" s="16"/>
    </row>
    <row r="66" spans="1:20">
      <c r="A66" s="1" t="s">
        <v>83</v>
      </c>
      <c r="C66" s="40">
        <f>C57-Elect2002!C57</f>
        <v>-48</v>
      </c>
      <c r="D66" s="40"/>
      <c r="E66" s="40">
        <f>J57-Elect2002!J57</f>
        <v>-19</v>
      </c>
      <c r="F66" s="40">
        <f>Q57-Elect2002!Q57</f>
        <v>-67</v>
      </c>
      <c r="M66" s="16"/>
      <c r="S66" s="16"/>
      <c r="T66" s="16"/>
    </row>
    <row r="67" spans="1:20">
      <c r="A67" s="1" t="s">
        <v>85</v>
      </c>
      <c r="C67" s="40">
        <f>C59-Elect2002!C59</f>
        <v>49</v>
      </c>
      <c r="D67" s="40"/>
      <c r="E67" s="40">
        <f>J59-Elect2002!J59</f>
        <v>11</v>
      </c>
      <c r="F67" s="40">
        <f>Q59-Elect2002!Q59</f>
        <v>60</v>
      </c>
      <c r="M67" s="16"/>
      <c r="S67" s="16"/>
      <c r="T67" s="16"/>
    </row>
    <row r="68" spans="1:20">
      <c r="A68" s="1" t="s">
        <v>86</v>
      </c>
      <c r="C68" s="40">
        <f>C60-Elect2002!C60</f>
        <v>3</v>
      </c>
      <c r="D68" s="40"/>
      <c r="E68" s="40">
        <f>J60-Elect2002!J60</f>
        <v>-2</v>
      </c>
      <c r="F68" s="40">
        <f>Q60-Elect2002!Q60</f>
        <v>1</v>
      </c>
      <c r="M68" s="16"/>
      <c r="S68" s="16"/>
      <c r="T68" s="16"/>
    </row>
    <row r="69" spans="1:20">
      <c r="A69" s="1" t="s">
        <v>87</v>
      </c>
      <c r="C69" s="40">
        <f>C61-Elect2002!C61</f>
        <v>21</v>
      </c>
      <c r="D69" s="40"/>
      <c r="E69" s="40">
        <f>J61-Elect2002!J61</f>
        <v>7</v>
      </c>
      <c r="F69" s="40">
        <f>Q61-Elect2002!Q61</f>
        <v>28</v>
      </c>
      <c r="M69" s="16"/>
      <c r="S69" s="16"/>
      <c r="T69" s="16"/>
    </row>
    <row r="70" spans="1:20">
      <c r="F70" s="16"/>
      <c r="M70" s="16"/>
      <c r="S70" s="16"/>
      <c r="T70" s="16"/>
    </row>
    <row r="71" spans="1:20">
      <c r="G71" s="8"/>
    </row>
    <row r="72" spans="1:20">
      <c r="A72" s="38" t="s">
        <v>91</v>
      </c>
      <c r="F72" s="1">
        <f>DCOUNTA(_xlnm.Database,"Div?",critdiv)</f>
        <v>29</v>
      </c>
    </row>
    <row r="73" spans="1:20">
      <c r="A73" s="38"/>
    </row>
    <row r="74" spans="1:20">
      <c r="A74" s="38" t="s">
        <v>92</v>
      </c>
      <c r="C74" s="1">
        <f>DCOUNTA(_xlnm.Database,"HSwch",CritHSwch)</f>
        <v>7</v>
      </c>
      <c r="E74" s="1">
        <f>DCOUNTA(_xlnm.Database,"sSwch",CritSSwch)</f>
        <v>7</v>
      </c>
      <c r="F74" s="1">
        <f>SUM(C74:E74)</f>
        <v>14</v>
      </c>
    </row>
    <row r="75" spans="1:20">
      <c r="A75" s="38"/>
      <c r="H75" s="1" t="s">
        <v>110</v>
      </c>
    </row>
    <row r="76" spans="1:20">
      <c r="A76" s="38" t="s">
        <v>93</v>
      </c>
      <c r="C76" s="1">
        <f>DCOUNTA(_xlnm.Database,"hCntrl",CritHCntrlD)</f>
        <v>23</v>
      </c>
      <c r="E76" s="1">
        <f>DCOUNTA(_xlnm.Database,"sCntrl",CritSCntrlD)</f>
        <v>24</v>
      </c>
      <c r="F76" s="1">
        <f>DCOUNTA(_xlnm.Database,"TCntrl",CritTCntrlD)</f>
        <v>19</v>
      </c>
      <c r="H76" s="1">
        <f>C76+E76</f>
        <v>47</v>
      </c>
    </row>
    <row r="77" spans="1:20">
      <c r="A77" s="38" t="s">
        <v>94</v>
      </c>
      <c r="C77" s="1">
        <f>DCOUNTA(_xlnm.Database,"HCntrl",critHCntrlR)</f>
        <v>25</v>
      </c>
      <c r="E77" s="1">
        <f>DCOUNTA(_xlnm.Database,"sCntrl",CritSCntrlR)</f>
        <v>24</v>
      </c>
      <c r="F77" s="1">
        <f>DCOUNTA(_xlnm.Database,"TCntrl",CritTCntrlR)</f>
        <v>20</v>
      </c>
      <c r="H77" s="1">
        <f>C77+E77</f>
        <v>49</v>
      </c>
    </row>
    <row r="78" spans="1:20">
      <c r="A78" s="38" t="s">
        <v>95</v>
      </c>
      <c r="F78" s="1">
        <f>DCOUNTA(_xlnm.Database,"TCntrl",CritTCntrlS)</f>
        <v>10</v>
      </c>
    </row>
    <row r="79" spans="1:20">
      <c r="A79" s="38"/>
    </row>
    <row r="80" spans="1:20">
      <c r="A80" s="38" t="s">
        <v>96</v>
      </c>
      <c r="F80" s="1">
        <f>DCOUNTA(_xlnm.Database,"Gov",CritGovD)</f>
        <v>22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0.22385236953574641</v>
      </c>
      <c r="D84" s="16"/>
      <c r="E84" s="16">
        <f>DAVERAGE(_xlnm.Database,"SMargin",critRGS)</f>
        <v>0.23557920143796041</v>
      </c>
      <c r="F84" s="16">
        <f>DAVERAGE(_xlnm.Database,"Margin",critRGS)</f>
        <v>0.21372007689992248</v>
      </c>
      <c r="G84" s="16"/>
    </row>
    <row r="85" spans="1:20">
      <c r="A85" s="1" t="s">
        <v>84</v>
      </c>
      <c r="C85" s="16">
        <f>DAVERAGE(_xlnm.Database,"HMargin",CritRGN)</f>
        <v>0.25967778778438838</v>
      </c>
      <c r="D85" s="16"/>
      <c r="E85" s="16">
        <f>DAVERAGE(_xlnm.Database,"SMargin",CritRGN)</f>
        <v>0.27471439941024056</v>
      </c>
      <c r="F85" s="16">
        <f>DAVERAGE(_xlnm.Database,"Margin",CritRGN)</f>
        <v>0.24660137229762255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0.49883491893594584</v>
      </c>
    </row>
    <row r="88" spans="1:20">
      <c r="A88" s="41" t="s">
        <v>98</v>
      </c>
      <c r="T88" s="16">
        <f>AVERAGE(T4:T53)</f>
        <v>0.23653566962485723</v>
      </c>
    </row>
    <row r="89" spans="1:20">
      <c r="A89" s="1" t="s">
        <v>99</v>
      </c>
      <c r="C89" s="1">
        <f>DCOUNT(_xlnm.Database,F3,CritHD55)</f>
        <v>12</v>
      </c>
      <c r="E89" s="1">
        <f>DCOUNT(_xlnm.Database,M3,CritSD55)</f>
        <v>11</v>
      </c>
      <c r="F89" s="1">
        <f>SUM(C89:E89)</f>
        <v>23</v>
      </c>
    </row>
    <row r="92" spans="1:20">
      <c r="A92" s="1" t="s">
        <v>100</v>
      </c>
      <c r="C92" s="1">
        <f>DCOUNTA(_xlnm.Database,"Div?",CritUnifD)</f>
        <v>8</v>
      </c>
    </row>
    <row r="93" spans="1:20">
      <c r="A93" s="1" t="s">
        <v>101</v>
      </c>
      <c r="C93" s="1">
        <f>DCOUNTA(_xlnm.Database,"Div?",CritUnifR)</f>
        <v>12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B51D-87AA-43AB-A445-3174F94705AF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1" width="5.5" style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2006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18</v>
      </c>
      <c r="R3" s="8" t="s">
        <v>19</v>
      </c>
      <c r="S3" s="9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>
      <c r="A4" s="12" t="s">
        <v>25</v>
      </c>
      <c r="B4" s="13" t="s">
        <v>26</v>
      </c>
      <c r="C4" s="52">
        <v>62</v>
      </c>
      <c r="D4" s="52">
        <v>43</v>
      </c>
      <c r="E4" s="43">
        <v>105</v>
      </c>
      <c r="F4" s="16">
        <f t="shared" ref="F4:F29" si="0">C4/E4</f>
        <v>0.59047619047619049</v>
      </c>
      <c r="G4" s="16">
        <f t="shared" ref="G4:G29" si="1">ABS(F4-(1-F4))</f>
        <v>0.18095238095238098</v>
      </c>
      <c r="H4" s="1" t="str">
        <f t="shared" ref="H4:H28" si="2">IF(F4&gt;0.5,"D",IF(F4=0.5,"T","R"))</f>
        <v>D</v>
      </c>
      <c r="I4" s="17" t="str">
        <f>IF(Elect2004!H4=H4,"N","Y")</f>
        <v>N</v>
      </c>
      <c r="J4" s="52">
        <v>23</v>
      </c>
      <c r="K4" s="52">
        <v>12</v>
      </c>
      <c r="L4" s="43">
        <v>35</v>
      </c>
      <c r="M4" s="16">
        <f t="shared" ref="M4:M29" si="3">J4/L4</f>
        <v>0.65714285714285714</v>
      </c>
      <c r="N4" s="16">
        <f t="shared" ref="N4:N29" si="4">ABS(M4-(1-M4))</f>
        <v>0.31428571428571428</v>
      </c>
      <c r="O4" s="1" t="str">
        <f t="shared" ref="O4:O29" si="5">IF(M4&gt;0.5,"D",IF(M4=0.5,"T","R"))</f>
        <v>D</v>
      </c>
      <c r="P4" s="17" t="str">
        <f>IF(Elect2004!O4=O4,"N","Y")</f>
        <v>N</v>
      </c>
      <c r="Q4" s="1">
        <f t="shared" ref="Q4:R29" si="6">C4+J4</f>
        <v>85</v>
      </c>
      <c r="R4" s="1">
        <f t="shared" si="6"/>
        <v>55</v>
      </c>
      <c r="S4" s="16">
        <f t="shared" ref="S4:S29" si="7">Q4/(E4+L4)</f>
        <v>0.6071428571428571</v>
      </c>
      <c r="T4" s="16">
        <f t="shared" ref="T4:T29" si="8">ABS(S4-(1-S4))</f>
        <v>0.21428571428571419</v>
      </c>
      <c r="U4" s="1" t="str">
        <f t="shared" ref="U4:U29" si="9">IF(H4=O4,O4,"S")</f>
        <v>D</v>
      </c>
      <c r="V4" s="53" t="s">
        <v>19</v>
      </c>
      <c r="W4" s="1" t="str">
        <f t="shared" ref="W4:W29" si="10">IF(V4=U4,"U","D")</f>
        <v>D</v>
      </c>
      <c r="X4" s="1">
        <f>C4-Elect2004!C4</f>
        <v>-1</v>
      </c>
      <c r="Y4" s="1">
        <f>J4-Elect2004!J4</f>
        <v>-2</v>
      </c>
      <c r="Z4" s="1">
        <f>X4+Y4</f>
        <v>-3</v>
      </c>
    </row>
    <row r="5" spans="1:26">
      <c r="A5" s="12" t="s">
        <v>27</v>
      </c>
      <c r="B5" s="13" t="s">
        <v>28</v>
      </c>
      <c r="C5" s="52">
        <v>17</v>
      </c>
      <c r="D5" s="52">
        <v>23</v>
      </c>
      <c r="E5" s="43">
        <v>40</v>
      </c>
      <c r="F5" s="16">
        <f t="shared" si="0"/>
        <v>0.42499999999999999</v>
      </c>
      <c r="G5" s="16">
        <f t="shared" si="1"/>
        <v>0.14999999999999997</v>
      </c>
      <c r="H5" s="1" t="str">
        <f t="shared" si="2"/>
        <v>R</v>
      </c>
      <c r="I5" s="17" t="str">
        <f>IF(Elect2004!H5=H5,"N","Y")</f>
        <v>N</v>
      </c>
      <c r="J5" s="52">
        <v>9</v>
      </c>
      <c r="K5" s="52">
        <v>11</v>
      </c>
      <c r="L5" s="43">
        <v>20</v>
      </c>
      <c r="M5" s="16">
        <f t="shared" si="3"/>
        <v>0.45</v>
      </c>
      <c r="N5" s="16">
        <f t="shared" si="4"/>
        <v>0.10000000000000003</v>
      </c>
      <c r="O5" s="1" t="str">
        <f t="shared" si="5"/>
        <v>R</v>
      </c>
      <c r="P5" s="17" t="str">
        <f>IF(Elect2004!O5=O5,"N","Y")</f>
        <v>N</v>
      </c>
      <c r="Q5" s="1">
        <f t="shared" si="6"/>
        <v>26</v>
      </c>
      <c r="R5" s="1">
        <f t="shared" si="6"/>
        <v>34</v>
      </c>
      <c r="S5" s="16">
        <f t="shared" si="7"/>
        <v>0.43333333333333335</v>
      </c>
      <c r="T5" s="16">
        <f t="shared" si="8"/>
        <v>0.1333333333333333</v>
      </c>
      <c r="U5" s="1" t="str">
        <f t="shared" si="9"/>
        <v>R</v>
      </c>
      <c r="V5" s="53" t="s">
        <v>19</v>
      </c>
      <c r="W5" s="1" t="str">
        <f t="shared" si="10"/>
        <v>U</v>
      </c>
      <c r="X5" s="1">
        <f>C5-Elect2004!C5</f>
        <v>3</v>
      </c>
      <c r="Y5" s="1">
        <f>J5-Elect2004!J5</f>
        <v>1</v>
      </c>
      <c r="Z5" s="1">
        <f t="shared" ref="Z5:Z53" si="11">X5+Y5</f>
        <v>4</v>
      </c>
    </row>
    <row r="6" spans="1:26">
      <c r="A6" s="12" t="s">
        <v>29</v>
      </c>
      <c r="B6" s="13" t="s">
        <v>28</v>
      </c>
      <c r="C6" s="52">
        <v>28</v>
      </c>
      <c r="D6" s="52">
        <v>32</v>
      </c>
      <c r="E6" s="43">
        <v>60</v>
      </c>
      <c r="F6" s="16">
        <f t="shared" si="0"/>
        <v>0.46666666666666667</v>
      </c>
      <c r="G6" s="16">
        <f t="shared" si="1"/>
        <v>6.6666666666666652E-2</v>
      </c>
      <c r="H6" s="1" t="str">
        <f t="shared" si="2"/>
        <v>R</v>
      </c>
      <c r="I6" s="17" t="str">
        <f>IF(Elect2004!H6=H6,"N","Y")</f>
        <v>N</v>
      </c>
      <c r="J6" s="52">
        <v>12</v>
      </c>
      <c r="K6" s="52">
        <v>18</v>
      </c>
      <c r="L6" s="43">
        <v>30</v>
      </c>
      <c r="M6" s="16">
        <f t="shared" si="3"/>
        <v>0.4</v>
      </c>
      <c r="N6" s="16">
        <f t="shared" si="4"/>
        <v>0.19999999999999996</v>
      </c>
      <c r="O6" s="1" t="str">
        <f t="shared" si="5"/>
        <v>R</v>
      </c>
      <c r="P6" s="17" t="str">
        <f>IF(Elect2004!O6=O6,"N","Y")</f>
        <v>N</v>
      </c>
      <c r="Q6" s="1">
        <f t="shared" si="6"/>
        <v>40</v>
      </c>
      <c r="R6" s="1">
        <f t="shared" si="6"/>
        <v>50</v>
      </c>
      <c r="S6" s="16">
        <f t="shared" si="7"/>
        <v>0.44444444444444442</v>
      </c>
      <c r="T6" s="16">
        <f t="shared" si="8"/>
        <v>0.11111111111111116</v>
      </c>
      <c r="U6" s="1" t="str">
        <f t="shared" si="9"/>
        <v>R</v>
      </c>
      <c r="V6" s="53" t="s">
        <v>18</v>
      </c>
      <c r="W6" s="1" t="str">
        <f t="shared" si="10"/>
        <v>D</v>
      </c>
      <c r="X6" s="1">
        <f>C6-Elect2004!C6</f>
        <v>6</v>
      </c>
      <c r="Y6" s="1">
        <f>J6-Elect2004!J6</f>
        <v>0</v>
      </c>
      <c r="Z6" s="1">
        <f t="shared" si="11"/>
        <v>6</v>
      </c>
    </row>
    <row r="7" spans="1:26">
      <c r="A7" s="12" t="s">
        <v>30</v>
      </c>
      <c r="B7" s="13" t="s">
        <v>26</v>
      </c>
      <c r="C7" s="52">
        <v>75</v>
      </c>
      <c r="D7" s="52">
        <v>25</v>
      </c>
      <c r="E7" s="43">
        <v>100</v>
      </c>
      <c r="F7" s="16">
        <f t="shared" si="0"/>
        <v>0.75</v>
      </c>
      <c r="G7" s="16">
        <f t="shared" si="1"/>
        <v>0.5</v>
      </c>
      <c r="H7" s="1" t="str">
        <f t="shared" si="2"/>
        <v>D</v>
      </c>
      <c r="I7" s="17" t="str">
        <f>IF(Elect2004!H7=H7,"N","Y")</f>
        <v>N</v>
      </c>
      <c r="J7" s="52">
        <v>27</v>
      </c>
      <c r="K7" s="52">
        <v>8</v>
      </c>
      <c r="L7" s="43">
        <v>35</v>
      </c>
      <c r="M7" s="16">
        <f t="shared" si="3"/>
        <v>0.77142857142857146</v>
      </c>
      <c r="N7" s="16">
        <f t="shared" si="4"/>
        <v>0.54285714285714293</v>
      </c>
      <c r="O7" s="1" t="str">
        <f t="shared" si="5"/>
        <v>D</v>
      </c>
      <c r="P7" s="17" t="str">
        <f>IF(Elect2004!O7=O7,"N","Y")</f>
        <v>N</v>
      </c>
      <c r="Q7" s="1">
        <f t="shared" si="6"/>
        <v>102</v>
      </c>
      <c r="R7" s="1">
        <f t="shared" si="6"/>
        <v>33</v>
      </c>
      <c r="S7" s="16">
        <f t="shared" si="7"/>
        <v>0.75555555555555554</v>
      </c>
      <c r="T7" s="16">
        <f t="shared" si="8"/>
        <v>0.51111111111111107</v>
      </c>
      <c r="U7" s="1" t="str">
        <f t="shared" si="9"/>
        <v>D</v>
      </c>
      <c r="V7" s="53" t="s">
        <v>18</v>
      </c>
      <c r="W7" s="1" t="str">
        <f t="shared" si="10"/>
        <v>U</v>
      </c>
      <c r="X7" s="1">
        <f>C7-Elect2004!C7</f>
        <v>3</v>
      </c>
      <c r="Y7" s="1">
        <f>J7-Elect2004!J7</f>
        <v>0</v>
      </c>
      <c r="Z7" s="1">
        <f t="shared" si="11"/>
        <v>3</v>
      </c>
    </row>
    <row r="8" spans="1:26">
      <c r="A8" s="12" t="s">
        <v>31</v>
      </c>
      <c r="B8" s="13" t="s">
        <v>28</v>
      </c>
      <c r="C8" s="54">
        <v>47</v>
      </c>
      <c r="D8" s="54">
        <v>33</v>
      </c>
      <c r="E8" s="45">
        <v>80</v>
      </c>
      <c r="F8" s="16">
        <f t="shared" si="0"/>
        <v>0.58750000000000002</v>
      </c>
      <c r="G8" s="16">
        <f t="shared" si="1"/>
        <v>0.17500000000000004</v>
      </c>
      <c r="H8" s="1" t="str">
        <f t="shared" si="2"/>
        <v>D</v>
      </c>
      <c r="I8" s="17" t="str">
        <f>IF(Elect2004!H8=H8,"N","Y")</f>
        <v>N</v>
      </c>
      <c r="J8" s="54">
        <v>24</v>
      </c>
      <c r="K8" s="54">
        <v>16</v>
      </c>
      <c r="L8" s="45">
        <v>40</v>
      </c>
      <c r="M8" s="16">
        <f t="shared" si="3"/>
        <v>0.6</v>
      </c>
      <c r="N8" s="16">
        <f t="shared" si="4"/>
        <v>0.19999999999999996</v>
      </c>
      <c r="O8" s="1" t="str">
        <f t="shared" si="5"/>
        <v>D</v>
      </c>
      <c r="P8" s="17" t="str">
        <f>IF(Elect2004!O8=O8,"N","Y")</f>
        <v>N</v>
      </c>
      <c r="Q8" s="1">
        <f t="shared" si="6"/>
        <v>71</v>
      </c>
      <c r="R8" s="1">
        <f t="shared" si="6"/>
        <v>49</v>
      </c>
      <c r="S8" s="16">
        <f t="shared" si="7"/>
        <v>0.59166666666666667</v>
      </c>
      <c r="T8" s="16">
        <f t="shared" si="8"/>
        <v>0.18333333333333335</v>
      </c>
      <c r="U8" s="1" t="str">
        <f t="shared" si="9"/>
        <v>D</v>
      </c>
      <c r="V8" s="55" t="s">
        <v>19</v>
      </c>
      <c r="W8" s="1" t="str">
        <f t="shared" si="10"/>
        <v>D</v>
      </c>
      <c r="X8" s="1">
        <f>C8-Elect2004!C8</f>
        <v>-1</v>
      </c>
      <c r="Y8" s="1">
        <f>J8-Elect2004!J8</f>
        <v>-1</v>
      </c>
      <c r="Z8" s="1">
        <f t="shared" si="11"/>
        <v>-2</v>
      </c>
    </row>
    <row r="9" spans="1:26">
      <c r="A9" s="12" t="s">
        <v>32</v>
      </c>
      <c r="B9" s="13" t="s">
        <v>28</v>
      </c>
      <c r="C9" s="56">
        <v>39</v>
      </c>
      <c r="D9" s="56">
        <v>26</v>
      </c>
      <c r="E9" s="47">
        <v>65</v>
      </c>
      <c r="F9" s="16">
        <f t="shared" si="0"/>
        <v>0.6</v>
      </c>
      <c r="G9" s="16">
        <f t="shared" si="1"/>
        <v>0.19999999999999996</v>
      </c>
      <c r="H9" s="1" t="str">
        <f t="shared" si="2"/>
        <v>D</v>
      </c>
      <c r="I9" s="17" t="str">
        <f>IF(Elect2004!H9=H9,"N","Y")</f>
        <v>N</v>
      </c>
      <c r="J9" s="56">
        <v>20</v>
      </c>
      <c r="K9" s="56">
        <v>15</v>
      </c>
      <c r="L9" s="47">
        <v>35</v>
      </c>
      <c r="M9" s="16">
        <f t="shared" si="3"/>
        <v>0.5714285714285714</v>
      </c>
      <c r="N9" s="16">
        <f t="shared" si="4"/>
        <v>0.14285714285714279</v>
      </c>
      <c r="O9" s="1" t="str">
        <f t="shared" si="5"/>
        <v>D</v>
      </c>
      <c r="P9" s="17" t="str">
        <f>IF(Elect2004!O9=O9,"N","Y")</f>
        <v>N</v>
      </c>
      <c r="Q9" s="1">
        <f t="shared" si="6"/>
        <v>59</v>
      </c>
      <c r="R9" s="1">
        <f t="shared" si="6"/>
        <v>41</v>
      </c>
      <c r="S9" s="16">
        <f t="shared" si="7"/>
        <v>0.59</v>
      </c>
      <c r="T9" s="16">
        <f t="shared" si="8"/>
        <v>0.17999999999999994</v>
      </c>
      <c r="U9" s="1" t="str">
        <f t="shared" si="9"/>
        <v>D</v>
      </c>
      <c r="V9" s="57" t="s">
        <v>18</v>
      </c>
      <c r="W9" s="1" t="str">
        <f t="shared" si="10"/>
        <v>U</v>
      </c>
      <c r="X9" s="1">
        <f>C9-Elect2004!C9</f>
        <v>4</v>
      </c>
      <c r="Y9" s="1">
        <f>J9-Elect2004!J9</f>
        <v>2</v>
      </c>
      <c r="Z9" s="1">
        <f t="shared" si="11"/>
        <v>6</v>
      </c>
    </row>
    <row r="10" spans="1:26">
      <c r="A10" s="12" t="s">
        <v>33</v>
      </c>
      <c r="B10" s="13" t="s">
        <v>34</v>
      </c>
      <c r="C10" s="52">
        <v>106</v>
      </c>
      <c r="D10" s="52">
        <v>45</v>
      </c>
      <c r="E10" s="43">
        <v>151</v>
      </c>
      <c r="F10" s="16">
        <f t="shared" si="0"/>
        <v>0.70198675496688745</v>
      </c>
      <c r="G10" s="16">
        <f t="shared" si="1"/>
        <v>0.4039735099337749</v>
      </c>
      <c r="H10" s="1" t="str">
        <f t="shared" si="2"/>
        <v>D</v>
      </c>
      <c r="I10" s="17" t="str">
        <f>IF(Elect2004!H10=H10,"N","Y")</f>
        <v>N</v>
      </c>
      <c r="J10" s="52">
        <v>24</v>
      </c>
      <c r="K10" s="52">
        <v>12</v>
      </c>
      <c r="L10" s="43">
        <v>36</v>
      </c>
      <c r="M10" s="16">
        <f t="shared" si="3"/>
        <v>0.66666666666666663</v>
      </c>
      <c r="N10" s="16">
        <f t="shared" si="4"/>
        <v>0.33333333333333326</v>
      </c>
      <c r="O10" s="1" t="str">
        <f t="shared" si="5"/>
        <v>D</v>
      </c>
      <c r="P10" s="17" t="str">
        <f>IF(Elect2004!O10=O10,"N","Y")</f>
        <v>N</v>
      </c>
      <c r="Q10" s="1">
        <f t="shared" si="6"/>
        <v>130</v>
      </c>
      <c r="R10" s="1">
        <f t="shared" si="6"/>
        <v>57</v>
      </c>
      <c r="S10" s="16">
        <f t="shared" si="7"/>
        <v>0.69518716577540107</v>
      </c>
      <c r="T10" s="16">
        <f t="shared" si="8"/>
        <v>0.39037433155080214</v>
      </c>
      <c r="U10" s="1" t="str">
        <f t="shared" si="9"/>
        <v>D</v>
      </c>
      <c r="V10" s="53" t="s">
        <v>19</v>
      </c>
      <c r="W10" s="1" t="str">
        <f t="shared" si="10"/>
        <v>D</v>
      </c>
      <c r="X10" s="1">
        <f>C10-Elect2004!C10</f>
        <v>7</v>
      </c>
      <c r="Y10" s="1">
        <f>J10-Elect2004!J10</f>
        <v>0</v>
      </c>
      <c r="Z10" s="1">
        <f t="shared" si="11"/>
        <v>7</v>
      </c>
    </row>
    <row r="11" spans="1:26">
      <c r="A11" s="12" t="s">
        <v>35</v>
      </c>
      <c r="B11" s="13" t="s">
        <v>34</v>
      </c>
      <c r="C11" s="52">
        <v>18</v>
      </c>
      <c r="D11" s="52">
        <v>23</v>
      </c>
      <c r="E11" s="43">
        <v>41</v>
      </c>
      <c r="F11" s="16">
        <f t="shared" si="0"/>
        <v>0.43902439024390244</v>
      </c>
      <c r="G11" s="16">
        <f t="shared" si="1"/>
        <v>0.12195121951219517</v>
      </c>
      <c r="H11" s="1" t="str">
        <f t="shared" si="2"/>
        <v>R</v>
      </c>
      <c r="I11" s="17" t="str">
        <f>IF(Elect2004!H11=H11,"N","Y")</f>
        <v>N</v>
      </c>
      <c r="J11" s="52">
        <v>13</v>
      </c>
      <c r="K11" s="52">
        <v>8</v>
      </c>
      <c r="L11" s="43">
        <v>21</v>
      </c>
      <c r="M11" s="16">
        <f t="shared" si="3"/>
        <v>0.61904761904761907</v>
      </c>
      <c r="N11" s="16">
        <f t="shared" si="4"/>
        <v>0.23809523809523814</v>
      </c>
      <c r="O11" s="1" t="str">
        <f t="shared" si="5"/>
        <v>D</v>
      </c>
      <c r="P11" s="17" t="str">
        <f>IF(Elect2004!O11=O11,"N","Y")</f>
        <v>N</v>
      </c>
      <c r="Q11" s="1">
        <f t="shared" si="6"/>
        <v>31</v>
      </c>
      <c r="R11" s="1">
        <f t="shared" si="6"/>
        <v>31</v>
      </c>
      <c r="S11" s="16">
        <f t="shared" si="7"/>
        <v>0.5</v>
      </c>
      <c r="T11" s="16">
        <f t="shared" si="8"/>
        <v>0</v>
      </c>
      <c r="U11" s="1" t="str">
        <f t="shared" si="9"/>
        <v>S</v>
      </c>
      <c r="V11" s="53" t="s">
        <v>18</v>
      </c>
      <c r="W11" s="1" t="str">
        <f t="shared" si="10"/>
        <v>D</v>
      </c>
      <c r="X11" s="1">
        <f>C11-Elect2004!C11</f>
        <v>3</v>
      </c>
      <c r="Y11" s="1">
        <f>J11-Elect2004!J11</f>
        <v>0</v>
      </c>
      <c r="Z11" s="1">
        <f t="shared" si="11"/>
        <v>3</v>
      </c>
    </row>
    <row r="12" spans="1:26">
      <c r="A12" s="12" t="s">
        <v>36</v>
      </c>
      <c r="B12" s="13" t="s">
        <v>26</v>
      </c>
      <c r="C12" s="52">
        <v>42</v>
      </c>
      <c r="D12" s="52">
        <v>78</v>
      </c>
      <c r="E12" s="43">
        <v>120</v>
      </c>
      <c r="F12" s="16">
        <f t="shared" si="0"/>
        <v>0.35</v>
      </c>
      <c r="G12" s="16">
        <f t="shared" si="1"/>
        <v>0.30000000000000004</v>
      </c>
      <c r="H12" s="1" t="str">
        <f t="shared" si="2"/>
        <v>R</v>
      </c>
      <c r="I12" s="17" t="str">
        <f>IF(Elect2004!H12=H12,"N","Y")</f>
        <v>N</v>
      </c>
      <c r="J12" s="52">
        <v>14</v>
      </c>
      <c r="K12" s="52">
        <v>26</v>
      </c>
      <c r="L12" s="43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IF(Elect2004!O12=O12,"N","Y")</f>
        <v>N</v>
      </c>
      <c r="Q12" s="1">
        <f t="shared" si="6"/>
        <v>56</v>
      </c>
      <c r="R12" s="1">
        <f t="shared" si="6"/>
        <v>104</v>
      </c>
      <c r="S12" s="16">
        <f t="shared" si="7"/>
        <v>0.35</v>
      </c>
      <c r="T12" s="16">
        <f t="shared" si="8"/>
        <v>0.30000000000000004</v>
      </c>
      <c r="U12" s="1" t="str">
        <f t="shared" si="9"/>
        <v>R</v>
      </c>
      <c r="V12" s="53" t="s">
        <v>19</v>
      </c>
      <c r="W12" s="1" t="str">
        <f t="shared" si="10"/>
        <v>U</v>
      </c>
      <c r="X12" s="1">
        <f>C12-Elect2004!C12</f>
        <v>6</v>
      </c>
      <c r="Y12" s="1">
        <f>J12-Elect2004!J12</f>
        <v>0</v>
      </c>
      <c r="Z12" s="1">
        <f t="shared" si="11"/>
        <v>6</v>
      </c>
    </row>
    <row r="13" spans="1:26">
      <c r="A13" s="12" t="s">
        <v>37</v>
      </c>
      <c r="B13" s="13" t="s">
        <v>26</v>
      </c>
      <c r="C13" s="54">
        <v>74</v>
      </c>
      <c r="D13" s="54">
        <v>106</v>
      </c>
      <c r="E13" s="45">
        <v>180</v>
      </c>
      <c r="F13" s="16">
        <f t="shared" si="0"/>
        <v>0.41111111111111109</v>
      </c>
      <c r="G13" s="16">
        <f t="shared" si="1"/>
        <v>0.17777777777777781</v>
      </c>
      <c r="H13" s="1" t="str">
        <f t="shared" si="2"/>
        <v>R</v>
      </c>
      <c r="I13" s="17" t="str">
        <f>IF(Elect2004!H13=H13,"N","Y")</f>
        <v>N</v>
      </c>
      <c r="J13" s="54">
        <v>22</v>
      </c>
      <c r="K13" s="54">
        <v>34</v>
      </c>
      <c r="L13" s="45">
        <v>56</v>
      </c>
      <c r="M13" s="16">
        <f t="shared" si="3"/>
        <v>0.39285714285714285</v>
      </c>
      <c r="N13" s="16">
        <f t="shared" si="4"/>
        <v>0.21428571428571436</v>
      </c>
      <c r="O13" s="1" t="str">
        <f t="shared" si="5"/>
        <v>R</v>
      </c>
      <c r="P13" s="17" t="str">
        <f>IF(Elect2004!O13=O13,"N","Y")</f>
        <v>N</v>
      </c>
      <c r="Q13" s="1">
        <f t="shared" si="6"/>
        <v>96</v>
      </c>
      <c r="R13" s="1">
        <f t="shared" si="6"/>
        <v>140</v>
      </c>
      <c r="S13" s="16">
        <f t="shared" si="7"/>
        <v>0.40677966101694918</v>
      </c>
      <c r="T13" s="16">
        <f t="shared" si="8"/>
        <v>0.18644067796610164</v>
      </c>
      <c r="U13" s="1" t="str">
        <f t="shared" si="9"/>
        <v>R</v>
      </c>
      <c r="V13" s="55" t="s">
        <v>19</v>
      </c>
      <c r="W13" s="1" t="str">
        <f t="shared" si="10"/>
        <v>U</v>
      </c>
      <c r="X13" s="1">
        <f>C13-Elect2004!C13</f>
        <v>-7</v>
      </c>
      <c r="Y13" s="1">
        <f>J13-Elect2004!J13</f>
        <v>-1</v>
      </c>
      <c r="Z13" s="1">
        <f t="shared" si="11"/>
        <v>-8</v>
      </c>
    </row>
    <row r="14" spans="1:26">
      <c r="A14" s="12" t="s">
        <v>38</v>
      </c>
      <c r="B14" s="13" t="s">
        <v>28</v>
      </c>
      <c r="C14" s="56">
        <v>43</v>
      </c>
      <c r="D14" s="56">
        <v>8</v>
      </c>
      <c r="E14" s="47">
        <v>51</v>
      </c>
      <c r="F14" s="16">
        <f t="shared" si="0"/>
        <v>0.84313725490196079</v>
      </c>
      <c r="G14" s="16">
        <f t="shared" si="1"/>
        <v>0.68627450980392157</v>
      </c>
      <c r="H14" s="1" t="str">
        <f t="shared" si="2"/>
        <v>D</v>
      </c>
      <c r="I14" s="17" t="str">
        <f>IF(Elect2004!H14=H14,"N","Y")</f>
        <v>N</v>
      </c>
      <c r="J14" s="56">
        <v>20</v>
      </c>
      <c r="K14" s="56">
        <v>5</v>
      </c>
      <c r="L14" s="47">
        <v>25</v>
      </c>
      <c r="M14" s="16">
        <f t="shared" si="3"/>
        <v>0.8</v>
      </c>
      <c r="N14" s="16">
        <f t="shared" si="4"/>
        <v>0.60000000000000009</v>
      </c>
      <c r="O14" s="1" t="str">
        <f t="shared" si="5"/>
        <v>D</v>
      </c>
      <c r="P14" s="17" t="str">
        <f>IF(Elect2004!O14=O14,"N","Y")</f>
        <v>N</v>
      </c>
      <c r="Q14" s="1">
        <f t="shared" si="6"/>
        <v>63</v>
      </c>
      <c r="R14" s="1">
        <f t="shared" si="6"/>
        <v>13</v>
      </c>
      <c r="S14" s="16">
        <f t="shared" si="7"/>
        <v>0.82894736842105265</v>
      </c>
      <c r="T14" s="16">
        <f t="shared" si="8"/>
        <v>0.65789473684210531</v>
      </c>
      <c r="U14" s="1" t="str">
        <f t="shared" si="9"/>
        <v>D</v>
      </c>
      <c r="V14" s="57" t="s">
        <v>19</v>
      </c>
      <c r="W14" s="1" t="str">
        <f t="shared" si="10"/>
        <v>D</v>
      </c>
      <c r="X14" s="1">
        <f>C14-Elect2004!C14</f>
        <v>2</v>
      </c>
      <c r="Y14" s="1">
        <f>J14-Elect2004!J14</f>
        <v>0</v>
      </c>
      <c r="Z14" s="1">
        <f t="shared" si="11"/>
        <v>2</v>
      </c>
    </row>
    <row r="15" spans="1:26">
      <c r="A15" s="12" t="s">
        <v>39</v>
      </c>
      <c r="B15" s="13" t="s">
        <v>28</v>
      </c>
      <c r="C15" s="52">
        <v>19</v>
      </c>
      <c r="D15" s="52">
        <v>51</v>
      </c>
      <c r="E15" s="43">
        <v>70</v>
      </c>
      <c r="F15" s="16">
        <f t="shared" si="0"/>
        <v>0.27142857142857141</v>
      </c>
      <c r="G15" s="16">
        <f t="shared" si="1"/>
        <v>0.45714285714285724</v>
      </c>
      <c r="H15" s="1" t="str">
        <f t="shared" si="2"/>
        <v>R</v>
      </c>
      <c r="I15" s="17" t="str">
        <f>IF(Elect2004!H15=H15,"N","Y")</f>
        <v>N</v>
      </c>
      <c r="J15" s="52">
        <v>7</v>
      </c>
      <c r="K15" s="52">
        <v>28</v>
      </c>
      <c r="L15" s="43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IF(Elect2004!O15=O15,"N","Y")</f>
        <v>N</v>
      </c>
      <c r="Q15" s="1">
        <f t="shared" si="6"/>
        <v>26</v>
      </c>
      <c r="R15" s="1">
        <f t="shared" si="6"/>
        <v>79</v>
      </c>
      <c r="S15" s="16">
        <f t="shared" si="7"/>
        <v>0.24761904761904763</v>
      </c>
      <c r="T15" s="16">
        <f t="shared" si="8"/>
        <v>0.50476190476190474</v>
      </c>
      <c r="U15" s="1" t="str">
        <f t="shared" si="9"/>
        <v>R</v>
      </c>
      <c r="V15" s="53" t="s">
        <v>19</v>
      </c>
      <c r="W15" s="1" t="str">
        <f t="shared" si="10"/>
        <v>U</v>
      </c>
      <c r="X15" s="1">
        <f>C15-Elect2004!C15</f>
        <v>6</v>
      </c>
      <c r="Y15" s="1">
        <f>J15-Elect2004!J15</f>
        <v>0</v>
      </c>
      <c r="Z15" s="1">
        <f t="shared" si="11"/>
        <v>6</v>
      </c>
    </row>
    <row r="16" spans="1:26">
      <c r="A16" s="12" t="s">
        <v>40</v>
      </c>
      <c r="B16" s="13" t="s">
        <v>41</v>
      </c>
      <c r="C16" s="52">
        <v>66</v>
      </c>
      <c r="D16" s="52">
        <v>52</v>
      </c>
      <c r="E16" s="43">
        <v>118</v>
      </c>
      <c r="F16" s="16">
        <f t="shared" si="0"/>
        <v>0.55932203389830504</v>
      </c>
      <c r="G16" s="16">
        <f t="shared" si="1"/>
        <v>0.11864406779661008</v>
      </c>
      <c r="H16" s="1" t="str">
        <f t="shared" si="2"/>
        <v>D</v>
      </c>
      <c r="I16" s="17" t="str">
        <f>IF(Elect2004!H16=H16,"N","Y")</f>
        <v>N</v>
      </c>
      <c r="J16" s="52">
        <v>37</v>
      </c>
      <c r="K16" s="52">
        <v>22</v>
      </c>
      <c r="L16" s="43">
        <v>59</v>
      </c>
      <c r="M16" s="16">
        <f t="shared" si="3"/>
        <v>0.6271186440677966</v>
      </c>
      <c r="N16" s="16">
        <f t="shared" si="4"/>
        <v>0.25423728813559321</v>
      </c>
      <c r="O16" s="1" t="str">
        <f t="shared" si="5"/>
        <v>D</v>
      </c>
      <c r="P16" s="17" t="str">
        <f>IF(Elect2004!O16=O16,"N","Y")</f>
        <v>N</v>
      </c>
      <c r="Q16" s="1">
        <f t="shared" si="6"/>
        <v>103</v>
      </c>
      <c r="R16" s="1">
        <f t="shared" si="6"/>
        <v>74</v>
      </c>
      <c r="S16" s="16">
        <f t="shared" si="7"/>
        <v>0.58192090395480223</v>
      </c>
      <c r="T16" s="16">
        <f t="shared" si="8"/>
        <v>0.16384180790960445</v>
      </c>
      <c r="U16" s="1" t="str">
        <f t="shared" si="9"/>
        <v>D</v>
      </c>
      <c r="V16" s="53" t="s">
        <v>18</v>
      </c>
      <c r="W16" s="1" t="str">
        <f t="shared" si="10"/>
        <v>U</v>
      </c>
      <c r="X16" s="1">
        <f>C16-Elect2004!C16</f>
        <v>1</v>
      </c>
      <c r="Y16" s="1">
        <f>J16-Elect2004!J16</f>
        <v>6</v>
      </c>
      <c r="Z16" s="1">
        <f t="shared" si="11"/>
        <v>7</v>
      </c>
    </row>
    <row r="17" spans="1:26">
      <c r="A17" s="12" t="s">
        <v>42</v>
      </c>
      <c r="B17" s="13" t="s">
        <v>41</v>
      </c>
      <c r="C17" s="52">
        <v>51</v>
      </c>
      <c r="D17" s="52">
        <v>49</v>
      </c>
      <c r="E17" s="43">
        <v>100</v>
      </c>
      <c r="F17" s="16">
        <f t="shared" si="0"/>
        <v>0.51</v>
      </c>
      <c r="G17" s="16">
        <f t="shared" si="1"/>
        <v>2.0000000000000018E-2</v>
      </c>
      <c r="H17" s="1" t="str">
        <f t="shared" si="2"/>
        <v>D</v>
      </c>
      <c r="I17" s="17" t="str">
        <f>IF(Elect2004!H17=H17,"N","Y")</f>
        <v>Y</v>
      </c>
      <c r="J17" s="52">
        <v>17</v>
      </c>
      <c r="K17" s="52">
        <v>33</v>
      </c>
      <c r="L17" s="43">
        <v>50</v>
      </c>
      <c r="M17" s="16">
        <f t="shared" si="3"/>
        <v>0.34</v>
      </c>
      <c r="N17" s="16">
        <f t="shared" si="4"/>
        <v>0.3199999999999999</v>
      </c>
      <c r="O17" s="1" t="str">
        <f t="shared" si="5"/>
        <v>R</v>
      </c>
      <c r="P17" s="17" t="str">
        <f>IF(Elect2004!O17=O17,"N","Y")</f>
        <v>N</v>
      </c>
      <c r="Q17" s="1">
        <f t="shared" si="6"/>
        <v>68</v>
      </c>
      <c r="R17" s="1">
        <f t="shared" si="6"/>
        <v>82</v>
      </c>
      <c r="S17" s="16">
        <f t="shared" si="7"/>
        <v>0.45333333333333331</v>
      </c>
      <c r="T17" s="16">
        <f t="shared" si="8"/>
        <v>9.3333333333333324E-2</v>
      </c>
      <c r="U17" s="1" t="str">
        <f t="shared" si="9"/>
        <v>S</v>
      </c>
      <c r="V17" s="53" t="s">
        <v>19</v>
      </c>
      <c r="W17" s="1" t="str">
        <f t="shared" si="10"/>
        <v>D</v>
      </c>
      <c r="X17" s="1">
        <f>C17-Elect2004!C17</f>
        <v>3</v>
      </c>
      <c r="Y17" s="1">
        <f>J17-Elect2004!J17</f>
        <v>0</v>
      </c>
      <c r="Z17" s="1">
        <f t="shared" si="11"/>
        <v>3</v>
      </c>
    </row>
    <row r="18" spans="1:26">
      <c r="A18" s="12" t="s">
        <v>43</v>
      </c>
      <c r="B18" s="13" t="s">
        <v>41</v>
      </c>
      <c r="C18" s="54">
        <v>54</v>
      </c>
      <c r="D18" s="54">
        <v>45</v>
      </c>
      <c r="E18" s="45">
        <v>100</v>
      </c>
      <c r="F18" s="16">
        <f t="shared" si="0"/>
        <v>0.54</v>
      </c>
      <c r="G18" s="16">
        <f t="shared" si="1"/>
        <v>8.0000000000000071E-2</v>
      </c>
      <c r="H18" s="1" t="str">
        <f t="shared" si="2"/>
        <v>D</v>
      </c>
      <c r="I18" s="17" t="str">
        <f>IF(Elect2004!H18=H18,"N","Y")</f>
        <v>Y</v>
      </c>
      <c r="J18" s="54">
        <v>30</v>
      </c>
      <c r="K18" s="54">
        <v>20</v>
      </c>
      <c r="L18" s="45">
        <v>50</v>
      </c>
      <c r="M18" s="16">
        <f t="shared" si="3"/>
        <v>0.6</v>
      </c>
      <c r="N18" s="16">
        <f t="shared" si="4"/>
        <v>0.19999999999999996</v>
      </c>
      <c r="O18" s="1" t="str">
        <f t="shared" si="5"/>
        <v>D</v>
      </c>
      <c r="P18" s="17" t="str">
        <f>IF(Elect2004!O18=O18,"N","Y")</f>
        <v>Y</v>
      </c>
      <c r="Q18" s="1">
        <f t="shared" si="6"/>
        <v>84</v>
      </c>
      <c r="R18" s="1">
        <f t="shared" si="6"/>
        <v>65</v>
      </c>
      <c r="S18" s="16">
        <f t="shared" si="7"/>
        <v>0.56000000000000005</v>
      </c>
      <c r="T18" s="16">
        <f t="shared" si="8"/>
        <v>0.12000000000000011</v>
      </c>
      <c r="U18" s="1" t="str">
        <f t="shared" si="9"/>
        <v>D</v>
      </c>
      <c r="V18" s="55" t="s">
        <v>18</v>
      </c>
      <c r="W18" s="1" t="str">
        <f t="shared" si="10"/>
        <v>U</v>
      </c>
      <c r="X18" s="1">
        <f>C18-Elect2004!C18</f>
        <v>5</v>
      </c>
      <c r="Y18" s="1">
        <f>J18-Elect2004!J18</f>
        <v>5</v>
      </c>
      <c r="Z18" s="1">
        <f t="shared" si="11"/>
        <v>10</v>
      </c>
    </row>
    <row r="19" spans="1:26">
      <c r="A19" s="12" t="s">
        <v>44</v>
      </c>
      <c r="B19" s="13" t="s">
        <v>41</v>
      </c>
      <c r="C19" s="56">
        <v>48</v>
      </c>
      <c r="D19" s="56">
        <v>77</v>
      </c>
      <c r="E19" s="47">
        <v>125</v>
      </c>
      <c r="F19" s="16">
        <f t="shared" si="0"/>
        <v>0.38400000000000001</v>
      </c>
      <c r="G19" s="16">
        <f t="shared" si="1"/>
        <v>0.23199999999999998</v>
      </c>
      <c r="H19" s="1" t="str">
        <f t="shared" si="2"/>
        <v>R</v>
      </c>
      <c r="I19" s="17" t="str">
        <f>IF(Elect2004!H19=H19,"N","Y")</f>
        <v>N</v>
      </c>
      <c r="J19" s="56">
        <v>10</v>
      </c>
      <c r="K19" s="56">
        <v>30</v>
      </c>
      <c r="L19" s="47">
        <v>40</v>
      </c>
      <c r="M19" s="16">
        <f t="shared" si="3"/>
        <v>0.25</v>
      </c>
      <c r="N19" s="16">
        <f t="shared" si="4"/>
        <v>0.5</v>
      </c>
      <c r="O19" s="1" t="str">
        <f t="shared" si="5"/>
        <v>R</v>
      </c>
      <c r="P19" s="17" t="str">
        <f>IF(Elect2004!O19=O19,"N","Y")</f>
        <v>N</v>
      </c>
      <c r="Q19" s="1">
        <f t="shared" si="6"/>
        <v>58</v>
      </c>
      <c r="R19" s="1">
        <f t="shared" si="6"/>
        <v>107</v>
      </c>
      <c r="S19" s="16">
        <f t="shared" si="7"/>
        <v>0.3515151515151515</v>
      </c>
      <c r="T19" s="16">
        <f t="shared" si="8"/>
        <v>0.29696969696969694</v>
      </c>
      <c r="U19" s="1" t="str">
        <f t="shared" si="9"/>
        <v>R</v>
      </c>
      <c r="V19" s="57" t="s">
        <v>18</v>
      </c>
      <c r="W19" s="1" t="str">
        <f t="shared" si="10"/>
        <v>D</v>
      </c>
      <c r="X19" s="1">
        <f>C19-Elect2004!C19</f>
        <v>6</v>
      </c>
      <c r="Y19" s="1">
        <f>J19-Elect2004!J19</f>
        <v>0</v>
      </c>
      <c r="Z19" s="1">
        <f t="shared" si="11"/>
        <v>6</v>
      </c>
    </row>
    <row r="20" spans="1:26">
      <c r="A20" s="12" t="s">
        <v>45</v>
      </c>
      <c r="B20" s="13" t="s">
        <v>26</v>
      </c>
      <c r="C20" s="52">
        <v>61</v>
      </c>
      <c r="D20" s="52">
        <v>39</v>
      </c>
      <c r="E20" s="43">
        <v>100</v>
      </c>
      <c r="F20" s="16">
        <f t="shared" si="0"/>
        <v>0.61</v>
      </c>
      <c r="G20" s="16">
        <f t="shared" si="1"/>
        <v>0.21999999999999997</v>
      </c>
      <c r="H20" s="1" t="str">
        <f t="shared" si="2"/>
        <v>D</v>
      </c>
      <c r="I20" s="17" t="str">
        <f>IF(Elect2004!H20=H20,"N","Y")</f>
        <v>N</v>
      </c>
      <c r="J20" s="52">
        <v>16</v>
      </c>
      <c r="K20" s="52">
        <v>21</v>
      </c>
      <c r="L20" s="43">
        <v>38</v>
      </c>
      <c r="M20" s="16">
        <f t="shared" si="3"/>
        <v>0.42105263157894735</v>
      </c>
      <c r="N20" s="16">
        <f t="shared" si="4"/>
        <v>0.15789473684210531</v>
      </c>
      <c r="O20" s="1" t="str">
        <f t="shared" si="5"/>
        <v>R</v>
      </c>
      <c r="P20" s="17" t="str">
        <f>IF(Elect2004!O20=O20,"N","Y")</f>
        <v>N</v>
      </c>
      <c r="Q20" s="1">
        <f t="shared" si="6"/>
        <v>77</v>
      </c>
      <c r="R20" s="1">
        <f t="shared" si="6"/>
        <v>60</v>
      </c>
      <c r="S20" s="16">
        <f t="shared" si="7"/>
        <v>0.55797101449275366</v>
      </c>
      <c r="T20" s="16">
        <f t="shared" si="8"/>
        <v>0.11594202898550732</v>
      </c>
      <c r="U20" s="1" t="str">
        <f t="shared" si="9"/>
        <v>S</v>
      </c>
      <c r="V20" s="53" t="s">
        <v>19</v>
      </c>
      <c r="W20" s="1" t="str">
        <f t="shared" si="10"/>
        <v>D</v>
      </c>
      <c r="X20" s="1">
        <f>C20-Elect2004!C20</f>
        <v>4</v>
      </c>
      <c r="Y20" s="1">
        <f>J20-Elect2004!J20</f>
        <v>1</v>
      </c>
      <c r="Z20" s="1">
        <f t="shared" si="11"/>
        <v>5</v>
      </c>
    </row>
    <row r="21" spans="1:26">
      <c r="A21" s="12" t="s">
        <v>46</v>
      </c>
      <c r="B21" s="13" t="s">
        <v>26</v>
      </c>
      <c r="C21" s="52">
        <v>63</v>
      </c>
      <c r="D21" s="52">
        <v>41</v>
      </c>
      <c r="E21" s="43">
        <v>105</v>
      </c>
      <c r="F21" s="16">
        <f t="shared" si="0"/>
        <v>0.6</v>
      </c>
      <c r="G21" s="16">
        <f t="shared" si="1"/>
        <v>0.19999999999999996</v>
      </c>
      <c r="H21" s="1" t="str">
        <f t="shared" si="2"/>
        <v>D</v>
      </c>
      <c r="I21" s="17" t="str">
        <f>IF(Elect2004!H21=H21,"N","Y")</f>
        <v>N</v>
      </c>
      <c r="J21" s="52">
        <v>24</v>
      </c>
      <c r="K21" s="52">
        <v>15</v>
      </c>
      <c r="L21" s="43">
        <v>39</v>
      </c>
      <c r="M21" s="16">
        <f t="shared" si="3"/>
        <v>0.61538461538461542</v>
      </c>
      <c r="N21" s="16">
        <f t="shared" si="4"/>
        <v>0.23076923076923084</v>
      </c>
      <c r="O21" s="1" t="str">
        <f t="shared" si="5"/>
        <v>D</v>
      </c>
      <c r="P21" s="17" t="str">
        <f>IF(Elect2004!O21=O21,"N","Y")</f>
        <v>N</v>
      </c>
      <c r="Q21" s="1">
        <f t="shared" si="6"/>
        <v>87</v>
      </c>
      <c r="R21" s="1">
        <f t="shared" si="6"/>
        <v>56</v>
      </c>
      <c r="S21" s="16">
        <f t="shared" si="7"/>
        <v>0.60416666666666663</v>
      </c>
      <c r="T21" s="16">
        <f t="shared" si="8"/>
        <v>0.20833333333333326</v>
      </c>
      <c r="U21" s="1" t="str">
        <f t="shared" si="9"/>
        <v>D</v>
      </c>
      <c r="V21" s="53" t="s">
        <v>18</v>
      </c>
      <c r="W21" s="1" t="str">
        <f t="shared" si="10"/>
        <v>U</v>
      </c>
      <c r="X21" s="1">
        <f>C21-Elect2004!C21</f>
        <v>-5</v>
      </c>
      <c r="Y21" s="1">
        <f>J21-Elect2004!J21</f>
        <v>-2</v>
      </c>
      <c r="Z21" s="1">
        <f t="shared" si="11"/>
        <v>-7</v>
      </c>
    </row>
    <row r="22" spans="1:26">
      <c r="A22" s="12" t="s">
        <v>47</v>
      </c>
      <c r="B22" s="13" t="s">
        <v>34</v>
      </c>
      <c r="C22" s="52">
        <v>89</v>
      </c>
      <c r="D22" s="52">
        <v>60</v>
      </c>
      <c r="E22" s="43">
        <v>151</v>
      </c>
      <c r="F22" s="16">
        <f t="shared" si="0"/>
        <v>0.58940397350993379</v>
      </c>
      <c r="G22" s="16">
        <f t="shared" si="1"/>
        <v>0.17880794701986757</v>
      </c>
      <c r="H22" s="1" t="str">
        <f t="shared" si="2"/>
        <v>D</v>
      </c>
      <c r="I22" s="17" t="str">
        <f>IF(Elect2004!H22=H22,"N","Y")</f>
        <v>N</v>
      </c>
      <c r="J22" s="52">
        <v>18</v>
      </c>
      <c r="K22" s="52">
        <v>17</v>
      </c>
      <c r="L22" s="43">
        <v>35</v>
      </c>
      <c r="M22" s="16">
        <f t="shared" si="3"/>
        <v>0.51428571428571423</v>
      </c>
      <c r="N22" s="16">
        <f t="shared" si="4"/>
        <v>2.857142857142847E-2</v>
      </c>
      <c r="O22" s="1" t="str">
        <f t="shared" si="5"/>
        <v>D</v>
      </c>
      <c r="P22" s="17" t="str">
        <f>IF(Elect2004!O22=O22,"N","Y")</f>
        <v>N</v>
      </c>
      <c r="Q22" s="1">
        <f t="shared" si="6"/>
        <v>107</v>
      </c>
      <c r="R22" s="1">
        <f t="shared" si="6"/>
        <v>77</v>
      </c>
      <c r="S22" s="16">
        <f t="shared" si="7"/>
        <v>0.57526881720430112</v>
      </c>
      <c r="T22" s="16">
        <f t="shared" si="8"/>
        <v>0.15053763440860224</v>
      </c>
      <c r="U22" s="1" t="str">
        <f t="shared" si="9"/>
        <v>D</v>
      </c>
      <c r="V22" s="53" t="s">
        <v>18</v>
      </c>
      <c r="W22" s="1" t="str">
        <f t="shared" si="10"/>
        <v>U</v>
      </c>
      <c r="X22" s="1">
        <f>C22-Elect2004!C22</f>
        <v>13</v>
      </c>
      <c r="Y22" s="1">
        <f>J22-Elect2004!J22</f>
        <v>0</v>
      </c>
      <c r="Z22" s="1">
        <f t="shared" si="11"/>
        <v>13</v>
      </c>
    </row>
    <row r="23" spans="1:26">
      <c r="A23" s="12" t="s">
        <v>48</v>
      </c>
      <c r="B23" s="13" t="s">
        <v>26</v>
      </c>
      <c r="C23" s="54">
        <v>108</v>
      </c>
      <c r="D23" s="54">
        <v>33</v>
      </c>
      <c r="E23" s="45">
        <v>141</v>
      </c>
      <c r="F23" s="16">
        <f t="shared" si="0"/>
        <v>0.76595744680851063</v>
      </c>
      <c r="G23" s="16">
        <f t="shared" si="1"/>
        <v>0.53191489361702127</v>
      </c>
      <c r="H23" s="1" t="str">
        <f t="shared" si="2"/>
        <v>D</v>
      </c>
      <c r="I23" s="17" t="str">
        <f>IF(Elect2004!H23=H23,"N","Y")</f>
        <v>N</v>
      </c>
      <c r="J23" s="54">
        <v>34</v>
      </c>
      <c r="K23" s="54">
        <v>13</v>
      </c>
      <c r="L23" s="45">
        <v>47</v>
      </c>
      <c r="M23" s="16">
        <f t="shared" si="3"/>
        <v>0.72340425531914898</v>
      </c>
      <c r="N23" s="16">
        <f t="shared" si="4"/>
        <v>0.44680851063829796</v>
      </c>
      <c r="O23" s="1" t="str">
        <f t="shared" si="5"/>
        <v>D</v>
      </c>
      <c r="P23" s="17" t="str">
        <f>IF(Elect2004!O23=O23,"N","Y")</f>
        <v>N</v>
      </c>
      <c r="Q23" s="1">
        <f t="shared" si="6"/>
        <v>142</v>
      </c>
      <c r="R23" s="1">
        <f t="shared" si="6"/>
        <v>46</v>
      </c>
      <c r="S23" s="16">
        <f t="shared" si="7"/>
        <v>0.75531914893617025</v>
      </c>
      <c r="T23" s="16">
        <f t="shared" si="8"/>
        <v>0.5106382978723405</v>
      </c>
      <c r="U23" s="1" t="str">
        <f t="shared" si="9"/>
        <v>D</v>
      </c>
      <c r="V23" s="55" t="s">
        <v>18</v>
      </c>
      <c r="W23" s="1" t="str">
        <f t="shared" si="10"/>
        <v>U</v>
      </c>
      <c r="X23" s="1">
        <f>C23-Elect2004!C23</f>
        <v>10</v>
      </c>
      <c r="Y23" s="1">
        <f>J23-Elect2004!J23</f>
        <v>1</v>
      </c>
      <c r="Z23" s="1">
        <f t="shared" si="11"/>
        <v>11</v>
      </c>
    </row>
    <row r="24" spans="1:26">
      <c r="A24" s="12" t="s">
        <v>49</v>
      </c>
      <c r="B24" s="13" t="s">
        <v>34</v>
      </c>
      <c r="C24" s="56">
        <v>141</v>
      </c>
      <c r="D24" s="56">
        <v>19</v>
      </c>
      <c r="E24" s="47">
        <v>160</v>
      </c>
      <c r="F24" s="16">
        <f t="shared" si="0"/>
        <v>0.88124999999999998</v>
      </c>
      <c r="G24" s="16">
        <f t="shared" si="1"/>
        <v>0.76249999999999996</v>
      </c>
      <c r="H24" s="1" t="str">
        <f t="shared" si="2"/>
        <v>D</v>
      </c>
      <c r="I24" s="17" t="str">
        <f>IF(Elect2004!H24=H24,"N","Y")</f>
        <v>N</v>
      </c>
      <c r="J24" s="56">
        <v>35</v>
      </c>
      <c r="K24" s="56">
        <v>5</v>
      </c>
      <c r="L24" s="47">
        <v>40</v>
      </c>
      <c r="M24" s="16">
        <f t="shared" si="3"/>
        <v>0.875</v>
      </c>
      <c r="N24" s="16">
        <f t="shared" si="4"/>
        <v>0.75</v>
      </c>
      <c r="O24" s="1" t="str">
        <f t="shared" si="5"/>
        <v>D</v>
      </c>
      <c r="P24" s="17" t="str">
        <f>IF(Elect2004!O24=O24,"N","Y")</f>
        <v>N</v>
      </c>
      <c r="Q24" s="1">
        <f t="shared" si="6"/>
        <v>176</v>
      </c>
      <c r="R24" s="1">
        <f t="shared" si="6"/>
        <v>24</v>
      </c>
      <c r="S24" s="16">
        <f t="shared" si="7"/>
        <v>0.88</v>
      </c>
      <c r="T24" s="16">
        <f t="shared" si="8"/>
        <v>0.76</v>
      </c>
      <c r="U24" s="1" t="str">
        <f t="shared" si="9"/>
        <v>D</v>
      </c>
      <c r="V24" s="57" t="s">
        <v>18</v>
      </c>
      <c r="W24" s="1" t="str">
        <f t="shared" si="10"/>
        <v>U</v>
      </c>
      <c r="X24" s="1">
        <f>C24-Elect2004!C24</f>
        <v>2</v>
      </c>
      <c r="Y24" s="1">
        <f>J24-Elect2004!J24</f>
        <v>1</v>
      </c>
      <c r="Z24" s="1">
        <f t="shared" si="11"/>
        <v>3</v>
      </c>
    </row>
    <row r="25" spans="1:26">
      <c r="A25" s="12" t="s">
        <v>50</v>
      </c>
      <c r="B25" s="13" t="s">
        <v>41</v>
      </c>
      <c r="C25" s="52">
        <v>58</v>
      </c>
      <c r="D25" s="52">
        <v>52</v>
      </c>
      <c r="E25" s="43">
        <v>110</v>
      </c>
      <c r="F25" s="16">
        <f t="shared" si="0"/>
        <v>0.52727272727272723</v>
      </c>
      <c r="G25" s="16">
        <f t="shared" si="1"/>
        <v>5.4545454545454453E-2</v>
      </c>
      <c r="H25" s="1" t="str">
        <f t="shared" si="2"/>
        <v>D</v>
      </c>
      <c r="I25" s="17" t="str">
        <f>IF(Elect2004!H25=H25,"N","Y")</f>
        <v>Y</v>
      </c>
      <c r="J25" s="52">
        <v>17</v>
      </c>
      <c r="K25" s="52">
        <v>21</v>
      </c>
      <c r="L25" s="43">
        <v>38</v>
      </c>
      <c r="M25" s="16">
        <f t="shared" si="3"/>
        <v>0.44736842105263158</v>
      </c>
      <c r="N25" s="16">
        <f t="shared" si="4"/>
        <v>0.10526315789473678</v>
      </c>
      <c r="O25" s="1" t="str">
        <f t="shared" si="5"/>
        <v>R</v>
      </c>
      <c r="P25" s="17" t="str">
        <f>IF(Elect2004!O25=O25,"N","Y")</f>
        <v>N</v>
      </c>
      <c r="Q25" s="1">
        <f t="shared" si="6"/>
        <v>75</v>
      </c>
      <c r="R25" s="1">
        <f t="shared" si="6"/>
        <v>73</v>
      </c>
      <c r="S25" s="16">
        <f t="shared" si="7"/>
        <v>0.5067567567567568</v>
      </c>
      <c r="T25" s="16">
        <f t="shared" si="8"/>
        <v>1.3513513513513598E-2</v>
      </c>
      <c r="U25" s="1" t="str">
        <f t="shared" si="9"/>
        <v>S</v>
      </c>
      <c r="V25" s="53" t="s">
        <v>18</v>
      </c>
      <c r="W25" s="1" t="str">
        <f t="shared" si="10"/>
        <v>D</v>
      </c>
      <c r="X25" s="1">
        <f>C25-Elect2004!C25</f>
        <v>6</v>
      </c>
      <c r="Y25" s="1">
        <f>J25-Elect2004!J25</f>
        <v>1</v>
      </c>
      <c r="Z25" s="1">
        <f t="shared" si="11"/>
        <v>7</v>
      </c>
    </row>
    <row r="26" spans="1:26">
      <c r="A26" s="12" t="s">
        <v>51</v>
      </c>
      <c r="B26" s="13" t="s">
        <v>41</v>
      </c>
      <c r="C26" s="52">
        <v>85</v>
      </c>
      <c r="D26" s="52">
        <v>49</v>
      </c>
      <c r="E26" s="43">
        <v>134</v>
      </c>
      <c r="F26" s="16">
        <f t="shared" si="0"/>
        <v>0.63432835820895528</v>
      </c>
      <c r="G26" s="16">
        <f t="shared" si="1"/>
        <v>0.26865671641791056</v>
      </c>
      <c r="H26" s="1" t="str">
        <f t="shared" si="2"/>
        <v>D</v>
      </c>
      <c r="I26" s="17" t="str">
        <f>IF(Elect2004!H26=H26,"N","Y")</f>
        <v>Y</v>
      </c>
      <c r="J26" s="52">
        <v>44</v>
      </c>
      <c r="K26" s="52">
        <v>23</v>
      </c>
      <c r="L26" s="43">
        <v>67</v>
      </c>
      <c r="M26" s="16">
        <f t="shared" si="3"/>
        <v>0.65671641791044777</v>
      </c>
      <c r="N26" s="16">
        <f t="shared" si="4"/>
        <v>0.31343283582089554</v>
      </c>
      <c r="O26" s="1" t="str">
        <f t="shared" si="5"/>
        <v>D</v>
      </c>
      <c r="P26" s="17" t="str">
        <f>IF(Elect2004!O26=O26,"N","Y")</f>
        <v>N</v>
      </c>
      <c r="Q26" s="1">
        <f t="shared" si="6"/>
        <v>129</v>
      </c>
      <c r="R26" s="1">
        <f t="shared" si="6"/>
        <v>72</v>
      </c>
      <c r="S26" s="16">
        <f t="shared" si="7"/>
        <v>0.64179104477611937</v>
      </c>
      <c r="T26" s="16">
        <f t="shared" si="8"/>
        <v>0.28358208955223874</v>
      </c>
      <c r="U26" s="1" t="str">
        <f t="shared" si="9"/>
        <v>D</v>
      </c>
      <c r="V26" s="53" t="s">
        <v>19</v>
      </c>
      <c r="W26" s="1" t="str">
        <f t="shared" si="10"/>
        <v>D</v>
      </c>
      <c r="X26" s="1">
        <f>C26-Elect2004!C26</f>
        <v>19</v>
      </c>
      <c r="Y26" s="1">
        <f>J26-Elect2004!J26</f>
        <v>9</v>
      </c>
      <c r="Z26" s="1">
        <f t="shared" si="11"/>
        <v>28</v>
      </c>
    </row>
    <row r="27" spans="1:26">
      <c r="A27" s="12" t="s">
        <v>52</v>
      </c>
      <c r="B27" s="13" t="s">
        <v>26</v>
      </c>
      <c r="C27" s="52">
        <v>74</v>
      </c>
      <c r="D27" s="52">
        <v>46</v>
      </c>
      <c r="E27" s="43">
        <v>122</v>
      </c>
      <c r="F27" s="16">
        <f t="shared" si="0"/>
        <v>0.60655737704918034</v>
      </c>
      <c r="G27" s="16">
        <f t="shared" si="1"/>
        <v>0.21311475409836067</v>
      </c>
      <c r="H27" s="1" t="str">
        <f t="shared" si="2"/>
        <v>D</v>
      </c>
      <c r="I27" s="17" t="str">
        <f>IF(Elect2004!H27=H27,"N","Y")</f>
        <v>N</v>
      </c>
      <c r="J27" s="52">
        <v>27</v>
      </c>
      <c r="K27" s="52">
        <v>23</v>
      </c>
      <c r="L27" s="43">
        <v>52</v>
      </c>
      <c r="M27" s="16">
        <f t="shared" si="3"/>
        <v>0.51923076923076927</v>
      </c>
      <c r="N27" s="16">
        <f t="shared" si="4"/>
        <v>3.8461538461538547E-2</v>
      </c>
      <c r="O27" s="1" t="str">
        <f t="shared" si="5"/>
        <v>D</v>
      </c>
      <c r="P27" s="17" t="str">
        <f>IF(Elect2004!O27=O27,"N","Y")</f>
        <v>N</v>
      </c>
      <c r="Q27" s="1">
        <f t="shared" si="6"/>
        <v>101</v>
      </c>
      <c r="R27" s="1">
        <f t="shared" si="6"/>
        <v>69</v>
      </c>
      <c r="S27" s="16">
        <f t="shared" si="7"/>
        <v>0.58045977011494254</v>
      </c>
      <c r="T27" s="16">
        <f t="shared" si="8"/>
        <v>0.16091954022988508</v>
      </c>
      <c r="U27" s="1" t="str">
        <f t="shared" si="9"/>
        <v>D</v>
      </c>
      <c r="V27" s="53" t="s">
        <v>19</v>
      </c>
      <c r="W27" s="1" t="str">
        <f t="shared" si="10"/>
        <v>D</v>
      </c>
      <c r="X27" s="1">
        <f>C27-Elect2004!C27</f>
        <v>-1</v>
      </c>
      <c r="Y27" s="1">
        <f>J27-Elect2004!J27</f>
        <v>-1</v>
      </c>
      <c r="Z27" s="1">
        <f t="shared" si="11"/>
        <v>-2</v>
      </c>
    </row>
    <row r="28" spans="1:26">
      <c r="A28" s="12" t="s">
        <v>53</v>
      </c>
      <c r="B28" s="13" t="s">
        <v>41</v>
      </c>
      <c r="C28" s="54">
        <v>71</v>
      </c>
      <c r="D28" s="54">
        <v>92</v>
      </c>
      <c r="E28" s="45">
        <v>163</v>
      </c>
      <c r="F28" s="16">
        <f t="shared" si="0"/>
        <v>0.43558282208588955</v>
      </c>
      <c r="G28" s="16">
        <f t="shared" si="1"/>
        <v>0.12883435582822095</v>
      </c>
      <c r="H28" s="1" t="str">
        <f t="shared" si="2"/>
        <v>R</v>
      </c>
      <c r="I28" s="17" t="str">
        <f>IF(Elect2004!H28=H28,"N","Y")</f>
        <v>N</v>
      </c>
      <c r="J28" s="54">
        <v>13</v>
      </c>
      <c r="K28" s="54">
        <v>21</v>
      </c>
      <c r="L28" s="45">
        <v>34</v>
      </c>
      <c r="M28" s="16">
        <f t="shared" si="3"/>
        <v>0.38235294117647056</v>
      </c>
      <c r="N28" s="16">
        <f t="shared" si="4"/>
        <v>0.23529411764705888</v>
      </c>
      <c r="O28" s="1" t="str">
        <f t="shared" si="5"/>
        <v>R</v>
      </c>
      <c r="P28" s="17" t="str">
        <f>IF(Elect2004!O28=O28,"N","Y")</f>
        <v>N</v>
      </c>
      <c r="Q28" s="1">
        <f t="shared" si="6"/>
        <v>84</v>
      </c>
      <c r="R28" s="1">
        <f t="shared" si="6"/>
        <v>113</v>
      </c>
      <c r="S28" s="16">
        <f t="shared" si="7"/>
        <v>0.42639593908629442</v>
      </c>
      <c r="T28" s="16">
        <f t="shared" si="8"/>
        <v>0.14720812182741122</v>
      </c>
      <c r="U28" s="1" t="str">
        <f t="shared" si="9"/>
        <v>R</v>
      </c>
      <c r="V28" s="55" t="s">
        <v>19</v>
      </c>
      <c r="W28" s="1" t="str">
        <f t="shared" si="10"/>
        <v>U</v>
      </c>
      <c r="X28" s="1">
        <f>C28-Elect2004!C28</f>
        <v>5</v>
      </c>
      <c r="Y28" s="1">
        <f>J28-Elect2004!J28</f>
        <v>2</v>
      </c>
      <c r="Z28" s="1">
        <f t="shared" si="11"/>
        <v>7</v>
      </c>
    </row>
    <row r="29" spans="1:26">
      <c r="A29" s="12" t="s">
        <v>54</v>
      </c>
      <c r="B29" s="13" t="s">
        <v>28</v>
      </c>
      <c r="C29" s="56">
        <v>50</v>
      </c>
      <c r="D29" s="56">
        <v>49</v>
      </c>
      <c r="E29" s="47">
        <v>100</v>
      </c>
      <c r="F29" s="16">
        <f t="shared" si="0"/>
        <v>0.5</v>
      </c>
      <c r="G29" s="16">
        <f t="shared" si="1"/>
        <v>0</v>
      </c>
      <c r="H29" s="1" t="s">
        <v>18</v>
      </c>
      <c r="I29" s="17" t="str">
        <f>IF(Elect2004!H29=H29,"N","Y")</f>
        <v>Y</v>
      </c>
      <c r="J29" s="56">
        <v>26</v>
      </c>
      <c r="K29" s="56">
        <v>24</v>
      </c>
      <c r="L29" s="47">
        <v>50</v>
      </c>
      <c r="M29" s="16">
        <f t="shared" si="3"/>
        <v>0.52</v>
      </c>
      <c r="N29" s="16">
        <f t="shared" si="4"/>
        <v>4.0000000000000036E-2</v>
      </c>
      <c r="O29" s="1" t="str">
        <f t="shared" si="5"/>
        <v>D</v>
      </c>
      <c r="P29" s="17" t="str">
        <f>IF(Elect2004!O29=O29,"N","Y")</f>
        <v>N</v>
      </c>
      <c r="Q29" s="1">
        <f t="shared" si="6"/>
        <v>76</v>
      </c>
      <c r="R29" s="1">
        <f t="shared" si="6"/>
        <v>73</v>
      </c>
      <c r="S29" s="16">
        <f t="shared" si="7"/>
        <v>0.50666666666666671</v>
      </c>
      <c r="T29" s="16">
        <f t="shared" si="8"/>
        <v>1.3333333333333419E-2</v>
      </c>
      <c r="U29" s="1" t="str">
        <f t="shared" si="9"/>
        <v>D</v>
      </c>
      <c r="V29" s="57" t="s">
        <v>18</v>
      </c>
      <c r="W29" s="1" t="str">
        <f t="shared" si="10"/>
        <v>U</v>
      </c>
      <c r="X29" s="1">
        <f>C29-Elect2004!C29</f>
        <v>0</v>
      </c>
      <c r="Y29" s="1">
        <f>J29-Elect2004!J29</f>
        <v>-1</v>
      </c>
      <c r="Z29" s="1">
        <f t="shared" si="11"/>
        <v>-1</v>
      </c>
    </row>
    <row r="30" spans="1:26">
      <c r="A30" s="12" t="s">
        <v>55</v>
      </c>
      <c r="B30" s="13" t="s">
        <v>41</v>
      </c>
      <c r="C30" s="58"/>
      <c r="D30" s="58"/>
      <c r="E30" s="49" t="s">
        <v>109</v>
      </c>
      <c r="F30" s="16"/>
      <c r="G30" s="16"/>
      <c r="I30" s="17" t="str">
        <f>IF(Elect2004!H30=H30,"N","Y")</f>
        <v>N</v>
      </c>
      <c r="J30" s="59" t="s">
        <v>56</v>
      </c>
      <c r="K30" s="52"/>
      <c r="L30" s="43"/>
      <c r="M30" s="16"/>
      <c r="N30" s="16"/>
      <c r="P30" s="17" t="str">
        <f>IF(Elect2004!O30=O30,"N","Y")</f>
        <v>N</v>
      </c>
      <c r="S30" s="16"/>
      <c r="T30" s="16"/>
      <c r="V30" s="53" t="s">
        <v>19</v>
      </c>
      <c r="X30" s="1">
        <f>C30-Elect2004!C30</f>
        <v>0</v>
      </c>
    </row>
    <row r="31" spans="1:26">
      <c r="A31" s="12" t="s">
        <v>57</v>
      </c>
      <c r="B31" s="13" t="s">
        <v>28</v>
      </c>
      <c r="C31" s="52">
        <v>27</v>
      </c>
      <c r="D31" s="52">
        <v>15</v>
      </c>
      <c r="E31" s="43">
        <v>42</v>
      </c>
      <c r="F31" s="16">
        <f t="shared" ref="F31:F54" si="12">C31/E31</f>
        <v>0.6428571428571429</v>
      </c>
      <c r="G31" s="16">
        <f t="shared" ref="G31:G53" si="13">ABS(F31-(1-F31))</f>
        <v>0.28571428571428581</v>
      </c>
      <c r="H31" s="1" t="str">
        <f t="shared" ref="H31:H53" si="14">IF(F31&gt;0.5,"D",IF(F31=0.5,"T","R"))</f>
        <v>D</v>
      </c>
      <c r="I31" s="17" t="str">
        <f>IF(Elect2004!H31=H31,"N","Y")</f>
        <v>N</v>
      </c>
      <c r="J31" s="52">
        <v>10</v>
      </c>
      <c r="K31" s="52">
        <v>11</v>
      </c>
      <c r="L31" s="43">
        <v>21</v>
      </c>
      <c r="M31" s="16">
        <f t="shared" ref="M31:M54" si="15">J31/L31</f>
        <v>0.47619047619047616</v>
      </c>
      <c r="N31" s="16">
        <f t="shared" ref="N31:N53" si="16">ABS(M31-(1-M31))</f>
        <v>4.7619047619047672E-2</v>
      </c>
      <c r="O31" s="1" t="str">
        <f t="shared" ref="O31:O53" si="17">IF(M31&gt;0.5,"D",IF(M31=0.5,"T","R"))</f>
        <v>R</v>
      </c>
      <c r="P31" s="17" t="str">
        <f>IF(Elect2004!O31=O31,"N","Y")</f>
        <v>N</v>
      </c>
      <c r="Q31" s="1">
        <f t="shared" ref="Q31:R53" si="18">C31+J31</f>
        <v>37</v>
      </c>
      <c r="R31" s="1">
        <f t="shared" si="18"/>
        <v>26</v>
      </c>
      <c r="S31" s="16">
        <f t="shared" ref="S31:S54" si="19">Q31/(E31+L31)</f>
        <v>0.58730158730158732</v>
      </c>
      <c r="T31" s="16">
        <f t="shared" ref="T31:T53" si="20">ABS(S31-(1-S31))</f>
        <v>0.17460317460317465</v>
      </c>
      <c r="U31" s="1" t="str">
        <f t="shared" ref="U31:U53" si="21">IF(H31=O31,O31,"S")</f>
        <v>S</v>
      </c>
      <c r="V31" s="53" t="s">
        <v>19</v>
      </c>
      <c r="W31" s="1" t="str">
        <f t="shared" ref="W31:W53" si="22">IF(V31=U31,"U","D")</f>
        <v>D</v>
      </c>
      <c r="X31" s="1">
        <f>C31-Elect2004!C31</f>
        <v>1</v>
      </c>
      <c r="Y31" s="1">
        <f>J31-Elect2004!J31</f>
        <v>1</v>
      </c>
      <c r="Z31" s="1">
        <f t="shared" si="11"/>
        <v>2</v>
      </c>
    </row>
    <row r="32" spans="1:26">
      <c r="A32" s="12" t="s">
        <v>58</v>
      </c>
      <c r="B32" s="13" t="s">
        <v>34</v>
      </c>
      <c r="C32" s="52">
        <v>239</v>
      </c>
      <c r="D32" s="52">
        <v>161</v>
      </c>
      <c r="E32" s="43">
        <v>400</v>
      </c>
      <c r="F32" s="16">
        <f t="shared" si="12"/>
        <v>0.59750000000000003</v>
      </c>
      <c r="G32" s="16">
        <f t="shared" si="13"/>
        <v>0.19500000000000006</v>
      </c>
      <c r="H32" s="1" t="str">
        <f t="shared" si="14"/>
        <v>D</v>
      </c>
      <c r="I32" s="17" t="str">
        <f>IF(Elect2004!H32=H32,"N","Y")</f>
        <v>Y</v>
      </c>
      <c r="J32" s="52">
        <v>13</v>
      </c>
      <c r="K32" s="52">
        <v>11</v>
      </c>
      <c r="L32" s="43">
        <v>24</v>
      </c>
      <c r="M32" s="16">
        <f t="shared" si="15"/>
        <v>0.54166666666666663</v>
      </c>
      <c r="N32" s="16">
        <f t="shared" si="16"/>
        <v>8.3333333333333259E-2</v>
      </c>
      <c r="O32" s="1" t="str">
        <f t="shared" si="17"/>
        <v>D</v>
      </c>
      <c r="P32" s="17" t="str">
        <f>IF(Elect2004!O32=O32,"N","Y")</f>
        <v>Y</v>
      </c>
      <c r="Q32" s="1">
        <f t="shared" si="18"/>
        <v>252</v>
      </c>
      <c r="R32" s="1">
        <f t="shared" si="18"/>
        <v>172</v>
      </c>
      <c r="S32" s="16">
        <f t="shared" si="19"/>
        <v>0.59433962264150941</v>
      </c>
      <c r="T32" s="16">
        <f t="shared" si="20"/>
        <v>0.18867924528301883</v>
      </c>
      <c r="U32" s="1" t="str">
        <f t="shared" si="21"/>
        <v>D</v>
      </c>
      <c r="V32" s="53" t="s">
        <v>18</v>
      </c>
      <c r="W32" s="1" t="str">
        <f t="shared" si="22"/>
        <v>U</v>
      </c>
      <c r="X32" s="1">
        <f>C32-Elect2004!C32</f>
        <v>92</v>
      </c>
      <c r="Y32" s="1">
        <f>J32-Elect2004!J32</f>
        <v>5</v>
      </c>
      <c r="Z32" s="1">
        <f t="shared" si="11"/>
        <v>97</v>
      </c>
    </row>
    <row r="33" spans="1:26">
      <c r="A33" s="12" t="s">
        <v>59</v>
      </c>
      <c r="B33" s="13" t="s">
        <v>34</v>
      </c>
      <c r="C33" s="54">
        <v>49</v>
      </c>
      <c r="D33" s="54">
        <v>31</v>
      </c>
      <c r="E33" s="45">
        <v>80</v>
      </c>
      <c r="F33" s="16">
        <f t="shared" si="12"/>
        <v>0.61250000000000004</v>
      </c>
      <c r="G33" s="16">
        <f t="shared" si="13"/>
        <v>0.22500000000000009</v>
      </c>
      <c r="H33" s="1" t="str">
        <f t="shared" si="14"/>
        <v>D</v>
      </c>
      <c r="I33" s="17" t="str">
        <f>IF(Elect2004!H33=H33,"N","Y")</f>
        <v>N</v>
      </c>
      <c r="J33" s="54">
        <v>22</v>
      </c>
      <c r="K33" s="54">
        <v>18</v>
      </c>
      <c r="L33" s="45">
        <v>40</v>
      </c>
      <c r="M33" s="16">
        <f t="shared" si="15"/>
        <v>0.55000000000000004</v>
      </c>
      <c r="N33" s="16">
        <f t="shared" si="16"/>
        <v>0.10000000000000009</v>
      </c>
      <c r="O33" s="1" t="str">
        <f t="shared" si="17"/>
        <v>D</v>
      </c>
      <c r="P33" s="17" t="str">
        <f>IF(Elect2004!O33=O33,"N","Y")</f>
        <v>N</v>
      </c>
      <c r="Q33" s="1">
        <f t="shared" si="18"/>
        <v>71</v>
      </c>
      <c r="R33" s="1">
        <f t="shared" si="18"/>
        <v>49</v>
      </c>
      <c r="S33" s="16">
        <f t="shared" si="19"/>
        <v>0.59166666666666667</v>
      </c>
      <c r="T33" s="16">
        <f t="shared" si="20"/>
        <v>0.18333333333333335</v>
      </c>
      <c r="U33" s="1" t="str">
        <f t="shared" si="21"/>
        <v>D</v>
      </c>
      <c r="V33" s="55" t="s">
        <v>18</v>
      </c>
      <c r="W33" s="1" t="str">
        <f t="shared" si="22"/>
        <v>U</v>
      </c>
      <c r="X33" s="1">
        <f>C33-Elect2004!C33</f>
        <v>0</v>
      </c>
      <c r="Y33" s="1">
        <f>J33-Elect2004!J33</f>
        <v>0</v>
      </c>
      <c r="Z33" s="1">
        <f t="shared" si="11"/>
        <v>0</v>
      </c>
    </row>
    <row r="34" spans="1:26">
      <c r="A34" s="12" t="s">
        <v>60</v>
      </c>
      <c r="B34" s="13" t="s">
        <v>28</v>
      </c>
      <c r="C34" s="56">
        <v>42</v>
      </c>
      <c r="D34" s="56">
        <v>28</v>
      </c>
      <c r="E34" s="47">
        <v>70</v>
      </c>
      <c r="F34" s="16">
        <f t="shared" si="12"/>
        <v>0.6</v>
      </c>
      <c r="G34" s="16">
        <f t="shared" si="13"/>
        <v>0.19999999999999996</v>
      </c>
      <c r="H34" s="1" t="str">
        <f t="shared" si="14"/>
        <v>D</v>
      </c>
      <c r="I34" s="17" t="str">
        <f>IF(Elect2004!H34=H34,"N","Y")</f>
        <v>N</v>
      </c>
      <c r="J34" s="56">
        <v>24</v>
      </c>
      <c r="K34" s="56">
        <v>18</v>
      </c>
      <c r="L34" s="47">
        <v>42</v>
      </c>
      <c r="M34" s="16">
        <f t="shared" si="15"/>
        <v>0.5714285714285714</v>
      </c>
      <c r="N34" s="16">
        <f t="shared" si="16"/>
        <v>0.14285714285714279</v>
      </c>
      <c r="O34" s="1" t="str">
        <f t="shared" si="17"/>
        <v>D</v>
      </c>
      <c r="P34" s="17" t="str">
        <f>IF(Elect2004!O34=O34,"N","Y")</f>
        <v>N</v>
      </c>
      <c r="Q34" s="1">
        <f t="shared" si="18"/>
        <v>66</v>
      </c>
      <c r="R34" s="1">
        <f t="shared" si="18"/>
        <v>46</v>
      </c>
      <c r="S34" s="16">
        <f t="shared" si="19"/>
        <v>0.5892857142857143</v>
      </c>
      <c r="T34" s="16">
        <f t="shared" si="20"/>
        <v>0.1785714285714286</v>
      </c>
      <c r="U34" s="1" t="str">
        <f t="shared" si="21"/>
        <v>D</v>
      </c>
      <c r="V34" s="57" t="s">
        <v>18</v>
      </c>
      <c r="W34" s="1" t="str">
        <f t="shared" si="22"/>
        <v>U</v>
      </c>
      <c r="X34" s="1">
        <f>C34-Elect2004!C34</f>
        <v>0</v>
      </c>
      <c r="Y34" s="1">
        <f>J34-Elect2004!J34</f>
        <v>1</v>
      </c>
      <c r="Z34" s="1">
        <f t="shared" si="11"/>
        <v>1</v>
      </c>
    </row>
    <row r="35" spans="1:26">
      <c r="A35" s="12" t="s">
        <v>61</v>
      </c>
      <c r="B35" s="13" t="s">
        <v>34</v>
      </c>
      <c r="C35" s="52">
        <v>105</v>
      </c>
      <c r="D35" s="52">
        <v>45</v>
      </c>
      <c r="E35" s="43">
        <v>150</v>
      </c>
      <c r="F35" s="16">
        <f t="shared" si="12"/>
        <v>0.7</v>
      </c>
      <c r="G35" s="16">
        <f t="shared" si="13"/>
        <v>0.39999999999999991</v>
      </c>
      <c r="H35" s="1" t="str">
        <f t="shared" si="14"/>
        <v>D</v>
      </c>
      <c r="I35" s="17" t="str">
        <f>IF(Elect2004!H35=H35,"N","Y")</f>
        <v>N</v>
      </c>
      <c r="J35" s="52">
        <v>28</v>
      </c>
      <c r="K35" s="52">
        <v>34</v>
      </c>
      <c r="L35" s="43">
        <v>62</v>
      </c>
      <c r="M35" s="16">
        <f t="shared" si="15"/>
        <v>0.45161290322580644</v>
      </c>
      <c r="N35" s="16">
        <f t="shared" si="16"/>
        <v>9.6774193548387066E-2</v>
      </c>
      <c r="O35" s="1" t="str">
        <f t="shared" si="17"/>
        <v>R</v>
      </c>
      <c r="P35" s="17" t="str">
        <f>IF(Elect2004!O35=O35,"N","Y")</f>
        <v>N</v>
      </c>
      <c r="Q35" s="1">
        <f t="shared" si="18"/>
        <v>133</v>
      </c>
      <c r="R35" s="1">
        <f t="shared" si="18"/>
        <v>79</v>
      </c>
      <c r="S35" s="16">
        <f t="shared" si="19"/>
        <v>0.62735849056603776</v>
      </c>
      <c r="T35" s="16">
        <f t="shared" si="20"/>
        <v>0.25471698113207553</v>
      </c>
      <c r="U35" s="1" t="str">
        <f t="shared" si="21"/>
        <v>S</v>
      </c>
      <c r="V35" s="53" t="s">
        <v>18</v>
      </c>
      <c r="W35" s="1" t="str">
        <f t="shared" si="22"/>
        <v>D</v>
      </c>
      <c r="X35" s="1">
        <f>C35-Elect2004!C35</f>
        <v>1</v>
      </c>
      <c r="Y35" s="1">
        <f>J35-Elect2004!J35</f>
        <v>1</v>
      </c>
      <c r="Z35" s="1">
        <f t="shared" si="11"/>
        <v>2</v>
      </c>
    </row>
    <row r="36" spans="1:26">
      <c r="A36" s="12" t="s">
        <v>62</v>
      </c>
      <c r="B36" s="13" t="s">
        <v>26</v>
      </c>
      <c r="C36" s="52">
        <v>68</v>
      </c>
      <c r="D36" s="52">
        <v>52</v>
      </c>
      <c r="E36" s="43">
        <v>120</v>
      </c>
      <c r="F36" s="16">
        <f t="shared" si="12"/>
        <v>0.56666666666666665</v>
      </c>
      <c r="G36" s="16">
        <f t="shared" si="13"/>
        <v>0.1333333333333333</v>
      </c>
      <c r="H36" s="1" t="str">
        <f t="shared" si="14"/>
        <v>D</v>
      </c>
      <c r="I36" s="17" t="str">
        <f>IF(Elect2004!H36=H36,"N","Y")</f>
        <v>N</v>
      </c>
      <c r="J36" s="52">
        <v>31</v>
      </c>
      <c r="K36" s="52">
        <v>19</v>
      </c>
      <c r="L36" s="43">
        <v>50</v>
      </c>
      <c r="M36" s="16">
        <f t="shared" si="15"/>
        <v>0.62</v>
      </c>
      <c r="N36" s="16">
        <f t="shared" si="16"/>
        <v>0.24</v>
      </c>
      <c r="O36" s="1" t="str">
        <f t="shared" si="17"/>
        <v>D</v>
      </c>
      <c r="P36" s="17" t="str">
        <f>IF(Elect2004!O36=O36,"N","Y")</f>
        <v>N</v>
      </c>
      <c r="Q36" s="1">
        <f t="shared" si="18"/>
        <v>99</v>
      </c>
      <c r="R36" s="1">
        <f t="shared" si="18"/>
        <v>71</v>
      </c>
      <c r="S36" s="16">
        <f t="shared" si="19"/>
        <v>0.58235294117647063</v>
      </c>
      <c r="T36" s="16">
        <f t="shared" si="20"/>
        <v>0.16470588235294126</v>
      </c>
      <c r="U36" s="1" t="str">
        <f t="shared" si="21"/>
        <v>D</v>
      </c>
      <c r="V36" s="53" t="s">
        <v>18</v>
      </c>
      <c r="W36" s="1" t="str">
        <f t="shared" si="22"/>
        <v>U</v>
      </c>
      <c r="X36" s="1">
        <f>C36-Elect2004!C36</f>
        <v>5</v>
      </c>
      <c r="Y36" s="1">
        <f>J36-Elect2004!J36</f>
        <v>2</v>
      </c>
      <c r="Z36" s="1">
        <f t="shared" si="11"/>
        <v>7</v>
      </c>
    </row>
    <row r="37" spans="1:26">
      <c r="A37" s="12" t="s">
        <v>63</v>
      </c>
      <c r="B37" s="13" t="s">
        <v>41</v>
      </c>
      <c r="C37" s="52">
        <v>33</v>
      </c>
      <c r="D37" s="52">
        <v>61</v>
      </c>
      <c r="E37" s="43">
        <v>94</v>
      </c>
      <c r="F37" s="16">
        <f t="shared" si="12"/>
        <v>0.35106382978723405</v>
      </c>
      <c r="G37" s="16">
        <f t="shared" si="13"/>
        <v>0.2978723404255319</v>
      </c>
      <c r="H37" s="1" t="str">
        <f t="shared" si="14"/>
        <v>R</v>
      </c>
      <c r="I37" s="17" t="str">
        <f>IF(Elect2004!H37=H37,"N","Y")</f>
        <v>N</v>
      </c>
      <c r="J37" s="52">
        <v>21</v>
      </c>
      <c r="K37" s="52">
        <v>26</v>
      </c>
      <c r="L37" s="43">
        <v>47</v>
      </c>
      <c r="M37" s="16">
        <f t="shared" si="15"/>
        <v>0.44680851063829785</v>
      </c>
      <c r="N37" s="16">
        <f t="shared" si="16"/>
        <v>0.1063829787234043</v>
      </c>
      <c r="O37" s="1" t="str">
        <f t="shared" si="17"/>
        <v>R</v>
      </c>
      <c r="P37" s="17" t="str">
        <f>IF(Elect2004!O37=O37,"N","Y")</f>
        <v>N</v>
      </c>
      <c r="Q37" s="1">
        <f t="shared" si="18"/>
        <v>54</v>
      </c>
      <c r="R37" s="1">
        <f t="shared" si="18"/>
        <v>87</v>
      </c>
      <c r="S37" s="16">
        <f t="shared" si="19"/>
        <v>0.38297872340425532</v>
      </c>
      <c r="T37" s="16">
        <f t="shared" si="20"/>
        <v>0.23404255319148937</v>
      </c>
      <c r="U37" s="1" t="str">
        <f t="shared" si="21"/>
        <v>R</v>
      </c>
      <c r="V37" s="53" t="s">
        <v>19</v>
      </c>
      <c r="W37" s="1" t="str">
        <f t="shared" si="22"/>
        <v>U</v>
      </c>
      <c r="X37" s="1">
        <f>C37-Elect2004!C37</f>
        <v>7</v>
      </c>
      <c r="Y37" s="1">
        <f>J37-Elect2004!J37</f>
        <v>6</v>
      </c>
      <c r="Z37" s="1">
        <f t="shared" si="11"/>
        <v>13</v>
      </c>
    </row>
    <row r="38" spans="1:26">
      <c r="A38" s="12" t="s">
        <v>64</v>
      </c>
      <c r="B38" s="13" t="s">
        <v>41</v>
      </c>
      <c r="C38" s="54">
        <v>46</v>
      </c>
      <c r="D38" s="54">
        <v>53</v>
      </c>
      <c r="E38" s="45">
        <v>99</v>
      </c>
      <c r="F38" s="16">
        <f t="shared" si="12"/>
        <v>0.46464646464646464</v>
      </c>
      <c r="G38" s="16">
        <f t="shared" si="13"/>
        <v>7.0707070707070718E-2</v>
      </c>
      <c r="H38" s="1" t="str">
        <f t="shared" si="14"/>
        <v>R</v>
      </c>
      <c r="I38" s="17" t="str">
        <f>IF(Elect2004!H38=H38,"N","Y")</f>
        <v>N</v>
      </c>
      <c r="J38" s="54">
        <v>12</v>
      </c>
      <c r="K38" s="54">
        <v>21</v>
      </c>
      <c r="L38" s="45">
        <v>33</v>
      </c>
      <c r="M38" s="16">
        <f t="shared" si="15"/>
        <v>0.36363636363636365</v>
      </c>
      <c r="N38" s="16">
        <f t="shared" si="16"/>
        <v>0.27272727272727271</v>
      </c>
      <c r="O38" s="1" t="str">
        <f t="shared" si="17"/>
        <v>R</v>
      </c>
      <c r="P38" s="17" t="str">
        <f>IF(Elect2004!O38=O38,"N","Y")</f>
        <v>N</v>
      </c>
      <c r="Q38" s="1">
        <f t="shared" si="18"/>
        <v>58</v>
      </c>
      <c r="R38" s="1">
        <f t="shared" si="18"/>
        <v>74</v>
      </c>
      <c r="S38" s="16">
        <f t="shared" si="19"/>
        <v>0.43939393939393939</v>
      </c>
      <c r="T38" s="16">
        <f t="shared" si="20"/>
        <v>0.12121212121212116</v>
      </c>
      <c r="U38" s="1" t="str">
        <f t="shared" si="21"/>
        <v>R</v>
      </c>
      <c r="V38" s="55" t="s">
        <v>18</v>
      </c>
      <c r="W38" s="1" t="str">
        <f t="shared" si="22"/>
        <v>D</v>
      </c>
      <c r="X38" s="1">
        <f>C38-Elect2004!C38</f>
        <v>8</v>
      </c>
      <c r="Y38" s="1">
        <f>J38-Elect2004!J38</f>
        <v>1</v>
      </c>
      <c r="Z38" s="1">
        <f t="shared" si="11"/>
        <v>9</v>
      </c>
    </row>
    <row r="39" spans="1:26">
      <c r="A39" s="12" t="s">
        <v>65</v>
      </c>
      <c r="B39" s="13" t="s">
        <v>26</v>
      </c>
      <c r="C39" s="56">
        <v>45</v>
      </c>
      <c r="D39" s="56">
        <v>56</v>
      </c>
      <c r="E39" s="47">
        <v>101</v>
      </c>
      <c r="F39" s="16">
        <f t="shared" si="12"/>
        <v>0.44554455445544555</v>
      </c>
      <c r="G39" s="16">
        <f t="shared" si="13"/>
        <v>0.10891089108910895</v>
      </c>
      <c r="H39" s="1" t="str">
        <f t="shared" si="14"/>
        <v>R</v>
      </c>
      <c r="I39" s="17" t="str">
        <f>IF(Elect2004!H39=H39,"N","Y")</f>
        <v>N</v>
      </c>
      <c r="J39" s="56">
        <v>24</v>
      </c>
      <c r="K39" s="56">
        <v>24</v>
      </c>
      <c r="L39" s="47">
        <v>48</v>
      </c>
      <c r="M39" s="16">
        <f t="shared" si="15"/>
        <v>0.5</v>
      </c>
      <c r="N39" s="16">
        <f t="shared" si="16"/>
        <v>0</v>
      </c>
      <c r="O39" s="1" t="str">
        <f t="shared" si="17"/>
        <v>T</v>
      </c>
      <c r="P39" s="17" t="str">
        <f>IF(Elect2004!O39=O39,"N","Y")</f>
        <v>Y</v>
      </c>
      <c r="Q39" s="1">
        <f t="shared" si="18"/>
        <v>69</v>
      </c>
      <c r="R39" s="1">
        <f t="shared" si="18"/>
        <v>80</v>
      </c>
      <c r="S39" s="16">
        <f t="shared" si="19"/>
        <v>0.46308724832214765</v>
      </c>
      <c r="T39" s="16">
        <f t="shared" si="20"/>
        <v>7.3825503355704702E-2</v>
      </c>
      <c r="U39" s="1" t="str">
        <f t="shared" si="21"/>
        <v>S</v>
      </c>
      <c r="V39" s="57" t="s">
        <v>18</v>
      </c>
      <c r="W39" s="1" t="str">
        <f t="shared" si="22"/>
        <v>D</v>
      </c>
      <c r="X39" s="1">
        <f>C39-Elect2004!C39</f>
        <v>1</v>
      </c>
      <c r="Y39" s="1">
        <f>J39-Elect2004!J39</f>
        <v>-2</v>
      </c>
      <c r="Z39" s="1">
        <f t="shared" si="11"/>
        <v>-1</v>
      </c>
    </row>
    <row r="40" spans="1:26">
      <c r="A40" s="12" t="s">
        <v>66</v>
      </c>
      <c r="B40" s="13" t="s">
        <v>28</v>
      </c>
      <c r="C40" s="52">
        <v>31</v>
      </c>
      <c r="D40" s="52">
        <v>29</v>
      </c>
      <c r="E40" s="43">
        <v>60</v>
      </c>
      <c r="F40" s="16">
        <f t="shared" si="12"/>
        <v>0.51666666666666672</v>
      </c>
      <c r="G40" s="16">
        <f t="shared" si="13"/>
        <v>3.3333333333333437E-2</v>
      </c>
      <c r="H40" s="1" t="str">
        <f t="shared" si="14"/>
        <v>D</v>
      </c>
      <c r="I40" s="17" t="str">
        <f>IF(Elect2004!H40=H40,"N","Y")</f>
        <v>Y</v>
      </c>
      <c r="J40" s="52">
        <v>17</v>
      </c>
      <c r="K40" s="52">
        <v>11</v>
      </c>
      <c r="L40" s="43">
        <v>30</v>
      </c>
      <c r="M40" s="16">
        <f t="shared" si="15"/>
        <v>0.56666666666666665</v>
      </c>
      <c r="N40" s="16">
        <f t="shared" si="16"/>
        <v>0.1333333333333333</v>
      </c>
      <c r="O40" s="1" t="str">
        <f t="shared" si="17"/>
        <v>D</v>
      </c>
      <c r="P40" s="17" t="str">
        <f>IF(Elect2004!O40=O40,"N","Y")</f>
        <v>N</v>
      </c>
      <c r="Q40" s="1">
        <f t="shared" si="18"/>
        <v>48</v>
      </c>
      <c r="R40" s="1">
        <f t="shared" si="18"/>
        <v>40</v>
      </c>
      <c r="S40" s="16">
        <f t="shared" si="19"/>
        <v>0.53333333333333333</v>
      </c>
      <c r="T40" s="16">
        <f t="shared" si="20"/>
        <v>6.6666666666666652E-2</v>
      </c>
      <c r="U40" s="1" t="str">
        <f t="shared" si="21"/>
        <v>D</v>
      </c>
      <c r="V40" s="53" t="s">
        <v>18</v>
      </c>
      <c r="W40" s="1" t="str">
        <f t="shared" si="22"/>
        <v>U</v>
      </c>
      <c r="X40" s="1">
        <f>C40-Elect2004!C40</f>
        <v>4</v>
      </c>
      <c r="Y40" s="1">
        <f>J40-Elect2004!J40</f>
        <v>-1</v>
      </c>
      <c r="Z40" s="1">
        <f t="shared" si="11"/>
        <v>3</v>
      </c>
    </row>
    <row r="41" spans="1:26">
      <c r="A41" s="12" t="s">
        <v>68</v>
      </c>
      <c r="B41" s="13" t="s">
        <v>34</v>
      </c>
      <c r="C41" s="52">
        <v>101</v>
      </c>
      <c r="D41" s="52">
        <v>101</v>
      </c>
      <c r="E41" s="43">
        <v>203</v>
      </c>
      <c r="F41" s="16">
        <f t="shared" si="12"/>
        <v>0.49753694581280788</v>
      </c>
      <c r="G41" s="16">
        <f t="shared" si="13"/>
        <v>4.9261083743842859E-3</v>
      </c>
      <c r="H41" s="1" t="str">
        <f t="shared" si="14"/>
        <v>R</v>
      </c>
      <c r="I41" s="17" t="str">
        <f>IF(Elect2004!H41=H41,"N","Y")</f>
        <v>N</v>
      </c>
      <c r="J41" s="52">
        <v>21</v>
      </c>
      <c r="K41" s="52">
        <v>29</v>
      </c>
      <c r="L41" s="43">
        <v>50</v>
      </c>
      <c r="M41" s="16">
        <f t="shared" si="15"/>
        <v>0.42</v>
      </c>
      <c r="N41" s="16">
        <f t="shared" si="16"/>
        <v>0.16000000000000009</v>
      </c>
      <c r="O41" s="1" t="str">
        <f t="shared" si="17"/>
        <v>R</v>
      </c>
      <c r="P41" s="17" t="str">
        <f>IF(Elect2004!O41=O41,"N","Y")</f>
        <v>N</v>
      </c>
      <c r="Q41" s="1">
        <f t="shared" si="18"/>
        <v>122</v>
      </c>
      <c r="R41" s="1">
        <f t="shared" si="18"/>
        <v>130</v>
      </c>
      <c r="S41" s="16">
        <f t="shared" si="19"/>
        <v>0.48221343873517786</v>
      </c>
      <c r="T41" s="16">
        <f t="shared" si="20"/>
        <v>3.5573122529644285E-2</v>
      </c>
      <c r="U41" s="1" t="str">
        <f t="shared" si="21"/>
        <v>R</v>
      </c>
      <c r="V41" s="53" t="s">
        <v>18</v>
      </c>
      <c r="W41" s="1" t="str">
        <f t="shared" si="22"/>
        <v>D</v>
      </c>
      <c r="X41" s="1">
        <f>C41-Elect2004!C41</f>
        <v>8</v>
      </c>
      <c r="Y41" s="1">
        <f>J41-Elect2004!J41</f>
        <v>1</v>
      </c>
      <c r="Z41" s="1">
        <f t="shared" si="11"/>
        <v>9</v>
      </c>
    </row>
    <row r="42" spans="1:26">
      <c r="A42" s="12" t="s">
        <v>69</v>
      </c>
      <c r="B42" s="13" t="s">
        <v>34</v>
      </c>
      <c r="C42" s="52">
        <v>60</v>
      </c>
      <c r="D42" s="52">
        <v>15</v>
      </c>
      <c r="E42" s="43">
        <v>75</v>
      </c>
      <c r="F42" s="16">
        <f t="shared" si="12"/>
        <v>0.8</v>
      </c>
      <c r="G42" s="16">
        <f t="shared" si="13"/>
        <v>0.60000000000000009</v>
      </c>
      <c r="H42" s="1" t="str">
        <f t="shared" si="14"/>
        <v>D</v>
      </c>
      <c r="I42" s="17" t="str">
        <f>IF(Elect2004!H42=H42,"N","Y")</f>
        <v>N</v>
      </c>
      <c r="J42" s="52">
        <v>33</v>
      </c>
      <c r="K42" s="52">
        <v>5</v>
      </c>
      <c r="L42" s="43">
        <v>38</v>
      </c>
      <c r="M42" s="16">
        <f t="shared" si="15"/>
        <v>0.86842105263157898</v>
      </c>
      <c r="N42" s="16">
        <f t="shared" si="16"/>
        <v>0.73684210526315796</v>
      </c>
      <c r="O42" s="1" t="str">
        <f t="shared" si="17"/>
        <v>D</v>
      </c>
      <c r="P42" s="17" t="str">
        <f>IF(Elect2004!O42=O42,"N","Y")</f>
        <v>N</v>
      </c>
      <c r="Q42" s="1">
        <f t="shared" si="18"/>
        <v>93</v>
      </c>
      <c r="R42" s="1">
        <f t="shared" si="18"/>
        <v>20</v>
      </c>
      <c r="S42" s="16">
        <f t="shared" si="19"/>
        <v>0.82300884955752207</v>
      </c>
      <c r="T42" s="16">
        <f t="shared" si="20"/>
        <v>0.64601769911504414</v>
      </c>
      <c r="U42" s="1" t="str">
        <f t="shared" si="21"/>
        <v>D</v>
      </c>
      <c r="V42" s="53" t="s">
        <v>19</v>
      </c>
      <c r="W42" s="1" t="str">
        <f t="shared" si="22"/>
        <v>D</v>
      </c>
      <c r="X42" s="1">
        <f>C42-Elect2004!C42</f>
        <v>1</v>
      </c>
      <c r="Y42" s="1">
        <f>J42-Elect2004!J42</f>
        <v>0</v>
      </c>
      <c r="Z42" s="1">
        <f t="shared" si="11"/>
        <v>1</v>
      </c>
    </row>
    <row r="43" spans="1:26">
      <c r="A43" s="12" t="s">
        <v>70</v>
      </c>
      <c r="B43" s="13" t="s">
        <v>26</v>
      </c>
      <c r="C43" s="54">
        <v>51</v>
      </c>
      <c r="D43" s="54">
        <v>73</v>
      </c>
      <c r="E43" s="45">
        <v>124</v>
      </c>
      <c r="F43" s="16">
        <f t="shared" si="12"/>
        <v>0.41129032258064518</v>
      </c>
      <c r="G43" s="16">
        <f t="shared" si="13"/>
        <v>0.17741935483870958</v>
      </c>
      <c r="H43" s="1" t="str">
        <f t="shared" si="14"/>
        <v>R</v>
      </c>
      <c r="I43" s="17" t="str">
        <f>IF(Elect2004!H43=H43,"N","Y")</f>
        <v>N</v>
      </c>
      <c r="J43" s="54">
        <v>20</v>
      </c>
      <c r="K43" s="54">
        <v>26</v>
      </c>
      <c r="L43" s="45">
        <v>46</v>
      </c>
      <c r="M43" s="16">
        <f t="shared" si="15"/>
        <v>0.43478260869565216</v>
      </c>
      <c r="N43" s="16">
        <f t="shared" si="16"/>
        <v>0.13043478260869573</v>
      </c>
      <c r="O43" s="1" t="str">
        <f t="shared" si="17"/>
        <v>R</v>
      </c>
      <c r="P43" s="17" t="str">
        <f>IF(Elect2004!O43=O43,"N","Y")</f>
        <v>N</v>
      </c>
      <c r="Q43" s="1">
        <f t="shared" si="18"/>
        <v>71</v>
      </c>
      <c r="R43" s="1">
        <f t="shared" si="18"/>
        <v>99</v>
      </c>
      <c r="S43" s="16">
        <f t="shared" si="19"/>
        <v>0.41764705882352943</v>
      </c>
      <c r="T43" s="16">
        <f t="shared" si="20"/>
        <v>0.16470588235294109</v>
      </c>
      <c r="U43" s="1" t="str">
        <f t="shared" si="21"/>
        <v>R</v>
      </c>
      <c r="V43" s="55" t="s">
        <v>19</v>
      </c>
      <c r="W43" s="1" t="str">
        <f t="shared" si="22"/>
        <v>U</v>
      </c>
      <c r="X43" s="1">
        <f>C43-Elect2004!C43</f>
        <v>1</v>
      </c>
      <c r="Y43" s="1">
        <f>J43-Elect2004!J43</f>
        <v>1</v>
      </c>
      <c r="Z43" s="1">
        <f t="shared" si="11"/>
        <v>2</v>
      </c>
    </row>
    <row r="44" spans="1:26">
      <c r="A44" s="12" t="s">
        <v>71</v>
      </c>
      <c r="B44" s="13" t="s">
        <v>41</v>
      </c>
      <c r="C44" s="56">
        <v>20</v>
      </c>
      <c r="D44" s="56">
        <v>50</v>
      </c>
      <c r="E44" s="47">
        <v>70</v>
      </c>
      <c r="F44" s="16">
        <f t="shared" si="12"/>
        <v>0.2857142857142857</v>
      </c>
      <c r="G44" s="16">
        <f t="shared" si="13"/>
        <v>0.4285714285714286</v>
      </c>
      <c r="H44" s="1" t="str">
        <f t="shared" si="14"/>
        <v>R</v>
      </c>
      <c r="I44" s="17" t="str">
        <f>IF(Elect2004!H44=H44,"N","Y")</f>
        <v>N</v>
      </c>
      <c r="J44" s="56">
        <v>15</v>
      </c>
      <c r="K44" s="56">
        <v>20</v>
      </c>
      <c r="L44" s="47">
        <v>35</v>
      </c>
      <c r="M44" s="16">
        <f t="shared" si="15"/>
        <v>0.42857142857142855</v>
      </c>
      <c r="N44" s="16">
        <f t="shared" si="16"/>
        <v>0.14285714285714285</v>
      </c>
      <c r="O44" s="1" t="str">
        <f t="shared" si="17"/>
        <v>R</v>
      </c>
      <c r="P44" s="17" t="str">
        <f>IF(Elect2004!O44=O44,"N","Y")</f>
        <v>N</v>
      </c>
      <c r="Q44" s="1">
        <f t="shared" si="18"/>
        <v>35</v>
      </c>
      <c r="R44" s="1">
        <f t="shared" si="18"/>
        <v>70</v>
      </c>
      <c r="S44" s="16">
        <f t="shared" si="19"/>
        <v>0.33333333333333331</v>
      </c>
      <c r="T44" s="16">
        <f t="shared" si="20"/>
        <v>0.33333333333333343</v>
      </c>
      <c r="U44" s="1" t="str">
        <f t="shared" si="21"/>
        <v>R</v>
      </c>
      <c r="V44" s="57" t="s">
        <v>19</v>
      </c>
      <c r="W44" s="1" t="str">
        <f t="shared" si="22"/>
        <v>U</v>
      </c>
      <c r="X44" s="1">
        <f>C44-Elect2004!C44</f>
        <v>1</v>
      </c>
      <c r="Y44" s="1">
        <f>J44-Elect2004!J44</f>
        <v>5</v>
      </c>
      <c r="Z44" s="1">
        <f t="shared" si="11"/>
        <v>6</v>
      </c>
    </row>
    <row r="45" spans="1:26">
      <c r="A45" s="12" t="s">
        <v>72</v>
      </c>
      <c r="B45" s="13" t="s">
        <v>26</v>
      </c>
      <c r="C45" s="52">
        <v>53</v>
      </c>
      <c r="D45" s="52">
        <v>46</v>
      </c>
      <c r="E45" s="43">
        <v>99</v>
      </c>
      <c r="F45" s="16">
        <f t="shared" si="12"/>
        <v>0.53535353535353536</v>
      </c>
      <c r="G45" s="16">
        <f t="shared" si="13"/>
        <v>7.0707070707070718E-2</v>
      </c>
      <c r="H45" s="1" t="str">
        <f t="shared" si="14"/>
        <v>D</v>
      </c>
      <c r="I45" s="17" t="str">
        <f>IF(Elect2004!H45=H45,"N","Y")</f>
        <v>N</v>
      </c>
      <c r="J45" s="52">
        <v>16</v>
      </c>
      <c r="K45" s="52">
        <v>17</v>
      </c>
      <c r="L45" s="43">
        <v>33</v>
      </c>
      <c r="M45" s="16">
        <f t="shared" si="15"/>
        <v>0.48484848484848486</v>
      </c>
      <c r="N45" s="16">
        <f t="shared" si="16"/>
        <v>3.0303030303030276E-2</v>
      </c>
      <c r="O45" s="1" t="str">
        <f t="shared" si="17"/>
        <v>R</v>
      </c>
      <c r="P45" s="17" t="str">
        <f>IF(Elect2004!O45=O45,"N","Y")</f>
        <v>N</v>
      </c>
      <c r="Q45" s="1">
        <f t="shared" si="18"/>
        <v>69</v>
      </c>
      <c r="R45" s="1">
        <f t="shared" si="18"/>
        <v>63</v>
      </c>
      <c r="S45" s="16">
        <f t="shared" si="19"/>
        <v>0.52272727272727271</v>
      </c>
      <c r="T45" s="16">
        <f t="shared" si="20"/>
        <v>4.5454545454545414E-2</v>
      </c>
      <c r="U45" s="1" t="str">
        <f t="shared" si="21"/>
        <v>S</v>
      </c>
      <c r="V45" s="53" t="s">
        <v>18</v>
      </c>
      <c r="W45" s="1" t="str">
        <f t="shared" si="22"/>
        <v>D</v>
      </c>
      <c r="X45" s="1">
        <f>C45-Elect2004!C45</f>
        <v>0</v>
      </c>
      <c r="Y45" s="1">
        <f>J45-Elect2004!J45</f>
        <v>0</v>
      </c>
      <c r="Z45" s="1">
        <f t="shared" si="11"/>
        <v>0</v>
      </c>
    </row>
    <row r="46" spans="1:26">
      <c r="A46" s="12" t="s">
        <v>73</v>
      </c>
      <c r="B46" s="13" t="s">
        <v>26</v>
      </c>
      <c r="C46" s="52">
        <v>69</v>
      </c>
      <c r="D46" s="52">
        <v>81</v>
      </c>
      <c r="E46" s="43">
        <v>150</v>
      </c>
      <c r="F46" s="16">
        <f t="shared" si="12"/>
        <v>0.46</v>
      </c>
      <c r="G46" s="16">
        <f t="shared" si="13"/>
        <v>8.0000000000000016E-2</v>
      </c>
      <c r="H46" s="1" t="str">
        <f t="shared" si="14"/>
        <v>R</v>
      </c>
      <c r="I46" s="17" t="str">
        <f>IF(Elect2004!H46=H46,"N","Y")</f>
        <v>N</v>
      </c>
      <c r="J46" s="52">
        <v>11</v>
      </c>
      <c r="K46" s="52">
        <v>20</v>
      </c>
      <c r="L46" s="43">
        <v>31</v>
      </c>
      <c r="M46" s="16">
        <f t="shared" si="15"/>
        <v>0.35483870967741937</v>
      </c>
      <c r="N46" s="16">
        <f t="shared" si="16"/>
        <v>0.29032258064516125</v>
      </c>
      <c r="O46" s="1" t="str">
        <f t="shared" si="17"/>
        <v>R</v>
      </c>
      <c r="P46" s="17" t="str">
        <f>IF(Elect2004!O46=O46,"N","Y")</f>
        <v>N</v>
      </c>
      <c r="Q46" s="1">
        <f t="shared" si="18"/>
        <v>80</v>
      </c>
      <c r="R46" s="1">
        <f t="shared" si="18"/>
        <v>101</v>
      </c>
      <c r="S46" s="16">
        <f t="shared" si="19"/>
        <v>0.44198895027624308</v>
      </c>
      <c r="T46" s="16">
        <f t="shared" si="20"/>
        <v>0.11602209944751385</v>
      </c>
      <c r="U46" s="1" t="str">
        <f t="shared" si="21"/>
        <v>R</v>
      </c>
      <c r="V46" s="53" t="s">
        <v>19</v>
      </c>
      <c r="W46" s="1" t="str">
        <f t="shared" si="22"/>
        <v>U</v>
      </c>
      <c r="X46" s="1">
        <f>C46-Elect2004!C46</f>
        <v>6</v>
      </c>
      <c r="Y46" s="1">
        <f>J46-Elect2004!J46</f>
        <v>-1</v>
      </c>
      <c r="Z46" s="1">
        <f t="shared" si="11"/>
        <v>5</v>
      </c>
    </row>
    <row r="47" spans="1:26">
      <c r="A47" s="12" t="s">
        <v>74</v>
      </c>
      <c r="B47" s="13" t="s">
        <v>28</v>
      </c>
      <c r="C47" s="52">
        <v>19</v>
      </c>
      <c r="D47" s="52">
        <v>56</v>
      </c>
      <c r="E47" s="43">
        <v>75</v>
      </c>
      <c r="F47" s="16">
        <f t="shared" si="12"/>
        <v>0.25333333333333335</v>
      </c>
      <c r="G47" s="16">
        <f t="shared" si="13"/>
        <v>0.49333333333333323</v>
      </c>
      <c r="H47" s="1" t="str">
        <f t="shared" si="14"/>
        <v>R</v>
      </c>
      <c r="I47" s="17" t="str">
        <f>IF(Elect2004!H47=H47,"N","Y")</f>
        <v>N</v>
      </c>
      <c r="J47" s="52">
        <v>8</v>
      </c>
      <c r="K47" s="52">
        <v>21</v>
      </c>
      <c r="L47" s="43">
        <v>29</v>
      </c>
      <c r="M47" s="16">
        <f t="shared" si="15"/>
        <v>0.27586206896551724</v>
      </c>
      <c r="N47" s="16">
        <f t="shared" si="16"/>
        <v>0.44827586206896552</v>
      </c>
      <c r="O47" s="1" t="str">
        <f t="shared" si="17"/>
        <v>R</v>
      </c>
      <c r="P47" s="17" t="str">
        <f>IF(Elect2004!O47=O47,"N","Y")</f>
        <v>N</v>
      </c>
      <c r="Q47" s="1">
        <f t="shared" si="18"/>
        <v>27</v>
      </c>
      <c r="R47" s="1">
        <f t="shared" si="18"/>
        <v>77</v>
      </c>
      <c r="S47" s="16">
        <f t="shared" si="19"/>
        <v>0.25961538461538464</v>
      </c>
      <c r="T47" s="16">
        <f t="shared" si="20"/>
        <v>0.48076923076923078</v>
      </c>
      <c r="U47" s="1" t="str">
        <f t="shared" si="21"/>
        <v>R</v>
      </c>
      <c r="V47" s="53" t="s">
        <v>19</v>
      </c>
      <c r="W47" s="1" t="str">
        <f t="shared" si="22"/>
        <v>U</v>
      </c>
      <c r="X47" s="1">
        <f>C47-Elect2004!C47</f>
        <v>0</v>
      </c>
      <c r="Y47" s="1">
        <f>J47-Elect2004!J47</f>
        <v>0</v>
      </c>
      <c r="Z47" s="1">
        <f t="shared" si="11"/>
        <v>0</v>
      </c>
    </row>
    <row r="48" spans="1:26">
      <c r="A48" s="12" t="s">
        <v>75</v>
      </c>
      <c r="B48" s="13" t="s">
        <v>34</v>
      </c>
      <c r="C48" s="54">
        <v>93</v>
      </c>
      <c r="D48" s="54">
        <v>49</v>
      </c>
      <c r="E48" s="45">
        <v>150</v>
      </c>
      <c r="F48" s="16">
        <f t="shared" si="12"/>
        <v>0.62</v>
      </c>
      <c r="G48" s="16">
        <f t="shared" si="13"/>
        <v>0.24</v>
      </c>
      <c r="H48" s="1" t="str">
        <f t="shared" si="14"/>
        <v>D</v>
      </c>
      <c r="I48" s="17" t="str">
        <f>IF(Elect2004!H48=H48,"N","Y")</f>
        <v>N</v>
      </c>
      <c r="J48" s="54">
        <v>23</v>
      </c>
      <c r="K48" s="54">
        <v>7</v>
      </c>
      <c r="L48" s="45">
        <v>30</v>
      </c>
      <c r="M48" s="16">
        <f t="shared" si="15"/>
        <v>0.76666666666666672</v>
      </c>
      <c r="N48" s="16">
        <f t="shared" si="16"/>
        <v>0.53333333333333344</v>
      </c>
      <c r="O48" s="1" t="str">
        <f t="shared" si="17"/>
        <v>D</v>
      </c>
      <c r="P48" s="17" t="str">
        <f>IF(Elect2004!O48=O48,"N","Y")</f>
        <v>N</v>
      </c>
      <c r="Q48" s="1">
        <f t="shared" si="18"/>
        <v>116</v>
      </c>
      <c r="R48" s="1">
        <f t="shared" si="18"/>
        <v>56</v>
      </c>
      <c r="S48" s="16">
        <f t="shared" si="19"/>
        <v>0.64444444444444449</v>
      </c>
      <c r="T48" s="16">
        <f t="shared" si="20"/>
        <v>0.28888888888888897</v>
      </c>
      <c r="U48" s="1" t="str">
        <f t="shared" si="21"/>
        <v>D</v>
      </c>
      <c r="V48" s="55" t="s">
        <v>19</v>
      </c>
      <c r="W48" s="1" t="str">
        <f t="shared" si="22"/>
        <v>D</v>
      </c>
      <c r="X48" s="1">
        <f>C48-Elect2004!C48</f>
        <v>10</v>
      </c>
      <c r="Y48" s="1">
        <f>J48-Elect2004!J48</f>
        <v>2</v>
      </c>
      <c r="Z48" s="1">
        <f t="shared" si="11"/>
        <v>12</v>
      </c>
    </row>
    <row r="49" spans="1:26">
      <c r="A49" s="12" t="s">
        <v>76</v>
      </c>
      <c r="B49" s="13" t="s">
        <v>26</v>
      </c>
      <c r="C49" s="52">
        <v>40</v>
      </c>
      <c r="D49" s="52">
        <v>57</v>
      </c>
      <c r="E49" s="43">
        <v>100</v>
      </c>
      <c r="F49" s="16">
        <f t="shared" si="12"/>
        <v>0.4</v>
      </c>
      <c r="G49" s="16">
        <f t="shared" si="13"/>
        <v>0.19999999999999996</v>
      </c>
      <c r="H49" s="1" t="str">
        <f t="shared" si="14"/>
        <v>R</v>
      </c>
      <c r="I49" s="17" t="str">
        <f>IF(Elect2004!H49=H49,"N","Y")</f>
        <v>N</v>
      </c>
      <c r="J49" s="52">
        <v>17</v>
      </c>
      <c r="K49" s="52">
        <v>23</v>
      </c>
      <c r="L49" s="43">
        <v>40</v>
      </c>
      <c r="M49" s="16">
        <f t="shared" si="15"/>
        <v>0.42499999999999999</v>
      </c>
      <c r="N49" s="16">
        <f t="shared" si="16"/>
        <v>0.14999999999999997</v>
      </c>
      <c r="O49" s="1" t="str">
        <f t="shared" si="17"/>
        <v>R</v>
      </c>
      <c r="P49" s="17" t="str">
        <f>IF(Elect2004!O49=O49,"N","Y")</f>
        <v>N</v>
      </c>
      <c r="Q49" s="1">
        <f t="shared" si="18"/>
        <v>57</v>
      </c>
      <c r="R49" s="1">
        <f t="shared" si="18"/>
        <v>80</v>
      </c>
      <c r="S49" s="16">
        <f t="shared" si="19"/>
        <v>0.40714285714285714</v>
      </c>
      <c r="T49" s="16">
        <f t="shared" si="20"/>
        <v>0.18571428571428572</v>
      </c>
      <c r="U49" s="1" t="str">
        <f t="shared" si="21"/>
        <v>R</v>
      </c>
      <c r="V49" s="53" t="s">
        <v>18</v>
      </c>
      <c r="W49" s="1" t="str">
        <f t="shared" si="22"/>
        <v>D</v>
      </c>
      <c r="X49" s="1">
        <f>C49-Elect2004!C49</f>
        <v>0</v>
      </c>
      <c r="Y49" s="1">
        <f>J49-Elect2004!J49</f>
        <v>0</v>
      </c>
      <c r="Z49" s="1">
        <f t="shared" si="11"/>
        <v>0</v>
      </c>
    </row>
    <row r="50" spans="1:26">
      <c r="A50" s="12" t="s">
        <v>77</v>
      </c>
      <c r="B50" s="13" t="s">
        <v>28</v>
      </c>
      <c r="C50" s="52">
        <v>63</v>
      </c>
      <c r="D50" s="52">
        <v>35</v>
      </c>
      <c r="E50" s="43">
        <v>98</v>
      </c>
      <c r="F50" s="16">
        <f t="shared" si="12"/>
        <v>0.6428571428571429</v>
      </c>
      <c r="G50" s="16">
        <f t="shared" si="13"/>
        <v>0.28571428571428581</v>
      </c>
      <c r="H50" s="1" t="str">
        <f t="shared" si="14"/>
        <v>D</v>
      </c>
      <c r="I50" s="17" t="str">
        <f>IF(Elect2004!H50=H50,"N","Y")</f>
        <v>N</v>
      </c>
      <c r="J50" s="52">
        <v>32</v>
      </c>
      <c r="K50" s="52">
        <v>17</v>
      </c>
      <c r="L50" s="43">
        <v>49</v>
      </c>
      <c r="M50" s="16">
        <f t="shared" si="15"/>
        <v>0.65306122448979587</v>
      </c>
      <c r="N50" s="16">
        <f t="shared" si="16"/>
        <v>0.30612244897959173</v>
      </c>
      <c r="O50" s="1" t="str">
        <f t="shared" si="17"/>
        <v>D</v>
      </c>
      <c r="P50" s="17" t="str">
        <f>IF(Elect2004!O50=O50,"N","Y")</f>
        <v>N</v>
      </c>
      <c r="Q50" s="1">
        <f t="shared" si="18"/>
        <v>95</v>
      </c>
      <c r="R50" s="1">
        <f t="shared" si="18"/>
        <v>52</v>
      </c>
      <c r="S50" s="16">
        <f t="shared" si="19"/>
        <v>0.6462585034013606</v>
      </c>
      <c r="T50" s="16">
        <f t="shared" si="20"/>
        <v>0.29251700680272119</v>
      </c>
      <c r="U50" s="1" t="str">
        <f t="shared" si="21"/>
        <v>D</v>
      </c>
      <c r="V50" s="53" t="s">
        <v>18</v>
      </c>
      <c r="W50" s="1" t="str">
        <f t="shared" si="22"/>
        <v>U</v>
      </c>
      <c r="X50" s="1">
        <f>C50-Elect2004!C50</f>
        <v>8</v>
      </c>
      <c r="Y50" s="1">
        <f>J50-Elect2004!J50</f>
        <v>6</v>
      </c>
      <c r="Z50" s="1">
        <f t="shared" si="11"/>
        <v>14</v>
      </c>
    </row>
    <row r="51" spans="1:26">
      <c r="A51" s="12" t="s">
        <v>78</v>
      </c>
      <c r="B51" s="13" t="s">
        <v>26</v>
      </c>
      <c r="C51" s="52">
        <v>72</v>
      </c>
      <c r="D51" s="52">
        <v>28</v>
      </c>
      <c r="E51" s="43">
        <v>100</v>
      </c>
      <c r="F51" s="16">
        <f t="shared" si="12"/>
        <v>0.72</v>
      </c>
      <c r="G51" s="16">
        <f t="shared" si="13"/>
        <v>0.43999999999999995</v>
      </c>
      <c r="H51" s="1" t="str">
        <f t="shared" si="14"/>
        <v>D</v>
      </c>
      <c r="I51" s="17" t="str">
        <f>IF(Elect2004!H51=H51,"N","Y")</f>
        <v>N</v>
      </c>
      <c r="J51" s="52">
        <v>23</v>
      </c>
      <c r="K51" s="52">
        <v>11</v>
      </c>
      <c r="L51" s="43">
        <v>34</v>
      </c>
      <c r="M51" s="16">
        <f t="shared" si="15"/>
        <v>0.67647058823529416</v>
      </c>
      <c r="N51" s="16">
        <f t="shared" si="16"/>
        <v>0.35294117647058831</v>
      </c>
      <c r="O51" s="1" t="str">
        <f t="shared" si="17"/>
        <v>D</v>
      </c>
      <c r="P51" s="17" t="str">
        <f>IF(Elect2004!O51=O51,"N","Y")</f>
        <v>N</v>
      </c>
      <c r="Q51" s="1">
        <f t="shared" si="18"/>
        <v>95</v>
      </c>
      <c r="R51" s="1">
        <f t="shared" si="18"/>
        <v>39</v>
      </c>
      <c r="S51" s="16">
        <f t="shared" si="19"/>
        <v>0.70895522388059706</v>
      </c>
      <c r="T51" s="16">
        <f t="shared" si="20"/>
        <v>0.41791044776119413</v>
      </c>
      <c r="U51" s="1" t="str">
        <f t="shared" si="21"/>
        <v>D</v>
      </c>
      <c r="V51" s="53" t="s">
        <v>18</v>
      </c>
      <c r="W51" s="1" t="str">
        <f t="shared" si="22"/>
        <v>U</v>
      </c>
      <c r="X51" s="1">
        <f>C51-Elect2004!C51</f>
        <v>4</v>
      </c>
      <c r="Y51" s="1">
        <f>J51-Elect2004!J51</f>
        <v>2</v>
      </c>
      <c r="Z51" s="1">
        <f t="shared" si="11"/>
        <v>6</v>
      </c>
    </row>
    <row r="52" spans="1:26">
      <c r="A52" s="12" t="s">
        <v>79</v>
      </c>
      <c r="B52" s="13" t="s">
        <v>41</v>
      </c>
      <c r="C52" s="52">
        <v>46</v>
      </c>
      <c r="D52" s="52">
        <v>53</v>
      </c>
      <c r="E52" s="43">
        <v>99</v>
      </c>
      <c r="F52" s="16">
        <f t="shared" si="12"/>
        <v>0.46464646464646464</v>
      </c>
      <c r="G52" s="16">
        <f t="shared" si="13"/>
        <v>7.0707070707070718E-2</v>
      </c>
      <c r="H52" s="1" t="str">
        <f t="shared" si="14"/>
        <v>R</v>
      </c>
      <c r="I52" s="17" t="str">
        <f>IF(Elect2004!H52=H52,"N","Y")</f>
        <v>N</v>
      </c>
      <c r="J52" s="52">
        <v>18</v>
      </c>
      <c r="K52" s="52">
        <v>15</v>
      </c>
      <c r="L52" s="43">
        <v>33</v>
      </c>
      <c r="M52" s="16">
        <f t="shared" si="15"/>
        <v>0.54545454545454541</v>
      </c>
      <c r="N52" s="16">
        <f t="shared" si="16"/>
        <v>9.0909090909090828E-2</v>
      </c>
      <c r="O52" s="1" t="str">
        <f t="shared" si="17"/>
        <v>D</v>
      </c>
      <c r="P52" s="17" t="str">
        <f>IF(Elect2004!O52=O52,"N","Y")</f>
        <v>Y</v>
      </c>
      <c r="Q52" s="1">
        <f t="shared" si="18"/>
        <v>64</v>
      </c>
      <c r="R52" s="1">
        <f t="shared" si="18"/>
        <v>68</v>
      </c>
      <c r="S52" s="16">
        <f t="shared" si="19"/>
        <v>0.48484848484848486</v>
      </c>
      <c r="T52" s="16">
        <f t="shared" si="20"/>
        <v>3.0303030303030276E-2</v>
      </c>
      <c r="U52" s="1" t="str">
        <f t="shared" si="21"/>
        <v>S</v>
      </c>
      <c r="V52" s="53" t="s">
        <v>18</v>
      </c>
      <c r="W52" s="1" t="str">
        <f t="shared" si="22"/>
        <v>D</v>
      </c>
      <c r="X52" s="1">
        <f>C52-Elect2004!C52</f>
        <v>7</v>
      </c>
      <c r="Y52" s="1">
        <f>J52-Elect2004!J52</f>
        <v>4</v>
      </c>
      <c r="Z52" s="1">
        <f t="shared" si="11"/>
        <v>11</v>
      </c>
    </row>
    <row r="53" spans="1:26">
      <c r="A53" s="12" t="s">
        <v>80</v>
      </c>
      <c r="B53" s="13" t="s">
        <v>28</v>
      </c>
      <c r="C53" s="52">
        <v>17</v>
      </c>
      <c r="D53" s="52">
        <v>43</v>
      </c>
      <c r="E53" s="1">
        <v>60</v>
      </c>
      <c r="F53" s="16">
        <f t="shared" si="12"/>
        <v>0.28333333333333333</v>
      </c>
      <c r="G53" s="16">
        <f t="shared" si="13"/>
        <v>0.43333333333333335</v>
      </c>
      <c r="H53" s="1" t="str">
        <f t="shared" si="14"/>
        <v>R</v>
      </c>
      <c r="I53" s="17" t="str">
        <f>IF(Elect2004!H53=H53,"N","Y")</f>
        <v>N</v>
      </c>
      <c r="J53" s="52">
        <v>7</v>
      </c>
      <c r="K53" s="52">
        <v>23</v>
      </c>
      <c r="L53" s="43">
        <v>30</v>
      </c>
      <c r="M53" s="16">
        <f t="shared" si="15"/>
        <v>0.23333333333333334</v>
      </c>
      <c r="N53" s="16">
        <f t="shared" si="16"/>
        <v>0.53333333333333321</v>
      </c>
      <c r="O53" s="1" t="str">
        <f t="shared" si="17"/>
        <v>R</v>
      </c>
      <c r="P53" s="17" t="str">
        <f>IF(Elect2004!O53=O53,"N","Y")</f>
        <v>N</v>
      </c>
      <c r="Q53" s="1">
        <f t="shared" si="18"/>
        <v>24</v>
      </c>
      <c r="R53" s="50">
        <f t="shared" si="18"/>
        <v>66</v>
      </c>
      <c r="S53" s="25">
        <f t="shared" si="19"/>
        <v>0.26666666666666666</v>
      </c>
      <c r="T53" s="26">
        <f t="shared" si="20"/>
        <v>0.46666666666666673</v>
      </c>
      <c r="U53" s="1" t="str">
        <f t="shared" si="21"/>
        <v>R</v>
      </c>
      <c r="V53" s="53" t="s">
        <v>18</v>
      </c>
      <c r="W53" s="1" t="str">
        <f t="shared" si="22"/>
        <v>D</v>
      </c>
      <c r="X53" s="1">
        <f>C53-Elect2004!C53</f>
        <v>3</v>
      </c>
      <c r="Y53" s="1">
        <f>J53-Elect2004!J53</f>
        <v>0</v>
      </c>
      <c r="Z53" s="1">
        <f t="shared" si="11"/>
        <v>3</v>
      </c>
    </row>
    <row r="54" spans="1:26">
      <c r="A54" s="27" t="s">
        <v>81</v>
      </c>
      <c r="B54" s="28"/>
      <c r="C54" s="29">
        <f>SUM(C4:C53)</f>
        <v>2978</v>
      </c>
      <c r="D54" s="29">
        <f>SUM(D4:D53)</f>
        <v>2414</v>
      </c>
      <c r="E54" s="29">
        <f>SUM(E3:E53)</f>
        <v>5411</v>
      </c>
      <c r="F54" s="30">
        <f t="shared" si="12"/>
        <v>0.5503603770097949</v>
      </c>
      <c r="G54" s="30"/>
      <c r="H54" s="31"/>
      <c r="I54" s="32"/>
      <c r="J54" s="29">
        <f>SUM(J3:J53)</f>
        <v>1009</v>
      </c>
      <c r="K54" s="29">
        <f>SUM(K3:K53)</f>
        <v>908</v>
      </c>
      <c r="L54" s="29">
        <f>SUM(L3:L53)</f>
        <v>1922</v>
      </c>
      <c r="M54" s="30">
        <f t="shared" si="15"/>
        <v>0.52497398543184182</v>
      </c>
      <c r="N54" s="30"/>
      <c r="O54" s="31"/>
      <c r="P54" s="32"/>
      <c r="Q54" s="33">
        <f>SUM(Q4:Q53)</f>
        <v>3987</v>
      </c>
      <c r="R54" s="1">
        <f>D54+K54</f>
        <v>3322</v>
      </c>
      <c r="S54" s="16">
        <f t="shared" si="19"/>
        <v>0.54370653211509612</v>
      </c>
      <c r="T54" s="34">
        <f>AVERAGE(T4:T53)</f>
        <v>0.23581698192663902</v>
      </c>
      <c r="U54" s="31"/>
      <c r="X54" s="33">
        <f t="shared" ref="X54:Z54" si="23">SUM(X4:X53)</f>
        <v>267</v>
      </c>
      <c r="Y54" s="33">
        <f t="shared" si="23"/>
        <v>55</v>
      </c>
      <c r="Z54" s="33">
        <f t="shared" si="23"/>
        <v>322</v>
      </c>
    </row>
    <row r="55" spans="1:26">
      <c r="A55" s="35"/>
      <c r="B55" s="35"/>
      <c r="C55" s="36"/>
      <c r="D55" s="36"/>
      <c r="E55" s="36"/>
      <c r="F55" s="16"/>
      <c r="G55" s="16"/>
      <c r="J55" s="36"/>
      <c r="K55" s="36"/>
      <c r="L55" s="36"/>
      <c r="M55" s="16"/>
      <c r="Q55" s="37"/>
      <c r="R55" s="37"/>
      <c r="S55" s="16"/>
      <c r="T55" s="16"/>
    </row>
    <row r="56" spans="1:26">
      <c r="A56" s="38" t="s">
        <v>82</v>
      </c>
    </row>
    <row r="57" spans="1:26">
      <c r="A57" s="1" t="s">
        <v>83</v>
      </c>
      <c r="C57" s="37">
        <f>DSUM(_xlnm.Database,C3,critRGS)</f>
        <v>957</v>
      </c>
      <c r="D57" s="37"/>
      <c r="E57" s="37">
        <f>DSUM(_xlnm.Database,E3,critRGS)</f>
        <v>1767</v>
      </c>
      <c r="F57" s="16">
        <f>C57/E57</f>
        <v>0.54159592529711376</v>
      </c>
      <c r="J57" s="37">
        <f>DSUM(_xlnm.Database,J3,critRGS)</f>
        <v>329</v>
      </c>
      <c r="K57" s="37"/>
      <c r="L57" s="37">
        <f>DSUM(_xlnm.Database,L3,critRGS)</f>
        <v>624</v>
      </c>
      <c r="M57" s="16">
        <f>J57/L57</f>
        <v>0.52724358974358976</v>
      </c>
      <c r="Q57" s="37">
        <f>DSUM(_xlnm.Database,Q3,critRGS)</f>
        <v>1286</v>
      </c>
      <c r="R57" s="37"/>
      <c r="S57" s="16">
        <f>Q57/(E57+L57)</f>
        <v>0.53785027185278123</v>
      </c>
      <c r="T57" s="16"/>
    </row>
    <row r="58" spans="1:26">
      <c r="A58" s="1" t="s">
        <v>84</v>
      </c>
      <c r="C58" s="37">
        <f>DSUM(_xlnm.Database,C3,CritRGN)</f>
        <v>2021</v>
      </c>
      <c r="D58" s="37"/>
      <c r="E58" s="37">
        <f>DSUM(_xlnm.Database,E3,CritRGN)</f>
        <v>3644</v>
      </c>
      <c r="F58" s="16">
        <f>C58/E58</f>
        <v>0.55461031833150387</v>
      </c>
      <c r="J58" s="37">
        <f>DSUM(_xlnm.Database,J3,CritRGN)</f>
        <v>680</v>
      </c>
      <c r="K58" s="37"/>
      <c r="L58" s="37">
        <f>DSUM(_xlnm.Database,L3,CritRGN)</f>
        <v>1298</v>
      </c>
      <c r="M58" s="16">
        <f>J58/L58</f>
        <v>0.5238828967642527</v>
      </c>
      <c r="Q58" s="37">
        <f>DSUM(_xlnm.Database,Q3,CritRGN)</f>
        <v>2701</v>
      </c>
      <c r="R58" s="37"/>
      <c r="S58" s="16">
        <f>Q58/(E58+L58)</f>
        <v>0.54653986240388508</v>
      </c>
      <c r="T58" s="16"/>
    </row>
    <row r="59" spans="1:26">
      <c r="A59" s="1" t="s">
        <v>85</v>
      </c>
      <c r="C59" s="37">
        <f>DSUM(_xlnm.Database,C3,CRITE)</f>
        <v>1001</v>
      </c>
      <c r="D59" s="37"/>
      <c r="E59" s="37">
        <f>DSUM(_xlnm.Database,E3,CRITE)</f>
        <v>1561</v>
      </c>
      <c r="F59" s="16">
        <f>C59/E59</f>
        <v>0.64125560538116588</v>
      </c>
      <c r="J59" s="37">
        <f>DSUM(_xlnm.Database,J3,CRITE)</f>
        <v>230</v>
      </c>
      <c r="K59" s="37"/>
      <c r="L59" s="37">
        <f>DSUM(_xlnm.Database,L3,CRITE)</f>
        <v>376</v>
      </c>
      <c r="M59" s="16">
        <f>J59/L59</f>
        <v>0.61170212765957444</v>
      </c>
      <c r="Q59" s="37">
        <f>DSUM(_xlnm.Database,Q3,CRITE)</f>
        <v>1231</v>
      </c>
      <c r="R59" s="37"/>
      <c r="S59" s="16">
        <f>Q59/(E59+L59)</f>
        <v>0.63551884357253485</v>
      </c>
      <c r="T59" s="16"/>
    </row>
    <row r="60" spans="1:26">
      <c r="A60" s="1" t="s">
        <v>86</v>
      </c>
      <c r="C60" s="37">
        <f>DSUM(_xlnm.Database,C3,CRITM)</f>
        <v>578</v>
      </c>
      <c r="D60" s="37"/>
      <c r="E60" s="37">
        <f>DSUM(_xlnm.Database,E3,CRITM)</f>
        <v>1212</v>
      </c>
      <c r="F60" s="16">
        <f>C60/E60</f>
        <v>0.4768976897689769</v>
      </c>
      <c r="J60" s="37">
        <f>DSUM(_xlnm.Database,J3,CRITM)</f>
        <v>234</v>
      </c>
      <c r="K60" s="37"/>
      <c r="L60" s="37">
        <f>DSUM(_xlnm.Database,L3,CRITM)</f>
        <v>486</v>
      </c>
      <c r="M60" s="16">
        <f>J60/L60</f>
        <v>0.48148148148148145</v>
      </c>
      <c r="Q60" s="37">
        <f>DSUM(_xlnm.Database,Q3,CRITM)</f>
        <v>812</v>
      </c>
      <c r="R60" s="37"/>
      <c r="S60" s="16">
        <f>Q60/(E60+L60)</f>
        <v>0.47820965842167257</v>
      </c>
      <c r="T60" s="16"/>
    </row>
    <row r="61" spans="1:26">
      <c r="A61" s="1" t="s">
        <v>87</v>
      </c>
      <c r="C61" s="37">
        <f>DSUM(_xlnm.Database,C3,CRITW)</f>
        <v>442</v>
      </c>
      <c r="D61" s="37"/>
      <c r="E61" s="37">
        <f>DSUM(_xlnm.Database,E3,CRITW)</f>
        <v>871</v>
      </c>
      <c r="F61" s="16">
        <f>C61/E61</f>
        <v>0.5074626865671642</v>
      </c>
      <c r="J61" s="37">
        <f>DSUM(_xlnm.Database,J3,CRITW)</f>
        <v>216</v>
      </c>
      <c r="K61" s="37"/>
      <c r="L61" s="37">
        <f>DSUM(_xlnm.Database,L3,CRITW)</f>
        <v>436</v>
      </c>
      <c r="M61" s="16">
        <f>J61/L61</f>
        <v>0.49541284403669728</v>
      </c>
      <c r="Q61" s="37">
        <f>DSUM(_xlnm.Database,Q3,CRITW)</f>
        <v>658</v>
      </c>
      <c r="R61" s="37"/>
      <c r="S61" s="16">
        <f>Q61/(E61+L61)</f>
        <v>0.50344299923488911</v>
      </c>
      <c r="T61" s="16"/>
    </row>
    <row r="62" spans="1:26">
      <c r="F62" s="16"/>
      <c r="M62" s="16"/>
      <c r="S62" s="16"/>
      <c r="T62" s="16"/>
    </row>
    <row r="63" spans="1:26">
      <c r="F63" s="16"/>
      <c r="M63" s="16"/>
      <c r="S63" s="16"/>
      <c r="T63" s="16"/>
    </row>
    <row r="64" spans="1:26">
      <c r="A64" s="38" t="s">
        <v>88</v>
      </c>
      <c r="C64" s="51" t="s">
        <v>89</v>
      </c>
      <c r="D64" s="51"/>
      <c r="E64" s="51" t="s">
        <v>26</v>
      </c>
      <c r="F64" s="51" t="s">
        <v>90</v>
      </c>
      <c r="M64" s="16"/>
      <c r="S64" s="16"/>
      <c r="T64" s="16"/>
    </row>
    <row r="65" spans="1:20">
      <c r="A65" s="35" t="s">
        <v>81</v>
      </c>
      <c r="C65" s="40">
        <f>C54-Elect2004!C54</f>
        <v>267</v>
      </c>
      <c r="D65" s="40"/>
      <c r="E65" s="40">
        <f>J54-Elect2004!J54</f>
        <v>55</v>
      </c>
      <c r="F65" s="40">
        <f>Q54-Elect2004!Q54</f>
        <v>322</v>
      </c>
      <c r="M65" s="16"/>
      <c r="S65" s="16"/>
      <c r="T65" s="16"/>
    </row>
    <row r="66" spans="1:20">
      <c r="A66" s="1" t="s">
        <v>83</v>
      </c>
      <c r="C66" s="40">
        <f>C57-Elect2004!C57</f>
        <v>26</v>
      </c>
      <c r="D66" s="40"/>
      <c r="E66" s="40">
        <f>J57-Elect2004!J57</f>
        <v>-2</v>
      </c>
      <c r="F66" s="40">
        <f>Q57-Elect2004!Q57</f>
        <v>24</v>
      </c>
      <c r="M66" s="16"/>
      <c r="S66" s="16"/>
      <c r="T66" s="16"/>
    </row>
    <row r="67" spans="1:20">
      <c r="A67" s="1" t="s">
        <v>85</v>
      </c>
      <c r="C67" s="40">
        <f>C59-Elect2004!C59</f>
        <v>137</v>
      </c>
      <c r="D67" s="40"/>
      <c r="E67" s="40">
        <f>J59-Elect2004!J59</f>
        <v>10</v>
      </c>
      <c r="F67" s="40">
        <f>Q59-Elect2004!Q59</f>
        <v>147</v>
      </c>
      <c r="M67" s="16"/>
      <c r="S67" s="16"/>
      <c r="T67" s="16"/>
    </row>
    <row r="68" spans="1:20">
      <c r="A68" s="1" t="s">
        <v>86</v>
      </c>
      <c r="C68" s="40">
        <f>C60-Elect2004!C60</f>
        <v>68</v>
      </c>
      <c r="D68" s="40"/>
      <c r="E68" s="40">
        <f>J60-Elect2004!J60</f>
        <v>39</v>
      </c>
      <c r="F68" s="40">
        <f>Q60-Elect2004!Q60</f>
        <v>107</v>
      </c>
      <c r="M68" s="16"/>
      <c r="S68" s="16"/>
      <c r="T68" s="16"/>
    </row>
    <row r="69" spans="1:20">
      <c r="A69" s="1" t="s">
        <v>87</v>
      </c>
      <c r="C69" s="40">
        <f>C61-Elect2004!C61</f>
        <v>36</v>
      </c>
      <c r="D69" s="40"/>
      <c r="E69" s="40">
        <f>J61-Elect2004!J61</f>
        <v>8</v>
      </c>
      <c r="F69" s="40">
        <f>Q61-Elect2002!Q61</f>
        <v>72</v>
      </c>
      <c r="M69" s="16"/>
      <c r="S69" s="16"/>
      <c r="T69" s="16"/>
    </row>
    <row r="70" spans="1:20">
      <c r="F70" s="16"/>
      <c r="M70" s="16"/>
      <c r="S70" s="16"/>
      <c r="T70" s="16"/>
    </row>
    <row r="71" spans="1:20">
      <c r="G71" s="8"/>
    </row>
    <row r="72" spans="1:20">
      <c r="A72" s="38" t="s">
        <v>91</v>
      </c>
      <c r="F72" s="1">
        <f>DCOUNTA(_xlnm.Database,"Div?",critdiv)</f>
        <v>23</v>
      </c>
    </row>
    <row r="73" spans="1:20">
      <c r="A73" s="38"/>
    </row>
    <row r="74" spans="1:20">
      <c r="A74" s="38" t="s">
        <v>92</v>
      </c>
      <c r="C74" s="1">
        <f>DCOUNTA(_xlnm.Database,"HSwch",CritHSwch)</f>
        <v>7</v>
      </c>
      <c r="E74" s="1">
        <f>DCOUNTA(_xlnm.Database,"sSwch",CritSSwch)</f>
        <v>4</v>
      </c>
      <c r="F74" s="1">
        <f>SUM(C74:E74)</f>
        <v>11</v>
      </c>
    </row>
    <row r="75" spans="1:20">
      <c r="A75" s="38"/>
      <c r="H75" s="1" t="s">
        <v>110</v>
      </c>
    </row>
    <row r="76" spans="1:20">
      <c r="A76" s="38" t="s">
        <v>93</v>
      </c>
      <c r="C76" s="1">
        <f>DCOUNTA(_xlnm.Database,"hCntrl",CritHCntrlD)</f>
        <v>30</v>
      </c>
      <c r="E76" s="1">
        <f>DCOUNTA(_xlnm.Database,"sCntrl",CritSCntrlD)</f>
        <v>26</v>
      </c>
      <c r="F76" s="1">
        <f>DCOUNTA(_xlnm.Database,"TCntrl",CritTCntrlD)</f>
        <v>24</v>
      </c>
      <c r="H76" s="1">
        <f>C76+E76</f>
        <v>56</v>
      </c>
    </row>
    <row r="77" spans="1:20">
      <c r="A77" s="38" t="s">
        <v>94</v>
      </c>
      <c r="C77" s="1">
        <f>DCOUNTA(_xlnm.Database,"HCntrl",critHCntrlR)</f>
        <v>19</v>
      </c>
      <c r="E77" s="1">
        <f>DCOUNTA(_xlnm.Database,"sCntrl",CritSCntrlR)</f>
        <v>22</v>
      </c>
      <c r="F77" s="1">
        <f>DCOUNTA(_xlnm.Database,"TCntrl",CritTCntrlR)</f>
        <v>16</v>
      </c>
      <c r="H77" s="1">
        <f>C77+E77</f>
        <v>41</v>
      </c>
    </row>
    <row r="78" spans="1:20">
      <c r="A78" s="38" t="s">
        <v>95</v>
      </c>
      <c r="F78" s="1">
        <f>DCOUNTA(_xlnm.Database,"TCntrl",CritTCntrlS)</f>
        <v>9</v>
      </c>
    </row>
    <row r="79" spans="1:20">
      <c r="A79" s="38"/>
    </row>
    <row r="80" spans="1:20">
      <c r="A80" s="38" t="s">
        <v>96</v>
      </c>
      <c r="F80" s="1">
        <f>DCOUNTA(_xlnm.Database,"Gov",CritGovD)</f>
        <v>28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0.23560869709425089</v>
      </c>
      <c r="D84" s="16"/>
      <c r="E84" s="16">
        <f>DAVERAGE(_xlnm.Database,"SMargin",critRGS)</f>
        <v>0.22929094387781468</v>
      </c>
      <c r="F84" s="16">
        <f>DAVERAGE(_xlnm.Database,"Margin",critRGS)</f>
        <v>0.22506729001487463</v>
      </c>
      <c r="G84" s="16"/>
    </row>
    <row r="85" spans="1:20">
      <c r="A85" s="1" t="s">
        <v>84</v>
      </c>
      <c r="C85" s="16">
        <f>DAVERAGE(_xlnm.Database,"HMargin",CritRGN)</f>
        <v>0.24615323220239821</v>
      </c>
      <c r="D85" s="16"/>
      <c r="E85" s="16">
        <f>DAVERAGE(_xlnm.Database,"SMargin",CritRGN)</f>
        <v>0.26752309297770477</v>
      </c>
      <c r="F85" s="16">
        <f>DAVERAGE(_xlnm.Database,"Margin",CritRGN)</f>
        <v>0.24055949306418209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0.53596306222497547</v>
      </c>
    </row>
    <row r="88" spans="1:20">
      <c r="A88" s="41" t="s">
        <v>98</v>
      </c>
      <c r="T88" s="16">
        <f>AVERAGE(T4:T53)</f>
        <v>0.23581698192663902</v>
      </c>
    </row>
    <row r="89" spans="1:20">
      <c r="A89" s="1" t="s">
        <v>99</v>
      </c>
      <c r="C89" s="1">
        <f>DCOUNT(_xlnm.Database,F3,CritHD55)</f>
        <v>11</v>
      </c>
      <c r="E89" s="1">
        <f>DCOUNT(_xlnm.Database,M3,CritSD55)</f>
        <v>10</v>
      </c>
      <c r="F89" s="1">
        <f>SUM(C89:E89)</f>
        <v>21</v>
      </c>
    </row>
    <row r="92" spans="1:20">
      <c r="A92" s="41" t="s">
        <v>100</v>
      </c>
      <c r="C92" s="1">
        <f>DCOUNTA(_xlnm.Database,"Div?",CritUnifD)</f>
        <v>16</v>
      </c>
    </row>
    <row r="93" spans="1:20">
      <c r="A93" s="41" t="s">
        <v>101</v>
      </c>
      <c r="C93" s="1">
        <f>DCOUNTA(_xlnm.Database,"Div?",CritUnifR)</f>
        <v>10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F98B-E4F8-41E6-8C1C-6DA4FB785EA5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1" width="5.5" style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18</v>
      </c>
      <c r="R3" s="8" t="s">
        <v>19</v>
      </c>
      <c r="S3" s="9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>
      <c r="A4" s="12" t="s">
        <v>25</v>
      </c>
      <c r="B4" s="13" t="s">
        <v>26</v>
      </c>
      <c r="C4" s="52">
        <v>62</v>
      </c>
      <c r="D4" s="52">
        <v>43</v>
      </c>
      <c r="E4" s="43">
        <v>105</v>
      </c>
      <c r="F4" s="16">
        <f t="shared" ref="F4:F29" si="0">C4/E4</f>
        <v>0.59047619047619049</v>
      </c>
      <c r="G4" s="16">
        <f t="shared" ref="G4:G29" si="1">ABS(F4-(1-F4))</f>
        <v>0.18095238095238098</v>
      </c>
      <c r="H4" s="1" t="str">
        <f t="shared" ref="H4:H28" si="2">IF(F4&gt;0.5,"D",IF(F4=0.5,"T","R"))</f>
        <v>D</v>
      </c>
      <c r="I4" s="17" t="str">
        <f>IF(Elect2006!H4=H4,"N","Y")</f>
        <v>N</v>
      </c>
      <c r="J4" s="52">
        <v>21</v>
      </c>
      <c r="K4" s="52">
        <v>13</v>
      </c>
      <c r="L4" s="43">
        <v>35</v>
      </c>
      <c r="M4" s="16">
        <f t="shared" ref="M4:M29" si="3">J4/L4</f>
        <v>0.6</v>
      </c>
      <c r="N4" s="16">
        <f t="shared" ref="N4:N29" si="4">ABS(M4-(1-M4))</f>
        <v>0.19999999999999996</v>
      </c>
      <c r="O4" s="1" t="str">
        <f t="shared" ref="O4:O29" si="5">IF(M4&gt;0.5,"D",IF(M4=0.5,"T","R"))</f>
        <v>D</v>
      </c>
      <c r="P4" s="17" t="str">
        <f>IF(Elect2006!O4=O4,"N","Y")</f>
        <v>N</v>
      </c>
      <c r="Q4" s="1">
        <f t="shared" ref="Q4:R29" si="6">C4+J4</f>
        <v>83</v>
      </c>
      <c r="R4" s="1">
        <f t="shared" si="6"/>
        <v>56</v>
      </c>
      <c r="S4" s="16">
        <f t="shared" ref="S4:S29" si="7">Q4/(E4+L4)</f>
        <v>0.59285714285714286</v>
      </c>
      <c r="T4" s="16">
        <f t="shared" ref="T4:T29" si="8">ABS(S4-(1-S4))</f>
        <v>0.18571428571428572</v>
      </c>
      <c r="U4" s="1" t="str">
        <f t="shared" ref="U4:U29" si="9">IF(H4=O4,O4,"S")</f>
        <v>D</v>
      </c>
      <c r="V4" s="52" t="s">
        <v>19</v>
      </c>
      <c r="W4" s="1" t="str">
        <f t="shared" ref="W4:W29" si="10">IF(V4=U4,"U","D")</f>
        <v>D</v>
      </c>
      <c r="X4" s="1">
        <f>C4-Elect2006!C4</f>
        <v>0</v>
      </c>
      <c r="Y4" s="1">
        <f>J4-Elect2006!J4</f>
        <v>-2</v>
      </c>
      <c r="Z4" s="1">
        <f>X4+Y4</f>
        <v>-2</v>
      </c>
    </row>
    <row r="5" spans="1:26">
      <c r="A5" s="12" t="s">
        <v>27</v>
      </c>
      <c r="B5" s="13" t="s">
        <v>28</v>
      </c>
      <c r="C5" s="52">
        <v>18</v>
      </c>
      <c r="D5" s="52">
        <v>22</v>
      </c>
      <c r="E5" s="43">
        <v>40</v>
      </c>
      <c r="F5" s="16">
        <f t="shared" si="0"/>
        <v>0.45</v>
      </c>
      <c r="G5" s="16">
        <f t="shared" si="1"/>
        <v>0.10000000000000003</v>
      </c>
      <c r="H5" s="1" t="str">
        <f t="shared" si="2"/>
        <v>R</v>
      </c>
      <c r="I5" s="17" t="str">
        <f>IF(Elect2006!H5=H5,"N","Y")</f>
        <v>N</v>
      </c>
      <c r="J5" s="52">
        <v>10</v>
      </c>
      <c r="K5" s="52">
        <v>10</v>
      </c>
      <c r="L5" s="43">
        <v>20</v>
      </c>
      <c r="M5" s="16">
        <f t="shared" si="3"/>
        <v>0.5</v>
      </c>
      <c r="N5" s="16">
        <f t="shared" si="4"/>
        <v>0</v>
      </c>
      <c r="O5" s="1" t="str">
        <f t="shared" si="5"/>
        <v>T</v>
      </c>
      <c r="P5" s="17" t="str">
        <f>IF(Elect2006!O5=O5,"N","Y")</f>
        <v>Y</v>
      </c>
      <c r="Q5" s="1">
        <f t="shared" si="6"/>
        <v>28</v>
      </c>
      <c r="R5" s="1">
        <f t="shared" si="6"/>
        <v>32</v>
      </c>
      <c r="S5" s="16">
        <f t="shared" si="7"/>
        <v>0.46666666666666667</v>
      </c>
      <c r="T5" s="16">
        <f t="shared" si="8"/>
        <v>6.6666666666666652E-2</v>
      </c>
      <c r="U5" s="1" t="str">
        <f t="shared" si="9"/>
        <v>S</v>
      </c>
      <c r="V5" s="52" t="s">
        <v>19</v>
      </c>
      <c r="W5" s="1" t="str">
        <f t="shared" si="10"/>
        <v>D</v>
      </c>
      <c r="X5" s="1">
        <f>C5-Elect2006!C5</f>
        <v>1</v>
      </c>
      <c r="Y5" s="1">
        <f>J5-Elect2006!J5</f>
        <v>1</v>
      </c>
      <c r="Z5" s="1">
        <f t="shared" ref="Z5:Z53" si="11">X5+Y5</f>
        <v>2</v>
      </c>
    </row>
    <row r="6" spans="1:26">
      <c r="A6" s="12" t="s">
        <v>29</v>
      </c>
      <c r="B6" s="13" t="s">
        <v>28</v>
      </c>
      <c r="C6" s="52">
        <v>25</v>
      </c>
      <c r="D6" s="52">
        <v>35</v>
      </c>
      <c r="E6" s="43">
        <v>60</v>
      </c>
      <c r="F6" s="16">
        <f t="shared" si="0"/>
        <v>0.41666666666666669</v>
      </c>
      <c r="G6" s="16">
        <f t="shared" si="1"/>
        <v>0.16666666666666657</v>
      </c>
      <c r="H6" s="1" t="str">
        <f t="shared" si="2"/>
        <v>R</v>
      </c>
      <c r="I6" s="17" t="str">
        <f>IF(Elect2006!H6=H6,"N","Y")</f>
        <v>N</v>
      </c>
      <c r="J6" s="52">
        <v>12</v>
      </c>
      <c r="K6" s="52">
        <v>18</v>
      </c>
      <c r="L6" s="43">
        <v>30</v>
      </c>
      <c r="M6" s="16">
        <f t="shared" si="3"/>
        <v>0.4</v>
      </c>
      <c r="N6" s="16">
        <f t="shared" si="4"/>
        <v>0.19999999999999996</v>
      </c>
      <c r="O6" s="1" t="str">
        <f t="shared" si="5"/>
        <v>R</v>
      </c>
      <c r="P6" s="17" t="str">
        <f>IF(Elect2006!O6=O6,"N","Y")</f>
        <v>N</v>
      </c>
      <c r="Q6" s="1">
        <f t="shared" si="6"/>
        <v>37</v>
      </c>
      <c r="R6" s="1">
        <f t="shared" si="6"/>
        <v>53</v>
      </c>
      <c r="S6" s="16">
        <f t="shared" si="7"/>
        <v>0.41111111111111109</v>
      </c>
      <c r="T6" s="16">
        <f t="shared" si="8"/>
        <v>0.17777777777777781</v>
      </c>
      <c r="U6" s="1" t="str">
        <f t="shared" si="9"/>
        <v>R</v>
      </c>
      <c r="V6" s="52" t="s">
        <v>18</v>
      </c>
      <c r="W6" s="1" t="str">
        <f t="shared" si="10"/>
        <v>D</v>
      </c>
      <c r="X6" s="1">
        <f>C6-Elect2006!C6</f>
        <v>-3</v>
      </c>
      <c r="Y6" s="1">
        <f>J6-Elect2006!J6</f>
        <v>0</v>
      </c>
      <c r="Z6" s="1">
        <f t="shared" si="11"/>
        <v>-3</v>
      </c>
    </row>
    <row r="7" spans="1:26">
      <c r="A7" s="12" t="s">
        <v>30</v>
      </c>
      <c r="B7" s="13" t="s">
        <v>26</v>
      </c>
      <c r="C7" s="52">
        <v>71</v>
      </c>
      <c r="D7" s="52">
        <v>28</v>
      </c>
      <c r="E7" s="43">
        <v>100</v>
      </c>
      <c r="F7" s="16">
        <f t="shared" si="0"/>
        <v>0.71</v>
      </c>
      <c r="G7" s="16">
        <f t="shared" si="1"/>
        <v>0.41999999999999993</v>
      </c>
      <c r="H7" s="1" t="str">
        <f t="shared" si="2"/>
        <v>D</v>
      </c>
      <c r="I7" s="17" t="str">
        <f>IF(Elect2006!H7=H7,"N","Y")</f>
        <v>N</v>
      </c>
      <c r="J7" s="52">
        <v>27</v>
      </c>
      <c r="K7" s="52">
        <v>8</v>
      </c>
      <c r="L7" s="43">
        <v>35</v>
      </c>
      <c r="M7" s="16">
        <f t="shared" si="3"/>
        <v>0.77142857142857146</v>
      </c>
      <c r="N7" s="16">
        <f t="shared" si="4"/>
        <v>0.54285714285714293</v>
      </c>
      <c r="O7" s="1" t="str">
        <f t="shared" si="5"/>
        <v>D</v>
      </c>
      <c r="P7" s="17" t="str">
        <f>IF(Elect2006!O7=O7,"N","Y")</f>
        <v>N</v>
      </c>
      <c r="Q7" s="1">
        <f t="shared" si="6"/>
        <v>98</v>
      </c>
      <c r="R7" s="1">
        <f t="shared" si="6"/>
        <v>36</v>
      </c>
      <c r="S7" s="16">
        <f t="shared" si="7"/>
        <v>0.72592592592592597</v>
      </c>
      <c r="T7" s="16">
        <f t="shared" si="8"/>
        <v>0.45185185185185195</v>
      </c>
      <c r="U7" s="1" t="str">
        <f t="shared" si="9"/>
        <v>D</v>
      </c>
      <c r="V7" s="52" t="s">
        <v>18</v>
      </c>
      <c r="W7" s="1" t="str">
        <f t="shared" si="10"/>
        <v>U</v>
      </c>
      <c r="X7" s="1">
        <f>C7-Elect2006!C7</f>
        <v>-4</v>
      </c>
      <c r="Y7" s="1">
        <f>J7-Elect2006!J7</f>
        <v>0</v>
      </c>
      <c r="Z7" s="1">
        <f t="shared" si="11"/>
        <v>-4</v>
      </c>
    </row>
    <row r="8" spans="1:26">
      <c r="A8" s="12" t="s">
        <v>31</v>
      </c>
      <c r="B8" s="13" t="s">
        <v>28</v>
      </c>
      <c r="C8" s="54">
        <v>50</v>
      </c>
      <c r="D8" s="54">
        <v>30</v>
      </c>
      <c r="E8" s="45">
        <v>80</v>
      </c>
      <c r="F8" s="16">
        <f t="shared" si="0"/>
        <v>0.625</v>
      </c>
      <c r="G8" s="16">
        <f t="shared" si="1"/>
        <v>0.25</v>
      </c>
      <c r="H8" s="1" t="str">
        <f t="shared" si="2"/>
        <v>D</v>
      </c>
      <c r="I8" s="17" t="str">
        <f>IF(Elect2006!H8=H8,"N","Y")</f>
        <v>N</v>
      </c>
      <c r="J8" s="54">
        <v>26</v>
      </c>
      <c r="K8" s="54">
        <v>14</v>
      </c>
      <c r="L8" s="45">
        <v>40</v>
      </c>
      <c r="M8" s="16">
        <f t="shared" si="3"/>
        <v>0.65</v>
      </c>
      <c r="N8" s="16">
        <f t="shared" si="4"/>
        <v>0.30000000000000004</v>
      </c>
      <c r="O8" s="1" t="str">
        <f t="shared" si="5"/>
        <v>D</v>
      </c>
      <c r="P8" s="17" t="str">
        <f>IF(Elect2006!O8=O8,"N","Y")</f>
        <v>N</v>
      </c>
      <c r="Q8" s="1">
        <f t="shared" si="6"/>
        <v>76</v>
      </c>
      <c r="R8" s="1">
        <f t="shared" si="6"/>
        <v>44</v>
      </c>
      <c r="S8" s="16">
        <f t="shared" si="7"/>
        <v>0.6333333333333333</v>
      </c>
      <c r="T8" s="16">
        <f t="shared" si="8"/>
        <v>0.26666666666666661</v>
      </c>
      <c r="U8" s="1" t="str">
        <f t="shared" si="9"/>
        <v>D</v>
      </c>
      <c r="V8" s="54" t="s">
        <v>19</v>
      </c>
      <c r="W8" s="1" t="str">
        <f t="shared" si="10"/>
        <v>D</v>
      </c>
      <c r="X8" s="1">
        <f>C8-Elect2006!C8</f>
        <v>3</v>
      </c>
      <c r="Y8" s="1">
        <f>J8-Elect2006!J8</f>
        <v>2</v>
      </c>
      <c r="Z8" s="1">
        <f t="shared" si="11"/>
        <v>5</v>
      </c>
    </row>
    <row r="9" spans="1:26">
      <c r="A9" s="12" t="s">
        <v>32</v>
      </c>
      <c r="B9" s="13" t="s">
        <v>28</v>
      </c>
      <c r="C9" s="56">
        <v>38</v>
      </c>
      <c r="D9" s="56">
        <v>27</v>
      </c>
      <c r="E9" s="47">
        <v>65</v>
      </c>
      <c r="F9" s="16">
        <f t="shared" si="0"/>
        <v>0.58461538461538465</v>
      </c>
      <c r="G9" s="16">
        <f t="shared" si="1"/>
        <v>0.1692307692307693</v>
      </c>
      <c r="H9" s="1" t="str">
        <f t="shared" si="2"/>
        <v>D</v>
      </c>
      <c r="I9" s="17" t="str">
        <f>IF(Elect2006!H9=H9,"N","Y")</f>
        <v>N</v>
      </c>
      <c r="J9" s="56">
        <v>20</v>
      </c>
      <c r="K9" s="56">
        <v>14</v>
      </c>
      <c r="L9" s="47">
        <v>35</v>
      </c>
      <c r="M9" s="16">
        <f t="shared" si="3"/>
        <v>0.5714285714285714</v>
      </c>
      <c r="N9" s="16">
        <f t="shared" si="4"/>
        <v>0.14285714285714279</v>
      </c>
      <c r="O9" s="1" t="str">
        <f t="shared" si="5"/>
        <v>D</v>
      </c>
      <c r="P9" s="17" t="str">
        <f>IF(Elect2006!O9=O9,"N","Y")</f>
        <v>N</v>
      </c>
      <c r="Q9" s="1">
        <f t="shared" si="6"/>
        <v>58</v>
      </c>
      <c r="R9" s="1">
        <f t="shared" si="6"/>
        <v>41</v>
      </c>
      <c r="S9" s="16">
        <f t="shared" si="7"/>
        <v>0.57999999999999996</v>
      </c>
      <c r="T9" s="16">
        <f t="shared" si="8"/>
        <v>0.15999999999999992</v>
      </c>
      <c r="U9" s="1" t="str">
        <f t="shared" si="9"/>
        <v>D</v>
      </c>
      <c r="V9" s="56" t="s">
        <v>18</v>
      </c>
      <c r="W9" s="1" t="str">
        <f t="shared" si="10"/>
        <v>U</v>
      </c>
      <c r="X9" s="1">
        <f>C9-Elect2006!C9</f>
        <v>-1</v>
      </c>
      <c r="Y9" s="1">
        <f>J9-Elect2006!J9</f>
        <v>0</v>
      </c>
      <c r="Z9" s="1">
        <f t="shared" si="11"/>
        <v>-1</v>
      </c>
    </row>
    <row r="10" spans="1:26">
      <c r="A10" s="12" t="s">
        <v>33</v>
      </c>
      <c r="B10" s="13" t="s">
        <v>34</v>
      </c>
      <c r="C10" s="52">
        <v>114</v>
      </c>
      <c r="D10" s="52">
        <v>37</v>
      </c>
      <c r="E10" s="43">
        <v>151</v>
      </c>
      <c r="F10" s="16">
        <f t="shared" si="0"/>
        <v>0.75496688741721851</v>
      </c>
      <c r="G10" s="16">
        <f t="shared" si="1"/>
        <v>0.50993377483443703</v>
      </c>
      <c r="H10" s="1" t="str">
        <f t="shared" si="2"/>
        <v>D</v>
      </c>
      <c r="I10" s="17" t="str">
        <f>IF(Elect2006!H10=H10,"N","Y")</f>
        <v>N</v>
      </c>
      <c r="J10" s="52">
        <v>24</v>
      </c>
      <c r="K10" s="52">
        <v>12</v>
      </c>
      <c r="L10" s="43">
        <v>36</v>
      </c>
      <c r="M10" s="16">
        <f t="shared" si="3"/>
        <v>0.66666666666666663</v>
      </c>
      <c r="N10" s="16">
        <f t="shared" si="4"/>
        <v>0.33333333333333326</v>
      </c>
      <c r="O10" s="1" t="str">
        <f t="shared" si="5"/>
        <v>D</v>
      </c>
      <c r="P10" s="17" t="str">
        <f>IF(Elect2006!O10=O10,"N","Y")</f>
        <v>N</v>
      </c>
      <c r="Q10" s="1">
        <f t="shared" si="6"/>
        <v>138</v>
      </c>
      <c r="R10" s="1">
        <f t="shared" si="6"/>
        <v>49</v>
      </c>
      <c r="S10" s="16">
        <f t="shared" si="7"/>
        <v>0.73796791443850263</v>
      </c>
      <c r="T10" s="16">
        <f t="shared" si="8"/>
        <v>0.47593582887700525</v>
      </c>
      <c r="U10" s="1" t="str">
        <f t="shared" si="9"/>
        <v>D</v>
      </c>
      <c r="V10" s="52" t="s">
        <v>19</v>
      </c>
      <c r="W10" s="1" t="str">
        <f t="shared" si="10"/>
        <v>D</v>
      </c>
      <c r="X10" s="1">
        <f>C10-Elect2006!C10</f>
        <v>8</v>
      </c>
      <c r="Y10" s="1">
        <f>J10-Elect2006!J10</f>
        <v>0</v>
      </c>
      <c r="Z10" s="1">
        <f t="shared" si="11"/>
        <v>8</v>
      </c>
    </row>
    <row r="11" spans="1:26">
      <c r="A11" s="12" t="s">
        <v>35</v>
      </c>
      <c r="B11" s="13" t="s">
        <v>34</v>
      </c>
      <c r="C11" s="52">
        <v>25</v>
      </c>
      <c r="D11" s="52">
        <v>16</v>
      </c>
      <c r="E11" s="43">
        <v>41</v>
      </c>
      <c r="F11" s="16">
        <f t="shared" si="0"/>
        <v>0.6097560975609756</v>
      </c>
      <c r="G11" s="16">
        <f t="shared" si="1"/>
        <v>0.21951219512195119</v>
      </c>
      <c r="H11" s="1" t="str">
        <f t="shared" si="2"/>
        <v>D</v>
      </c>
      <c r="I11" s="17" t="str">
        <f>IF(Elect2006!H11=H11,"N","Y")</f>
        <v>Y</v>
      </c>
      <c r="J11" s="52">
        <v>16</v>
      </c>
      <c r="K11" s="52">
        <v>5</v>
      </c>
      <c r="L11" s="43">
        <v>21</v>
      </c>
      <c r="M11" s="16">
        <f t="shared" si="3"/>
        <v>0.76190476190476186</v>
      </c>
      <c r="N11" s="16">
        <f t="shared" si="4"/>
        <v>0.52380952380952372</v>
      </c>
      <c r="O11" s="1" t="str">
        <f t="shared" si="5"/>
        <v>D</v>
      </c>
      <c r="P11" s="17" t="str">
        <f>IF(Elect2006!O11=O11,"N","Y")</f>
        <v>N</v>
      </c>
      <c r="Q11" s="1">
        <f t="shared" si="6"/>
        <v>41</v>
      </c>
      <c r="R11" s="1">
        <f t="shared" si="6"/>
        <v>21</v>
      </c>
      <c r="S11" s="16">
        <f t="shared" si="7"/>
        <v>0.66129032258064513</v>
      </c>
      <c r="T11" s="16">
        <f t="shared" si="8"/>
        <v>0.32258064516129026</v>
      </c>
      <c r="U11" s="1" t="str">
        <f t="shared" si="9"/>
        <v>D</v>
      </c>
      <c r="V11" s="52" t="s">
        <v>18</v>
      </c>
      <c r="W11" s="1" t="str">
        <f t="shared" si="10"/>
        <v>U</v>
      </c>
      <c r="X11" s="1">
        <f>C11-Elect2006!C11</f>
        <v>7</v>
      </c>
      <c r="Y11" s="1">
        <f>J11-Elect2006!J11</f>
        <v>3</v>
      </c>
      <c r="Z11" s="1">
        <f t="shared" si="11"/>
        <v>10</v>
      </c>
    </row>
    <row r="12" spans="1:26">
      <c r="A12" s="12" t="s">
        <v>36</v>
      </c>
      <c r="B12" s="13" t="s">
        <v>26</v>
      </c>
      <c r="C12" s="52">
        <v>44</v>
      </c>
      <c r="D12" s="52">
        <v>76</v>
      </c>
      <c r="E12" s="43">
        <v>120</v>
      </c>
      <c r="F12" s="16">
        <f t="shared" si="0"/>
        <v>0.36666666666666664</v>
      </c>
      <c r="G12" s="16">
        <f t="shared" si="1"/>
        <v>0.26666666666666666</v>
      </c>
      <c r="H12" s="1" t="str">
        <f t="shared" si="2"/>
        <v>R</v>
      </c>
      <c r="I12" s="17" t="str">
        <f>IF(Elect2006!H12=H12,"N","Y")</f>
        <v>N</v>
      </c>
      <c r="J12" s="52">
        <v>14</v>
      </c>
      <c r="K12" s="52">
        <v>26</v>
      </c>
      <c r="L12" s="43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IF(Elect2006!O12=O12,"N","Y")</f>
        <v>N</v>
      </c>
      <c r="Q12" s="1">
        <f t="shared" si="6"/>
        <v>58</v>
      </c>
      <c r="R12" s="1">
        <f t="shared" si="6"/>
        <v>102</v>
      </c>
      <c r="S12" s="16">
        <f t="shared" si="7"/>
        <v>0.36249999999999999</v>
      </c>
      <c r="T12" s="16">
        <f t="shared" si="8"/>
        <v>0.27499999999999997</v>
      </c>
      <c r="U12" s="1" t="str">
        <f t="shared" si="9"/>
        <v>R</v>
      </c>
      <c r="V12" s="52" t="s">
        <v>19</v>
      </c>
      <c r="W12" s="1" t="str">
        <f t="shared" si="10"/>
        <v>U</v>
      </c>
      <c r="X12" s="1">
        <f>C12-Elect2006!C12</f>
        <v>2</v>
      </c>
      <c r="Y12" s="1">
        <f>J12-Elect2006!J12</f>
        <v>0</v>
      </c>
      <c r="Z12" s="1">
        <f t="shared" si="11"/>
        <v>2</v>
      </c>
    </row>
    <row r="13" spans="1:26">
      <c r="A13" s="12" t="s">
        <v>37</v>
      </c>
      <c r="B13" s="13" t="s">
        <v>26</v>
      </c>
      <c r="C13" s="54">
        <v>74</v>
      </c>
      <c r="D13" s="54">
        <v>105</v>
      </c>
      <c r="E13" s="45">
        <v>180</v>
      </c>
      <c r="F13" s="16">
        <f t="shared" si="0"/>
        <v>0.41111111111111109</v>
      </c>
      <c r="G13" s="16">
        <f t="shared" si="1"/>
        <v>0.17777777777777781</v>
      </c>
      <c r="H13" s="1" t="str">
        <f t="shared" si="2"/>
        <v>R</v>
      </c>
      <c r="I13" s="17" t="str">
        <f>IF(Elect2006!H13=H13,"N","Y")</f>
        <v>N</v>
      </c>
      <c r="J13" s="54">
        <v>22</v>
      </c>
      <c r="K13" s="54">
        <v>34</v>
      </c>
      <c r="L13" s="45">
        <v>56</v>
      </c>
      <c r="M13" s="16">
        <f t="shared" si="3"/>
        <v>0.39285714285714285</v>
      </c>
      <c r="N13" s="16">
        <f t="shared" si="4"/>
        <v>0.21428571428571436</v>
      </c>
      <c r="O13" s="1" t="str">
        <f t="shared" si="5"/>
        <v>R</v>
      </c>
      <c r="P13" s="17" t="str">
        <f>IF(Elect2006!O13=O13,"N","Y")</f>
        <v>N</v>
      </c>
      <c r="Q13" s="1">
        <f t="shared" si="6"/>
        <v>96</v>
      </c>
      <c r="R13" s="1">
        <f t="shared" si="6"/>
        <v>139</v>
      </c>
      <c r="S13" s="16">
        <f t="shared" si="7"/>
        <v>0.40677966101694918</v>
      </c>
      <c r="T13" s="16">
        <f t="shared" si="8"/>
        <v>0.18644067796610164</v>
      </c>
      <c r="U13" s="1" t="str">
        <f t="shared" si="9"/>
        <v>R</v>
      </c>
      <c r="V13" s="54" t="s">
        <v>19</v>
      </c>
      <c r="W13" s="1" t="str">
        <f t="shared" si="10"/>
        <v>U</v>
      </c>
      <c r="X13" s="1">
        <f>C13-Elect2006!C13</f>
        <v>0</v>
      </c>
      <c r="Y13" s="1">
        <f>J13-Elect2006!J13</f>
        <v>0</v>
      </c>
      <c r="Z13" s="1">
        <f t="shared" si="11"/>
        <v>0</v>
      </c>
    </row>
    <row r="14" spans="1:26">
      <c r="A14" s="12" t="s">
        <v>38</v>
      </c>
      <c r="B14" s="13" t="s">
        <v>28</v>
      </c>
      <c r="C14" s="56">
        <v>45</v>
      </c>
      <c r="D14" s="56">
        <v>6</v>
      </c>
      <c r="E14" s="47">
        <v>51</v>
      </c>
      <c r="F14" s="16">
        <f t="shared" si="0"/>
        <v>0.88235294117647056</v>
      </c>
      <c r="G14" s="16">
        <f t="shared" si="1"/>
        <v>0.76470588235294112</v>
      </c>
      <c r="H14" s="1" t="str">
        <f t="shared" si="2"/>
        <v>D</v>
      </c>
      <c r="I14" s="17" t="str">
        <f>IF(Elect2006!H14=H14,"N","Y")</f>
        <v>N</v>
      </c>
      <c r="J14" s="56">
        <v>23</v>
      </c>
      <c r="K14" s="56">
        <v>2</v>
      </c>
      <c r="L14" s="47">
        <v>25</v>
      </c>
      <c r="M14" s="16">
        <f t="shared" si="3"/>
        <v>0.92</v>
      </c>
      <c r="N14" s="16">
        <f t="shared" si="4"/>
        <v>0.84000000000000008</v>
      </c>
      <c r="O14" s="1" t="str">
        <f t="shared" si="5"/>
        <v>D</v>
      </c>
      <c r="P14" s="17" t="str">
        <f>IF(Elect2006!O14=O14,"N","Y")</f>
        <v>N</v>
      </c>
      <c r="Q14" s="1">
        <f t="shared" si="6"/>
        <v>68</v>
      </c>
      <c r="R14" s="1">
        <f t="shared" si="6"/>
        <v>8</v>
      </c>
      <c r="S14" s="16">
        <f t="shared" si="7"/>
        <v>0.89473684210526316</v>
      </c>
      <c r="T14" s="16">
        <f t="shared" si="8"/>
        <v>0.78947368421052633</v>
      </c>
      <c r="U14" s="1" t="str">
        <f t="shared" si="9"/>
        <v>D</v>
      </c>
      <c r="V14" s="56" t="s">
        <v>19</v>
      </c>
      <c r="W14" s="1" t="str">
        <f t="shared" si="10"/>
        <v>D</v>
      </c>
      <c r="X14" s="1">
        <f>C14-Elect2006!C14</f>
        <v>2</v>
      </c>
      <c r="Y14" s="1">
        <f>J14-Elect2006!J14</f>
        <v>3</v>
      </c>
      <c r="Z14" s="1">
        <f t="shared" si="11"/>
        <v>5</v>
      </c>
    </row>
    <row r="15" spans="1:26">
      <c r="A15" s="12" t="s">
        <v>39</v>
      </c>
      <c r="B15" s="13" t="s">
        <v>28</v>
      </c>
      <c r="C15" s="52">
        <v>18</v>
      </c>
      <c r="D15" s="52">
        <v>52</v>
      </c>
      <c r="E15" s="43">
        <v>70</v>
      </c>
      <c r="F15" s="16">
        <f t="shared" si="0"/>
        <v>0.25714285714285712</v>
      </c>
      <c r="G15" s="16">
        <f t="shared" si="1"/>
        <v>0.48571428571428577</v>
      </c>
      <c r="H15" s="1" t="str">
        <f t="shared" si="2"/>
        <v>R</v>
      </c>
      <c r="I15" s="17" t="str">
        <f>IF(Elect2006!H15=H15,"N","Y")</f>
        <v>N</v>
      </c>
      <c r="J15" s="52">
        <v>7</v>
      </c>
      <c r="K15" s="52">
        <v>28</v>
      </c>
      <c r="L15" s="43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IF(Elect2006!O15=O15,"N","Y")</f>
        <v>N</v>
      </c>
      <c r="Q15" s="1">
        <f t="shared" si="6"/>
        <v>25</v>
      </c>
      <c r="R15" s="1">
        <f t="shared" si="6"/>
        <v>80</v>
      </c>
      <c r="S15" s="16">
        <f t="shared" si="7"/>
        <v>0.23809523809523808</v>
      </c>
      <c r="T15" s="16">
        <f t="shared" si="8"/>
        <v>0.52380952380952372</v>
      </c>
      <c r="U15" s="1" t="str">
        <f t="shared" si="9"/>
        <v>R</v>
      </c>
      <c r="V15" s="52" t="s">
        <v>19</v>
      </c>
      <c r="W15" s="1" t="str">
        <f t="shared" si="10"/>
        <v>U</v>
      </c>
      <c r="X15" s="1">
        <f>C15-Elect2006!C15</f>
        <v>-1</v>
      </c>
      <c r="Y15" s="1">
        <f>J15-Elect2006!J15</f>
        <v>0</v>
      </c>
      <c r="Z15" s="1">
        <f t="shared" si="11"/>
        <v>-1</v>
      </c>
    </row>
    <row r="16" spans="1:26">
      <c r="A16" s="12" t="s">
        <v>40</v>
      </c>
      <c r="B16" s="13" t="s">
        <v>41</v>
      </c>
      <c r="C16" s="52">
        <v>70</v>
      </c>
      <c r="D16" s="52">
        <v>48</v>
      </c>
      <c r="E16" s="43">
        <v>118</v>
      </c>
      <c r="F16" s="16">
        <f t="shared" si="0"/>
        <v>0.59322033898305082</v>
      </c>
      <c r="G16" s="16">
        <f t="shared" si="1"/>
        <v>0.18644067796610164</v>
      </c>
      <c r="H16" s="1" t="str">
        <f t="shared" si="2"/>
        <v>D</v>
      </c>
      <c r="I16" s="17" t="str">
        <f>IF(Elect2006!H16=H16,"N","Y")</f>
        <v>N</v>
      </c>
      <c r="J16" s="52">
        <v>37</v>
      </c>
      <c r="K16" s="52">
        <v>22</v>
      </c>
      <c r="L16" s="43">
        <v>59</v>
      </c>
      <c r="M16" s="16">
        <f t="shared" si="3"/>
        <v>0.6271186440677966</v>
      </c>
      <c r="N16" s="16">
        <f t="shared" si="4"/>
        <v>0.25423728813559321</v>
      </c>
      <c r="O16" s="1" t="str">
        <f t="shared" si="5"/>
        <v>D</v>
      </c>
      <c r="P16" s="17" t="str">
        <f>IF(Elect2006!O16=O16,"N","Y")</f>
        <v>N</v>
      </c>
      <c r="Q16" s="1">
        <f t="shared" si="6"/>
        <v>107</v>
      </c>
      <c r="R16" s="1">
        <f t="shared" si="6"/>
        <v>70</v>
      </c>
      <c r="S16" s="16">
        <f t="shared" si="7"/>
        <v>0.60451977401129942</v>
      </c>
      <c r="T16" s="16">
        <f t="shared" si="8"/>
        <v>0.20903954802259883</v>
      </c>
      <c r="U16" s="1" t="str">
        <f t="shared" si="9"/>
        <v>D</v>
      </c>
      <c r="V16" s="52" t="s">
        <v>18</v>
      </c>
      <c r="W16" s="1" t="str">
        <f t="shared" si="10"/>
        <v>U</v>
      </c>
      <c r="X16" s="1">
        <f>C16-Elect2006!C16</f>
        <v>4</v>
      </c>
      <c r="Y16" s="1">
        <f>J16-Elect2006!J16</f>
        <v>0</v>
      </c>
      <c r="Z16" s="1">
        <f t="shared" si="11"/>
        <v>4</v>
      </c>
    </row>
    <row r="17" spans="1:26">
      <c r="A17" s="12" t="s">
        <v>42</v>
      </c>
      <c r="B17" s="13" t="s">
        <v>41</v>
      </c>
      <c r="C17" s="52">
        <v>52</v>
      </c>
      <c r="D17" s="52">
        <v>47</v>
      </c>
      <c r="E17" s="43">
        <v>100</v>
      </c>
      <c r="F17" s="16">
        <f t="shared" si="0"/>
        <v>0.52</v>
      </c>
      <c r="G17" s="16">
        <f t="shared" si="1"/>
        <v>4.0000000000000036E-2</v>
      </c>
      <c r="H17" s="1" t="str">
        <f t="shared" si="2"/>
        <v>D</v>
      </c>
      <c r="I17" s="17" t="str">
        <f>IF(Elect2006!H17=H17,"N","Y")</f>
        <v>N</v>
      </c>
      <c r="J17" s="52">
        <v>17</v>
      </c>
      <c r="K17" s="52">
        <v>33</v>
      </c>
      <c r="L17" s="43">
        <v>50</v>
      </c>
      <c r="M17" s="16">
        <f t="shared" si="3"/>
        <v>0.34</v>
      </c>
      <c r="N17" s="16">
        <f t="shared" si="4"/>
        <v>0.3199999999999999</v>
      </c>
      <c r="O17" s="1" t="str">
        <f t="shared" si="5"/>
        <v>R</v>
      </c>
      <c r="P17" s="17" t="str">
        <f>IF(Elect2006!O17=O17,"N","Y")</f>
        <v>N</v>
      </c>
      <c r="Q17" s="1">
        <f t="shared" si="6"/>
        <v>69</v>
      </c>
      <c r="R17" s="1">
        <f t="shared" si="6"/>
        <v>80</v>
      </c>
      <c r="S17" s="16">
        <f t="shared" si="7"/>
        <v>0.46</v>
      </c>
      <c r="T17" s="16">
        <f t="shared" si="8"/>
        <v>8.0000000000000016E-2</v>
      </c>
      <c r="U17" s="1" t="str">
        <f t="shared" si="9"/>
        <v>S</v>
      </c>
      <c r="V17" s="52" t="s">
        <v>19</v>
      </c>
      <c r="W17" s="1" t="str">
        <f t="shared" si="10"/>
        <v>D</v>
      </c>
      <c r="X17" s="1">
        <f>C17-Elect2006!C17</f>
        <v>1</v>
      </c>
      <c r="Y17" s="1">
        <f>J17-Elect2006!J17</f>
        <v>0</v>
      </c>
      <c r="Z17" s="1">
        <f t="shared" si="11"/>
        <v>1</v>
      </c>
    </row>
    <row r="18" spans="1:26">
      <c r="A18" s="12" t="s">
        <v>43</v>
      </c>
      <c r="B18" s="13" t="s">
        <v>41</v>
      </c>
      <c r="C18" s="54">
        <v>57</v>
      </c>
      <c r="D18" s="54">
        <v>43</v>
      </c>
      <c r="E18" s="45">
        <v>100</v>
      </c>
      <c r="F18" s="16">
        <f t="shared" si="0"/>
        <v>0.56999999999999995</v>
      </c>
      <c r="G18" s="16">
        <f t="shared" si="1"/>
        <v>0.1399999999999999</v>
      </c>
      <c r="H18" s="1" t="str">
        <f t="shared" si="2"/>
        <v>D</v>
      </c>
      <c r="I18" s="17" t="str">
        <f>IF(Elect2006!H18=H18,"N","Y")</f>
        <v>N</v>
      </c>
      <c r="J18" s="54">
        <v>31</v>
      </c>
      <c r="K18" s="54">
        <v>19</v>
      </c>
      <c r="L18" s="45">
        <v>50</v>
      </c>
      <c r="M18" s="16">
        <f t="shared" si="3"/>
        <v>0.62</v>
      </c>
      <c r="N18" s="16">
        <f t="shared" si="4"/>
        <v>0.24</v>
      </c>
      <c r="O18" s="1" t="str">
        <f t="shared" si="5"/>
        <v>D</v>
      </c>
      <c r="P18" s="17" t="str">
        <f>IF(Elect2006!O18=O18,"N","Y")</f>
        <v>N</v>
      </c>
      <c r="Q18" s="1">
        <f t="shared" si="6"/>
        <v>88</v>
      </c>
      <c r="R18" s="1">
        <f t="shared" si="6"/>
        <v>62</v>
      </c>
      <c r="S18" s="16">
        <f t="shared" si="7"/>
        <v>0.58666666666666667</v>
      </c>
      <c r="T18" s="16">
        <f t="shared" si="8"/>
        <v>0.17333333333333334</v>
      </c>
      <c r="U18" s="1" t="str">
        <f t="shared" si="9"/>
        <v>D</v>
      </c>
      <c r="V18" s="54" t="s">
        <v>18</v>
      </c>
      <c r="W18" s="1" t="str">
        <f t="shared" si="10"/>
        <v>U</v>
      </c>
      <c r="X18" s="1">
        <f>C18-Elect2006!C18</f>
        <v>3</v>
      </c>
      <c r="Y18" s="1">
        <f>J18-Elect2006!J18</f>
        <v>1</v>
      </c>
      <c r="Z18" s="1">
        <f t="shared" si="11"/>
        <v>4</v>
      </c>
    </row>
    <row r="19" spans="1:26">
      <c r="A19" s="12" t="s">
        <v>44</v>
      </c>
      <c r="B19" s="13" t="s">
        <v>41</v>
      </c>
      <c r="C19" s="56">
        <v>48</v>
      </c>
      <c r="D19" s="56">
        <v>77</v>
      </c>
      <c r="E19" s="47">
        <v>125</v>
      </c>
      <c r="F19" s="16">
        <f t="shared" si="0"/>
        <v>0.38400000000000001</v>
      </c>
      <c r="G19" s="16">
        <f t="shared" si="1"/>
        <v>0.23199999999999998</v>
      </c>
      <c r="H19" s="1" t="str">
        <f t="shared" si="2"/>
        <v>R</v>
      </c>
      <c r="I19" s="17" t="str">
        <f>IF(Elect2006!H19=H19,"N","Y")</f>
        <v>N</v>
      </c>
      <c r="J19" s="56">
        <v>9</v>
      </c>
      <c r="K19" s="56">
        <v>31</v>
      </c>
      <c r="L19" s="47">
        <v>40</v>
      </c>
      <c r="M19" s="16">
        <f t="shared" si="3"/>
        <v>0.22500000000000001</v>
      </c>
      <c r="N19" s="16">
        <f t="shared" si="4"/>
        <v>0.55000000000000004</v>
      </c>
      <c r="O19" s="1" t="str">
        <f t="shared" si="5"/>
        <v>R</v>
      </c>
      <c r="P19" s="17" t="str">
        <f>IF(Elect2006!O19=O19,"N","Y")</f>
        <v>N</v>
      </c>
      <c r="Q19" s="1">
        <f t="shared" si="6"/>
        <v>57</v>
      </c>
      <c r="R19" s="1">
        <f t="shared" si="6"/>
        <v>108</v>
      </c>
      <c r="S19" s="16">
        <f t="shared" si="7"/>
        <v>0.34545454545454546</v>
      </c>
      <c r="T19" s="16">
        <f t="shared" si="8"/>
        <v>0.30909090909090908</v>
      </c>
      <c r="U19" s="1" t="str">
        <f t="shared" si="9"/>
        <v>R</v>
      </c>
      <c r="V19" s="56" t="s">
        <v>18</v>
      </c>
      <c r="W19" s="1" t="str">
        <f t="shared" si="10"/>
        <v>D</v>
      </c>
      <c r="X19" s="1">
        <f>C19-Elect2006!C19</f>
        <v>0</v>
      </c>
      <c r="Y19" s="1">
        <f>J19-Elect2006!J19</f>
        <v>-1</v>
      </c>
      <c r="Z19" s="1">
        <f t="shared" si="11"/>
        <v>-1</v>
      </c>
    </row>
    <row r="20" spans="1:26">
      <c r="A20" s="12" t="s">
        <v>45</v>
      </c>
      <c r="B20" s="13" t="s">
        <v>26</v>
      </c>
      <c r="C20" s="52">
        <v>65</v>
      </c>
      <c r="D20" s="52">
        <v>35</v>
      </c>
      <c r="E20" s="43">
        <v>100</v>
      </c>
      <c r="F20" s="16">
        <f t="shared" si="0"/>
        <v>0.65</v>
      </c>
      <c r="G20" s="16">
        <f t="shared" si="1"/>
        <v>0.30000000000000004</v>
      </c>
      <c r="H20" s="1" t="str">
        <f t="shared" si="2"/>
        <v>D</v>
      </c>
      <c r="I20" s="17" t="str">
        <f>IF(Elect2006!H20=H20,"N","Y")</f>
        <v>N</v>
      </c>
      <c r="J20" s="52">
        <v>15</v>
      </c>
      <c r="K20" s="52">
        <v>22</v>
      </c>
      <c r="L20" s="43">
        <v>38</v>
      </c>
      <c r="M20" s="16">
        <f t="shared" si="3"/>
        <v>0.39473684210526316</v>
      </c>
      <c r="N20" s="16">
        <f t="shared" si="4"/>
        <v>0.21052631578947367</v>
      </c>
      <c r="O20" s="1" t="str">
        <f t="shared" si="5"/>
        <v>R</v>
      </c>
      <c r="P20" s="17" t="str">
        <f>IF(Elect2006!O20=O20,"N","Y")</f>
        <v>N</v>
      </c>
      <c r="Q20" s="1">
        <f t="shared" si="6"/>
        <v>80</v>
      </c>
      <c r="R20" s="1">
        <f t="shared" si="6"/>
        <v>57</v>
      </c>
      <c r="S20" s="16">
        <f t="shared" si="7"/>
        <v>0.57971014492753625</v>
      </c>
      <c r="T20" s="16">
        <f t="shared" si="8"/>
        <v>0.15942028985507251</v>
      </c>
      <c r="U20" s="1" t="str">
        <f t="shared" si="9"/>
        <v>S</v>
      </c>
      <c r="V20" s="52" t="s">
        <v>18</v>
      </c>
      <c r="W20" s="1" t="str">
        <f t="shared" si="10"/>
        <v>D</v>
      </c>
      <c r="X20" s="1">
        <f>C20-Elect2006!C20</f>
        <v>4</v>
      </c>
      <c r="Y20" s="1">
        <f>J20-Elect2006!J20</f>
        <v>-1</v>
      </c>
      <c r="Z20" s="1">
        <f t="shared" si="11"/>
        <v>3</v>
      </c>
    </row>
    <row r="21" spans="1:26">
      <c r="A21" s="12" t="s">
        <v>46</v>
      </c>
      <c r="B21" s="13" t="s">
        <v>26</v>
      </c>
      <c r="C21" s="52">
        <v>52</v>
      </c>
      <c r="D21" s="52">
        <v>50</v>
      </c>
      <c r="E21" s="43">
        <v>105</v>
      </c>
      <c r="F21" s="16">
        <f t="shared" si="0"/>
        <v>0.49523809523809526</v>
      </c>
      <c r="G21" s="16">
        <f t="shared" si="1"/>
        <v>9.52380952380949E-3</v>
      </c>
      <c r="H21" s="1" t="s">
        <v>18</v>
      </c>
      <c r="I21" s="17" t="str">
        <f>IF(Elect2006!H21=H21,"N","Y")</f>
        <v>N</v>
      </c>
      <c r="J21" s="52">
        <v>22</v>
      </c>
      <c r="K21" s="52">
        <v>15</v>
      </c>
      <c r="L21" s="43">
        <v>39</v>
      </c>
      <c r="M21" s="16">
        <f t="shared" si="3"/>
        <v>0.5641025641025641</v>
      </c>
      <c r="N21" s="16">
        <f t="shared" si="4"/>
        <v>0.12820512820512819</v>
      </c>
      <c r="O21" s="1" t="str">
        <f t="shared" si="5"/>
        <v>D</v>
      </c>
      <c r="P21" s="17" t="str">
        <f>IF(Elect2006!O21=O21,"N","Y")</f>
        <v>N</v>
      </c>
      <c r="Q21" s="1">
        <f t="shared" si="6"/>
        <v>74</v>
      </c>
      <c r="R21" s="1">
        <f t="shared" si="6"/>
        <v>65</v>
      </c>
      <c r="S21" s="16">
        <f t="shared" si="7"/>
        <v>0.51388888888888884</v>
      </c>
      <c r="T21" s="16">
        <f t="shared" si="8"/>
        <v>2.7777777777777679E-2</v>
      </c>
      <c r="U21" s="1" t="str">
        <f t="shared" si="9"/>
        <v>D</v>
      </c>
      <c r="V21" s="52" t="s">
        <v>19</v>
      </c>
      <c r="W21" s="1" t="str">
        <f t="shared" si="10"/>
        <v>D</v>
      </c>
      <c r="X21" s="1">
        <f>C21-Elect2006!C21</f>
        <v>-11</v>
      </c>
      <c r="Y21" s="1">
        <f>J21-Elect2006!J21</f>
        <v>-2</v>
      </c>
      <c r="Z21" s="1">
        <f t="shared" si="11"/>
        <v>-13</v>
      </c>
    </row>
    <row r="22" spans="1:26">
      <c r="A22" s="12" t="s">
        <v>47</v>
      </c>
      <c r="B22" s="13" t="s">
        <v>34</v>
      </c>
      <c r="C22" s="52">
        <v>96</v>
      </c>
      <c r="D22" s="52">
        <v>54</v>
      </c>
      <c r="E22" s="43">
        <v>151</v>
      </c>
      <c r="F22" s="16">
        <f t="shared" si="0"/>
        <v>0.63576158940397354</v>
      </c>
      <c r="G22" s="16">
        <f t="shared" si="1"/>
        <v>0.27152317880794707</v>
      </c>
      <c r="H22" s="1" t="str">
        <f t="shared" si="2"/>
        <v>D</v>
      </c>
      <c r="I22" s="17" t="str">
        <f>IF(Elect2006!H22=H22,"N","Y")</f>
        <v>N</v>
      </c>
      <c r="J22" s="52">
        <v>20</v>
      </c>
      <c r="K22" s="52">
        <v>15</v>
      </c>
      <c r="L22" s="43">
        <v>35</v>
      </c>
      <c r="M22" s="16">
        <f t="shared" si="3"/>
        <v>0.5714285714285714</v>
      </c>
      <c r="N22" s="16">
        <f t="shared" si="4"/>
        <v>0.14285714285714279</v>
      </c>
      <c r="O22" s="1" t="str">
        <f t="shared" si="5"/>
        <v>D</v>
      </c>
      <c r="P22" s="17" t="str">
        <f>IF(Elect2006!O22=O22,"N","Y")</f>
        <v>N</v>
      </c>
      <c r="Q22" s="1">
        <f t="shared" si="6"/>
        <v>116</v>
      </c>
      <c r="R22" s="1">
        <f t="shared" si="6"/>
        <v>69</v>
      </c>
      <c r="S22" s="16">
        <f t="shared" si="7"/>
        <v>0.62365591397849462</v>
      </c>
      <c r="T22" s="16">
        <f t="shared" si="8"/>
        <v>0.24731182795698925</v>
      </c>
      <c r="U22" s="1" t="str">
        <f t="shared" si="9"/>
        <v>D</v>
      </c>
      <c r="V22" s="52" t="s">
        <v>18</v>
      </c>
      <c r="W22" s="1" t="str">
        <f t="shared" si="10"/>
        <v>U</v>
      </c>
      <c r="X22" s="1">
        <f>C22-Elect2006!C22</f>
        <v>7</v>
      </c>
      <c r="Y22" s="1">
        <f>J22-Elect2006!J22</f>
        <v>2</v>
      </c>
      <c r="Z22" s="1">
        <f t="shared" si="11"/>
        <v>9</v>
      </c>
    </row>
    <row r="23" spans="1:26">
      <c r="A23" s="12" t="s">
        <v>48</v>
      </c>
      <c r="B23" s="13" t="s">
        <v>26</v>
      </c>
      <c r="C23" s="54">
        <v>104</v>
      </c>
      <c r="D23" s="54">
        <v>36</v>
      </c>
      <c r="E23" s="45">
        <v>141</v>
      </c>
      <c r="F23" s="16">
        <f t="shared" si="0"/>
        <v>0.73758865248226946</v>
      </c>
      <c r="G23" s="16">
        <f t="shared" si="1"/>
        <v>0.47517730496453892</v>
      </c>
      <c r="H23" s="1" t="str">
        <f t="shared" si="2"/>
        <v>D</v>
      </c>
      <c r="I23" s="17" t="str">
        <f>IF(Elect2006!H23=H23,"N","Y")</f>
        <v>N</v>
      </c>
      <c r="J23" s="54">
        <v>33</v>
      </c>
      <c r="K23" s="54">
        <v>14</v>
      </c>
      <c r="L23" s="45">
        <v>47</v>
      </c>
      <c r="M23" s="16">
        <f t="shared" si="3"/>
        <v>0.7021276595744681</v>
      </c>
      <c r="N23" s="16">
        <f t="shared" si="4"/>
        <v>0.4042553191489362</v>
      </c>
      <c r="O23" s="1" t="str">
        <f t="shared" si="5"/>
        <v>D</v>
      </c>
      <c r="P23" s="17" t="str">
        <f>IF(Elect2006!O23=O23,"N","Y")</f>
        <v>N</v>
      </c>
      <c r="Q23" s="1">
        <f t="shared" si="6"/>
        <v>137</v>
      </c>
      <c r="R23" s="1">
        <f t="shared" si="6"/>
        <v>50</v>
      </c>
      <c r="S23" s="16">
        <f t="shared" si="7"/>
        <v>0.72872340425531912</v>
      </c>
      <c r="T23" s="16">
        <f t="shared" si="8"/>
        <v>0.45744680851063824</v>
      </c>
      <c r="U23" s="1" t="str">
        <f t="shared" si="9"/>
        <v>D</v>
      </c>
      <c r="V23" s="54" t="s">
        <v>18</v>
      </c>
      <c r="W23" s="1" t="str">
        <f t="shared" si="10"/>
        <v>U</v>
      </c>
      <c r="X23" s="1">
        <f>C23-Elect2006!C23</f>
        <v>-4</v>
      </c>
      <c r="Y23" s="1">
        <f>J23-Elect2006!J23</f>
        <v>-1</v>
      </c>
      <c r="Z23" s="1">
        <f t="shared" si="11"/>
        <v>-5</v>
      </c>
    </row>
    <row r="24" spans="1:26">
      <c r="A24" s="12" t="s">
        <v>49</v>
      </c>
      <c r="B24" s="13" t="s">
        <v>34</v>
      </c>
      <c r="C24" s="56">
        <v>143</v>
      </c>
      <c r="D24" s="56">
        <v>16</v>
      </c>
      <c r="E24" s="47">
        <v>160</v>
      </c>
      <c r="F24" s="16">
        <f t="shared" si="0"/>
        <v>0.89375000000000004</v>
      </c>
      <c r="G24" s="16">
        <f t="shared" si="1"/>
        <v>0.78750000000000009</v>
      </c>
      <c r="H24" s="1" t="str">
        <f t="shared" si="2"/>
        <v>D</v>
      </c>
      <c r="I24" s="17" t="str">
        <f>IF(Elect2006!H24=H24,"N","Y")</f>
        <v>N</v>
      </c>
      <c r="J24" s="56">
        <v>35</v>
      </c>
      <c r="K24" s="56">
        <v>5</v>
      </c>
      <c r="L24" s="47">
        <v>40</v>
      </c>
      <c r="M24" s="16">
        <f t="shared" si="3"/>
        <v>0.875</v>
      </c>
      <c r="N24" s="16">
        <f t="shared" si="4"/>
        <v>0.75</v>
      </c>
      <c r="O24" s="1" t="str">
        <f t="shared" si="5"/>
        <v>D</v>
      </c>
      <c r="P24" s="17" t="str">
        <f>IF(Elect2006!O24=O24,"N","Y")</f>
        <v>N</v>
      </c>
      <c r="Q24" s="1">
        <f t="shared" si="6"/>
        <v>178</v>
      </c>
      <c r="R24" s="1">
        <f t="shared" si="6"/>
        <v>21</v>
      </c>
      <c r="S24" s="16">
        <f t="shared" si="7"/>
        <v>0.89</v>
      </c>
      <c r="T24" s="16">
        <f t="shared" si="8"/>
        <v>0.78</v>
      </c>
      <c r="U24" s="1" t="str">
        <f t="shared" si="9"/>
        <v>D</v>
      </c>
      <c r="V24" s="56" t="s">
        <v>18</v>
      </c>
      <c r="W24" s="1" t="str">
        <f t="shared" si="10"/>
        <v>U</v>
      </c>
      <c r="X24" s="1">
        <f>C24-Elect2006!C24</f>
        <v>2</v>
      </c>
      <c r="Y24" s="1">
        <f>J24-Elect2006!J24</f>
        <v>0</v>
      </c>
      <c r="Z24" s="1">
        <f t="shared" si="11"/>
        <v>2</v>
      </c>
    </row>
    <row r="25" spans="1:26">
      <c r="A25" s="12" t="s">
        <v>50</v>
      </c>
      <c r="B25" s="13" t="s">
        <v>41</v>
      </c>
      <c r="C25" s="52">
        <v>67</v>
      </c>
      <c r="D25" s="52">
        <v>43</v>
      </c>
      <c r="E25" s="43">
        <v>110</v>
      </c>
      <c r="F25" s="16">
        <f t="shared" si="0"/>
        <v>0.60909090909090913</v>
      </c>
      <c r="G25" s="16">
        <f t="shared" si="1"/>
        <v>0.21818181818181825</v>
      </c>
      <c r="H25" s="1" t="str">
        <f t="shared" si="2"/>
        <v>D</v>
      </c>
      <c r="I25" s="17" t="str">
        <f>IF(Elect2006!H25=H25,"N","Y")</f>
        <v>N</v>
      </c>
      <c r="J25" s="52">
        <v>17</v>
      </c>
      <c r="K25" s="52">
        <v>21</v>
      </c>
      <c r="L25" s="43">
        <v>38</v>
      </c>
      <c r="M25" s="16">
        <f t="shared" si="3"/>
        <v>0.44736842105263158</v>
      </c>
      <c r="N25" s="16">
        <f t="shared" si="4"/>
        <v>0.10526315789473678</v>
      </c>
      <c r="O25" s="1" t="str">
        <f t="shared" si="5"/>
        <v>R</v>
      </c>
      <c r="P25" s="17" t="str">
        <f>IF(Elect2006!O25=O25,"N","Y")</f>
        <v>N</v>
      </c>
      <c r="Q25" s="1">
        <f t="shared" si="6"/>
        <v>84</v>
      </c>
      <c r="R25" s="1">
        <f t="shared" si="6"/>
        <v>64</v>
      </c>
      <c r="S25" s="16">
        <f t="shared" si="7"/>
        <v>0.56756756756756754</v>
      </c>
      <c r="T25" s="16">
        <f t="shared" si="8"/>
        <v>0.13513513513513509</v>
      </c>
      <c r="U25" s="1" t="str">
        <f t="shared" si="9"/>
        <v>S</v>
      </c>
      <c r="V25" s="52" t="s">
        <v>18</v>
      </c>
      <c r="W25" s="1" t="str">
        <f t="shared" si="10"/>
        <v>D</v>
      </c>
      <c r="X25" s="1">
        <f>C25-Elect2006!C25</f>
        <v>9</v>
      </c>
      <c r="Y25" s="1">
        <f>J25-Elect2006!J25</f>
        <v>0</v>
      </c>
      <c r="Z25" s="1">
        <f t="shared" si="11"/>
        <v>9</v>
      </c>
    </row>
    <row r="26" spans="1:26">
      <c r="A26" s="12" t="s">
        <v>51</v>
      </c>
      <c r="B26" s="13" t="s">
        <v>41</v>
      </c>
      <c r="C26" s="52">
        <v>87</v>
      </c>
      <c r="D26" s="52">
        <v>47</v>
      </c>
      <c r="E26" s="43">
        <v>134</v>
      </c>
      <c r="F26" s="16">
        <f t="shared" si="0"/>
        <v>0.64925373134328357</v>
      </c>
      <c r="G26" s="16">
        <f t="shared" si="1"/>
        <v>0.29850746268656714</v>
      </c>
      <c r="H26" s="1" t="str">
        <f t="shared" si="2"/>
        <v>D</v>
      </c>
      <c r="I26" s="17" t="str">
        <f>IF(Elect2006!H26=H26,"N","Y")</f>
        <v>N</v>
      </c>
      <c r="J26" s="52">
        <v>46</v>
      </c>
      <c r="K26" s="52">
        <v>21</v>
      </c>
      <c r="L26" s="43">
        <v>67</v>
      </c>
      <c r="M26" s="16">
        <f t="shared" si="3"/>
        <v>0.68656716417910446</v>
      </c>
      <c r="N26" s="16">
        <f t="shared" si="4"/>
        <v>0.37313432835820892</v>
      </c>
      <c r="O26" s="1" t="str">
        <f t="shared" si="5"/>
        <v>D</v>
      </c>
      <c r="P26" s="17" t="str">
        <f>IF(Elect2006!O26=O26,"N","Y")</f>
        <v>N</v>
      </c>
      <c r="Q26" s="1">
        <f t="shared" si="6"/>
        <v>133</v>
      </c>
      <c r="R26" s="1">
        <f t="shared" si="6"/>
        <v>68</v>
      </c>
      <c r="S26" s="16">
        <f t="shared" si="7"/>
        <v>0.6616915422885572</v>
      </c>
      <c r="T26" s="16">
        <f t="shared" si="8"/>
        <v>0.3233830845771144</v>
      </c>
      <c r="U26" s="1" t="str">
        <f t="shared" si="9"/>
        <v>D</v>
      </c>
      <c r="V26" s="52" t="s">
        <v>19</v>
      </c>
      <c r="W26" s="1" t="str">
        <f t="shared" si="10"/>
        <v>D</v>
      </c>
      <c r="X26" s="1">
        <f>C26-Elect2006!C26</f>
        <v>2</v>
      </c>
      <c r="Y26" s="1">
        <f>J26-Elect2006!J26</f>
        <v>2</v>
      </c>
      <c r="Z26" s="1">
        <f t="shared" si="11"/>
        <v>4</v>
      </c>
    </row>
    <row r="27" spans="1:26">
      <c r="A27" s="12" t="s">
        <v>52</v>
      </c>
      <c r="B27" s="13" t="s">
        <v>26</v>
      </c>
      <c r="C27" s="52">
        <v>74</v>
      </c>
      <c r="D27" s="52">
        <v>48</v>
      </c>
      <c r="E27" s="43">
        <v>122</v>
      </c>
      <c r="F27" s="16">
        <f t="shared" si="0"/>
        <v>0.60655737704918034</v>
      </c>
      <c r="G27" s="16">
        <f t="shared" si="1"/>
        <v>0.21311475409836067</v>
      </c>
      <c r="H27" s="1" t="str">
        <f t="shared" si="2"/>
        <v>D</v>
      </c>
      <c r="I27" s="17" t="str">
        <f>IF(Elect2006!H27=H27,"N","Y")</f>
        <v>N</v>
      </c>
      <c r="J27" s="52">
        <v>27</v>
      </c>
      <c r="K27" s="52">
        <v>25</v>
      </c>
      <c r="L27" s="43">
        <v>52</v>
      </c>
      <c r="M27" s="16">
        <f t="shared" si="3"/>
        <v>0.51923076923076927</v>
      </c>
      <c r="N27" s="16">
        <f t="shared" si="4"/>
        <v>3.8461538461538547E-2</v>
      </c>
      <c r="O27" s="1" t="str">
        <f t="shared" si="5"/>
        <v>D</v>
      </c>
      <c r="P27" s="17" t="str">
        <f>IF(Elect2006!O27=O27,"N","Y")</f>
        <v>N</v>
      </c>
      <c r="Q27" s="1">
        <f t="shared" si="6"/>
        <v>101</v>
      </c>
      <c r="R27" s="1">
        <f t="shared" si="6"/>
        <v>73</v>
      </c>
      <c r="S27" s="16">
        <f t="shared" si="7"/>
        <v>0.58045977011494254</v>
      </c>
      <c r="T27" s="16">
        <f t="shared" si="8"/>
        <v>0.16091954022988508</v>
      </c>
      <c r="U27" s="1" t="str">
        <f t="shared" si="9"/>
        <v>D</v>
      </c>
      <c r="V27" s="52" t="s">
        <v>19</v>
      </c>
      <c r="W27" s="1" t="str">
        <f t="shared" si="10"/>
        <v>D</v>
      </c>
      <c r="X27" s="1">
        <f>C27-Elect2006!C27</f>
        <v>0</v>
      </c>
      <c r="Y27" s="1">
        <f>J27-Elect2006!J27</f>
        <v>0</v>
      </c>
      <c r="Z27" s="1">
        <f t="shared" si="11"/>
        <v>0</v>
      </c>
    </row>
    <row r="28" spans="1:26">
      <c r="A28" s="12" t="s">
        <v>53</v>
      </c>
      <c r="B28" s="13" t="s">
        <v>41</v>
      </c>
      <c r="C28" s="54">
        <v>74</v>
      </c>
      <c r="D28" s="54">
        <v>89</v>
      </c>
      <c r="E28" s="45">
        <v>163</v>
      </c>
      <c r="F28" s="16">
        <f t="shared" si="0"/>
        <v>0.45398773006134968</v>
      </c>
      <c r="G28" s="16">
        <f t="shared" si="1"/>
        <v>9.2024539877300582E-2</v>
      </c>
      <c r="H28" s="1" t="str">
        <f t="shared" si="2"/>
        <v>R</v>
      </c>
      <c r="I28" s="17" t="str">
        <f>IF(Elect2006!H28=H28,"N","Y")</f>
        <v>N</v>
      </c>
      <c r="J28" s="54">
        <v>11</v>
      </c>
      <c r="K28" s="54">
        <v>23</v>
      </c>
      <c r="L28" s="45">
        <v>34</v>
      </c>
      <c r="M28" s="16">
        <f t="shared" si="3"/>
        <v>0.3235294117647059</v>
      </c>
      <c r="N28" s="16">
        <f t="shared" si="4"/>
        <v>0.35294117647058826</v>
      </c>
      <c r="O28" s="1" t="str">
        <f t="shared" si="5"/>
        <v>R</v>
      </c>
      <c r="P28" s="17" t="str">
        <f>IF(Elect2006!O28=O28,"N","Y")</f>
        <v>N</v>
      </c>
      <c r="Q28" s="1">
        <f t="shared" si="6"/>
        <v>85</v>
      </c>
      <c r="R28" s="1">
        <f t="shared" si="6"/>
        <v>112</v>
      </c>
      <c r="S28" s="16">
        <f t="shared" si="7"/>
        <v>0.43147208121827413</v>
      </c>
      <c r="T28" s="16">
        <f t="shared" si="8"/>
        <v>0.13705583756345169</v>
      </c>
      <c r="U28" s="1" t="str">
        <f t="shared" si="9"/>
        <v>R</v>
      </c>
      <c r="V28" s="54" t="s">
        <v>18</v>
      </c>
      <c r="W28" s="1" t="str">
        <f t="shared" si="10"/>
        <v>D</v>
      </c>
      <c r="X28" s="1">
        <f>C28-Elect2006!C28</f>
        <v>3</v>
      </c>
      <c r="Y28" s="1">
        <f>J28-Elect2006!J28</f>
        <v>-2</v>
      </c>
      <c r="Z28" s="1">
        <f t="shared" si="11"/>
        <v>1</v>
      </c>
    </row>
    <row r="29" spans="1:26">
      <c r="A29" s="12" t="s">
        <v>54</v>
      </c>
      <c r="B29" s="13" t="s">
        <v>28</v>
      </c>
      <c r="C29" s="56">
        <v>49</v>
      </c>
      <c r="D29" s="56">
        <v>49</v>
      </c>
      <c r="E29" s="47">
        <v>100</v>
      </c>
      <c r="F29" s="16">
        <f t="shared" si="0"/>
        <v>0.49</v>
      </c>
      <c r="G29" s="16">
        <f t="shared" si="1"/>
        <v>2.0000000000000018E-2</v>
      </c>
      <c r="H29" s="1" t="str">
        <f>IF(F29&gt;0.5,"D",IF(F29=0.5,"T","R"))</f>
        <v>R</v>
      </c>
      <c r="I29" s="17" t="str">
        <f>IF(Elect2006!H29=H29,"N","Y")</f>
        <v>Y</v>
      </c>
      <c r="J29" s="56">
        <v>23</v>
      </c>
      <c r="K29" s="56">
        <v>27</v>
      </c>
      <c r="L29" s="47">
        <v>50</v>
      </c>
      <c r="M29" s="16">
        <f t="shared" si="3"/>
        <v>0.46</v>
      </c>
      <c r="N29" s="16">
        <f t="shared" si="4"/>
        <v>8.0000000000000016E-2</v>
      </c>
      <c r="O29" s="1" t="str">
        <f t="shared" si="5"/>
        <v>R</v>
      </c>
      <c r="P29" s="17" t="str">
        <f>IF(Elect2006!O29=O29,"N","Y")</f>
        <v>Y</v>
      </c>
      <c r="Q29" s="1">
        <f t="shared" si="6"/>
        <v>72</v>
      </c>
      <c r="R29" s="1">
        <f t="shared" si="6"/>
        <v>76</v>
      </c>
      <c r="S29" s="16">
        <f t="shared" si="7"/>
        <v>0.48</v>
      </c>
      <c r="T29" s="16">
        <f t="shared" si="8"/>
        <v>4.0000000000000036E-2</v>
      </c>
      <c r="U29" s="1" t="str">
        <f t="shared" si="9"/>
        <v>R</v>
      </c>
      <c r="V29" s="56" t="s">
        <v>18</v>
      </c>
      <c r="W29" s="1" t="str">
        <f t="shared" si="10"/>
        <v>D</v>
      </c>
      <c r="X29" s="1">
        <f>C29-Elect2006!C29</f>
        <v>-1</v>
      </c>
      <c r="Y29" s="1">
        <f>J29-Elect2006!J29</f>
        <v>-3</v>
      </c>
      <c r="Z29" s="1">
        <f t="shared" si="11"/>
        <v>-4</v>
      </c>
    </row>
    <row r="30" spans="1:26">
      <c r="A30" s="12" t="s">
        <v>55</v>
      </c>
      <c r="B30" s="13" t="s">
        <v>41</v>
      </c>
      <c r="C30" s="58"/>
      <c r="D30" s="58"/>
      <c r="E30" s="49" t="s">
        <v>109</v>
      </c>
      <c r="F30" s="16"/>
      <c r="G30" s="16"/>
      <c r="I30" s="17" t="str">
        <f>IF(Elect2006!H30=H30,"N","Y")</f>
        <v>N</v>
      </c>
      <c r="J30" s="59"/>
      <c r="K30" s="52"/>
      <c r="L30" s="43"/>
      <c r="M30" s="16"/>
      <c r="N30" s="16"/>
      <c r="P30" s="17" t="str">
        <f>IF(Elect2006!O30=O30,"N","Y")</f>
        <v>N</v>
      </c>
      <c r="S30" s="16"/>
      <c r="T30" s="16"/>
      <c r="V30" s="52" t="s">
        <v>19</v>
      </c>
    </row>
    <row r="31" spans="1:26">
      <c r="A31" s="12" t="s">
        <v>57</v>
      </c>
      <c r="B31" s="13" t="s">
        <v>28</v>
      </c>
      <c r="C31" s="52">
        <v>28</v>
      </c>
      <c r="D31" s="52">
        <v>14</v>
      </c>
      <c r="E31" s="43">
        <v>42</v>
      </c>
      <c r="F31" s="16">
        <f t="shared" ref="F31:F54" si="12">C31/E31</f>
        <v>0.66666666666666663</v>
      </c>
      <c r="G31" s="16">
        <f t="shared" ref="G31:G53" si="13">ABS(F31-(1-F31))</f>
        <v>0.33333333333333326</v>
      </c>
      <c r="H31" s="1" t="str">
        <f t="shared" ref="H31:H53" si="14">IF(F31&gt;0.5,"D",IF(F31=0.5,"T","R"))</f>
        <v>D</v>
      </c>
      <c r="I31" s="17" t="str">
        <f>IF(Elect2006!H31=H31,"N","Y")</f>
        <v>N</v>
      </c>
      <c r="J31" s="52">
        <v>12</v>
      </c>
      <c r="K31" s="52">
        <v>9</v>
      </c>
      <c r="L31" s="43">
        <v>21</v>
      </c>
      <c r="M31" s="16">
        <f t="shared" ref="M31:M54" si="15">J31/L31</f>
        <v>0.5714285714285714</v>
      </c>
      <c r="N31" s="16">
        <f t="shared" ref="N31:N53" si="16">ABS(M31-(1-M31))</f>
        <v>0.14285714285714279</v>
      </c>
      <c r="O31" s="1" t="str">
        <f t="shared" ref="O31:O53" si="17">IF(M31&gt;0.5,"D",IF(M31=0.5,"T","R"))</f>
        <v>D</v>
      </c>
      <c r="P31" s="17" t="str">
        <f>IF(Elect2006!O31=O31,"N","Y")</f>
        <v>Y</v>
      </c>
      <c r="Q31" s="1">
        <f t="shared" ref="Q31:R53" si="18">C31+J31</f>
        <v>40</v>
      </c>
      <c r="R31" s="1">
        <f t="shared" si="18"/>
        <v>23</v>
      </c>
      <c r="S31" s="16">
        <f t="shared" ref="S31:S54" si="19">Q31/(E31+L31)</f>
        <v>0.63492063492063489</v>
      </c>
      <c r="T31" s="16">
        <f t="shared" ref="T31:T53" si="20">ABS(S31-(1-S31))</f>
        <v>0.26984126984126977</v>
      </c>
      <c r="U31" s="1" t="str">
        <f t="shared" ref="U31:U53" si="21">IF(H31=O31,O31,"S")</f>
        <v>D</v>
      </c>
      <c r="V31" s="52" t="s">
        <v>19</v>
      </c>
      <c r="W31" s="1" t="str">
        <f t="shared" ref="W31:W53" si="22">IF(V31=U31,"U","D")</f>
        <v>D</v>
      </c>
      <c r="X31" s="1">
        <f>C31-Elect2006!C31</f>
        <v>1</v>
      </c>
      <c r="Y31" s="1">
        <f>J31-Elect2006!J31</f>
        <v>2</v>
      </c>
      <c r="Z31" s="1">
        <f t="shared" si="11"/>
        <v>3</v>
      </c>
    </row>
    <row r="32" spans="1:26">
      <c r="A32" s="12" t="s">
        <v>58</v>
      </c>
      <c r="B32" s="13" t="s">
        <v>34</v>
      </c>
      <c r="C32" s="52">
        <v>225</v>
      </c>
      <c r="D32" s="52">
        <v>175</v>
      </c>
      <c r="E32" s="43">
        <v>400</v>
      </c>
      <c r="F32" s="16">
        <f t="shared" si="12"/>
        <v>0.5625</v>
      </c>
      <c r="G32" s="16">
        <f t="shared" si="13"/>
        <v>0.125</v>
      </c>
      <c r="H32" s="1" t="str">
        <f t="shared" si="14"/>
        <v>D</v>
      </c>
      <c r="I32" s="17" t="str">
        <f>IF(Elect2006!H32=H32,"N","Y")</f>
        <v>N</v>
      </c>
      <c r="J32" s="52">
        <v>14</v>
      </c>
      <c r="K32" s="52">
        <v>10</v>
      </c>
      <c r="L32" s="43">
        <v>24</v>
      </c>
      <c r="M32" s="16">
        <f t="shared" si="15"/>
        <v>0.58333333333333337</v>
      </c>
      <c r="N32" s="16">
        <f t="shared" si="16"/>
        <v>0.16666666666666674</v>
      </c>
      <c r="O32" s="1" t="str">
        <f t="shared" si="17"/>
        <v>D</v>
      </c>
      <c r="P32" s="17" t="str">
        <f>IF(Elect2006!O32=O32,"N","Y")</f>
        <v>N</v>
      </c>
      <c r="Q32" s="1">
        <f t="shared" si="18"/>
        <v>239</v>
      </c>
      <c r="R32" s="1">
        <f t="shared" si="18"/>
        <v>185</v>
      </c>
      <c r="S32" s="16">
        <f t="shared" si="19"/>
        <v>0.56367924528301883</v>
      </c>
      <c r="T32" s="16">
        <f t="shared" si="20"/>
        <v>0.12735849056603765</v>
      </c>
      <c r="U32" s="1" t="str">
        <f t="shared" si="21"/>
        <v>D</v>
      </c>
      <c r="V32" s="52" t="s">
        <v>18</v>
      </c>
      <c r="W32" s="1" t="str">
        <f t="shared" si="22"/>
        <v>U</v>
      </c>
      <c r="X32" s="1">
        <f>C32-Elect2006!C32</f>
        <v>-14</v>
      </c>
      <c r="Y32" s="1">
        <f>J32-Elect2006!J32</f>
        <v>1</v>
      </c>
      <c r="Z32" s="1">
        <f t="shared" si="11"/>
        <v>-13</v>
      </c>
    </row>
    <row r="33" spans="1:26">
      <c r="A33" s="12" t="s">
        <v>59</v>
      </c>
      <c r="B33" s="13" t="s">
        <v>34</v>
      </c>
      <c r="C33" s="54">
        <v>48</v>
      </c>
      <c r="D33" s="54">
        <v>32</v>
      </c>
      <c r="E33" s="45">
        <v>80</v>
      </c>
      <c r="F33" s="16">
        <f t="shared" si="12"/>
        <v>0.6</v>
      </c>
      <c r="G33" s="16">
        <f t="shared" si="13"/>
        <v>0.19999999999999996</v>
      </c>
      <c r="H33" s="1" t="str">
        <f t="shared" si="14"/>
        <v>D</v>
      </c>
      <c r="I33" s="17" t="str">
        <f>IF(Elect2006!H33=H33,"N","Y")</f>
        <v>N</v>
      </c>
      <c r="J33" s="54">
        <v>23</v>
      </c>
      <c r="K33" s="54">
        <v>17</v>
      </c>
      <c r="L33" s="45">
        <v>40</v>
      </c>
      <c r="M33" s="16">
        <f t="shared" si="15"/>
        <v>0.57499999999999996</v>
      </c>
      <c r="N33" s="16">
        <f t="shared" si="16"/>
        <v>0.14999999999999991</v>
      </c>
      <c r="O33" s="1" t="str">
        <f t="shared" si="17"/>
        <v>D</v>
      </c>
      <c r="P33" s="17" t="str">
        <f>IF(Elect2006!O33=O33,"N","Y")</f>
        <v>N</v>
      </c>
      <c r="Q33" s="1">
        <f t="shared" si="18"/>
        <v>71</v>
      </c>
      <c r="R33" s="1">
        <f t="shared" si="18"/>
        <v>49</v>
      </c>
      <c r="S33" s="16">
        <f t="shared" si="19"/>
        <v>0.59166666666666667</v>
      </c>
      <c r="T33" s="16">
        <f t="shared" si="20"/>
        <v>0.18333333333333335</v>
      </c>
      <c r="U33" s="1" t="str">
        <f t="shared" si="21"/>
        <v>D</v>
      </c>
      <c r="V33" s="54" t="s">
        <v>18</v>
      </c>
      <c r="W33" s="1" t="str">
        <f t="shared" si="22"/>
        <v>U</v>
      </c>
      <c r="X33" s="1">
        <f>C33-Elect2006!C33</f>
        <v>-1</v>
      </c>
      <c r="Y33" s="1">
        <f>J33-Elect2006!J33</f>
        <v>1</v>
      </c>
      <c r="Z33" s="1">
        <f t="shared" si="11"/>
        <v>0</v>
      </c>
    </row>
    <row r="34" spans="1:26">
      <c r="A34" s="12" t="s">
        <v>60</v>
      </c>
      <c r="B34" s="13" t="s">
        <v>28</v>
      </c>
      <c r="C34" s="56">
        <v>45</v>
      </c>
      <c r="D34" s="56">
        <v>25</v>
      </c>
      <c r="E34" s="47">
        <v>70</v>
      </c>
      <c r="F34" s="16">
        <f t="shared" si="12"/>
        <v>0.6428571428571429</v>
      </c>
      <c r="G34" s="16">
        <f t="shared" si="13"/>
        <v>0.28571428571428581</v>
      </c>
      <c r="H34" s="1" t="str">
        <f t="shared" si="14"/>
        <v>D</v>
      </c>
      <c r="I34" s="17" t="str">
        <f>IF(Elect2006!H34=H34,"N","Y")</f>
        <v>N</v>
      </c>
      <c r="J34" s="56">
        <v>27</v>
      </c>
      <c r="K34" s="56">
        <v>15</v>
      </c>
      <c r="L34" s="47">
        <v>42</v>
      </c>
      <c r="M34" s="16">
        <f t="shared" si="15"/>
        <v>0.6428571428571429</v>
      </c>
      <c r="N34" s="16">
        <f t="shared" si="16"/>
        <v>0.28571428571428581</v>
      </c>
      <c r="O34" s="1" t="str">
        <f t="shared" si="17"/>
        <v>D</v>
      </c>
      <c r="P34" s="17" t="str">
        <f>IF(Elect2006!O34=O34,"N","Y")</f>
        <v>N</v>
      </c>
      <c r="Q34" s="1">
        <f t="shared" si="18"/>
        <v>72</v>
      </c>
      <c r="R34" s="1">
        <f t="shared" si="18"/>
        <v>40</v>
      </c>
      <c r="S34" s="16">
        <f t="shared" si="19"/>
        <v>0.6428571428571429</v>
      </c>
      <c r="T34" s="16">
        <f t="shared" si="20"/>
        <v>0.28571428571428581</v>
      </c>
      <c r="U34" s="1" t="str">
        <f t="shared" si="21"/>
        <v>D</v>
      </c>
      <c r="V34" s="56" t="s">
        <v>18</v>
      </c>
      <c r="W34" s="1" t="str">
        <f t="shared" si="22"/>
        <v>U</v>
      </c>
      <c r="X34" s="1">
        <f>C34-Elect2006!C34</f>
        <v>3</v>
      </c>
      <c r="Y34" s="1">
        <f>J34-Elect2006!J34</f>
        <v>3</v>
      </c>
      <c r="Z34" s="1">
        <f t="shared" si="11"/>
        <v>6</v>
      </c>
    </row>
    <row r="35" spans="1:26">
      <c r="A35" s="12" t="s">
        <v>61</v>
      </c>
      <c r="B35" s="13" t="s">
        <v>34</v>
      </c>
      <c r="C35" s="52">
        <v>109</v>
      </c>
      <c r="D35" s="52">
        <v>41</v>
      </c>
      <c r="E35" s="43">
        <v>150</v>
      </c>
      <c r="F35" s="16">
        <f t="shared" si="12"/>
        <v>0.72666666666666668</v>
      </c>
      <c r="G35" s="16">
        <f t="shared" si="13"/>
        <v>0.45333333333333337</v>
      </c>
      <c r="H35" s="1" t="str">
        <f t="shared" si="14"/>
        <v>D</v>
      </c>
      <c r="I35" s="17" t="str">
        <f>IF(Elect2006!H35=H35,"N","Y")</f>
        <v>N</v>
      </c>
      <c r="J35" s="52">
        <v>32</v>
      </c>
      <c r="K35" s="52">
        <v>29</v>
      </c>
      <c r="L35" s="43">
        <v>62</v>
      </c>
      <c r="M35" s="16">
        <f t="shared" si="15"/>
        <v>0.5161290322580645</v>
      </c>
      <c r="N35" s="16">
        <f t="shared" si="16"/>
        <v>3.2258064516129004E-2</v>
      </c>
      <c r="O35" s="1" t="str">
        <f t="shared" si="17"/>
        <v>D</v>
      </c>
      <c r="P35" s="17" t="str">
        <f>IF(Elect2006!O35=O35,"N","Y")</f>
        <v>Y</v>
      </c>
      <c r="Q35" s="1">
        <f t="shared" si="18"/>
        <v>141</v>
      </c>
      <c r="R35" s="1">
        <f t="shared" si="18"/>
        <v>70</v>
      </c>
      <c r="S35" s="16">
        <f t="shared" si="19"/>
        <v>0.66509433962264153</v>
      </c>
      <c r="T35" s="16">
        <f t="shared" si="20"/>
        <v>0.33018867924528306</v>
      </c>
      <c r="U35" s="1" t="str">
        <f t="shared" si="21"/>
        <v>D</v>
      </c>
      <c r="V35" s="52" t="s">
        <v>18</v>
      </c>
      <c r="W35" s="1" t="str">
        <f t="shared" si="22"/>
        <v>U</v>
      </c>
      <c r="X35" s="1">
        <f>C35-Elect2006!C35</f>
        <v>4</v>
      </c>
      <c r="Y35" s="1">
        <f>J35-Elect2006!J35</f>
        <v>4</v>
      </c>
      <c r="Z35" s="1">
        <f t="shared" si="11"/>
        <v>8</v>
      </c>
    </row>
    <row r="36" spans="1:26">
      <c r="A36" s="12" t="s">
        <v>62</v>
      </c>
      <c r="B36" s="13" t="s">
        <v>26</v>
      </c>
      <c r="C36" s="52">
        <v>68</v>
      </c>
      <c r="D36" s="52">
        <v>52</v>
      </c>
      <c r="E36" s="43">
        <v>120</v>
      </c>
      <c r="F36" s="16">
        <f t="shared" si="12"/>
        <v>0.56666666666666665</v>
      </c>
      <c r="G36" s="16">
        <f t="shared" si="13"/>
        <v>0.1333333333333333</v>
      </c>
      <c r="H36" s="1" t="str">
        <f t="shared" si="14"/>
        <v>D</v>
      </c>
      <c r="I36" s="17" t="str">
        <f>IF(Elect2006!H36=H36,"N","Y")</f>
        <v>N</v>
      </c>
      <c r="J36" s="52">
        <v>30</v>
      </c>
      <c r="K36" s="52">
        <v>20</v>
      </c>
      <c r="L36" s="43">
        <v>50</v>
      </c>
      <c r="M36" s="16">
        <f t="shared" si="15"/>
        <v>0.6</v>
      </c>
      <c r="N36" s="16">
        <f t="shared" si="16"/>
        <v>0.19999999999999996</v>
      </c>
      <c r="O36" s="1" t="str">
        <f t="shared" si="17"/>
        <v>D</v>
      </c>
      <c r="P36" s="17" t="str">
        <f>IF(Elect2006!O36=O36,"N","Y")</f>
        <v>N</v>
      </c>
      <c r="Q36" s="1">
        <f t="shared" si="18"/>
        <v>98</v>
      </c>
      <c r="R36" s="1">
        <f t="shared" si="18"/>
        <v>72</v>
      </c>
      <c r="S36" s="16">
        <f t="shared" si="19"/>
        <v>0.57647058823529407</v>
      </c>
      <c r="T36" s="16">
        <f t="shared" si="20"/>
        <v>0.15294117647058814</v>
      </c>
      <c r="U36" s="1" t="str">
        <f t="shared" si="21"/>
        <v>D</v>
      </c>
      <c r="V36" s="52" t="s">
        <v>18</v>
      </c>
      <c r="W36" s="1" t="str">
        <f t="shared" si="22"/>
        <v>U</v>
      </c>
      <c r="X36" s="1">
        <f>C36-Elect2006!C36</f>
        <v>0</v>
      </c>
      <c r="Y36" s="1">
        <f>J36-Elect2006!J36</f>
        <v>-1</v>
      </c>
      <c r="Z36" s="1">
        <f t="shared" si="11"/>
        <v>-1</v>
      </c>
    </row>
    <row r="37" spans="1:26">
      <c r="A37" s="12" t="s">
        <v>63</v>
      </c>
      <c r="B37" s="13" t="s">
        <v>41</v>
      </c>
      <c r="C37" s="52">
        <v>36</v>
      </c>
      <c r="D37" s="52">
        <v>58</v>
      </c>
      <c r="E37" s="43">
        <v>94</v>
      </c>
      <c r="F37" s="16">
        <f t="shared" si="12"/>
        <v>0.38297872340425532</v>
      </c>
      <c r="G37" s="16">
        <f t="shared" si="13"/>
        <v>0.23404255319148937</v>
      </c>
      <c r="H37" s="1" t="str">
        <f t="shared" si="14"/>
        <v>R</v>
      </c>
      <c r="I37" s="17" t="str">
        <f>IF(Elect2006!H37=H37,"N","Y")</f>
        <v>N</v>
      </c>
      <c r="J37" s="52">
        <v>21</v>
      </c>
      <c r="K37" s="52">
        <v>26</v>
      </c>
      <c r="L37" s="43">
        <v>47</v>
      </c>
      <c r="M37" s="16">
        <f t="shared" si="15"/>
        <v>0.44680851063829785</v>
      </c>
      <c r="N37" s="16">
        <f t="shared" si="16"/>
        <v>0.1063829787234043</v>
      </c>
      <c r="O37" s="1" t="str">
        <f t="shared" si="17"/>
        <v>R</v>
      </c>
      <c r="P37" s="17" t="str">
        <f>IF(Elect2006!O37=O37,"N","Y")</f>
        <v>N</v>
      </c>
      <c r="Q37" s="1">
        <f t="shared" si="18"/>
        <v>57</v>
      </c>
      <c r="R37" s="1">
        <f t="shared" si="18"/>
        <v>84</v>
      </c>
      <c r="S37" s="16">
        <f t="shared" si="19"/>
        <v>0.40425531914893614</v>
      </c>
      <c r="T37" s="16">
        <f t="shared" si="20"/>
        <v>0.19148936170212766</v>
      </c>
      <c r="U37" s="1" t="str">
        <f t="shared" si="21"/>
        <v>R</v>
      </c>
      <c r="V37" s="52" t="s">
        <v>19</v>
      </c>
      <c r="W37" s="1" t="str">
        <f t="shared" si="22"/>
        <v>U</v>
      </c>
      <c r="X37" s="1">
        <f>C37-Elect2006!C37</f>
        <v>3</v>
      </c>
      <c r="Y37" s="1">
        <f>J37-Elect2006!J37</f>
        <v>0</v>
      </c>
      <c r="Z37" s="1">
        <f t="shared" si="11"/>
        <v>3</v>
      </c>
    </row>
    <row r="38" spans="1:26">
      <c r="A38" s="12" t="s">
        <v>64</v>
      </c>
      <c r="B38" s="13" t="s">
        <v>41</v>
      </c>
      <c r="C38" s="54">
        <v>53</v>
      </c>
      <c r="D38" s="54">
        <v>46</v>
      </c>
      <c r="E38" s="45">
        <v>99</v>
      </c>
      <c r="F38" s="16">
        <f t="shared" si="12"/>
        <v>0.53535353535353536</v>
      </c>
      <c r="G38" s="16">
        <f t="shared" si="13"/>
        <v>7.0707070707070718E-2</v>
      </c>
      <c r="H38" s="1" t="str">
        <f t="shared" si="14"/>
        <v>D</v>
      </c>
      <c r="I38" s="17" t="str">
        <f>IF(Elect2006!H38=H38,"N","Y")</f>
        <v>Y</v>
      </c>
      <c r="J38" s="54">
        <v>12</v>
      </c>
      <c r="K38" s="54">
        <v>21</v>
      </c>
      <c r="L38" s="45">
        <v>33</v>
      </c>
      <c r="M38" s="16">
        <f t="shared" si="15"/>
        <v>0.36363636363636365</v>
      </c>
      <c r="N38" s="16">
        <f t="shared" si="16"/>
        <v>0.27272727272727271</v>
      </c>
      <c r="O38" s="1" t="str">
        <f t="shared" si="17"/>
        <v>R</v>
      </c>
      <c r="P38" s="17" t="str">
        <f>IF(Elect2006!O38=O38,"N","Y")</f>
        <v>N</v>
      </c>
      <c r="Q38" s="1">
        <f t="shared" si="18"/>
        <v>65</v>
      </c>
      <c r="R38" s="1">
        <f t="shared" si="18"/>
        <v>67</v>
      </c>
      <c r="S38" s="16">
        <f t="shared" si="19"/>
        <v>0.49242424242424243</v>
      </c>
      <c r="T38" s="16">
        <f t="shared" si="20"/>
        <v>1.5151515151515138E-2</v>
      </c>
      <c r="U38" s="1" t="str">
        <f t="shared" si="21"/>
        <v>S</v>
      </c>
      <c r="V38" s="54" t="s">
        <v>18</v>
      </c>
      <c r="W38" s="1" t="str">
        <f t="shared" si="22"/>
        <v>D</v>
      </c>
      <c r="X38" s="1">
        <f>C38-Elect2006!C38</f>
        <v>7</v>
      </c>
      <c r="Y38" s="1">
        <f>J38-Elect2006!J38</f>
        <v>0</v>
      </c>
      <c r="Z38" s="1">
        <f t="shared" si="11"/>
        <v>7</v>
      </c>
    </row>
    <row r="39" spans="1:26">
      <c r="A39" s="12" t="s">
        <v>65</v>
      </c>
      <c r="B39" s="13" t="s">
        <v>26</v>
      </c>
      <c r="C39" s="56">
        <v>40</v>
      </c>
      <c r="D39" s="56">
        <v>61</v>
      </c>
      <c r="E39" s="47">
        <v>101</v>
      </c>
      <c r="F39" s="16">
        <f t="shared" si="12"/>
        <v>0.39603960396039606</v>
      </c>
      <c r="G39" s="16">
        <f t="shared" si="13"/>
        <v>0.20792079207920788</v>
      </c>
      <c r="H39" s="1" t="str">
        <f t="shared" si="14"/>
        <v>R</v>
      </c>
      <c r="I39" s="17" t="str">
        <f>IF(Elect2006!H39=H39,"N","Y")</f>
        <v>N</v>
      </c>
      <c r="J39" s="56">
        <v>22</v>
      </c>
      <c r="K39" s="56">
        <v>26</v>
      </c>
      <c r="L39" s="47">
        <v>48</v>
      </c>
      <c r="M39" s="16">
        <f t="shared" si="15"/>
        <v>0.45833333333333331</v>
      </c>
      <c r="N39" s="16">
        <f t="shared" si="16"/>
        <v>8.3333333333333426E-2</v>
      </c>
      <c r="O39" s="1" t="str">
        <f t="shared" si="17"/>
        <v>R</v>
      </c>
      <c r="P39" s="17" t="str">
        <f>IF(Elect2006!O39=O39,"N","Y")</f>
        <v>Y</v>
      </c>
      <c r="Q39" s="1">
        <f t="shared" si="18"/>
        <v>62</v>
      </c>
      <c r="R39" s="1">
        <f t="shared" si="18"/>
        <v>87</v>
      </c>
      <c r="S39" s="16">
        <f t="shared" si="19"/>
        <v>0.41610738255033558</v>
      </c>
      <c r="T39" s="16">
        <f t="shared" si="20"/>
        <v>0.16778523489932878</v>
      </c>
      <c r="U39" s="1" t="str">
        <f t="shared" si="21"/>
        <v>R</v>
      </c>
      <c r="V39" s="56" t="s">
        <v>18</v>
      </c>
      <c r="W39" s="1" t="str">
        <f t="shared" si="22"/>
        <v>D</v>
      </c>
      <c r="X39" s="1">
        <f>C39-Elect2006!C39</f>
        <v>-5</v>
      </c>
      <c r="Y39" s="1">
        <f>J39-Elect2006!J39</f>
        <v>-2</v>
      </c>
      <c r="Z39" s="1">
        <f t="shared" si="11"/>
        <v>-7</v>
      </c>
    </row>
    <row r="40" spans="1:26">
      <c r="A40" s="12" t="s">
        <v>66</v>
      </c>
      <c r="B40" s="13" t="s">
        <v>28</v>
      </c>
      <c r="C40" s="52">
        <v>36</v>
      </c>
      <c r="D40" s="52">
        <v>23</v>
      </c>
      <c r="E40" s="43">
        <v>60</v>
      </c>
      <c r="F40" s="16">
        <f t="shared" si="12"/>
        <v>0.6</v>
      </c>
      <c r="G40" s="16">
        <f t="shared" si="13"/>
        <v>0.19999999999999996</v>
      </c>
      <c r="H40" s="1" t="str">
        <f t="shared" si="14"/>
        <v>D</v>
      </c>
      <c r="I40" s="17" t="str">
        <f>IF(Elect2006!H40=H40,"N","Y")</f>
        <v>N</v>
      </c>
      <c r="J40" s="52">
        <v>18</v>
      </c>
      <c r="K40" s="52">
        <v>12</v>
      </c>
      <c r="L40" s="43">
        <v>30</v>
      </c>
      <c r="M40" s="16">
        <f t="shared" si="15"/>
        <v>0.6</v>
      </c>
      <c r="N40" s="16">
        <f t="shared" si="16"/>
        <v>0.19999999999999996</v>
      </c>
      <c r="O40" s="1" t="str">
        <f t="shared" si="17"/>
        <v>D</v>
      </c>
      <c r="P40" s="17" t="str">
        <f>IF(Elect2006!O40=O40,"N","Y")</f>
        <v>N</v>
      </c>
      <c r="Q40" s="1">
        <f t="shared" si="18"/>
        <v>54</v>
      </c>
      <c r="R40" s="1">
        <f t="shared" si="18"/>
        <v>35</v>
      </c>
      <c r="S40" s="16">
        <f t="shared" si="19"/>
        <v>0.6</v>
      </c>
      <c r="T40" s="16">
        <f t="shared" si="20"/>
        <v>0.19999999999999996</v>
      </c>
      <c r="U40" s="1" t="str">
        <f t="shared" si="21"/>
        <v>D</v>
      </c>
      <c r="V40" s="52" t="s">
        <v>18</v>
      </c>
      <c r="W40" s="1" t="str">
        <f t="shared" si="22"/>
        <v>U</v>
      </c>
      <c r="X40" s="1">
        <f>C40-Elect2006!C40</f>
        <v>5</v>
      </c>
      <c r="Y40" s="1">
        <f>J40-Elect2006!J40</f>
        <v>1</v>
      </c>
      <c r="Z40" s="1">
        <f t="shared" si="11"/>
        <v>6</v>
      </c>
    </row>
    <row r="41" spans="1:26">
      <c r="A41" s="12" t="s">
        <v>68</v>
      </c>
      <c r="B41" s="13" t="s">
        <v>34</v>
      </c>
      <c r="C41" s="52">
        <v>104</v>
      </c>
      <c r="D41" s="52">
        <v>99</v>
      </c>
      <c r="E41" s="43">
        <v>203</v>
      </c>
      <c r="F41" s="16">
        <f t="shared" si="12"/>
        <v>0.51231527093596063</v>
      </c>
      <c r="G41" s="16">
        <f t="shared" si="13"/>
        <v>2.4630541871921263E-2</v>
      </c>
      <c r="H41" s="1" t="str">
        <f t="shared" si="14"/>
        <v>D</v>
      </c>
      <c r="I41" s="17" t="str">
        <f>IF(Elect2006!H41=H41,"N","Y")</f>
        <v>Y</v>
      </c>
      <c r="J41" s="52">
        <v>20</v>
      </c>
      <c r="K41" s="52">
        <v>29</v>
      </c>
      <c r="L41" s="43">
        <v>50</v>
      </c>
      <c r="M41" s="16">
        <f t="shared" si="15"/>
        <v>0.4</v>
      </c>
      <c r="N41" s="16">
        <f t="shared" si="16"/>
        <v>0.19999999999999996</v>
      </c>
      <c r="O41" s="1" t="str">
        <f t="shared" si="17"/>
        <v>R</v>
      </c>
      <c r="P41" s="17" t="str">
        <f>IF(Elect2006!O41=O41,"N","Y")</f>
        <v>N</v>
      </c>
      <c r="Q41" s="1">
        <f t="shared" si="18"/>
        <v>124</v>
      </c>
      <c r="R41" s="1">
        <f t="shared" si="18"/>
        <v>128</v>
      </c>
      <c r="S41" s="16">
        <f t="shared" si="19"/>
        <v>0.49011857707509882</v>
      </c>
      <c r="T41" s="16">
        <f t="shared" si="20"/>
        <v>1.9762845849802313E-2</v>
      </c>
      <c r="U41" s="1" t="str">
        <f t="shared" si="21"/>
        <v>S</v>
      </c>
      <c r="V41" s="52" t="s">
        <v>18</v>
      </c>
      <c r="W41" s="1" t="str">
        <f t="shared" si="22"/>
        <v>D</v>
      </c>
      <c r="X41" s="1">
        <f>C41-Elect2006!C41</f>
        <v>3</v>
      </c>
      <c r="Y41" s="1">
        <f>J41-Elect2006!J41</f>
        <v>-1</v>
      </c>
      <c r="Z41" s="1">
        <f t="shared" si="11"/>
        <v>2</v>
      </c>
    </row>
    <row r="42" spans="1:26">
      <c r="A42" s="12" t="s">
        <v>69</v>
      </c>
      <c r="B42" s="13" t="s">
        <v>34</v>
      </c>
      <c r="C42" s="52">
        <v>69</v>
      </c>
      <c r="D42" s="52">
        <v>6</v>
      </c>
      <c r="E42" s="43">
        <v>75</v>
      </c>
      <c r="F42" s="16">
        <f t="shared" si="12"/>
        <v>0.92</v>
      </c>
      <c r="G42" s="16">
        <f t="shared" si="13"/>
        <v>0.84000000000000008</v>
      </c>
      <c r="H42" s="1" t="str">
        <f t="shared" si="14"/>
        <v>D</v>
      </c>
      <c r="I42" s="17" t="str">
        <f>IF(Elect2006!H42=H42,"N","Y")</f>
        <v>N</v>
      </c>
      <c r="J42" s="52">
        <v>33</v>
      </c>
      <c r="K42" s="52">
        <v>4</v>
      </c>
      <c r="L42" s="43">
        <v>38</v>
      </c>
      <c r="M42" s="16">
        <f t="shared" si="15"/>
        <v>0.86842105263157898</v>
      </c>
      <c r="N42" s="16">
        <f t="shared" si="16"/>
        <v>0.73684210526315796</v>
      </c>
      <c r="O42" s="1" t="str">
        <f t="shared" si="17"/>
        <v>D</v>
      </c>
      <c r="P42" s="17" t="str">
        <f>IF(Elect2006!O42=O42,"N","Y")</f>
        <v>N</v>
      </c>
      <c r="Q42" s="1">
        <f t="shared" si="18"/>
        <v>102</v>
      </c>
      <c r="R42" s="1">
        <f t="shared" si="18"/>
        <v>10</v>
      </c>
      <c r="S42" s="16">
        <f t="shared" si="19"/>
        <v>0.90265486725663713</v>
      </c>
      <c r="T42" s="16">
        <f t="shared" si="20"/>
        <v>0.80530973451327426</v>
      </c>
      <c r="U42" s="1" t="str">
        <f t="shared" si="21"/>
        <v>D</v>
      </c>
      <c r="V42" s="52" t="s">
        <v>19</v>
      </c>
      <c r="W42" s="1" t="str">
        <f t="shared" si="22"/>
        <v>D</v>
      </c>
      <c r="X42" s="1">
        <f>C42-Elect2006!C42</f>
        <v>9</v>
      </c>
      <c r="Y42" s="1">
        <f>J42-Elect2006!J42</f>
        <v>0</v>
      </c>
      <c r="Z42" s="1">
        <f t="shared" si="11"/>
        <v>9</v>
      </c>
    </row>
    <row r="43" spans="1:26">
      <c r="A43" s="12" t="s">
        <v>70</v>
      </c>
      <c r="B43" s="13" t="s">
        <v>26</v>
      </c>
      <c r="C43" s="54">
        <v>53</v>
      </c>
      <c r="D43" s="54">
        <v>71</v>
      </c>
      <c r="E43" s="45">
        <v>124</v>
      </c>
      <c r="F43" s="16">
        <f t="shared" si="12"/>
        <v>0.42741935483870969</v>
      </c>
      <c r="G43" s="16">
        <f t="shared" si="13"/>
        <v>0.14516129032258057</v>
      </c>
      <c r="H43" s="1" t="str">
        <f t="shared" si="14"/>
        <v>R</v>
      </c>
      <c r="I43" s="17" t="str">
        <f>IF(Elect2006!H43=H43,"N","Y")</f>
        <v>N</v>
      </c>
      <c r="J43" s="54">
        <v>19</v>
      </c>
      <c r="K43" s="54">
        <v>27</v>
      </c>
      <c r="L43" s="45">
        <v>46</v>
      </c>
      <c r="M43" s="16">
        <f t="shared" si="15"/>
        <v>0.41304347826086957</v>
      </c>
      <c r="N43" s="16">
        <f t="shared" si="16"/>
        <v>0.17391304347826081</v>
      </c>
      <c r="O43" s="1" t="str">
        <f t="shared" si="17"/>
        <v>R</v>
      </c>
      <c r="P43" s="17" t="str">
        <f>IF(Elect2006!O43=O43,"N","Y")</f>
        <v>N</v>
      </c>
      <c r="Q43" s="1">
        <f t="shared" si="18"/>
        <v>72</v>
      </c>
      <c r="R43" s="1">
        <f t="shared" si="18"/>
        <v>98</v>
      </c>
      <c r="S43" s="16">
        <f t="shared" si="19"/>
        <v>0.42352941176470588</v>
      </c>
      <c r="T43" s="16">
        <f t="shared" si="20"/>
        <v>0.15294117647058819</v>
      </c>
      <c r="U43" s="1" t="str">
        <f t="shared" si="21"/>
        <v>R</v>
      </c>
      <c r="V43" s="54" t="s">
        <v>19</v>
      </c>
      <c r="W43" s="1" t="str">
        <f t="shared" si="22"/>
        <v>U</v>
      </c>
      <c r="X43" s="1">
        <f>C43-Elect2006!C43</f>
        <v>2</v>
      </c>
      <c r="Y43" s="1">
        <f>J43-Elect2006!J43</f>
        <v>-1</v>
      </c>
      <c r="Z43" s="1">
        <f t="shared" si="11"/>
        <v>1</v>
      </c>
    </row>
    <row r="44" spans="1:26">
      <c r="A44" s="12" t="s">
        <v>71</v>
      </c>
      <c r="B44" s="13" t="s">
        <v>41</v>
      </c>
      <c r="C44" s="56">
        <v>24</v>
      </c>
      <c r="D44" s="56">
        <v>46</v>
      </c>
      <c r="E44" s="47">
        <v>70</v>
      </c>
      <c r="F44" s="16">
        <f t="shared" si="12"/>
        <v>0.34285714285714286</v>
      </c>
      <c r="G44" s="16">
        <f t="shared" si="13"/>
        <v>0.31428571428571428</v>
      </c>
      <c r="H44" s="1" t="str">
        <f t="shared" si="14"/>
        <v>R</v>
      </c>
      <c r="I44" s="17" t="str">
        <f>IF(Elect2006!H44=H44,"N","Y")</f>
        <v>N</v>
      </c>
      <c r="J44" s="56">
        <v>14</v>
      </c>
      <c r="K44" s="56">
        <v>20</v>
      </c>
      <c r="L44" s="47">
        <v>35</v>
      </c>
      <c r="M44" s="16">
        <f t="shared" si="15"/>
        <v>0.4</v>
      </c>
      <c r="N44" s="16">
        <f t="shared" si="16"/>
        <v>0.19999999999999996</v>
      </c>
      <c r="O44" s="1" t="str">
        <f t="shared" si="17"/>
        <v>R</v>
      </c>
      <c r="P44" s="17" t="str">
        <f>IF(Elect2006!O44=O44,"N","Y")</f>
        <v>N</v>
      </c>
      <c r="Q44" s="1">
        <f t="shared" si="18"/>
        <v>38</v>
      </c>
      <c r="R44" s="1">
        <f t="shared" si="18"/>
        <v>66</v>
      </c>
      <c r="S44" s="16">
        <f t="shared" si="19"/>
        <v>0.3619047619047619</v>
      </c>
      <c r="T44" s="16">
        <f t="shared" si="20"/>
        <v>0.27619047619047615</v>
      </c>
      <c r="U44" s="1" t="str">
        <f t="shared" si="21"/>
        <v>R</v>
      </c>
      <c r="V44" s="56" t="s">
        <v>19</v>
      </c>
      <c r="W44" s="1" t="str">
        <f t="shared" si="22"/>
        <v>U</v>
      </c>
      <c r="X44" s="1">
        <f>C44-Elect2006!C44</f>
        <v>4</v>
      </c>
      <c r="Y44" s="1">
        <f>J44-Elect2006!J44</f>
        <v>-1</v>
      </c>
      <c r="Z44" s="1">
        <f t="shared" si="11"/>
        <v>3</v>
      </c>
    </row>
    <row r="45" spans="1:26">
      <c r="A45" s="12" t="s">
        <v>72</v>
      </c>
      <c r="B45" s="13" t="s">
        <v>26</v>
      </c>
      <c r="C45" s="52">
        <v>49</v>
      </c>
      <c r="D45" s="52">
        <v>50</v>
      </c>
      <c r="E45" s="43">
        <v>99</v>
      </c>
      <c r="F45" s="16">
        <f t="shared" si="12"/>
        <v>0.49494949494949497</v>
      </c>
      <c r="G45" s="16">
        <f t="shared" si="13"/>
        <v>1.010101010101E-2</v>
      </c>
      <c r="H45" s="1" t="str">
        <f t="shared" si="14"/>
        <v>R</v>
      </c>
      <c r="I45" s="17" t="str">
        <f>IF(Elect2006!H45=H45,"N","Y")</f>
        <v>Y</v>
      </c>
      <c r="J45" s="52">
        <v>14</v>
      </c>
      <c r="K45" s="52">
        <v>19</v>
      </c>
      <c r="L45" s="43">
        <v>33</v>
      </c>
      <c r="M45" s="16">
        <f t="shared" si="15"/>
        <v>0.42424242424242425</v>
      </c>
      <c r="N45" s="16">
        <f t="shared" si="16"/>
        <v>0.15151515151515144</v>
      </c>
      <c r="O45" s="1" t="str">
        <f t="shared" si="17"/>
        <v>R</v>
      </c>
      <c r="P45" s="17" t="str">
        <f>IF(Elect2006!O45=O45,"N","Y")</f>
        <v>N</v>
      </c>
      <c r="Q45" s="1">
        <f t="shared" si="18"/>
        <v>63</v>
      </c>
      <c r="R45" s="1">
        <f t="shared" si="18"/>
        <v>69</v>
      </c>
      <c r="S45" s="16">
        <f t="shared" si="19"/>
        <v>0.47727272727272729</v>
      </c>
      <c r="T45" s="16">
        <f t="shared" si="20"/>
        <v>4.5454545454545414E-2</v>
      </c>
      <c r="U45" s="1" t="str">
        <f t="shared" si="21"/>
        <v>R</v>
      </c>
      <c r="V45" s="52" t="s">
        <v>18</v>
      </c>
      <c r="W45" s="1" t="str">
        <f t="shared" si="22"/>
        <v>D</v>
      </c>
      <c r="X45" s="1">
        <f>C45-Elect2006!C45</f>
        <v>-4</v>
      </c>
      <c r="Y45" s="1">
        <f>J45-Elect2006!J45</f>
        <v>-2</v>
      </c>
      <c r="Z45" s="1">
        <f t="shared" si="11"/>
        <v>-6</v>
      </c>
    </row>
    <row r="46" spans="1:26">
      <c r="A46" s="12" t="s">
        <v>73</v>
      </c>
      <c r="B46" s="13" t="s">
        <v>26</v>
      </c>
      <c r="C46" s="52">
        <v>74</v>
      </c>
      <c r="D46" s="52">
        <v>76</v>
      </c>
      <c r="E46" s="43">
        <v>150</v>
      </c>
      <c r="F46" s="16">
        <f t="shared" si="12"/>
        <v>0.49333333333333335</v>
      </c>
      <c r="G46" s="16">
        <f t="shared" si="13"/>
        <v>1.3333333333333253E-2</v>
      </c>
      <c r="H46" s="1" t="str">
        <f t="shared" si="14"/>
        <v>R</v>
      </c>
      <c r="I46" s="17" t="str">
        <f>IF(Elect2006!H46=H46,"N","Y")</f>
        <v>N</v>
      </c>
      <c r="J46" s="52">
        <v>12</v>
      </c>
      <c r="K46" s="52">
        <v>18</v>
      </c>
      <c r="L46" s="43">
        <v>31</v>
      </c>
      <c r="M46" s="16">
        <f t="shared" si="15"/>
        <v>0.38709677419354838</v>
      </c>
      <c r="N46" s="16">
        <f t="shared" si="16"/>
        <v>0.22580645161290325</v>
      </c>
      <c r="O46" s="1" t="str">
        <f t="shared" si="17"/>
        <v>R</v>
      </c>
      <c r="P46" s="17" t="str">
        <f>IF(Elect2006!O46=O46,"N","Y")</f>
        <v>N</v>
      </c>
      <c r="Q46" s="1">
        <f t="shared" si="18"/>
        <v>86</v>
      </c>
      <c r="R46" s="1">
        <f t="shared" si="18"/>
        <v>94</v>
      </c>
      <c r="S46" s="16">
        <f t="shared" si="19"/>
        <v>0.47513812154696133</v>
      </c>
      <c r="T46" s="16">
        <f t="shared" si="20"/>
        <v>4.9723756906077332E-2</v>
      </c>
      <c r="U46" s="1" t="str">
        <f t="shared" si="21"/>
        <v>R</v>
      </c>
      <c r="V46" s="52" t="s">
        <v>19</v>
      </c>
      <c r="W46" s="1" t="str">
        <f t="shared" si="22"/>
        <v>U</v>
      </c>
      <c r="X46" s="1">
        <f>C46-Elect2006!C46</f>
        <v>5</v>
      </c>
      <c r="Y46" s="1">
        <f>J46-Elect2006!J46</f>
        <v>1</v>
      </c>
      <c r="Z46" s="1">
        <f t="shared" si="11"/>
        <v>6</v>
      </c>
    </row>
    <row r="47" spans="1:26">
      <c r="A47" s="12" t="s">
        <v>74</v>
      </c>
      <c r="B47" s="13" t="s">
        <v>28</v>
      </c>
      <c r="C47" s="52">
        <v>22</v>
      </c>
      <c r="D47" s="52">
        <v>53</v>
      </c>
      <c r="E47" s="43">
        <v>75</v>
      </c>
      <c r="F47" s="16">
        <f t="shared" si="12"/>
        <v>0.29333333333333333</v>
      </c>
      <c r="G47" s="16">
        <f t="shared" si="13"/>
        <v>0.41333333333333333</v>
      </c>
      <c r="H47" s="1" t="str">
        <f t="shared" si="14"/>
        <v>R</v>
      </c>
      <c r="I47" s="17" t="str">
        <f>IF(Elect2006!H47=H47,"N","Y")</f>
        <v>N</v>
      </c>
      <c r="J47" s="52">
        <v>8</v>
      </c>
      <c r="K47" s="52">
        <v>21</v>
      </c>
      <c r="L47" s="43">
        <v>29</v>
      </c>
      <c r="M47" s="16">
        <f t="shared" si="15"/>
        <v>0.27586206896551724</v>
      </c>
      <c r="N47" s="16">
        <f t="shared" si="16"/>
        <v>0.44827586206896552</v>
      </c>
      <c r="O47" s="1" t="str">
        <f t="shared" si="17"/>
        <v>R</v>
      </c>
      <c r="P47" s="17" t="str">
        <f>IF(Elect2006!O47=O47,"N","Y")</f>
        <v>N</v>
      </c>
      <c r="Q47" s="1">
        <f t="shared" si="18"/>
        <v>30</v>
      </c>
      <c r="R47" s="1">
        <f t="shared" si="18"/>
        <v>74</v>
      </c>
      <c r="S47" s="16">
        <f t="shared" si="19"/>
        <v>0.28846153846153844</v>
      </c>
      <c r="T47" s="16">
        <f t="shared" si="20"/>
        <v>0.42307692307692313</v>
      </c>
      <c r="U47" s="1" t="str">
        <f t="shared" si="21"/>
        <v>R</v>
      </c>
      <c r="V47" s="52" t="s">
        <v>19</v>
      </c>
      <c r="W47" s="1" t="str">
        <f t="shared" si="22"/>
        <v>U</v>
      </c>
      <c r="X47" s="1">
        <f>C47-Elect2006!C47</f>
        <v>3</v>
      </c>
      <c r="Y47" s="1">
        <f>J47-Elect2006!J47</f>
        <v>0</v>
      </c>
      <c r="Z47" s="1">
        <f t="shared" si="11"/>
        <v>3</v>
      </c>
    </row>
    <row r="48" spans="1:26">
      <c r="A48" s="12" t="s">
        <v>75</v>
      </c>
      <c r="B48" s="13" t="s">
        <v>34</v>
      </c>
      <c r="C48" s="54">
        <v>95</v>
      </c>
      <c r="D48" s="54">
        <v>48</v>
      </c>
      <c r="E48" s="45">
        <v>150</v>
      </c>
      <c r="F48" s="16">
        <f t="shared" si="12"/>
        <v>0.6333333333333333</v>
      </c>
      <c r="G48" s="16">
        <f t="shared" si="13"/>
        <v>0.26666666666666661</v>
      </c>
      <c r="H48" s="1" t="str">
        <f t="shared" si="14"/>
        <v>D</v>
      </c>
      <c r="I48" s="17" t="str">
        <f>IF(Elect2006!H48=H48,"N","Y")</f>
        <v>N</v>
      </c>
      <c r="J48" s="54">
        <v>23</v>
      </c>
      <c r="K48" s="54">
        <v>7</v>
      </c>
      <c r="L48" s="45">
        <v>30</v>
      </c>
      <c r="M48" s="16">
        <f t="shared" si="15"/>
        <v>0.76666666666666672</v>
      </c>
      <c r="N48" s="16">
        <f t="shared" si="16"/>
        <v>0.53333333333333344</v>
      </c>
      <c r="O48" s="1" t="str">
        <f t="shared" si="17"/>
        <v>D</v>
      </c>
      <c r="P48" s="17" t="str">
        <f>IF(Elect2006!O48=O48,"N","Y")</f>
        <v>N</v>
      </c>
      <c r="Q48" s="1">
        <f t="shared" si="18"/>
        <v>118</v>
      </c>
      <c r="R48" s="1">
        <f t="shared" si="18"/>
        <v>55</v>
      </c>
      <c r="S48" s="16">
        <f t="shared" si="19"/>
        <v>0.65555555555555556</v>
      </c>
      <c r="T48" s="16">
        <f t="shared" si="20"/>
        <v>0.31111111111111112</v>
      </c>
      <c r="U48" s="1" t="str">
        <f t="shared" si="21"/>
        <v>D</v>
      </c>
      <c r="V48" s="54" t="s">
        <v>19</v>
      </c>
      <c r="W48" s="1" t="str">
        <f t="shared" si="22"/>
        <v>D</v>
      </c>
      <c r="X48" s="1">
        <f>C48-Elect2006!C48</f>
        <v>2</v>
      </c>
      <c r="Y48" s="1">
        <f>J48-Elect2006!J48</f>
        <v>0</v>
      </c>
      <c r="Z48" s="1">
        <f t="shared" si="11"/>
        <v>2</v>
      </c>
    </row>
    <row r="49" spans="1:26">
      <c r="A49" s="12" t="s">
        <v>76</v>
      </c>
      <c r="B49" s="13" t="s">
        <v>26</v>
      </c>
      <c r="C49" s="52">
        <v>44</v>
      </c>
      <c r="D49" s="52">
        <v>52</v>
      </c>
      <c r="E49" s="43">
        <v>100</v>
      </c>
      <c r="F49" s="16">
        <f t="shared" si="12"/>
        <v>0.44</v>
      </c>
      <c r="G49" s="16">
        <f t="shared" si="13"/>
        <v>0.12000000000000005</v>
      </c>
      <c r="H49" s="1" t="str">
        <f t="shared" si="14"/>
        <v>R</v>
      </c>
      <c r="I49" s="17" t="str">
        <f>IF(Elect2006!H49=H49,"N","Y")</f>
        <v>N</v>
      </c>
      <c r="J49" s="52">
        <v>21</v>
      </c>
      <c r="K49" s="52">
        <v>19</v>
      </c>
      <c r="L49" s="43">
        <v>40</v>
      </c>
      <c r="M49" s="16">
        <f t="shared" si="15"/>
        <v>0.52500000000000002</v>
      </c>
      <c r="N49" s="16">
        <f t="shared" si="16"/>
        <v>5.0000000000000044E-2</v>
      </c>
      <c r="O49" s="1" t="str">
        <f t="shared" si="17"/>
        <v>D</v>
      </c>
      <c r="P49" s="17" t="str">
        <f>IF(Elect2006!O49=O49,"N","Y")</f>
        <v>Y</v>
      </c>
      <c r="Q49" s="1">
        <f t="shared" si="18"/>
        <v>65</v>
      </c>
      <c r="R49" s="1">
        <f t="shared" si="18"/>
        <v>71</v>
      </c>
      <c r="S49" s="16">
        <f t="shared" si="19"/>
        <v>0.4642857142857143</v>
      </c>
      <c r="T49" s="16">
        <f t="shared" si="20"/>
        <v>7.1428571428571397E-2</v>
      </c>
      <c r="U49" s="1" t="str">
        <f t="shared" si="21"/>
        <v>S</v>
      </c>
      <c r="V49" s="52" t="s">
        <v>18</v>
      </c>
      <c r="W49" s="1" t="str">
        <f t="shared" si="22"/>
        <v>D</v>
      </c>
      <c r="X49" s="1">
        <f>C49-Elect2006!C49</f>
        <v>4</v>
      </c>
      <c r="Y49" s="1">
        <f>J49-Elect2006!J49</f>
        <v>4</v>
      </c>
      <c r="Z49" s="1">
        <f t="shared" si="11"/>
        <v>8</v>
      </c>
    </row>
    <row r="50" spans="1:26">
      <c r="A50" s="12" t="s">
        <v>77</v>
      </c>
      <c r="B50" s="13" t="s">
        <v>28</v>
      </c>
      <c r="C50" s="52">
        <v>64</v>
      </c>
      <c r="D50" s="52">
        <v>34</v>
      </c>
      <c r="E50" s="43">
        <v>98</v>
      </c>
      <c r="F50" s="16">
        <f t="shared" si="12"/>
        <v>0.65306122448979587</v>
      </c>
      <c r="G50" s="16">
        <f t="shared" si="13"/>
        <v>0.30612244897959173</v>
      </c>
      <c r="H50" s="1" t="str">
        <f t="shared" si="14"/>
        <v>D</v>
      </c>
      <c r="I50" s="17" t="str">
        <f>IF(Elect2006!H50=H50,"N","Y")</f>
        <v>N</v>
      </c>
      <c r="J50" s="52">
        <v>31</v>
      </c>
      <c r="K50" s="52">
        <v>18</v>
      </c>
      <c r="L50" s="43">
        <v>49</v>
      </c>
      <c r="M50" s="16">
        <f t="shared" si="15"/>
        <v>0.63265306122448983</v>
      </c>
      <c r="N50" s="16">
        <f t="shared" si="16"/>
        <v>0.26530612244897966</v>
      </c>
      <c r="O50" s="1" t="str">
        <f t="shared" si="17"/>
        <v>D</v>
      </c>
      <c r="P50" s="17" t="str">
        <f>IF(Elect2006!O50=O50,"N","Y")</f>
        <v>N</v>
      </c>
      <c r="Q50" s="1">
        <f t="shared" si="18"/>
        <v>95</v>
      </c>
      <c r="R50" s="1">
        <f t="shared" si="18"/>
        <v>52</v>
      </c>
      <c r="S50" s="16">
        <f t="shared" si="19"/>
        <v>0.6462585034013606</v>
      </c>
      <c r="T50" s="16">
        <f t="shared" si="20"/>
        <v>0.29251700680272119</v>
      </c>
      <c r="U50" s="1" t="str">
        <f t="shared" si="21"/>
        <v>D</v>
      </c>
      <c r="V50" s="52" t="s">
        <v>18</v>
      </c>
      <c r="W50" s="1" t="str">
        <f t="shared" si="22"/>
        <v>U</v>
      </c>
      <c r="X50" s="1">
        <f>C50-Elect2006!C50</f>
        <v>1</v>
      </c>
      <c r="Y50" s="1">
        <f>J50-Elect2006!J50</f>
        <v>-1</v>
      </c>
      <c r="Z50" s="1">
        <f t="shared" si="11"/>
        <v>0</v>
      </c>
    </row>
    <row r="51" spans="1:26">
      <c r="A51" s="12" t="s">
        <v>78</v>
      </c>
      <c r="B51" s="13" t="s">
        <v>26</v>
      </c>
      <c r="C51" s="52">
        <v>79</v>
      </c>
      <c r="D51" s="52">
        <v>21</v>
      </c>
      <c r="E51" s="43">
        <v>100</v>
      </c>
      <c r="F51" s="16">
        <f t="shared" si="12"/>
        <v>0.79</v>
      </c>
      <c r="G51" s="16">
        <f t="shared" si="13"/>
        <v>0.58000000000000007</v>
      </c>
      <c r="H51" s="1" t="str">
        <f t="shared" si="14"/>
        <v>D</v>
      </c>
      <c r="I51" s="17" t="str">
        <f>IF(Elect2006!H51=H51,"N","Y")</f>
        <v>N</v>
      </c>
      <c r="J51" s="52">
        <v>28</v>
      </c>
      <c r="K51" s="52">
        <v>6</v>
      </c>
      <c r="L51" s="43">
        <v>34</v>
      </c>
      <c r="M51" s="16">
        <f t="shared" si="15"/>
        <v>0.82352941176470584</v>
      </c>
      <c r="N51" s="16">
        <f t="shared" si="16"/>
        <v>0.64705882352941169</v>
      </c>
      <c r="O51" s="1" t="str">
        <f t="shared" si="17"/>
        <v>D</v>
      </c>
      <c r="P51" s="17" t="str">
        <f>IF(Elect2006!O51=O51,"N","Y")</f>
        <v>N</v>
      </c>
      <c r="Q51" s="1">
        <f t="shared" si="18"/>
        <v>107</v>
      </c>
      <c r="R51" s="1">
        <f t="shared" si="18"/>
        <v>27</v>
      </c>
      <c r="S51" s="16">
        <f t="shared" si="19"/>
        <v>0.79850746268656714</v>
      </c>
      <c r="T51" s="16">
        <f t="shared" si="20"/>
        <v>0.59701492537313428</v>
      </c>
      <c r="U51" s="1" t="str">
        <f t="shared" si="21"/>
        <v>D</v>
      </c>
      <c r="V51" s="52" t="s">
        <v>18</v>
      </c>
      <c r="W51" s="1" t="str">
        <f t="shared" si="22"/>
        <v>U</v>
      </c>
      <c r="X51" s="1">
        <f>C51-Elect2006!C51</f>
        <v>7</v>
      </c>
      <c r="Y51" s="1">
        <f>J51-Elect2006!J51</f>
        <v>5</v>
      </c>
      <c r="Z51" s="1">
        <f t="shared" si="11"/>
        <v>12</v>
      </c>
    </row>
    <row r="52" spans="1:26">
      <c r="A52" s="12" t="s">
        <v>79</v>
      </c>
      <c r="B52" s="13" t="s">
        <v>41</v>
      </c>
      <c r="C52" s="52">
        <v>52</v>
      </c>
      <c r="D52" s="52">
        <v>46</v>
      </c>
      <c r="E52" s="43">
        <v>99</v>
      </c>
      <c r="F52" s="16">
        <f t="shared" si="12"/>
        <v>0.5252525252525253</v>
      </c>
      <c r="G52" s="16">
        <f t="shared" si="13"/>
        <v>5.0505050505050608E-2</v>
      </c>
      <c r="H52" s="1" t="str">
        <f t="shared" si="14"/>
        <v>D</v>
      </c>
      <c r="I52" s="17" t="str">
        <f>IF(Elect2006!H52=H52,"N","Y")</f>
        <v>Y</v>
      </c>
      <c r="J52" s="52">
        <v>18</v>
      </c>
      <c r="K52" s="52">
        <v>15</v>
      </c>
      <c r="L52" s="43">
        <v>33</v>
      </c>
      <c r="M52" s="16">
        <f t="shared" si="15"/>
        <v>0.54545454545454541</v>
      </c>
      <c r="N52" s="16">
        <f t="shared" si="16"/>
        <v>9.0909090909090828E-2</v>
      </c>
      <c r="O52" s="1" t="str">
        <f t="shared" si="17"/>
        <v>D</v>
      </c>
      <c r="P52" s="17" t="str">
        <f>IF(Elect2006!O52=O52,"N","Y")</f>
        <v>N</v>
      </c>
      <c r="Q52" s="1">
        <f t="shared" si="18"/>
        <v>70</v>
      </c>
      <c r="R52" s="1">
        <f t="shared" si="18"/>
        <v>61</v>
      </c>
      <c r="S52" s="16">
        <f t="shared" si="19"/>
        <v>0.53030303030303028</v>
      </c>
      <c r="T52" s="16">
        <f t="shared" si="20"/>
        <v>6.0606060606060552E-2</v>
      </c>
      <c r="U52" s="1" t="str">
        <f t="shared" si="21"/>
        <v>D</v>
      </c>
      <c r="V52" s="52" t="s">
        <v>18</v>
      </c>
      <c r="W52" s="1" t="str">
        <f t="shared" si="22"/>
        <v>U</v>
      </c>
      <c r="X52" s="1">
        <f>C52-Elect2006!C52</f>
        <v>6</v>
      </c>
      <c r="Y52" s="1">
        <f>J52-Elect2006!J52</f>
        <v>0</v>
      </c>
      <c r="Z52" s="1">
        <f t="shared" si="11"/>
        <v>6</v>
      </c>
    </row>
    <row r="53" spans="1:26" ht="14" thickBot="1">
      <c r="A53" s="12" t="s">
        <v>80</v>
      </c>
      <c r="B53" s="13" t="s">
        <v>28</v>
      </c>
      <c r="C53" s="52">
        <v>19</v>
      </c>
      <c r="D53" s="52">
        <v>41</v>
      </c>
      <c r="E53" s="1">
        <v>60</v>
      </c>
      <c r="F53" s="16">
        <f t="shared" si="12"/>
        <v>0.31666666666666665</v>
      </c>
      <c r="G53" s="16">
        <f t="shared" si="13"/>
        <v>0.3666666666666667</v>
      </c>
      <c r="H53" s="1" t="str">
        <f t="shared" si="14"/>
        <v>R</v>
      </c>
      <c r="I53" s="17" t="str">
        <f>IF(Elect2006!H53=H53,"N","Y")</f>
        <v>N</v>
      </c>
      <c r="J53" s="52">
        <v>7</v>
      </c>
      <c r="K53" s="52">
        <v>23</v>
      </c>
      <c r="L53" s="43">
        <v>30</v>
      </c>
      <c r="M53" s="16">
        <f t="shared" si="15"/>
        <v>0.23333333333333334</v>
      </c>
      <c r="N53" s="16">
        <f t="shared" si="16"/>
        <v>0.53333333333333321</v>
      </c>
      <c r="O53" s="1" t="str">
        <f t="shared" si="17"/>
        <v>R</v>
      </c>
      <c r="P53" s="17" t="str">
        <f>IF(Elect2006!O53=O53,"N","Y")</f>
        <v>N</v>
      </c>
      <c r="Q53" s="1">
        <f t="shared" si="18"/>
        <v>26</v>
      </c>
      <c r="R53" s="50">
        <f t="shared" si="18"/>
        <v>64</v>
      </c>
      <c r="S53" s="25">
        <f t="shared" si="19"/>
        <v>0.28888888888888886</v>
      </c>
      <c r="T53" s="26">
        <f t="shared" si="20"/>
        <v>0.42222222222222228</v>
      </c>
      <c r="U53" s="1" t="str">
        <f t="shared" si="21"/>
        <v>R</v>
      </c>
      <c r="V53" s="52" t="s">
        <v>18</v>
      </c>
      <c r="W53" s="1" t="str">
        <f t="shared" si="22"/>
        <v>D</v>
      </c>
      <c r="X53" s="1">
        <f>C53-Elect2006!C53</f>
        <v>2</v>
      </c>
      <c r="Y53" s="1">
        <f>J53-Elect2006!J53</f>
        <v>0</v>
      </c>
      <c r="Z53" s="1">
        <f t="shared" si="11"/>
        <v>2</v>
      </c>
    </row>
    <row r="54" spans="1:26" ht="14" thickBot="1">
      <c r="A54" s="27" t="s">
        <v>81</v>
      </c>
      <c r="B54" s="28"/>
      <c r="C54" s="60">
        <f>SUM(C4:C53)</f>
        <v>3058</v>
      </c>
      <c r="D54" s="60">
        <f>SUM(D4:D53)</f>
        <v>2329</v>
      </c>
      <c r="E54" s="29">
        <f>SUM(E3:E53)</f>
        <v>5411</v>
      </c>
      <c r="F54" s="30">
        <f t="shared" si="12"/>
        <v>0.56514507484753285</v>
      </c>
      <c r="G54" s="30"/>
      <c r="H54" s="31"/>
      <c r="I54" s="32"/>
      <c r="J54" s="29">
        <f>SUM(J3:J53)</f>
        <v>1024</v>
      </c>
      <c r="K54" s="29">
        <f>SUM(K3:K53)</f>
        <v>888</v>
      </c>
      <c r="L54" s="29">
        <f>SUM(L3:L53)</f>
        <v>1922</v>
      </c>
      <c r="M54" s="30">
        <f t="shared" si="15"/>
        <v>0.53277835587929245</v>
      </c>
      <c r="N54" s="30"/>
      <c r="O54" s="31"/>
      <c r="P54" s="32"/>
      <c r="Q54" s="33">
        <f>SUM(Q4:Q53)</f>
        <v>4082</v>
      </c>
      <c r="R54" s="1">
        <f>D54+K54</f>
        <v>3217</v>
      </c>
      <c r="S54" s="16">
        <f t="shared" si="19"/>
        <v>0.55666166643938364</v>
      </c>
      <c r="T54" s="34">
        <f>AVERAGE(T4:T53)</f>
        <v>0.25659172252416079</v>
      </c>
      <c r="U54" s="31"/>
      <c r="X54" s="33">
        <f t="shared" ref="X54:Z54" si="23">SUM(X4:X53)</f>
        <v>80</v>
      </c>
      <c r="Y54" s="33">
        <f t="shared" si="23"/>
        <v>15</v>
      </c>
      <c r="Z54" s="33">
        <f t="shared" si="23"/>
        <v>95</v>
      </c>
    </row>
    <row r="55" spans="1:26">
      <c r="A55" s="35"/>
      <c r="B55" s="35"/>
      <c r="C55" s="36"/>
      <c r="D55" s="36"/>
      <c r="E55" s="36"/>
      <c r="F55" s="16"/>
      <c r="G55" s="16"/>
      <c r="J55" s="36"/>
      <c r="K55" s="36"/>
      <c r="L55" s="36"/>
      <c r="M55" s="16"/>
      <c r="Q55" s="37"/>
      <c r="R55" s="37"/>
      <c r="S55" s="16"/>
      <c r="T55" s="16"/>
    </row>
    <row r="56" spans="1:26">
      <c r="A56" s="38" t="s">
        <v>82</v>
      </c>
    </row>
    <row r="57" spans="1:26">
      <c r="A57" s="1" t="s">
        <v>83</v>
      </c>
      <c r="C57" s="37">
        <f>DSUM(_xlnm.Database,C3,critRGS)</f>
        <v>953</v>
      </c>
      <c r="D57" s="37"/>
      <c r="E57" s="37">
        <f>DSUM(_xlnm.Database,E3,critRGS)</f>
        <v>1767</v>
      </c>
      <c r="F57" s="16">
        <f>C57/E57</f>
        <v>0.53933220147142047</v>
      </c>
      <c r="J57" s="37">
        <f>DSUM(_xlnm.Database,J3,critRGS)</f>
        <v>327</v>
      </c>
      <c r="K57" s="37"/>
      <c r="L57" s="37">
        <f>DSUM(_xlnm.Database,L3,critRGS)</f>
        <v>624</v>
      </c>
      <c r="M57" s="16">
        <f>J57/L57</f>
        <v>0.52403846153846156</v>
      </c>
      <c r="Q57" s="37">
        <f>DSUM(_xlnm.Database,Q3,critRGS)</f>
        <v>1280</v>
      </c>
      <c r="R57" s="37"/>
      <c r="S57" s="16">
        <f>Q57/(E57+L57)</f>
        <v>0.53534086156419913</v>
      </c>
      <c r="T57" s="16"/>
    </row>
    <row r="58" spans="1:26">
      <c r="A58" s="1" t="s">
        <v>84</v>
      </c>
      <c r="C58" s="37">
        <f>DSUM(_xlnm.Database,C3,CritRGN)</f>
        <v>2105</v>
      </c>
      <c r="D58" s="37"/>
      <c r="E58" s="37">
        <f>DSUM(_xlnm.Database,E3,CritRGN)</f>
        <v>3644</v>
      </c>
      <c r="F58" s="16">
        <f>C58/E58</f>
        <v>0.577661909989023</v>
      </c>
      <c r="J58" s="37">
        <f>DSUM(_xlnm.Database,J3,CritRGN)</f>
        <v>697</v>
      </c>
      <c r="K58" s="37"/>
      <c r="L58" s="37">
        <f>DSUM(_xlnm.Database,L3,CritRGN)</f>
        <v>1298</v>
      </c>
      <c r="M58" s="16">
        <f>J58/L58</f>
        <v>0.536979969183359</v>
      </c>
      <c r="Q58" s="37">
        <f>DSUM(_xlnm.Database,Q3,CritRGN)</f>
        <v>2802</v>
      </c>
      <c r="R58" s="37"/>
      <c r="S58" s="16">
        <f>Q58/(E58+L58)</f>
        <v>0.56697693241602587</v>
      </c>
      <c r="T58" s="16"/>
    </row>
    <row r="59" spans="1:26">
      <c r="A59" s="1" t="s">
        <v>85</v>
      </c>
      <c r="C59" s="37">
        <f>DSUM(_xlnm.Database,C3,CRITE)</f>
        <v>1028</v>
      </c>
      <c r="D59" s="37"/>
      <c r="E59" s="37">
        <f>DSUM(_xlnm.Database,E3,CRITE)</f>
        <v>1561</v>
      </c>
      <c r="F59" s="16">
        <f>C59/E59</f>
        <v>0.65855221012171683</v>
      </c>
      <c r="J59" s="37">
        <f>DSUM(_xlnm.Database,J3,CRITE)</f>
        <v>240</v>
      </c>
      <c r="K59" s="37"/>
      <c r="L59" s="37">
        <f>DSUM(_xlnm.Database,L3,CRITE)</f>
        <v>376</v>
      </c>
      <c r="M59" s="16">
        <f>J59/L59</f>
        <v>0.63829787234042556</v>
      </c>
      <c r="Q59" s="37">
        <f>DSUM(_xlnm.Database,Q3,CRITE)</f>
        <v>1268</v>
      </c>
      <c r="R59" s="37"/>
      <c r="S59" s="16">
        <f>Q59/(E59+L59)</f>
        <v>0.6546205472379969</v>
      </c>
      <c r="T59" s="16"/>
    </row>
    <row r="60" spans="1:26">
      <c r="A60" s="1" t="s">
        <v>86</v>
      </c>
      <c r="C60" s="37">
        <f>DSUM(_xlnm.Database,C3,CRITM)</f>
        <v>620</v>
      </c>
      <c r="D60" s="37"/>
      <c r="E60" s="37">
        <f>DSUM(_xlnm.Database,E3,CRITM)</f>
        <v>1212</v>
      </c>
      <c r="F60" s="16">
        <f>C60/E60</f>
        <v>0.51155115511551152</v>
      </c>
      <c r="J60" s="37">
        <f>DSUM(_xlnm.Database,J3,CRITM)</f>
        <v>233</v>
      </c>
      <c r="K60" s="37"/>
      <c r="L60" s="37">
        <f>DSUM(_xlnm.Database,L3,CRITM)</f>
        <v>486</v>
      </c>
      <c r="M60" s="16">
        <f>J60/L60</f>
        <v>0.47942386831275718</v>
      </c>
      <c r="Q60" s="37">
        <f>DSUM(_xlnm.Database,Q3,CRITM)</f>
        <v>853</v>
      </c>
      <c r="R60" s="37"/>
      <c r="S60" s="16">
        <f>Q60/(E60+L60)</f>
        <v>0.50235571260306244</v>
      </c>
      <c r="T60" s="16"/>
    </row>
    <row r="61" spans="1:26">
      <c r="A61" s="1" t="s">
        <v>87</v>
      </c>
      <c r="C61" s="37">
        <f>DSUM(_xlnm.Database,C3,CRITW)</f>
        <v>457</v>
      </c>
      <c r="D61" s="37"/>
      <c r="E61" s="37">
        <f>DSUM(_xlnm.Database,E3,CRITW)</f>
        <v>871</v>
      </c>
      <c r="F61" s="16">
        <f>C61/E61</f>
        <v>0.52468427095292769</v>
      </c>
      <c r="J61" s="37">
        <f>DSUM(_xlnm.Database,J3,CRITW)</f>
        <v>224</v>
      </c>
      <c r="K61" s="37"/>
      <c r="L61" s="37">
        <f>DSUM(_xlnm.Database,L3,CRITW)</f>
        <v>436</v>
      </c>
      <c r="M61" s="16">
        <f>J61/L61</f>
        <v>0.51376146788990829</v>
      </c>
      <c r="Q61" s="37">
        <f>DSUM(_xlnm.Database,Q3,CRITW)</f>
        <v>681</v>
      </c>
      <c r="R61" s="37"/>
      <c r="S61" s="16">
        <f>Q61/(E61+L61)</f>
        <v>0.52104055087987755</v>
      </c>
      <c r="T61" s="16"/>
    </row>
    <row r="62" spans="1:26">
      <c r="F62" s="16"/>
      <c r="M62" s="16"/>
      <c r="S62" s="16"/>
      <c r="T62" s="16"/>
    </row>
    <row r="63" spans="1:26">
      <c r="F63" s="16"/>
      <c r="M63" s="16"/>
      <c r="S63" s="16"/>
      <c r="T63" s="16"/>
    </row>
    <row r="64" spans="1:26">
      <c r="A64" s="38" t="s">
        <v>88</v>
      </c>
      <c r="C64" s="51" t="s">
        <v>89</v>
      </c>
      <c r="D64" s="51"/>
      <c r="E64" s="51" t="s">
        <v>26</v>
      </c>
      <c r="F64" s="51" t="s">
        <v>90</v>
      </c>
      <c r="M64" s="16"/>
      <c r="S64" s="16"/>
      <c r="T64" s="16"/>
    </row>
    <row r="65" spans="1:20">
      <c r="A65" s="35" t="s">
        <v>81</v>
      </c>
      <c r="C65" s="40">
        <f>C54-Elect2006!C54</f>
        <v>80</v>
      </c>
      <c r="D65" s="40"/>
      <c r="E65" s="40">
        <f>J54-Elect2006!J54</f>
        <v>15</v>
      </c>
      <c r="F65" s="40">
        <f>Q54-Elect2006!Q54</f>
        <v>95</v>
      </c>
      <c r="M65" s="16"/>
      <c r="S65" s="16"/>
      <c r="T65" s="16"/>
    </row>
    <row r="66" spans="1:20">
      <c r="A66" s="1" t="s">
        <v>83</v>
      </c>
      <c r="C66" s="40">
        <f>C57-Elect2006!C57</f>
        <v>-4</v>
      </c>
      <c r="D66" s="40"/>
      <c r="E66" s="40">
        <f>J57-Elect2006!J57</f>
        <v>-2</v>
      </c>
      <c r="F66" s="40">
        <f>Q57-Elect2006!Q57</f>
        <v>-6</v>
      </c>
      <c r="M66" s="16"/>
      <c r="S66" s="16"/>
      <c r="T66" s="16"/>
    </row>
    <row r="67" spans="1:20">
      <c r="A67" s="1" t="s">
        <v>85</v>
      </c>
      <c r="C67" s="40">
        <f>C59-Elect2006!C59</f>
        <v>27</v>
      </c>
      <c r="D67" s="40"/>
      <c r="E67" s="40">
        <f>J59-Elect2006!J59</f>
        <v>10</v>
      </c>
      <c r="F67" s="40">
        <f>Q59-Elect2006!Q59</f>
        <v>37</v>
      </c>
      <c r="M67" s="16"/>
      <c r="S67" s="16"/>
      <c r="T67" s="16"/>
    </row>
    <row r="68" spans="1:20">
      <c r="A68" s="1" t="s">
        <v>86</v>
      </c>
      <c r="C68" s="40">
        <f>C60-Elect2006!C60</f>
        <v>42</v>
      </c>
      <c r="D68" s="40"/>
      <c r="E68" s="40">
        <f>J60-Elect2006!J60</f>
        <v>-1</v>
      </c>
      <c r="F68" s="40">
        <f>Q60-Elect2006!Q60</f>
        <v>41</v>
      </c>
      <c r="M68" s="16"/>
      <c r="S68" s="16"/>
      <c r="T68" s="16"/>
    </row>
    <row r="69" spans="1:20">
      <c r="A69" s="1" t="s">
        <v>87</v>
      </c>
      <c r="C69" s="40">
        <f>C61-Elect2006!C61</f>
        <v>15</v>
      </c>
      <c r="D69" s="40"/>
      <c r="E69" s="40">
        <f>J61-Elect2006!J61</f>
        <v>8</v>
      </c>
      <c r="F69" s="40">
        <f>Q61-Elect2006!Q61</f>
        <v>23</v>
      </c>
      <c r="M69" s="16"/>
      <c r="S69" s="16"/>
      <c r="T69" s="16"/>
    </row>
    <row r="70" spans="1:20">
      <c r="F70" s="16"/>
      <c r="M70" s="16"/>
      <c r="S70" s="16"/>
      <c r="T70" s="16"/>
    </row>
    <row r="71" spans="1:20">
      <c r="G71" s="8"/>
    </row>
    <row r="72" spans="1:20">
      <c r="A72" s="38" t="s">
        <v>91</v>
      </c>
      <c r="F72" s="1">
        <f>DCOUNTA(_xlnm.Database,"Div?",critdiv)</f>
        <v>24</v>
      </c>
    </row>
    <row r="73" spans="1:20">
      <c r="A73" s="38"/>
    </row>
    <row r="74" spans="1:20">
      <c r="A74" s="38" t="s">
        <v>92</v>
      </c>
      <c r="C74" s="1">
        <f>DCOUNTA(_xlnm.Database,"HSwch",CritHSwch)</f>
        <v>6</v>
      </c>
      <c r="E74" s="1">
        <f>DCOUNTA(_xlnm.Database,"sSwch",CritSSwch)</f>
        <v>6</v>
      </c>
      <c r="F74" s="1">
        <f>SUM(C74:E74)</f>
        <v>12</v>
      </c>
    </row>
    <row r="75" spans="1:20">
      <c r="A75" s="38"/>
      <c r="H75" s="1" t="s">
        <v>110</v>
      </c>
    </row>
    <row r="76" spans="1:20">
      <c r="A76" s="38" t="s">
        <v>93</v>
      </c>
      <c r="C76" s="1">
        <f>DCOUNTA(_xlnm.Database,"hCntrl",CritHCntrlD)</f>
        <v>32</v>
      </c>
      <c r="E76" s="1">
        <f>DCOUNTA(_xlnm.Database,"sCntrl",CritSCntrlD)</f>
        <v>28</v>
      </c>
      <c r="F76" s="1">
        <f>DCOUNTA(_xlnm.Database,"TCntrl",CritTCntrlD)</f>
        <v>27</v>
      </c>
      <c r="H76" s="1">
        <f>C76+E76</f>
        <v>60</v>
      </c>
    </row>
    <row r="77" spans="1:20">
      <c r="A77" s="38" t="s">
        <v>94</v>
      </c>
      <c r="C77" s="1">
        <f>DCOUNTA(_xlnm.Database,"HCntrl",critHCntrlR)</f>
        <v>17</v>
      </c>
      <c r="E77" s="1">
        <f>DCOUNTA(_xlnm.Database,"sCntrl",CritSCntrlR)</f>
        <v>20</v>
      </c>
      <c r="F77" s="1">
        <f>DCOUNTA(_xlnm.Database,"TCntrl",CritTCntrlR)</f>
        <v>15</v>
      </c>
      <c r="H77" s="1">
        <f>C77+E77</f>
        <v>37</v>
      </c>
    </row>
    <row r="78" spans="1:20">
      <c r="A78" s="38" t="s">
        <v>95</v>
      </c>
      <c r="F78" s="1">
        <f>DCOUNTA(_xlnm.Database,"TCntrl",CritTCntrlS)</f>
        <v>7</v>
      </c>
    </row>
    <row r="79" spans="1:20">
      <c r="A79" s="38"/>
    </row>
    <row r="80" spans="1:20">
      <c r="A80" s="38" t="s">
        <v>96</v>
      </c>
      <c r="F80" s="1">
        <f>DCOUNTA(_xlnm.Database,"Gov",CritGovD)</f>
        <v>29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0.21687083021019993</v>
      </c>
      <c r="D84" s="16"/>
      <c r="E84" s="16">
        <f>DAVERAGE(_xlnm.Database,"SMargin",critRGS)</f>
        <v>0.23801453081446633</v>
      </c>
      <c r="F84" s="16">
        <f>DAVERAGE(_xlnm.Database,"Margin",critRGS)</f>
        <v>0.20945737459389638</v>
      </c>
      <c r="G84" s="16"/>
    </row>
    <row r="85" spans="1:20">
      <c r="A85" s="1" t="s">
        <v>84</v>
      </c>
      <c r="C85" s="16">
        <f>DAVERAGE(_xlnm.Database,"HMargin",CritRGN)</f>
        <v>0.27753771323615423</v>
      </c>
      <c r="D85" s="16"/>
      <c r="E85" s="16">
        <f>DAVERAGE(_xlnm.Database,"SMargin",CritRGN)</f>
        <v>0.30803056918464794</v>
      </c>
      <c r="F85" s="16">
        <f>DAVERAGE(_xlnm.Database,"Margin",CritRGN)</f>
        <v>0.27738628778751273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0.55419243223704751</v>
      </c>
    </row>
    <row r="88" spans="1:20">
      <c r="A88" s="41" t="s">
        <v>98</v>
      </c>
      <c r="T88" s="16">
        <f>AVERAGE(T4:T53)</f>
        <v>0.25659172252416079</v>
      </c>
    </row>
    <row r="89" spans="1:20">
      <c r="A89" s="1" t="s">
        <v>99</v>
      </c>
      <c r="C89" s="1">
        <f>DCOUNT(_xlnm.Database,F3,CritHD55)</f>
        <v>10</v>
      </c>
      <c r="E89" s="1">
        <f>DCOUNT(_xlnm.Database,M3,CritSD55)</f>
        <v>7</v>
      </c>
      <c r="F89" s="1">
        <f>SUM(C89:E89)</f>
        <v>17</v>
      </c>
    </row>
    <row r="92" spans="1:20">
      <c r="A92" s="41" t="s">
        <v>100</v>
      </c>
      <c r="C92" s="1">
        <f>DCOUNTA(_xlnm.Database,"Div?",CritUnifD)</f>
        <v>17</v>
      </c>
    </row>
    <row r="93" spans="1:20">
      <c r="A93" s="41" t="s">
        <v>101</v>
      </c>
      <c r="C93" s="1">
        <f>DCOUNTA(_xlnm.Database,"Div?",CritUnifR)</f>
        <v>8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FFDF-D635-4F42-9F4F-A0A1ED519B85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1" width="5.5" style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18</v>
      </c>
      <c r="R3" s="8" t="s">
        <v>19</v>
      </c>
      <c r="S3" s="9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 ht="16">
      <c r="A4" s="12" t="s">
        <v>25</v>
      </c>
      <c r="B4" s="13" t="s">
        <v>26</v>
      </c>
      <c r="C4" s="61">
        <v>43</v>
      </c>
      <c r="D4" s="61">
        <v>62</v>
      </c>
      <c r="E4" s="43">
        <v>105</v>
      </c>
      <c r="F4" s="16">
        <f t="shared" ref="F4:F29" si="0">C4/E4</f>
        <v>0.40952380952380951</v>
      </c>
      <c r="G4" s="16">
        <f t="shared" ref="G4:G29" si="1">ABS(F4-(1-F4))</f>
        <v>0.18095238095238098</v>
      </c>
      <c r="H4" s="1" t="str">
        <f t="shared" ref="H4:H28" si="2">IF(F4&gt;0.5,"D",IF(F4=0.5,"T","R"))</f>
        <v>R</v>
      </c>
      <c r="I4" s="17" t="str">
        <f>IF(Elect2008!H4=H4,"N","Y")</f>
        <v>Y</v>
      </c>
      <c r="J4" s="61">
        <v>12</v>
      </c>
      <c r="K4" s="61">
        <v>22</v>
      </c>
      <c r="L4" s="43">
        <v>35</v>
      </c>
      <c r="M4" s="16">
        <f t="shared" ref="M4:M29" si="3">J4/L4</f>
        <v>0.34285714285714286</v>
      </c>
      <c r="N4" s="16">
        <f t="shared" ref="N4:N29" si="4">ABS(M4-(1-M4))</f>
        <v>0.31428571428571428</v>
      </c>
      <c r="O4" s="1" t="str">
        <f t="shared" ref="O4:O29" si="5">IF(M4&gt;0.5,"D",IF(M4=0.5,"T","R"))</f>
        <v>R</v>
      </c>
      <c r="P4" s="17" t="str">
        <f>IF(Elect2008!O4=O4,"N","Y")</f>
        <v>Y</v>
      </c>
      <c r="Q4" s="1">
        <f t="shared" ref="Q4:R29" si="6">C4+J4</f>
        <v>55</v>
      </c>
      <c r="R4" s="1">
        <f t="shared" si="6"/>
        <v>84</v>
      </c>
      <c r="S4" s="16">
        <f t="shared" ref="S4:S29" si="7">Q4/(E4+L4)</f>
        <v>0.39285714285714285</v>
      </c>
      <c r="T4" s="16">
        <f t="shared" ref="T4:T29" si="8">ABS(S4-(1-S4))</f>
        <v>0.21428571428571436</v>
      </c>
      <c r="U4" s="1" t="str">
        <f t="shared" ref="U4:U29" si="9">IF(H4=O4,O4,"S")</f>
        <v>R</v>
      </c>
      <c r="V4" s="61" t="s">
        <v>19</v>
      </c>
      <c r="W4" s="1" t="str">
        <f t="shared" ref="W4:W29" si="10">IF(V4=U4,"U","D")</f>
        <v>U</v>
      </c>
      <c r="X4" s="1">
        <f>C4-Elect2008!C4</f>
        <v>-19</v>
      </c>
      <c r="Y4" s="1">
        <f>J4-Elect2008!J4</f>
        <v>-9</v>
      </c>
      <c r="Z4" s="1">
        <f>X4+Y4</f>
        <v>-28</v>
      </c>
    </row>
    <row r="5" spans="1:26" ht="16">
      <c r="A5" s="12" t="s">
        <v>27</v>
      </c>
      <c r="B5" s="13" t="s">
        <v>28</v>
      </c>
      <c r="C5" s="61">
        <v>16</v>
      </c>
      <c r="D5" s="61">
        <v>24</v>
      </c>
      <c r="E5" s="43">
        <v>40</v>
      </c>
      <c r="F5" s="16">
        <f t="shared" si="0"/>
        <v>0.4</v>
      </c>
      <c r="G5" s="16">
        <f t="shared" si="1"/>
        <v>0.19999999999999996</v>
      </c>
      <c r="H5" s="1" t="str">
        <f t="shared" si="2"/>
        <v>R</v>
      </c>
      <c r="I5" s="17" t="str">
        <f>IF(Elect2008!H5=H5,"N","Y")</f>
        <v>N</v>
      </c>
      <c r="J5" s="61">
        <v>10</v>
      </c>
      <c r="K5" s="61">
        <v>10</v>
      </c>
      <c r="L5" s="43">
        <v>20</v>
      </c>
      <c r="M5" s="16">
        <f t="shared" si="3"/>
        <v>0.5</v>
      </c>
      <c r="N5" s="16">
        <f t="shared" si="4"/>
        <v>0</v>
      </c>
      <c r="O5" s="1" t="str">
        <f t="shared" si="5"/>
        <v>T</v>
      </c>
      <c r="P5" s="17" t="str">
        <f>IF(Elect2008!O5=O5,"N","Y")</f>
        <v>N</v>
      </c>
      <c r="Q5" s="1">
        <f t="shared" si="6"/>
        <v>26</v>
      </c>
      <c r="R5" s="1">
        <f t="shared" si="6"/>
        <v>34</v>
      </c>
      <c r="S5" s="16">
        <f t="shared" si="7"/>
        <v>0.43333333333333335</v>
      </c>
      <c r="T5" s="16">
        <f t="shared" si="8"/>
        <v>0.1333333333333333</v>
      </c>
      <c r="U5" s="1" t="str">
        <f t="shared" si="9"/>
        <v>S</v>
      </c>
      <c r="V5" s="61" t="s">
        <v>19</v>
      </c>
      <c r="W5" s="1" t="str">
        <f t="shared" si="10"/>
        <v>D</v>
      </c>
      <c r="X5" s="1">
        <f>C5-Elect2008!C5</f>
        <v>-2</v>
      </c>
      <c r="Y5" s="1">
        <f>J5-Elect2008!J5</f>
        <v>0</v>
      </c>
      <c r="Z5" s="1">
        <f t="shared" ref="Z5:Z53" si="11">X5+Y5</f>
        <v>-2</v>
      </c>
    </row>
    <row r="6" spans="1:26" ht="16">
      <c r="A6" s="12" t="s">
        <v>29</v>
      </c>
      <c r="B6" s="13" t="s">
        <v>28</v>
      </c>
      <c r="C6" s="61">
        <v>20</v>
      </c>
      <c r="D6" s="61">
        <v>40</v>
      </c>
      <c r="E6" s="43">
        <v>60</v>
      </c>
      <c r="F6" s="16">
        <f t="shared" si="0"/>
        <v>0.33333333333333331</v>
      </c>
      <c r="G6" s="16">
        <f t="shared" si="1"/>
        <v>0.33333333333333343</v>
      </c>
      <c r="H6" s="1" t="str">
        <f t="shared" si="2"/>
        <v>R</v>
      </c>
      <c r="I6" s="17" t="str">
        <f>IF(Elect2008!H6=H6,"N","Y")</f>
        <v>N</v>
      </c>
      <c r="J6" s="61">
        <v>9</v>
      </c>
      <c r="K6" s="61">
        <v>21</v>
      </c>
      <c r="L6" s="43">
        <v>30</v>
      </c>
      <c r="M6" s="16">
        <f t="shared" si="3"/>
        <v>0.3</v>
      </c>
      <c r="N6" s="16">
        <f t="shared" si="4"/>
        <v>0.39999999999999997</v>
      </c>
      <c r="O6" s="1" t="str">
        <f t="shared" si="5"/>
        <v>R</v>
      </c>
      <c r="P6" s="17" t="str">
        <f>IF(Elect2008!O6=O6,"N","Y")</f>
        <v>N</v>
      </c>
      <c r="Q6" s="1">
        <f t="shared" si="6"/>
        <v>29</v>
      </c>
      <c r="R6" s="1">
        <f t="shared" si="6"/>
        <v>61</v>
      </c>
      <c r="S6" s="16">
        <f t="shared" si="7"/>
        <v>0.32222222222222224</v>
      </c>
      <c r="T6" s="16">
        <f t="shared" si="8"/>
        <v>0.35555555555555557</v>
      </c>
      <c r="U6" s="1" t="str">
        <f t="shared" si="9"/>
        <v>R</v>
      </c>
      <c r="V6" s="61" t="s">
        <v>19</v>
      </c>
      <c r="W6" s="1" t="str">
        <f t="shared" si="10"/>
        <v>U</v>
      </c>
      <c r="X6" s="1">
        <f>C6-Elect2008!C6</f>
        <v>-5</v>
      </c>
      <c r="Y6" s="1">
        <f>J6-Elect2008!J6</f>
        <v>-3</v>
      </c>
      <c r="Z6" s="1">
        <f t="shared" si="11"/>
        <v>-8</v>
      </c>
    </row>
    <row r="7" spans="1:26" ht="16">
      <c r="A7" s="12" t="s">
        <v>30</v>
      </c>
      <c r="B7" s="13" t="s">
        <v>26</v>
      </c>
      <c r="C7" s="61">
        <v>55</v>
      </c>
      <c r="D7" s="61">
        <v>45</v>
      </c>
      <c r="E7" s="43">
        <v>100</v>
      </c>
      <c r="F7" s="16">
        <f t="shared" si="0"/>
        <v>0.55000000000000004</v>
      </c>
      <c r="G7" s="16">
        <f t="shared" si="1"/>
        <v>0.10000000000000009</v>
      </c>
      <c r="H7" s="1" t="str">
        <f t="shared" si="2"/>
        <v>D</v>
      </c>
      <c r="I7" s="17" t="str">
        <f>IF(Elect2008!H7=H7,"N","Y")</f>
        <v>N</v>
      </c>
      <c r="J7" s="61">
        <v>22</v>
      </c>
      <c r="K7" s="61">
        <v>13</v>
      </c>
      <c r="L7" s="43">
        <v>35</v>
      </c>
      <c r="M7" s="16">
        <f t="shared" si="3"/>
        <v>0.62857142857142856</v>
      </c>
      <c r="N7" s="16">
        <f t="shared" si="4"/>
        <v>0.25714285714285712</v>
      </c>
      <c r="O7" s="1" t="str">
        <f t="shared" si="5"/>
        <v>D</v>
      </c>
      <c r="P7" s="17" t="str">
        <f>IF(Elect2008!O7=O7,"N","Y")</f>
        <v>N</v>
      </c>
      <c r="Q7" s="1">
        <f t="shared" si="6"/>
        <v>77</v>
      </c>
      <c r="R7" s="1">
        <f t="shared" si="6"/>
        <v>58</v>
      </c>
      <c r="S7" s="16">
        <f t="shared" si="7"/>
        <v>0.57037037037037042</v>
      </c>
      <c r="T7" s="16">
        <f t="shared" si="8"/>
        <v>0.14074074074074083</v>
      </c>
      <c r="U7" s="1" t="str">
        <f t="shared" si="9"/>
        <v>D</v>
      </c>
      <c r="V7" s="61" t="s">
        <v>18</v>
      </c>
      <c r="W7" s="1" t="str">
        <f t="shared" si="10"/>
        <v>U</v>
      </c>
      <c r="X7" s="1">
        <f>C7-Elect2008!C7</f>
        <v>-16</v>
      </c>
      <c r="Y7" s="1">
        <f>J7-Elect2008!J7</f>
        <v>-5</v>
      </c>
      <c r="Z7" s="1">
        <f t="shared" si="11"/>
        <v>-21</v>
      </c>
    </row>
    <row r="8" spans="1:26" ht="16">
      <c r="A8" s="12" t="s">
        <v>31</v>
      </c>
      <c r="B8" s="13" t="s">
        <v>28</v>
      </c>
      <c r="C8" s="62">
        <v>52</v>
      </c>
      <c r="D8" s="62">
        <v>28</v>
      </c>
      <c r="E8" s="45">
        <v>80</v>
      </c>
      <c r="F8" s="16">
        <f t="shared" si="0"/>
        <v>0.65</v>
      </c>
      <c r="G8" s="16">
        <f t="shared" si="1"/>
        <v>0.30000000000000004</v>
      </c>
      <c r="H8" s="1" t="str">
        <f t="shared" si="2"/>
        <v>D</v>
      </c>
      <c r="I8" s="17" t="str">
        <f>IF(Elect2008!H8=H8,"N","Y")</f>
        <v>N</v>
      </c>
      <c r="J8" s="62">
        <v>25</v>
      </c>
      <c r="K8" s="62">
        <v>15</v>
      </c>
      <c r="L8" s="45">
        <v>40</v>
      </c>
      <c r="M8" s="16">
        <f t="shared" si="3"/>
        <v>0.625</v>
      </c>
      <c r="N8" s="16">
        <f t="shared" si="4"/>
        <v>0.25</v>
      </c>
      <c r="O8" s="1" t="str">
        <f t="shared" si="5"/>
        <v>D</v>
      </c>
      <c r="P8" s="17" t="str">
        <f>IF(Elect2008!O8=O8,"N","Y")</f>
        <v>N</v>
      </c>
      <c r="Q8" s="1">
        <f t="shared" si="6"/>
        <v>77</v>
      </c>
      <c r="R8" s="1">
        <f t="shared" si="6"/>
        <v>43</v>
      </c>
      <c r="S8" s="16">
        <f t="shared" si="7"/>
        <v>0.64166666666666672</v>
      </c>
      <c r="T8" s="16">
        <f t="shared" si="8"/>
        <v>0.28333333333333344</v>
      </c>
      <c r="U8" s="1" t="str">
        <f t="shared" si="9"/>
        <v>D</v>
      </c>
      <c r="V8" s="62" t="s">
        <v>18</v>
      </c>
      <c r="W8" s="1" t="str">
        <f t="shared" si="10"/>
        <v>U</v>
      </c>
      <c r="X8" s="1">
        <f>C8-Elect2008!C8</f>
        <v>2</v>
      </c>
      <c r="Y8" s="1">
        <f>J8-Elect2008!J8</f>
        <v>-1</v>
      </c>
      <c r="Z8" s="1">
        <f t="shared" si="11"/>
        <v>1</v>
      </c>
    </row>
    <row r="9" spans="1:26" ht="16">
      <c r="A9" s="12" t="s">
        <v>32</v>
      </c>
      <c r="B9" s="13" t="s">
        <v>28</v>
      </c>
      <c r="C9" s="63">
        <v>32</v>
      </c>
      <c r="D9" s="63">
        <v>33</v>
      </c>
      <c r="E9" s="47">
        <v>65</v>
      </c>
      <c r="F9" s="16">
        <f t="shared" si="0"/>
        <v>0.49230769230769234</v>
      </c>
      <c r="G9" s="16">
        <f t="shared" si="1"/>
        <v>1.538461538461533E-2</v>
      </c>
      <c r="H9" s="1" t="str">
        <f t="shared" si="2"/>
        <v>R</v>
      </c>
      <c r="I9" s="17" t="str">
        <f>IF(Elect2008!H9=H9,"N","Y")</f>
        <v>Y</v>
      </c>
      <c r="J9" s="63">
        <v>20</v>
      </c>
      <c r="K9" s="63">
        <v>15</v>
      </c>
      <c r="L9" s="47">
        <v>35</v>
      </c>
      <c r="M9" s="16">
        <f t="shared" si="3"/>
        <v>0.5714285714285714</v>
      </c>
      <c r="N9" s="16">
        <f t="shared" si="4"/>
        <v>0.14285714285714279</v>
      </c>
      <c r="O9" s="1" t="str">
        <f t="shared" si="5"/>
        <v>D</v>
      </c>
      <c r="P9" s="17" t="str">
        <f>IF(Elect2008!O9=O9,"N","Y")</f>
        <v>N</v>
      </c>
      <c r="Q9" s="1">
        <f t="shared" si="6"/>
        <v>52</v>
      </c>
      <c r="R9" s="1">
        <f t="shared" si="6"/>
        <v>48</v>
      </c>
      <c r="S9" s="16">
        <f t="shared" si="7"/>
        <v>0.52</v>
      </c>
      <c r="T9" s="16">
        <f t="shared" si="8"/>
        <v>4.0000000000000036E-2</v>
      </c>
      <c r="U9" s="1" t="str">
        <f t="shared" si="9"/>
        <v>S</v>
      </c>
      <c r="V9" s="63" t="s">
        <v>18</v>
      </c>
      <c r="W9" s="1" t="str">
        <f t="shared" si="10"/>
        <v>D</v>
      </c>
      <c r="X9" s="1">
        <f>C9-Elect2008!C9</f>
        <v>-6</v>
      </c>
      <c r="Y9" s="1">
        <f>J9-Elect2008!J9</f>
        <v>0</v>
      </c>
      <c r="Z9" s="1">
        <f t="shared" si="11"/>
        <v>-6</v>
      </c>
    </row>
    <row r="10" spans="1:26" ht="16">
      <c r="A10" s="12" t="s">
        <v>33</v>
      </c>
      <c r="B10" s="13" t="s">
        <v>34</v>
      </c>
      <c r="C10" s="61">
        <v>100</v>
      </c>
      <c r="D10" s="61">
        <v>51</v>
      </c>
      <c r="E10" s="43">
        <v>151</v>
      </c>
      <c r="F10" s="16">
        <f t="shared" si="0"/>
        <v>0.66225165562913912</v>
      </c>
      <c r="G10" s="16">
        <f t="shared" si="1"/>
        <v>0.32450331125827825</v>
      </c>
      <c r="H10" s="1" t="str">
        <f t="shared" si="2"/>
        <v>D</v>
      </c>
      <c r="I10" s="17" t="str">
        <f>IF(Elect2008!H10=H10,"N","Y")</f>
        <v>N</v>
      </c>
      <c r="J10" s="61">
        <v>23</v>
      </c>
      <c r="K10" s="61">
        <v>13</v>
      </c>
      <c r="L10" s="43">
        <v>36</v>
      </c>
      <c r="M10" s="16">
        <f t="shared" si="3"/>
        <v>0.63888888888888884</v>
      </c>
      <c r="N10" s="16">
        <f t="shared" si="4"/>
        <v>0.27777777777777768</v>
      </c>
      <c r="O10" s="1" t="str">
        <f t="shared" si="5"/>
        <v>D</v>
      </c>
      <c r="P10" s="17" t="str">
        <f>IF(Elect2008!O10=O10,"N","Y")</f>
        <v>N</v>
      </c>
      <c r="Q10" s="1">
        <f t="shared" si="6"/>
        <v>123</v>
      </c>
      <c r="R10" s="1">
        <f t="shared" si="6"/>
        <v>64</v>
      </c>
      <c r="S10" s="16">
        <f t="shared" si="7"/>
        <v>0.65775401069518713</v>
      </c>
      <c r="T10" s="16">
        <f t="shared" si="8"/>
        <v>0.31550802139037426</v>
      </c>
      <c r="U10" s="1" t="str">
        <f t="shared" si="9"/>
        <v>D</v>
      </c>
      <c r="V10" s="61" t="s">
        <v>18</v>
      </c>
      <c r="W10" s="1" t="str">
        <f t="shared" si="10"/>
        <v>U</v>
      </c>
      <c r="X10" s="1">
        <f>C10-Elect2008!C10</f>
        <v>-14</v>
      </c>
      <c r="Y10" s="1">
        <f>J10-Elect2008!J10</f>
        <v>-1</v>
      </c>
      <c r="Z10" s="1">
        <f t="shared" si="11"/>
        <v>-15</v>
      </c>
    </row>
    <row r="11" spans="1:26" ht="16">
      <c r="A11" s="12" t="s">
        <v>35</v>
      </c>
      <c r="B11" s="13" t="s">
        <v>34</v>
      </c>
      <c r="C11" s="61">
        <v>26</v>
      </c>
      <c r="D11" s="61">
        <v>15</v>
      </c>
      <c r="E11" s="43">
        <v>41</v>
      </c>
      <c r="F11" s="16">
        <f t="shared" si="0"/>
        <v>0.63414634146341464</v>
      </c>
      <c r="G11" s="16">
        <f t="shared" si="1"/>
        <v>0.26829268292682928</v>
      </c>
      <c r="H11" s="1" t="str">
        <f t="shared" si="2"/>
        <v>D</v>
      </c>
      <c r="I11" s="17" t="str">
        <f>IF(Elect2008!H11=H11,"N","Y")</f>
        <v>N</v>
      </c>
      <c r="J11" s="61">
        <v>14</v>
      </c>
      <c r="K11" s="61">
        <v>7</v>
      </c>
      <c r="L11" s="43">
        <v>21</v>
      </c>
      <c r="M11" s="16">
        <f t="shared" si="3"/>
        <v>0.66666666666666663</v>
      </c>
      <c r="N11" s="16">
        <f t="shared" si="4"/>
        <v>0.33333333333333326</v>
      </c>
      <c r="O11" s="1" t="str">
        <f t="shared" si="5"/>
        <v>D</v>
      </c>
      <c r="P11" s="17" t="str">
        <f>IF(Elect2008!O11=O11,"N","Y")</f>
        <v>N</v>
      </c>
      <c r="Q11" s="1">
        <f t="shared" si="6"/>
        <v>40</v>
      </c>
      <c r="R11" s="1">
        <f t="shared" si="6"/>
        <v>22</v>
      </c>
      <c r="S11" s="16">
        <f t="shared" si="7"/>
        <v>0.64516129032258063</v>
      </c>
      <c r="T11" s="16">
        <f t="shared" si="8"/>
        <v>0.29032258064516125</v>
      </c>
      <c r="U11" s="1" t="str">
        <f t="shared" si="9"/>
        <v>D</v>
      </c>
      <c r="V11" s="61" t="s">
        <v>18</v>
      </c>
      <c r="W11" s="1" t="str">
        <f t="shared" si="10"/>
        <v>U</v>
      </c>
      <c r="X11" s="1">
        <f>C11-Elect2008!C11</f>
        <v>1</v>
      </c>
      <c r="Y11" s="1">
        <f>J11-Elect2008!J11</f>
        <v>-2</v>
      </c>
      <c r="Z11" s="1">
        <f t="shared" si="11"/>
        <v>-1</v>
      </c>
    </row>
    <row r="12" spans="1:26" ht="16">
      <c r="A12" s="12" t="s">
        <v>36</v>
      </c>
      <c r="B12" s="13" t="s">
        <v>26</v>
      </c>
      <c r="C12" s="61">
        <v>39</v>
      </c>
      <c r="D12" s="61">
        <v>81</v>
      </c>
      <c r="E12" s="43">
        <v>120</v>
      </c>
      <c r="F12" s="16">
        <f t="shared" si="0"/>
        <v>0.32500000000000001</v>
      </c>
      <c r="G12" s="16">
        <f t="shared" si="1"/>
        <v>0.35000000000000003</v>
      </c>
      <c r="H12" s="1" t="str">
        <f t="shared" si="2"/>
        <v>R</v>
      </c>
      <c r="I12" s="17" t="str">
        <f>IF(Elect2008!H12=H12,"N","Y")</f>
        <v>N</v>
      </c>
      <c r="J12" s="61">
        <v>12</v>
      </c>
      <c r="K12" s="61">
        <v>28</v>
      </c>
      <c r="L12" s="43">
        <v>40</v>
      </c>
      <c r="M12" s="16">
        <f t="shared" si="3"/>
        <v>0.3</v>
      </c>
      <c r="N12" s="16">
        <f t="shared" si="4"/>
        <v>0.39999999999999997</v>
      </c>
      <c r="O12" s="1" t="str">
        <f t="shared" si="5"/>
        <v>R</v>
      </c>
      <c r="P12" s="17" t="str">
        <f>IF(Elect2008!O12=O12,"N","Y")</f>
        <v>N</v>
      </c>
      <c r="Q12" s="1">
        <f t="shared" si="6"/>
        <v>51</v>
      </c>
      <c r="R12" s="1">
        <f t="shared" si="6"/>
        <v>109</v>
      </c>
      <c r="S12" s="16">
        <f t="shared" si="7"/>
        <v>0.31874999999999998</v>
      </c>
      <c r="T12" s="16">
        <f t="shared" si="8"/>
        <v>0.36250000000000004</v>
      </c>
      <c r="U12" s="1" t="str">
        <f t="shared" si="9"/>
        <v>R</v>
      </c>
      <c r="V12" s="61" t="s">
        <v>19</v>
      </c>
      <c r="W12" s="1" t="str">
        <f t="shared" si="10"/>
        <v>U</v>
      </c>
      <c r="X12" s="1">
        <f>C12-Elect2008!C12</f>
        <v>-5</v>
      </c>
      <c r="Y12" s="1">
        <f>J12-Elect2008!J12</f>
        <v>-2</v>
      </c>
      <c r="Z12" s="1">
        <f t="shared" si="11"/>
        <v>-7</v>
      </c>
    </row>
    <row r="13" spans="1:26" ht="16">
      <c r="A13" s="12" t="s">
        <v>37</v>
      </c>
      <c r="B13" s="13" t="s">
        <v>26</v>
      </c>
      <c r="C13" s="62">
        <v>71</v>
      </c>
      <c r="D13" s="62">
        <v>108</v>
      </c>
      <c r="E13" s="45">
        <v>180</v>
      </c>
      <c r="F13" s="16">
        <f t="shared" si="0"/>
        <v>0.39444444444444443</v>
      </c>
      <c r="G13" s="16">
        <f t="shared" si="1"/>
        <v>0.21111111111111119</v>
      </c>
      <c r="H13" s="1" t="str">
        <f t="shared" si="2"/>
        <v>R</v>
      </c>
      <c r="I13" s="17" t="str">
        <f>IF(Elect2008!H13=H13,"N","Y")</f>
        <v>N</v>
      </c>
      <c r="J13" s="62">
        <v>21</v>
      </c>
      <c r="K13" s="62">
        <v>35</v>
      </c>
      <c r="L13" s="45">
        <v>56</v>
      </c>
      <c r="M13" s="16">
        <f t="shared" si="3"/>
        <v>0.375</v>
      </c>
      <c r="N13" s="16">
        <f t="shared" si="4"/>
        <v>0.25</v>
      </c>
      <c r="O13" s="1" t="str">
        <f t="shared" si="5"/>
        <v>R</v>
      </c>
      <c r="P13" s="17" t="str">
        <f>IF(Elect2008!O13=O13,"N","Y")</f>
        <v>N</v>
      </c>
      <c r="Q13" s="1">
        <f t="shared" si="6"/>
        <v>92</v>
      </c>
      <c r="R13" s="1">
        <f t="shared" si="6"/>
        <v>143</v>
      </c>
      <c r="S13" s="16">
        <f t="shared" si="7"/>
        <v>0.38983050847457629</v>
      </c>
      <c r="T13" s="16">
        <f t="shared" si="8"/>
        <v>0.22033898305084737</v>
      </c>
      <c r="U13" s="1" t="str">
        <f t="shared" si="9"/>
        <v>R</v>
      </c>
      <c r="V13" s="62" t="s">
        <v>19</v>
      </c>
      <c r="W13" s="1" t="str">
        <f t="shared" si="10"/>
        <v>U</v>
      </c>
      <c r="X13" s="1">
        <f>C13-Elect2008!C13</f>
        <v>-3</v>
      </c>
      <c r="Y13" s="1">
        <f>J13-Elect2008!J13</f>
        <v>-1</v>
      </c>
      <c r="Z13" s="1">
        <f t="shared" si="11"/>
        <v>-4</v>
      </c>
    </row>
    <row r="14" spans="1:26" ht="16">
      <c r="A14" s="12" t="s">
        <v>38</v>
      </c>
      <c r="B14" s="13" t="s">
        <v>28</v>
      </c>
      <c r="C14" s="63">
        <v>42</v>
      </c>
      <c r="D14" s="63">
        <v>8</v>
      </c>
      <c r="E14" s="47">
        <v>51</v>
      </c>
      <c r="F14" s="16">
        <f t="shared" si="0"/>
        <v>0.82352941176470584</v>
      </c>
      <c r="G14" s="16">
        <f t="shared" si="1"/>
        <v>0.64705882352941169</v>
      </c>
      <c r="H14" s="1" t="str">
        <f t="shared" si="2"/>
        <v>D</v>
      </c>
      <c r="I14" s="17" t="str">
        <f>IF(Elect2008!H14=H14,"N","Y")</f>
        <v>N</v>
      </c>
      <c r="J14" s="63">
        <v>24</v>
      </c>
      <c r="K14" s="63">
        <v>1</v>
      </c>
      <c r="L14" s="47">
        <v>25</v>
      </c>
      <c r="M14" s="16">
        <f t="shared" si="3"/>
        <v>0.96</v>
      </c>
      <c r="N14" s="16">
        <f t="shared" si="4"/>
        <v>0.91999999999999993</v>
      </c>
      <c r="O14" s="1" t="str">
        <f t="shared" si="5"/>
        <v>D</v>
      </c>
      <c r="P14" s="17" t="str">
        <f>IF(Elect2008!O14=O14,"N","Y")</f>
        <v>N</v>
      </c>
      <c r="Q14" s="1">
        <f t="shared" si="6"/>
        <v>66</v>
      </c>
      <c r="R14" s="1">
        <f t="shared" si="6"/>
        <v>9</v>
      </c>
      <c r="S14" s="16">
        <f t="shared" si="7"/>
        <v>0.86842105263157898</v>
      </c>
      <c r="T14" s="16">
        <f t="shared" si="8"/>
        <v>0.73684210526315796</v>
      </c>
      <c r="U14" s="1" t="str">
        <f t="shared" si="9"/>
        <v>D</v>
      </c>
      <c r="V14" s="63" t="s">
        <v>18</v>
      </c>
      <c r="W14" s="1" t="str">
        <f t="shared" si="10"/>
        <v>U</v>
      </c>
      <c r="X14" s="1">
        <f>C14-Elect2008!C14</f>
        <v>-3</v>
      </c>
      <c r="Y14" s="1">
        <f>J14-Elect2008!J14</f>
        <v>1</v>
      </c>
      <c r="Z14" s="1">
        <f t="shared" si="11"/>
        <v>-2</v>
      </c>
    </row>
    <row r="15" spans="1:26" ht="16">
      <c r="A15" s="12" t="s">
        <v>39</v>
      </c>
      <c r="B15" s="13" t="s">
        <v>28</v>
      </c>
      <c r="C15" s="61">
        <v>13</v>
      </c>
      <c r="D15" s="61">
        <v>57</v>
      </c>
      <c r="E15" s="43">
        <v>70</v>
      </c>
      <c r="F15" s="16">
        <f t="shared" si="0"/>
        <v>0.18571428571428572</v>
      </c>
      <c r="G15" s="16">
        <f t="shared" si="1"/>
        <v>0.62857142857142856</v>
      </c>
      <c r="H15" s="1" t="str">
        <f t="shared" si="2"/>
        <v>R</v>
      </c>
      <c r="I15" s="17" t="str">
        <f>IF(Elect2008!H15=H15,"N","Y")</f>
        <v>N</v>
      </c>
      <c r="J15" s="61">
        <v>7</v>
      </c>
      <c r="K15" s="61">
        <v>28</v>
      </c>
      <c r="L15" s="43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IF(Elect2008!O15=O15,"N","Y")</f>
        <v>N</v>
      </c>
      <c r="Q15" s="1">
        <f t="shared" si="6"/>
        <v>20</v>
      </c>
      <c r="R15" s="1">
        <f t="shared" si="6"/>
        <v>85</v>
      </c>
      <c r="S15" s="16">
        <f t="shared" si="7"/>
        <v>0.19047619047619047</v>
      </c>
      <c r="T15" s="16">
        <f t="shared" si="8"/>
        <v>0.61904761904761907</v>
      </c>
      <c r="U15" s="1" t="str">
        <f t="shared" si="9"/>
        <v>R</v>
      </c>
      <c r="V15" s="61" t="s">
        <v>19</v>
      </c>
      <c r="W15" s="1" t="str">
        <f t="shared" si="10"/>
        <v>U</v>
      </c>
      <c r="X15" s="1">
        <f>C15-Elect2008!C15</f>
        <v>-5</v>
      </c>
      <c r="Y15" s="1">
        <f>J15-Elect2008!J15</f>
        <v>0</v>
      </c>
      <c r="Z15" s="1">
        <f t="shared" si="11"/>
        <v>-5</v>
      </c>
    </row>
    <row r="16" spans="1:26" ht="16">
      <c r="A16" s="12" t="s">
        <v>40</v>
      </c>
      <c r="B16" s="13" t="s">
        <v>41</v>
      </c>
      <c r="C16" s="61">
        <v>64</v>
      </c>
      <c r="D16" s="61">
        <v>54</v>
      </c>
      <c r="E16" s="43">
        <v>118</v>
      </c>
      <c r="F16" s="16">
        <f t="shared" si="0"/>
        <v>0.5423728813559322</v>
      </c>
      <c r="G16" s="16">
        <f t="shared" si="1"/>
        <v>8.4745762711864403E-2</v>
      </c>
      <c r="H16" s="1" t="str">
        <f t="shared" si="2"/>
        <v>D</v>
      </c>
      <c r="I16" s="17" t="str">
        <f>IF(Elect2008!H16=H16,"N","Y")</f>
        <v>N</v>
      </c>
      <c r="J16" s="61">
        <v>35</v>
      </c>
      <c r="K16" s="61">
        <v>24</v>
      </c>
      <c r="L16" s="43">
        <v>59</v>
      </c>
      <c r="M16" s="16">
        <f t="shared" si="3"/>
        <v>0.59322033898305082</v>
      </c>
      <c r="N16" s="16">
        <f t="shared" si="4"/>
        <v>0.18644067796610164</v>
      </c>
      <c r="O16" s="1" t="str">
        <f t="shared" si="5"/>
        <v>D</v>
      </c>
      <c r="P16" s="17" t="str">
        <f>IF(Elect2008!O16=O16,"N","Y")</f>
        <v>N</v>
      </c>
      <c r="Q16" s="1">
        <f t="shared" si="6"/>
        <v>99</v>
      </c>
      <c r="R16" s="1">
        <f t="shared" si="6"/>
        <v>78</v>
      </c>
      <c r="S16" s="16">
        <f t="shared" si="7"/>
        <v>0.55932203389830504</v>
      </c>
      <c r="T16" s="16">
        <f t="shared" si="8"/>
        <v>0.11864406779661008</v>
      </c>
      <c r="U16" s="1" t="str">
        <f t="shared" si="9"/>
        <v>D</v>
      </c>
      <c r="V16" s="61" t="s">
        <v>18</v>
      </c>
      <c r="W16" s="1" t="str">
        <f t="shared" si="10"/>
        <v>U</v>
      </c>
      <c r="X16" s="1">
        <f>C16-Elect2008!C16</f>
        <v>-6</v>
      </c>
      <c r="Y16" s="1">
        <f>J16-Elect2008!J16</f>
        <v>-2</v>
      </c>
      <c r="Z16" s="1">
        <f t="shared" si="11"/>
        <v>-8</v>
      </c>
    </row>
    <row r="17" spans="1:26" ht="16">
      <c r="A17" s="12" t="s">
        <v>42</v>
      </c>
      <c r="B17" s="13" t="s">
        <v>41</v>
      </c>
      <c r="C17" s="61">
        <v>40</v>
      </c>
      <c r="D17" s="61">
        <v>59</v>
      </c>
      <c r="E17" s="43">
        <v>100</v>
      </c>
      <c r="F17" s="16">
        <f t="shared" si="0"/>
        <v>0.4</v>
      </c>
      <c r="G17" s="16">
        <f t="shared" si="1"/>
        <v>0.19999999999999996</v>
      </c>
      <c r="H17" s="1" t="str">
        <f t="shared" si="2"/>
        <v>R</v>
      </c>
      <c r="I17" s="17" t="str">
        <f>IF(Elect2008!H17=H17,"N","Y")</f>
        <v>Y</v>
      </c>
      <c r="J17" s="61">
        <v>13</v>
      </c>
      <c r="K17" s="61">
        <v>37</v>
      </c>
      <c r="L17" s="43">
        <v>50</v>
      </c>
      <c r="M17" s="16">
        <f t="shared" si="3"/>
        <v>0.26</v>
      </c>
      <c r="N17" s="16">
        <f t="shared" si="4"/>
        <v>0.48</v>
      </c>
      <c r="O17" s="1" t="str">
        <f t="shared" si="5"/>
        <v>R</v>
      </c>
      <c r="P17" s="17" t="str">
        <f>IF(Elect2008!O17=O17,"N","Y")</f>
        <v>N</v>
      </c>
      <c r="Q17" s="1">
        <f t="shared" si="6"/>
        <v>53</v>
      </c>
      <c r="R17" s="1">
        <f t="shared" si="6"/>
        <v>96</v>
      </c>
      <c r="S17" s="16">
        <f t="shared" si="7"/>
        <v>0.35333333333333333</v>
      </c>
      <c r="T17" s="16">
        <f t="shared" si="8"/>
        <v>0.29333333333333339</v>
      </c>
      <c r="U17" s="1" t="str">
        <f t="shared" si="9"/>
        <v>R</v>
      </c>
      <c r="V17" s="61" t="s">
        <v>19</v>
      </c>
      <c r="W17" s="1" t="str">
        <f t="shared" si="10"/>
        <v>U</v>
      </c>
      <c r="X17" s="1">
        <f>C17-Elect2008!C17</f>
        <v>-12</v>
      </c>
      <c r="Y17" s="1">
        <f>J17-Elect2008!J17</f>
        <v>-4</v>
      </c>
      <c r="Z17" s="1">
        <f t="shared" si="11"/>
        <v>-16</v>
      </c>
    </row>
    <row r="18" spans="1:26" ht="16">
      <c r="A18" s="12" t="s">
        <v>43</v>
      </c>
      <c r="B18" s="13" t="s">
        <v>41</v>
      </c>
      <c r="C18" s="62">
        <v>40</v>
      </c>
      <c r="D18" s="62">
        <v>60</v>
      </c>
      <c r="E18" s="45">
        <v>100</v>
      </c>
      <c r="F18" s="16">
        <f t="shared" si="0"/>
        <v>0.4</v>
      </c>
      <c r="G18" s="16">
        <f t="shared" si="1"/>
        <v>0.19999999999999996</v>
      </c>
      <c r="H18" s="1" t="str">
        <f t="shared" si="2"/>
        <v>R</v>
      </c>
      <c r="I18" s="17" t="str">
        <f>IF(Elect2008!H18=H18,"N","Y")</f>
        <v>Y</v>
      </c>
      <c r="J18" s="62">
        <v>26</v>
      </c>
      <c r="K18" s="62">
        <v>24</v>
      </c>
      <c r="L18" s="45">
        <v>50</v>
      </c>
      <c r="M18" s="16">
        <f t="shared" si="3"/>
        <v>0.52</v>
      </c>
      <c r="N18" s="16">
        <f t="shared" si="4"/>
        <v>4.0000000000000036E-2</v>
      </c>
      <c r="O18" s="1" t="str">
        <f t="shared" si="5"/>
        <v>D</v>
      </c>
      <c r="P18" s="17" t="str">
        <f>IF(Elect2008!O18=O18,"N","Y")</f>
        <v>N</v>
      </c>
      <c r="Q18" s="1">
        <f t="shared" si="6"/>
        <v>66</v>
      </c>
      <c r="R18" s="1">
        <f t="shared" si="6"/>
        <v>84</v>
      </c>
      <c r="S18" s="16">
        <f t="shared" si="7"/>
        <v>0.44</v>
      </c>
      <c r="T18" s="16">
        <f t="shared" si="8"/>
        <v>0.12000000000000005</v>
      </c>
      <c r="U18" s="1" t="str">
        <f t="shared" si="9"/>
        <v>S</v>
      </c>
      <c r="V18" s="62" t="s">
        <v>19</v>
      </c>
      <c r="W18" s="1" t="str">
        <f t="shared" si="10"/>
        <v>D</v>
      </c>
      <c r="X18" s="1">
        <f>C18-Elect2008!C18</f>
        <v>-17</v>
      </c>
      <c r="Y18" s="1">
        <f>J18-Elect2008!J18</f>
        <v>-5</v>
      </c>
      <c r="Z18" s="1">
        <f t="shared" si="11"/>
        <v>-22</v>
      </c>
    </row>
    <row r="19" spans="1:26" ht="16">
      <c r="A19" s="12" t="s">
        <v>44</v>
      </c>
      <c r="B19" s="13" t="s">
        <v>41</v>
      </c>
      <c r="C19" s="63">
        <v>33</v>
      </c>
      <c r="D19" s="63">
        <v>92</v>
      </c>
      <c r="E19" s="47">
        <v>125</v>
      </c>
      <c r="F19" s="16">
        <f t="shared" si="0"/>
        <v>0.26400000000000001</v>
      </c>
      <c r="G19" s="16">
        <f t="shared" si="1"/>
        <v>0.47199999999999998</v>
      </c>
      <c r="H19" s="1" t="str">
        <f t="shared" si="2"/>
        <v>R</v>
      </c>
      <c r="I19" s="17" t="str">
        <f>IF(Elect2008!H19=H19,"N","Y")</f>
        <v>N</v>
      </c>
      <c r="J19" s="63">
        <v>9</v>
      </c>
      <c r="K19" s="63">
        <v>31</v>
      </c>
      <c r="L19" s="47">
        <v>40</v>
      </c>
      <c r="M19" s="16">
        <f t="shared" si="3"/>
        <v>0.22500000000000001</v>
      </c>
      <c r="N19" s="16">
        <f t="shared" si="4"/>
        <v>0.55000000000000004</v>
      </c>
      <c r="O19" s="1" t="str">
        <f t="shared" si="5"/>
        <v>R</v>
      </c>
      <c r="P19" s="17" t="str">
        <f>IF(Elect2008!O19=O19,"N","Y")</f>
        <v>N</v>
      </c>
      <c r="Q19" s="1">
        <f t="shared" si="6"/>
        <v>42</v>
      </c>
      <c r="R19" s="1">
        <f t="shared" si="6"/>
        <v>123</v>
      </c>
      <c r="S19" s="16">
        <f t="shared" si="7"/>
        <v>0.25454545454545452</v>
      </c>
      <c r="T19" s="16">
        <f t="shared" si="8"/>
        <v>0.49090909090909096</v>
      </c>
      <c r="U19" s="1" t="str">
        <f t="shared" si="9"/>
        <v>R</v>
      </c>
      <c r="V19" s="63" t="s">
        <v>19</v>
      </c>
      <c r="W19" s="1" t="str">
        <f t="shared" si="10"/>
        <v>U</v>
      </c>
      <c r="X19" s="1">
        <f>C19-Elect2008!C19</f>
        <v>-15</v>
      </c>
      <c r="Y19" s="1">
        <f>J19-Elect2008!J19</f>
        <v>0</v>
      </c>
      <c r="Z19" s="1">
        <f t="shared" si="11"/>
        <v>-15</v>
      </c>
    </row>
    <row r="20" spans="1:26" ht="16">
      <c r="A20" s="12" t="s">
        <v>45</v>
      </c>
      <c r="B20" s="13" t="s">
        <v>26</v>
      </c>
      <c r="C20" s="61">
        <v>58</v>
      </c>
      <c r="D20" s="61">
        <v>42</v>
      </c>
      <c r="E20" s="43">
        <v>100</v>
      </c>
      <c r="F20" s="16">
        <f t="shared" si="0"/>
        <v>0.57999999999999996</v>
      </c>
      <c r="G20" s="16">
        <f t="shared" si="1"/>
        <v>0.15999999999999992</v>
      </c>
      <c r="H20" s="1" t="str">
        <f t="shared" si="2"/>
        <v>D</v>
      </c>
      <c r="I20" s="17" t="str">
        <f>IF(Elect2008!H20=H20,"N","Y")</f>
        <v>N</v>
      </c>
      <c r="J20" s="61">
        <v>15</v>
      </c>
      <c r="K20" s="61">
        <v>22</v>
      </c>
      <c r="L20" s="43">
        <v>38</v>
      </c>
      <c r="M20" s="16">
        <f t="shared" si="3"/>
        <v>0.39473684210526316</v>
      </c>
      <c r="N20" s="16">
        <f t="shared" si="4"/>
        <v>0.21052631578947367</v>
      </c>
      <c r="O20" s="1" t="str">
        <f t="shared" si="5"/>
        <v>R</v>
      </c>
      <c r="P20" s="17" t="str">
        <f>IF(Elect2008!O20=O20,"N","Y")</f>
        <v>N</v>
      </c>
      <c r="Q20" s="1">
        <f t="shared" si="6"/>
        <v>73</v>
      </c>
      <c r="R20" s="1">
        <f t="shared" si="6"/>
        <v>64</v>
      </c>
      <c r="S20" s="16">
        <f t="shared" si="7"/>
        <v>0.52898550724637683</v>
      </c>
      <c r="T20" s="16">
        <f t="shared" si="8"/>
        <v>5.7971014492753659E-2</v>
      </c>
      <c r="U20" s="1" t="str">
        <f t="shared" si="9"/>
        <v>S</v>
      </c>
      <c r="V20" s="61" t="s">
        <v>18</v>
      </c>
      <c r="W20" s="1" t="str">
        <f t="shared" si="10"/>
        <v>D</v>
      </c>
      <c r="X20" s="1">
        <f>C20-Elect2008!C20</f>
        <v>-7</v>
      </c>
      <c r="Y20" s="1">
        <f>J20-Elect2008!J20</f>
        <v>0</v>
      </c>
      <c r="Z20" s="1">
        <f t="shared" si="11"/>
        <v>-7</v>
      </c>
    </row>
    <row r="21" spans="1:26" ht="16">
      <c r="A21" s="12" t="s">
        <v>46</v>
      </c>
      <c r="B21" s="13" t="s">
        <v>26</v>
      </c>
      <c r="C21" s="61">
        <v>51</v>
      </c>
      <c r="D21" s="61">
        <v>50</v>
      </c>
      <c r="E21" s="43">
        <v>105</v>
      </c>
      <c r="F21" s="16">
        <f t="shared" si="0"/>
        <v>0.48571428571428571</v>
      </c>
      <c r="G21" s="16">
        <f t="shared" si="1"/>
        <v>2.8571428571428525E-2</v>
      </c>
      <c r="H21" s="1" t="s">
        <v>18</v>
      </c>
      <c r="I21" s="17" t="str">
        <f>IF(Elect2008!H21=H21,"N","Y")</f>
        <v>N</v>
      </c>
      <c r="J21" s="61">
        <v>23</v>
      </c>
      <c r="K21" s="61">
        <v>16</v>
      </c>
      <c r="L21" s="43">
        <v>39</v>
      </c>
      <c r="M21" s="16">
        <f t="shared" si="3"/>
        <v>0.58974358974358976</v>
      </c>
      <c r="N21" s="16">
        <f t="shared" si="4"/>
        <v>0.17948717948717952</v>
      </c>
      <c r="O21" s="1" t="str">
        <f t="shared" si="5"/>
        <v>D</v>
      </c>
      <c r="P21" s="17" t="str">
        <f>IF(Elect2008!O21=O21,"N","Y")</f>
        <v>N</v>
      </c>
      <c r="Q21" s="1">
        <f t="shared" si="6"/>
        <v>74</v>
      </c>
      <c r="R21" s="1">
        <f t="shared" si="6"/>
        <v>66</v>
      </c>
      <c r="S21" s="16">
        <f t="shared" si="7"/>
        <v>0.51388888888888884</v>
      </c>
      <c r="T21" s="16">
        <f t="shared" si="8"/>
        <v>2.7777777777777679E-2</v>
      </c>
      <c r="U21" s="1" t="str">
        <f t="shared" si="9"/>
        <v>D</v>
      </c>
      <c r="V21" s="61" t="s">
        <v>19</v>
      </c>
      <c r="W21" s="1" t="str">
        <f t="shared" si="10"/>
        <v>D</v>
      </c>
      <c r="X21" s="1">
        <f>C21-Elect2008!C21</f>
        <v>-1</v>
      </c>
      <c r="Y21" s="1">
        <f>J21-Elect2008!J21</f>
        <v>1</v>
      </c>
      <c r="Z21" s="1">
        <f t="shared" si="11"/>
        <v>0</v>
      </c>
    </row>
    <row r="22" spans="1:26" ht="16">
      <c r="A22" s="12" t="s">
        <v>47</v>
      </c>
      <c r="B22" s="13" t="s">
        <v>34</v>
      </c>
      <c r="C22" s="61">
        <v>73</v>
      </c>
      <c r="D22" s="61">
        <v>77</v>
      </c>
      <c r="E22" s="43">
        <v>151</v>
      </c>
      <c r="F22" s="16">
        <f t="shared" si="0"/>
        <v>0.48344370860927155</v>
      </c>
      <c r="G22" s="16">
        <f t="shared" si="1"/>
        <v>3.3112582781456901E-2</v>
      </c>
      <c r="H22" s="1" t="str">
        <f t="shared" si="2"/>
        <v>R</v>
      </c>
      <c r="I22" s="17" t="str">
        <f>IF(Elect2008!H22=H22,"N","Y")</f>
        <v>Y</v>
      </c>
      <c r="J22" s="61">
        <v>14</v>
      </c>
      <c r="K22" s="61">
        <v>20</v>
      </c>
      <c r="L22" s="43">
        <v>35</v>
      </c>
      <c r="M22" s="16">
        <f t="shared" si="3"/>
        <v>0.4</v>
      </c>
      <c r="N22" s="16">
        <f t="shared" si="4"/>
        <v>0.19999999999999996</v>
      </c>
      <c r="O22" s="1" t="str">
        <f t="shared" si="5"/>
        <v>R</v>
      </c>
      <c r="P22" s="17" t="str">
        <f>IF(Elect2008!O22=O22,"N","Y")</f>
        <v>Y</v>
      </c>
      <c r="Q22" s="1">
        <f t="shared" si="6"/>
        <v>87</v>
      </c>
      <c r="R22" s="1">
        <f t="shared" si="6"/>
        <v>97</v>
      </c>
      <c r="S22" s="16">
        <f t="shared" si="7"/>
        <v>0.46774193548387094</v>
      </c>
      <c r="T22" s="16">
        <f t="shared" si="8"/>
        <v>6.4516129032258063E-2</v>
      </c>
      <c r="U22" s="1" t="str">
        <f t="shared" si="9"/>
        <v>R</v>
      </c>
      <c r="V22" s="61" t="s">
        <v>19</v>
      </c>
      <c r="W22" s="1" t="str">
        <f t="shared" si="10"/>
        <v>U</v>
      </c>
      <c r="X22" s="1">
        <f>C22-Elect2008!C22</f>
        <v>-23</v>
      </c>
      <c r="Y22" s="1">
        <f>J22-Elect2008!J22</f>
        <v>-6</v>
      </c>
      <c r="Z22" s="1">
        <f t="shared" si="11"/>
        <v>-29</v>
      </c>
    </row>
    <row r="23" spans="1:26" ht="16">
      <c r="A23" s="12" t="s">
        <v>48</v>
      </c>
      <c r="B23" s="13" t="s">
        <v>26</v>
      </c>
      <c r="C23" s="62">
        <v>98</v>
      </c>
      <c r="D23" s="62">
        <v>43</v>
      </c>
      <c r="E23" s="45">
        <v>141</v>
      </c>
      <c r="F23" s="16">
        <f t="shared" si="0"/>
        <v>0.69503546099290781</v>
      </c>
      <c r="G23" s="16">
        <f t="shared" si="1"/>
        <v>0.39007092198581561</v>
      </c>
      <c r="H23" s="1" t="str">
        <f t="shared" si="2"/>
        <v>D</v>
      </c>
      <c r="I23" s="17" t="str">
        <f>IF(Elect2008!H23=H23,"N","Y")</f>
        <v>N</v>
      </c>
      <c r="J23" s="62">
        <v>35</v>
      </c>
      <c r="K23" s="62">
        <v>12</v>
      </c>
      <c r="L23" s="45">
        <v>47</v>
      </c>
      <c r="M23" s="16">
        <f t="shared" si="3"/>
        <v>0.74468085106382975</v>
      </c>
      <c r="N23" s="16">
        <f t="shared" si="4"/>
        <v>0.4893617021276595</v>
      </c>
      <c r="O23" s="1" t="str">
        <f t="shared" si="5"/>
        <v>D</v>
      </c>
      <c r="P23" s="17" t="str">
        <f>IF(Elect2008!O23=O23,"N","Y")</f>
        <v>N</v>
      </c>
      <c r="Q23" s="1">
        <f t="shared" si="6"/>
        <v>133</v>
      </c>
      <c r="R23" s="1">
        <f t="shared" si="6"/>
        <v>55</v>
      </c>
      <c r="S23" s="16">
        <f t="shared" si="7"/>
        <v>0.70744680851063835</v>
      </c>
      <c r="T23" s="16">
        <f t="shared" si="8"/>
        <v>0.41489361702127669</v>
      </c>
      <c r="U23" s="1" t="str">
        <f t="shared" si="9"/>
        <v>D</v>
      </c>
      <c r="V23" s="62" t="s">
        <v>18</v>
      </c>
      <c r="W23" s="1" t="str">
        <f t="shared" si="10"/>
        <v>U</v>
      </c>
      <c r="X23" s="1">
        <f>C23-Elect2008!C23</f>
        <v>-6</v>
      </c>
      <c r="Y23" s="1">
        <f>J23-Elect2008!J23</f>
        <v>2</v>
      </c>
      <c r="Z23" s="1">
        <f t="shared" si="11"/>
        <v>-4</v>
      </c>
    </row>
    <row r="24" spans="1:26" ht="16">
      <c r="A24" s="12" t="s">
        <v>49</v>
      </c>
      <c r="B24" s="13" t="s">
        <v>34</v>
      </c>
      <c r="C24" s="63">
        <v>128</v>
      </c>
      <c r="D24" s="63">
        <v>29</v>
      </c>
      <c r="E24" s="47">
        <v>160</v>
      </c>
      <c r="F24" s="16">
        <f t="shared" si="0"/>
        <v>0.8</v>
      </c>
      <c r="G24" s="16">
        <f t="shared" si="1"/>
        <v>0.60000000000000009</v>
      </c>
      <c r="H24" s="1" t="str">
        <f t="shared" si="2"/>
        <v>D</v>
      </c>
      <c r="I24" s="17" t="str">
        <f>IF(Elect2008!H24=H24,"N","Y")</f>
        <v>N</v>
      </c>
      <c r="J24" s="63">
        <v>36</v>
      </c>
      <c r="K24" s="63">
        <v>4</v>
      </c>
      <c r="L24" s="47">
        <v>40</v>
      </c>
      <c r="M24" s="16">
        <f t="shared" si="3"/>
        <v>0.9</v>
      </c>
      <c r="N24" s="16">
        <f t="shared" si="4"/>
        <v>0.8</v>
      </c>
      <c r="O24" s="1" t="str">
        <f t="shared" si="5"/>
        <v>D</v>
      </c>
      <c r="P24" s="17" t="str">
        <f>IF(Elect2008!O24=O24,"N","Y")</f>
        <v>N</v>
      </c>
      <c r="Q24" s="1">
        <f t="shared" si="6"/>
        <v>164</v>
      </c>
      <c r="R24" s="1">
        <f t="shared" si="6"/>
        <v>33</v>
      </c>
      <c r="S24" s="16">
        <f t="shared" si="7"/>
        <v>0.82</v>
      </c>
      <c r="T24" s="16">
        <f t="shared" si="8"/>
        <v>0.6399999999999999</v>
      </c>
      <c r="U24" s="1" t="str">
        <f t="shared" si="9"/>
        <v>D</v>
      </c>
      <c r="V24" s="63" t="s">
        <v>18</v>
      </c>
      <c r="W24" s="1" t="str">
        <f t="shared" si="10"/>
        <v>U</v>
      </c>
      <c r="X24" s="1">
        <f>C24-Elect2008!C24</f>
        <v>-15</v>
      </c>
      <c r="Y24" s="1">
        <f>J24-Elect2008!J24</f>
        <v>1</v>
      </c>
      <c r="Z24" s="1">
        <f t="shared" si="11"/>
        <v>-14</v>
      </c>
    </row>
    <row r="25" spans="1:26" ht="16">
      <c r="A25" s="12" t="s">
        <v>50</v>
      </c>
      <c r="B25" s="13" t="s">
        <v>41</v>
      </c>
      <c r="C25" s="61">
        <v>47</v>
      </c>
      <c r="D25" s="61">
        <v>63</v>
      </c>
      <c r="E25" s="43">
        <v>110</v>
      </c>
      <c r="F25" s="16">
        <f t="shared" si="0"/>
        <v>0.42727272727272725</v>
      </c>
      <c r="G25" s="16">
        <f t="shared" si="1"/>
        <v>0.1454545454545455</v>
      </c>
      <c r="H25" s="1" t="str">
        <f t="shared" si="2"/>
        <v>R</v>
      </c>
      <c r="I25" s="17" t="str">
        <f>IF(Elect2008!H25=H25,"N","Y")</f>
        <v>Y</v>
      </c>
      <c r="J25" s="61">
        <v>12</v>
      </c>
      <c r="K25" s="61">
        <v>26</v>
      </c>
      <c r="L25" s="43">
        <v>38</v>
      </c>
      <c r="M25" s="16">
        <f t="shared" si="3"/>
        <v>0.31578947368421051</v>
      </c>
      <c r="N25" s="16">
        <f t="shared" si="4"/>
        <v>0.36842105263157898</v>
      </c>
      <c r="O25" s="1" t="str">
        <f t="shared" si="5"/>
        <v>R</v>
      </c>
      <c r="P25" s="17" t="str">
        <f>IF(Elect2008!O25=O25,"N","Y")</f>
        <v>N</v>
      </c>
      <c r="Q25" s="1">
        <f t="shared" si="6"/>
        <v>59</v>
      </c>
      <c r="R25" s="1">
        <f t="shared" si="6"/>
        <v>89</v>
      </c>
      <c r="S25" s="16">
        <f t="shared" si="7"/>
        <v>0.39864864864864863</v>
      </c>
      <c r="T25" s="16">
        <f t="shared" si="8"/>
        <v>0.20270270270270269</v>
      </c>
      <c r="U25" s="1" t="str">
        <f t="shared" si="9"/>
        <v>R</v>
      </c>
      <c r="V25" s="61" t="s">
        <v>19</v>
      </c>
      <c r="W25" s="1" t="str">
        <f t="shared" si="10"/>
        <v>U</v>
      </c>
      <c r="X25" s="1">
        <f>C25-Elect2008!C25</f>
        <v>-20</v>
      </c>
      <c r="Y25" s="1">
        <f>J25-Elect2008!J25</f>
        <v>-5</v>
      </c>
      <c r="Z25" s="1">
        <f t="shared" si="11"/>
        <v>-25</v>
      </c>
    </row>
    <row r="26" spans="1:26" ht="16">
      <c r="A26" s="12" t="s">
        <v>51</v>
      </c>
      <c r="B26" s="13" t="s">
        <v>41</v>
      </c>
      <c r="C26" s="61">
        <v>62</v>
      </c>
      <c r="D26" s="61">
        <v>72</v>
      </c>
      <c r="E26" s="43">
        <v>134</v>
      </c>
      <c r="F26" s="16">
        <f t="shared" si="0"/>
        <v>0.46268656716417911</v>
      </c>
      <c r="G26" s="16">
        <f t="shared" si="1"/>
        <v>7.4626865671641784E-2</v>
      </c>
      <c r="H26" s="1" t="str">
        <f t="shared" si="2"/>
        <v>R</v>
      </c>
      <c r="I26" s="17" t="str">
        <f>IF(Elect2008!H26=H26,"N","Y")</f>
        <v>Y</v>
      </c>
      <c r="J26" s="61">
        <v>30</v>
      </c>
      <c r="K26" s="61">
        <v>37</v>
      </c>
      <c r="L26" s="43">
        <v>67</v>
      </c>
      <c r="M26" s="16">
        <f t="shared" si="3"/>
        <v>0.44776119402985076</v>
      </c>
      <c r="N26" s="16">
        <f t="shared" si="4"/>
        <v>0.10447761194029853</v>
      </c>
      <c r="O26" s="1" t="str">
        <f t="shared" si="5"/>
        <v>R</v>
      </c>
      <c r="P26" s="17" t="str">
        <f>IF(Elect2008!O26=O26,"N","Y")</f>
        <v>Y</v>
      </c>
      <c r="Q26" s="1">
        <f t="shared" si="6"/>
        <v>92</v>
      </c>
      <c r="R26" s="1">
        <f t="shared" si="6"/>
        <v>109</v>
      </c>
      <c r="S26" s="16">
        <f t="shared" si="7"/>
        <v>0.45771144278606968</v>
      </c>
      <c r="T26" s="16">
        <f t="shared" si="8"/>
        <v>8.4577114427860645E-2</v>
      </c>
      <c r="U26" s="1" t="str">
        <f t="shared" si="9"/>
        <v>R</v>
      </c>
      <c r="V26" s="61" t="s">
        <v>18</v>
      </c>
      <c r="W26" s="1" t="str">
        <f t="shared" si="10"/>
        <v>D</v>
      </c>
      <c r="X26" s="1">
        <f>C26-Elect2008!C26</f>
        <v>-25</v>
      </c>
      <c r="Y26" s="1">
        <f>J26-Elect2008!J26</f>
        <v>-16</v>
      </c>
      <c r="Z26" s="1">
        <f t="shared" si="11"/>
        <v>-41</v>
      </c>
    </row>
    <row r="27" spans="1:26" ht="16">
      <c r="A27" s="12" t="s">
        <v>52</v>
      </c>
      <c r="B27" s="13" t="s">
        <v>26</v>
      </c>
      <c r="C27" s="61">
        <v>72</v>
      </c>
      <c r="D27" s="61">
        <v>50</v>
      </c>
      <c r="E27" s="43">
        <v>122</v>
      </c>
      <c r="F27" s="16">
        <f t="shared" si="0"/>
        <v>0.5901639344262295</v>
      </c>
      <c r="G27" s="16">
        <f t="shared" si="1"/>
        <v>0.18032786885245899</v>
      </c>
      <c r="H27" s="1" t="str">
        <f t="shared" si="2"/>
        <v>D</v>
      </c>
      <c r="I27" s="17" t="str">
        <f>IF(Elect2008!H27=H27,"N","Y")</f>
        <v>N</v>
      </c>
      <c r="J27" s="61">
        <v>27</v>
      </c>
      <c r="K27" s="61">
        <v>25</v>
      </c>
      <c r="L27" s="43">
        <v>52</v>
      </c>
      <c r="M27" s="16">
        <f t="shared" si="3"/>
        <v>0.51923076923076927</v>
      </c>
      <c r="N27" s="16">
        <f t="shared" si="4"/>
        <v>3.8461538461538547E-2</v>
      </c>
      <c r="O27" s="1" t="str">
        <f t="shared" si="5"/>
        <v>D</v>
      </c>
      <c r="P27" s="17" t="str">
        <f>IF(Elect2008!O27=O27,"N","Y")</f>
        <v>N</v>
      </c>
      <c r="Q27" s="1">
        <f t="shared" si="6"/>
        <v>99</v>
      </c>
      <c r="R27" s="1">
        <f t="shared" si="6"/>
        <v>75</v>
      </c>
      <c r="S27" s="16">
        <f t="shared" si="7"/>
        <v>0.56896551724137934</v>
      </c>
      <c r="T27" s="16">
        <f t="shared" si="8"/>
        <v>0.13793103448275867</v>
      </c>
      <c r="U27" s="1" t="str">
        <f t="shared" si="9"/>
        <v>D</v>
      </c>
      <c r="V27" s="61" t="s">
        <v>19</v>
      </c>
      <c r="W27" s="1" t="str">
        <f t="shared" si="10"/>
        <v>D</v>
      </c>
      <c r="X27" s="1">
        <f>C27-Elect2008!C27</f>
        <v>-2</v>
      </c>
      <c r="Y27" s="1">
        <f>J27-Elect2008!J27</f>
        <v>0</v>
      </c>
      <c r="Z27" s="1">
        <f t="shared" si="11"/>
        <v>-2</v>
      </c>
    </row>
    <row r="28" spans="1:26" ht="16">
      <c r="A28" s="12" t="s">
        <v>53</v>
      </c>
      <c r="B28" s="13" t="s">
        <v>41</v>
      </c>
      <c r="C28" s="62">
        <v>57</v>
      </c>
      <c r="D28" s="62">
        <v>106</v>
      </c>
      <c r="E28" s="45">
        <v>163</v>
      </c>
      <c r="F28" s="16">
        <f t="shared" si="0"/>
        <v>0.34969325153374231</v>
      </c>
      <c r="G28" s="16">
        <f t="shared" si="1"/>
        <v>0.30061349693251538</v>
      </c>
      <c r="H28" s="1" t="str">
        <f t="shared" si="2"/>
        <v>R</v>
      </c>
      <c r="I28" s="17" t="str">
        <f>IF(Elect2008!H28=H28,"N","Y")</f>
        <v>N</v>
      </c>
      <c r="J28" s="62">
        <v>8</v>
      </c>
      <c r="K28" s="62">
        <v>26</v>
      </c>
      <c r="L28" s="45">
        <v>34</v>
      </c>
      <c r="M28" s="16">
        <f t="shared" si="3"/>
        <v>0.23529411764705882</v>
      </c>
      <c r="N28" s="16">
        <f t="shared" si="4"/>
        <v>0.52941176470588225</v>
      </c>
      <c r="O28" s="1" t="str">
        <f t="shared" si="5"/>
        <v>R</v>
      </c>
      <c r="P28" s="17" t="str">
        <f>IF(Elect2008!O28=O28,"N","Y")</f>
        <v>N</v>
      </c>
      <c r="Q28" s="1">
        <f t="shared" si="6"/>
        <v>65</v>
      </c>
      <c r="R28" s="1">
        <f t="shared" si="6"/>
        <v>132</v>
      </c>
      <c r="S28" s="16">
        <f t="shared" si="7"/>
        <v>0.32994923857868019</v>
      </c>
      <c r="T28" s="16">
        <f t="shared" si="8"/>
        <v>0.34010152284263961</v>
      </c>
      <c r="U28" s="1" t="str">
        <f t="shared" si="9"/>
        <v>R</v>
      </c>
      <c r="V28" s="62" t="s">
        <v>18</v>
      </c>
      <c r="W28" s="1" t="str">
        <f t="shared" si="10"/>
        <v>D</v>
      </c>
      <c r="X28" s="1">
        <f>C28-Elect2008!C28</f>
        <v>-17</v>
      </c>
      <c r="Y28" s="1">
        <f>J28-Elect2008!J28</f>
        <v>-3</v>
      </c>
      <c r="Z28" s="1">
        <f t="shared" si="11"/>
        <v>-20</v>
      </c>
    </row>
    <row r="29" spans="1:26" ht="16">
      <c r="A29" s="12" t="s">
        <v>54</v>
      </c>
      <c r="B29" s="13" t="s">
        <v>28</v>
      </c>
      <c r="C29" s="63">
        <v>32</v>
      </c>
      <c r="D29" s="63">
        <v>68</v>
      </c>
      <c r="E29" s="47">
        <v>100</v>
      </c>
      <c r="F29" s="16">
        <f t="shared" si="0"/>
        <v>0.32</v>
      </c>
      <c r="G29" s="16">
        <f t="shared" si="1"/>
        <v>0.35999999999999993</v>
      </c>
      <c r="H29" s="1" t="str">
        <f>IF(F29&gt;0.5,"D",IF(F29=0.5,"T","R"))</f>
        <v>R</v>
      </c>
      <c r="I29" s="17" t="str">
        <f>IF(Elect2008!H29=H29,"N","Y")</f>
        <v>N</v>
      </c>
      <c r="J29" s="63">
        <v>22</v>
      </c>
      <c r="K29" s="63">
        <v>28</v>
      </c>
      <c r="L29" s="47">
        <v>50</v>
      </c>
      <c r="M29" s="16">
        <f t="shared" si="3"/>
        <v>0.44</v>
      </c>
      <c r="N29" s="16">
        <f t="shared" si="4"/>
        <v>0.12000000000000005</v>
      </c>
      <c r="O29" s="1" t="str">
        <f t="shared" si="5"/>
        <v>R</v>
      </c>
      <c r="P29" s="17" t="str">
        <f>IF(Elect2008!O29=O29,"N","Y")</f>
        <v>N</v>
      </c>
      <c r="Q29" s="1">
        <f t="shared" si="6"/>
        <v>54</v>
      </c>
      <c r="R29" s="1">
        <f t="shared" si="6"/>
        <v>96</v>
      </c>
      <c r="S29" s="16">
        <f t="shared" si="7"/>
        <v>0.36</v>
      </c>
      <c r="T29" s="16">
        <f t="shared" si="8"/>
        <v>0.28000000000000003</v>
      </c>
      <c r="U29" s="1" t="str">
        <f t="shared" si="9"/>
        <v>R</v>
      </c>
      <c r="V29" s="63" t="s">
        <v>18</v>
      </c>
      <c r="W29" s="1" t="str">
        <f t="shared" si="10"/>
        <v>D</v>
      </c>
      <c r="X29" s="1">
        <f>C29-Elect2008!C29</f>
        <v>-17</v>
      </c>
      <c r="Y29" s="1">
        <f>J29-Elect2008!J29</f>
        <v>-1</v>
      </c>
      <c r="Z29" s="1">
        <f t="shared" si="11"/>
        <v>-18</v>
      </c>
    </row>
    <row r="30" spans="1:26" ht="16">
      <c r="A30" s="12" t="s">
        <v>55</v>
      </c>
      <c r="B30" s="13" t="s">
        <v>41</v>
      </c>
      <c r="C30" s="64"/>
      <c r="D30" s="64"/>
      <c r="E30" s="49" t="s">
        <v>109</v>
      </c>
      <c r="F30" s="16"/>
      <c r="G30" s="16"/>
      <c r="I30" s="17" t="str">
        <f>IF(Elect2008!H30=H30,"N","Y")</f>
        <v>N</v>
      </c>
      <c r="J30" s="65"/>
      <c r="K30" s="61"/>
      <c r="L30" s="43"/>
      <c r="M30" s="16"/>
      <c r="N30" s="16"/>
      <c r="P30" s="17" t="str">
        <f>IF(Elect2008!O30=O30,"N","Y")</f>
        <v>N</v>
      </c>
      <c r="S30" s="16"/>
      <c r="T30" s="16"/>
      <c r="V30" s="61" t="s">
        <v>19</v>
      </c>
      <c r="X30" s="1">
        <f>C30-Elect2008!C30</f>
        <v>0</v>
      </c>
      <c r="Y30" s="1">
        <f>J30-Elect2008!J30</f>
        <v>0</v>
      </c>
      <c r="Z30" s="1">
        <f t="shared" si="11"/>
        <v>0</v>
      </c>
    </row>
    <row r="31" spans="1:26" ht="16">
      <c r="A31" s="12" t="s">
        <v>57</v>
      </c>
      <c r="B31" s="13" t="s">
        <v>28</v>
      </c>
      <c r="C31" s="61">
        <v>26</v>
      </c>
      <c r="D31" s="61">
        <v>16</v>
      </c>
      <c r="E31" s="43">
        <v>42</v>
      </c>
      <c r="F31" s="16">
        <f t="shared" ref="F31:F54" si="12">C31/E31</f>
        <v>0.61904761904761907</v>
      </c>
      <c r="G31" s="16">
        <f t="shared" ref="G31:G53" si="13">ABS(F31-(1-F31))</f>
        <v>0.23809523809523814</v>
      </c>
      <c r="H31" s="1" t="str">
        <f t="shared" ref="H31:H53" si="14">IF(F31&gt;0.5,"D",IF(F31=0.5,"T","R"))</f>
        <v>D</v>
      </c>
      <c r="I31" s="17" t="str">
        <f>IF(Elect2008!H31=H31,"N","Y")</f>
        <v>N</v>
      </c>
      <c r="J31" s="61">
        <v>11</v>
      </c>
      <c r="K31" s="61">
        <v>10</v>
      </c>
      <c r="L31" s="43">
        <v>21</v>
      </c>
      <c r="M31" s="16">
        <f t="shared" ref="M31:M54" si="15">J31/L31</f>
        <v>0.52380952380952384</v>
      </c>
      <c r="N31" s="16">
        <f t="shared" ref="N31:N53" si="16">ABS(M31-(1-M31))</f>
        <v>4.7619047619047672E-2</v>
      </c>
      <c r="O31" s="1" t="str">
        <f t="shared" ref="O31:O53" si="17">IF(M31&gt;0.5,"D",IF(M31=0.5,"T","R"))</f>
        <v>D</v>
      </c>
      <c r="P31" s="17" t="str">
        <f>IF(Elect2008!O31=O31,"N","Y")</f>
        <v>N</v>
      </c>
      <c r="Q31" s="1">
        <f t="shared" ref="Q31:R53" si="18">C31+J31</f>
        <v>37</v>
      </c>
      <c r="R31" s="1">
        <f t="shared" si="18"/>
        <v>26</v>
      </c>
      <c r="S31" s="16">
        <f t="shared" ref="S31:S54" si="19">Q31/(E31+L31)</f>
        <v>0.58730158730158732</v>
      </c>
      <c r="T31" s="16">
        <f t="shared" ref="T31:T53" si="20">ABS(S31-(1-S31))</f>
        <v>0.17460317460317465</v>
      </c>
      <c r="U31" s="1" t="str">
        <f t="shared" ref="U31:U53" si="21">IF(H31=O31,O31,"S")</f>
        <v>D</v>
      </c>
      <c r="V31" s="61" t="s">
        <v>19</v>
      </c>
      <c r="W31" s="1" t="str">
        <f t="shared" ref="W31:W53" si="22">IF(V31=U31,"U","D")</f>
        <v>D</v>
      </c>
      <c r="X31" s="1">
        <f>C31-Elect2008!C31</f>
        <v>-2</v>
      </c>
      <c r="Y31" s="1">
        <f>J31-Elect2008!J31</f>
        <v>-1</v>
      </c>
      <c r="Z31" s="1">
        <f t="shared" si="11"/>
        <v>-3</v>
      </c>
    </row>
    <row r="32" spans="1:26" ht="16">
      <c r="A32" s="12" t="s">
        <v>58</v>
      </c>
      <c r="B32" s="13" t="s">
        <v>34</v>
      </c>
      <c r="C32" s="61">
        <v>102</v>
      </c>
      <c r="D32" s="61">
        <v>298</v>
      </c>
      <c r="E32" s="43">
        <v>400</v>
      </c>
      <c r="F32" s="16">
        <f t="shared" si="12"/>
        <v>0.255</v>
      </c>
      <c r="G32" s="16">
        <f t="shared" si="13"/>
        <v>0.49</v>
      </c>
      <c r="H32" s="1" t="str">
        <f t="shared" si="14"/>
        <v>R</v>
      </c>
      <c r="I32" s="17" t="str">
        <f>IF(Elect2008!H32=H32,"N","Y")</f>
        <v>Y</v>
      </c>
      <c r="J32" s="61">
        <v>5</v>
      </c>
      <c r="K32" s="61">
        <v>19</v>
      </c>
      <c r="L32" s="43">
        <v>24</v>
      </c>
      <c r="M32" s="16">
        <f t="shared" si="15"/>
        <v>0.20833333333333334</v>
      </c>
      <c r="N32" s="16">
        <f t="shared" si="16"/>
        <v>0.58333333333333326</v>
      </c>
      <c r="O32" s="1" t="str">
        <f t="shared" si="17"/>
        <v>R</v>
      </c>
      <c r="P32" s="17" t="str">
        <f>IF(Elect2008!O32=O32,"N","Y")</f>
        <v>Y</v>
      </c>
      <c r="Q32" s="1">
        <f t="shared" si="18"/>
        <v>107</v>
      </c>
      <c r="R32" s="1">
        <f t="shared" si="18"/>
        <v>317</v>
      </c>
      <c r="S32" s="16">
        <f t="shared" si="19"/>
        <v>0.25235849056603776</v>
      </c>
      <c r="T32" s="16">
        <f t="shared" si="20"/>
        <v>0.49528301886792447</v>
      </c>
      <c r="U32" s="1" t="str">
        <f t="shared" si="21"/>
        <v>R</v>
      </c>
      <c r="V32" s="61" t="s">
        <v>18</v>
      </c>
      <c r="W32" s="1" t="str">
        <f t="shared" si="22"/>
        <v>D</v>
      </c>
      <c r="X32" s="1">
        <f>C32-Elect2008!C32</f>
        <v>-123</v>
      </c>
      <c r="Y32" s="1">
        <f>J32-Elect2008!J32</f>
        <v>-9</v>
      </c>
      <c r="Z32" s="1">
        <f t="shared" si="11"/>
        <v>-132</v>
      </c>
    </row>
    <row r="33" spans="1:26" ht="16">
      <c r="A33" s="12" t="s">
        <v>59</v>
      </c>
      <c r="B33" s="13" t="s">
        <v>34</v>
      </c>
      <c r="C33" s="62">
        <v>47</v>
      </c>
      <c r="D33" s="62">
        <v>33</v>
      </c>
      <c r="E33" s="45">
        <v>80</v>
      </c>
      <c r="F33" s="16">
        <f t="shared" si="12"/>
        <v>0.58750000000000002</v>
      </c>
      <c r="G33" s="16">
        <f t="shared" si="13"/>
        <v>0.17500000000000004</v>
      </c>
      <c r="H33" s="1" t="str">
        <f t="shared" si="14"/>
        <v>D</v>
      </c>
      <c r="I33" s="17" t="str">
        <f>IF(Elect2008!H33=H33,"N","Y")</f>
        <v>N</v>
      </c>
      <c r="J33" s="62">
        <v>23</v>
      </c>
      <c r="K33" s="62">
        <v>17</v>
      </c>
      <c r="L33" s="45">
        <v>40</v>
      </c>
      <c r="M33" s="16">
        <f t="shared" si="15"/>
        <v>0.57499999999999996</v>
      </c>
      <c r="N33" s="16">
        <f t="shared" si="16"/>
        <v>0.14999999999999991</v>
      </c>
      <c r="O33" s="1" t="str">
        <f t="shared" si="17"/>
        <v>D</v>
      </c>
      <c r="P33" s="17" t="str">
        <f>IF(Elect2008!O33=O33,"N","Y")</f>
        <v>N</v>
      </c>
      <c r="Q33" s="1">
        <f t="shared" si="18"/>
        <v>70</v>
      </c>
      <c r="R33" s="1">
        <f t="shared" si="18"/>
        <v>50</v>
      </c>
      <c r="S33" s="16">
        <f t="shared" si="19"/>
        <v>0.58333333333333337</v>
      </c>
      <c r="T33" s="16">
        <f t="shared" si="20"/>
        <v>0.16666666666666674</v>
      </c>
      <c r="U33" s="1" t="str">
        <f t="shared" si="21"/>
        <v>D</v>
      </c>
      <c r="V33" s="62" t="s">
        <v>19</v>
      </c>
      <c r="W33" s="1" t="str">
        <f t="shared" si="22"/>
        <v>D</v>
      </c>
      <c r="X33" s="1">
        <f>C33-Elect2008!C33</f>
        <v>-1</v>
      </c>
      <c r="Y33" s="1">
        <f>J33-Elect2008!J33</f>
        <v>0</v>
      </c>
      <c r="Z33" s="1">
        <f t="shared" si="11"/>
        <v>-1</v>
      </c>
    </row>
    <row r="34" spans="1:26" ht="16">
      <c r="A34" s="12" t="s">
        <v>60</v>
      </c>
      <c r="B34" s="13" t="s">
        <v>28</v>
      </c>
      <c r="C34" s="63">
        <v>37</v>
      </c>
      <c r="D34" s="63">
        <v>33</v>
      </c>
      <c r="E34" s="47">
        <v>70</v>
      </c>
      <c r="F34" s="16">
        <f t="shared" si="12"/>
        <v>0.52857142857142858</v>
      </c>
      <c r="G34" s="16">
        <f t="shared" si="13"/>
        <v>5.7142857142857162E-2</v>
      </c>
      <c r="H34" s="1" t="str">
        <f t="shared" si="14"/>
        <v>D</v>
      </c>
      <c r="I34" s="17" t="str">
        <f>IF(Elect2008!H34=H34,"N","Y")</f>
        <v>N</v>
      </c>
      <c r="J34" s="63">
        <v>27</v>
      </c>
      <c r="K34" s="63">
        <v>15</v>
      </c>
      <c r="L34" s="47">
        <v>42</v>
      </c>
      <c r="M34" s="16">
        <f t="shared" si="15"/>
        <v>0.6428571428571429</v>
      </c>
      <c r="N34" s="16">
        <f t="shared" si="16"/>
        <v>0.28571428571428581</v>
      </c>
      <c r="O34" s="1" t="str">
        <f t="shared" si="17"/>
        <v>D</v>
      </c>
      <c r="P34" s="17" t="str">
        <f>IF(Elect2008!O34=O34,"N","Y")</f>
        <v>N</v>
      </c>
      <c r="Q34" s="1">
        <f t="shared" si="18"/>
        <v>64</v>
      </c>
      <c r="R34" s="1">
        <f t="shared" si="18"/>
        <v>48</v>
      </c>
      <c r="S34" s="16">
        <f t="shared" si="19"/>
        <v>0.5714285714285714</v>
      </c>
      <c r="T34" s="16">
        <f t="shared" si="20"/>
        <v>0.14285714285714279</v>
      </c>
      <c r="U34" s="1" t="str">
        <f t="shared" si="21"/>
        <v>D</v>
      </c>
      <c r="V34" s="63" t="s">
        <v>19</v>
      </c>
      <c r="W34" s="1" t="str">
        <f t="shared" si="22"/>
        <v>D</v>
      </c>
      <c r="X34" s="1">
        <f>C34-Elect2008!C34</f>
        <v>-8</v>
      </c>
      <c r="Y34" s="1">
        <f>J34-Elect2008!J34</f>
        <v>0</v>
      </c>
      <c r="Z34" s="1">
        <f t="shared" si="11"/>
        <v>-8</v>
      </c>
    </row>
    <row r="35" spans="1:26" ht="16">
      <c r="A35" s="12" t="s">
        <v>61</v>
      </c>
      <c r="B35" s="13" t="s">
        <v>34</v>
      </c>
      <c r="C35" s="61">
        <v>100</v>
      </c>
      <c r="D35" s="61">
        <v>48</v>
      </c>
      <c r="E35" s="43">
        <v>150</v>
      </c>
      <c r="F35" s="16">
        <f t="shared" si="12"/>
        <v>0.66666666666666663</v>
      </c>
      <c r="G35" s="16">
        <f t="shared" si="13"/>
        <v>0.33333333333333326</v>
      </c>
      <c r="H35" s="1" t="str">
        <f t="shared" si="14"/>
        <v>D</v>
      </c>
      <c r="I35" s="17" t="str">
        <f>IF(Elect2008!H35=H35,"N","Y")</f>
        <v>N</v>
      </c>
      <c r="J35" s="61">
        <v>30</v>
      </c>
      <c r="K35" s="61">
        <v>32</v>
      </c>
      <c r="L35" s="43">
        <v>62</v>
      </c>
      <c r="M35" s="16">
        <f t="shared" si="15"/>
        <v>0.4838709677419355</v>
      </c>
      <c r="N35" s="16">
        <f t="shared" si="16"/>
        <v>3.2258064516129004E-2</v>
      </c>
      <c r="O35" s="1" t="str">
        <f t="shared" si="17"/>
        <v>R</v>
      </c>
      <c r="P35" s="17" t="str">
        <f>IF(Elect2008!O35=O35,"N","Y")</f>
        <v>Y</v>
      </c>
      <c r="Q35" s="1">
        <f t="shared" si="18"/>
        <v>130</v>
      </c>
      <c r="R35" s="1">
        <f t="shared" si="18"/>
        <v>80</v>
      </c>
      <c r="S35" s="16">
        <f t="shared" si="19"/>
        <v>0.6132075471698113</v>
      </c>
      <c r="T35" s="16">
        <f t="shared" si="20"/>
        <v>0.22641509433962259</v>
      </c>
      <c r="U35" s="1" t="str">
        <f t="shared" si="21"/>
        <v>S</v>
      </c>
      <c r="V35" s="61" t="s">
        <v>18</v>
      </c>
      <c r="W35" s="1" t="str">
        <f t="shared" si="22"/>
        <v>D</v>
      </c>
      <c r="X35" s="1">
        <f>C35-Elect2008!C35</f>
        <v>-9</v>
      </c>
      <c r="Y35" s="1">
        <f>J35-Elect2008!J35</f>
        <v>-2</v>
      </c>
      <c r="Z35" s="1">
        <f t="shared" si="11"/>
        <v>-11</v>
      </c>
    </row>
    <row r="36" spans="1:26" ht="16">
      <c r="A36" s="12" t="s">
        <v>62</v>
      </c>
      <c r="B36" s="13" t="s">
        <v>26</v>
      </c>
      <c r="C36" s="61">
        <v>52</v>
      </c>
      <c r="D36" s="61">
        <v>67</v>
      </c>
      <c r="E36" s="43">
        <v>120</v>
      </c>
      <c r="F36" s="16">
        <f t="shared" si="12"/>
        <v>0.43333333333333335</v>
      </c>
      <c r="G36" s="16">
        <f t="shared" si="13"/>
        <v>0.1333333333333333</v>
      </c>
      <c r="H36" s="1" t="str">
        <f t="shared" si="14"/>
        <v>R</v>
      </c>
      <c r="I36" s="17" t="str">
        <f>IF(Elect2008!H36=H36,"N","Y")</f>
        <v>Y</v>
      </c>
      <c r="J36" s="61">
        <v>19</v>
      </c>
      <c r="K36" s="61">
        <v>31</v>
      </c>
      <c r="L36" s="43">
        <v>50</v>
      </c>
      <c r="M36" s="16">
        <f t="shared" si="15"/>
        <v>0.38</v>
      </c>
      <c r="N36" s="16">
        <f t="shared" si="16"/>
        <v>0.24</v>
      </c>
      <c r="O36" s="1" t="str">
        <f t="shared" si="17"/>
        <v>R</v>
      </c>
      <c r="P36" s="17" t="str">
        <f>IF(Elect2008!O36=O36,"N","Y")</f>
        <v>Y</v>
      </c>
      <c r="Q36" s="1">
        <f t="shared" si="18"/>
        <v>71</v>
      </c>
      <c r="R36" s="1">
        <f t="shared" si="18"/>
        <v>98</v>
      </c>
      <c r="S36" s="16">
        <f t="shared" si="19"/>
        <v>0.41764705882352943</v>
      </c>
      <c r="T36" s="16">
        <f t="shared" si="20"/>
        <v>0.16470588235294109</v>
      </c>
      <c r="U36" s="1" t="str">
        <f t="shared" si="21"/>
        <v>R</v>
      </c>
      <c r="V36" s="61" t="s">
        <v>18</v>
      </c>
      <c r="W36" s="1" t="str">
        <f t="shared" si="22"/>
        <v>D</v>
      </c>
      <c r="X36" s="1">
        <f>C36-Elect2008!C36</f>
        <v>-16</v>
      </c>
      <c r="Y36" s="1">
        <f>J36-Elect2008!J36</f>
        <v>-11</v>
      </c>
      <c r="Z36" s="1">
        <f t="shared" si="11"/>
        <v>-27</v>
      </c>
    </row>
    <row r="37" spans="1:26" ht="16">
      <c r="A37" s="12" t="s">
        <v>63</v>
      </c>
      <c r="B37" s="13" t="s">
        <v>41</v>
      </c>
      <c r="C37" s="61">
        <v>25</v>
      </c>
      <c r="D37" s="61">
        <v>69</v>
      </c>
      <c r="E37" s="43">
        <v>94</v>
      </c>
      <c r="F37" s="16">
        <f t="shared" si="12"/>
        <v>0.26595744680851063</v>
      </c>
      <c r="G37" s="16">
        <f t="shared" si="13"/>
        <v>0.46808510638297873</v>
      </c>
      <c r="H37" s="1" t="str">
        <f t="shared" si="14"/>
        <v>R</v>
      </c>
      <c r="I37" s="17" t="str">
        <f>IF(Elect2008!H37=H37,"N","Y")</f>
        <v>N</v>
      </c>
      <c r="J37" s="61">
        <v>12</v>
      </c>
      <c r="K37" s="61">
        <v>35</v>
      </c>
      <c r="L37" s="43">
        <v>47</v>
      </c>
      <c r="M37" s="16">
        <f t="shared" si="15"/>
        <v>0.25531914893617019</v>
      </c>
      <c r="N37" s="16">
        <f t="shared" si="16"/>
        <v>0.48936170212765967</v>
      </c>
      <c r="O37" s="1" t="str">
        <f t="shared" si="17"/>
        <v>R</v>
      </c>
      <c r="P37" s="17" t="str">
        <f>IF(Elect2008!O37=O37,"N","Y")</f>
        <v>N</v>
      </c>
      <c r="Q37" s="1">
        <f t="shared" si="18"/>
        <v>37</v>
      </c>
      <c r="R37" s="1">
        <f t="shared" si="18"/>
        <v>104</v>
      </c>
      <c r="S37" s="16">
        <f t="shared" si="19"/>
        <v>0.26241134751773049</v>
      </c>
      <c r="T37" s="16">
        <f t="shared" si="20"/>
        <v>0.47517730496453897</v>
      </c>
      <c r="U37" s="1" t="str">
        <f t="shared" si="21"/>
        <v>R</v>
      </c>
      <c r="V37" s="61" t="s">
        <v>19</v>
      </c>
      <c r="W37" s="1" t="str">
        <f t="shared" si="22"/>
        <v>U</v>
      </c>
      <c r="X37" s="1">
        <f>C37-Elect2008!C37</f>
        <v>-11</v>
      </c>
      <c r="Y37" s="1">
        <f>J37-Elect2008!J37</f>
        <v>-9</v>
      </c>
      <c r="Z37" s="1">
        <f t="shared" si="11"/>
        <v>-20</v>
      </c>
    </row>
    <row r="38" spans="1:26" ht="16">
      <c r="A38" s="12" t="s">
        <v>64</v>
      </c>
      <c r="B38" s="13" t="s">
        <v>41</v>
      </c>
      <c r="C38" s="62">
        <v>40</v>
      </c>
      <c r="D38" s="62">
        <v>59</v>
      </c>
      <c r="E38" s="45">
        <v>99</v>
      </c>
      <c r="F38" s="16">
        <f t="shared" si="12"/>
        <v>0.40404040404040403</v>
      </c>
      <c r="G38" s="16">
        <f t="shared" si="13"/>
        <v>0.19191919191919199</v>
      </c>
      <c r="H38" s="1" t="str">
        <f t="shared" si="14"/>
        <v>R</v>
      </c>
      <c r="I38" s="17" t="str">
        <f>IF(Elect2008!H38=H38,"N","Y")</f>
        <v>Y</v>
      </c>
      <c r="J38" s="62">
        <v>10</v>
      </c>
      <c r="K38" s="62">
        <v>23</v>
      </c>
      <c r="L38" s="45">
        <v>33</v>
      </c>
      <c r="M38" s="16">
        <f t="shared" si="15"/>
        <v>0.30303030303030304</v>
      </c>
      <c r="N38" s="16">
        <f t="shared" si="16"/>
        <v>0.39393939393939398</v>
      </c>
      <c r="O38" s="1" t="str">
        <f t="shared" si="17"/>
        <v>R</v>
      </c>
      <c r="P38" s="17" t="str">
        <f>IF(Elect2008!O38=O38,"N","Y")</f>
        <v>N</v>
      </c>
      <c r="Q38" s="1">
        <f t="shared" si="18"/>
        <v>50</v>
      </c>
      <c r="R38" s="1">
        <f t="shared" si="18"/>
        <v>82</v>
      </c>
      <c r="S38" s="16">
        <f t="shared" si="19"/>
        <v>0.37878787878787878</v>
      </c>
      <c r="T38" s="16">
        <f t="shared" si="20"/>
        <v>0.24242424242424243</v>
      </c>
      <c r="U38" s="1" t="str">
        <f t="shared" si="21"/>
        <v>R</v>
      </c>
      <c r="V38" s="62" t="s">
        <v>19</v>
      </c>
      <c r="W38" s="1" t="str">
        <f t="shared" si="22"/>
        <v>U</v>
      </c>
      <c r="X38" s="1">
        <f>C38-Elect2008!C38</f>
        <v>-13</v>
      </c>
      <c r="Y38" s="1">
        <f>J38-Elect2008!J38</f>
        <v>-2</v>
      </c>
      <c r="Z38" s="1">
        <f t="shared" si="11"/>
        <v>-15</v>
      </c>
    </row>
    <row r="39" spans="1:26" ht="16">
      <c r="A39" s="12" t="s">
        <v>65</v>
      </c>
      <c r="B39" s="13" t="s">
        <v>26</v>
      </c>
      <c r="C39" s="63">
        <v>31</v>
      </c>
      <c r="D39" s="63">
        <v>70</v>
      </c>
      <c r="E39" s="47">
        <v>101</v>
      </c>
      <c r="F39" s="16">
        <f t="shared" si="12"/>
        <v>0.30693069306930693</v>
      </c>
      <c r="G39" s="16">
        <f t="shared" si="13"/>
        <v>0.38613861386138609</v>
      </c>
      <c r="H39" s="1" t="str">
        <f t="shared" si="14"/>
        <v>R</v>
      </c>
      <c r="I39" s="17" t="str">
        <f>IF(Elect2008!H39=H39,"N","Y")</f>
        <v>N</v>
      </c>
      <c r="J39" s="63">
        <v>16</v>
      </c>
      <c r="K39" s="63">
        <v>32</v>
      </c>
      <c r="L39" s="47">
        <v>48</v>
      </c>
      <c r="M39" s="16">
        <f t="shared" si="15"/>
        <v>0.33333333333333331</v>
      </c>
      <c r="N39" s="16">
        <f t="shared" si="16"/>
        <v>0.33333333333333343</v>
      </c>
      <c r="O39" s="1" t="str">
        <f t="shared" si="17"/>
        <v>R</v>
      </c>
      <c r="P39" s="17" t="str">
        <f>IF(Elect2008!O39=O39,"N","Y")</f>
        <v>N</v>
      </c>
      <c r="Q39" s="1">
        <f t="shared" si="18"/>
        <v>47</v>
      </c>
      <c r="R39" s="1">
        <f t="shared" si="18"/>
        <v>102</v>
      </c>
      <c r="S39" s="16">
        <f t="shared" si="19"/>
        <v>0.31543624161073824</v>
      </c>
      <c r="T39" s="16">
        <f t="shared" si="20"/>
        <v>0.36912751677852351</v>
      </c>
      <c r="U39" s="1" t="str">
        <f t="shared" si="21"/>
        <v>R</v>
      </c>
      <c r="V39" s="63" t="s">
        <v>19</v>
      </c>
      <c r="W39" s="1" t="str">
        <f t="shared" si="22"/>
        <v>U</v>
      </c>
      <c r="X39" s="1">
        <f>C39-Elect2008!C39</f>
        <v>-9</v>
      </c>
      <c r="Y39" s="1">
        <f>J39-Elect2008!J39</f>
        <v>-6</v>
      </c>
      <c r="Z39" s="1">
        <f t="shared" si="11"/>
        <v>-15</v>
      </c>
    </row>
    <row r="40" spans="1:26" ht="16">
      <c r="A40" s="12" t="s">
        <v>66</v>
      </c>
      <c r="B40" s="13" t="s">
        <v>28</v>
      </c>
      <c r="C40" s="61">
        <v>30</v>
      </c>
      <c r="D40" s="61">
        <v>30</v>
      </c>
      <c r="E40" s="43">
        <v>60</v>
      </c>
      <c r="F40" s="16">
        <f t="shared" si="12"/>
        <v>0.5</v>
      </c>
      <c r="G40" s="16">
        <f t="shared" si="13"/>
        <v>0</v>
      </c>
      <c r="H40" s="1" t="str">
        <f t="shared" si="14"/>
        <v>T</v>
      </c>
      <c r="I40" s="17" t="str">
        <f>IF(Elect2008!H40=H40,"N","Y")</f>
        <v>Y</v>
      </c>
      <c r="J40" s="61">
        <v>16</v>
      </c>
      <c r="K40" s="61">
        <v>14</v>
      </c>
      <c r="L40" s="43">
        <v>30</v>
      </c>
      <c r="M40" s="16">
        <f t="shared" si="15"/>
        <v>0.53333333333333333</v>
      </c>
      <c r="N40" s="16">
        <f t="shared" si="16"/>
        <v>6.6666666666666652E-2</v>
      </c>
      <c r="O40" s="1" t="str">
        <f t="shared" si="17"/>
        <v>D</v>
      </c>
      <c r="P40" s="17" t="str">
        <f>IF(Elect2008!O40=O40,"N","Y")</f>
        <v>N</v>
      </c>
      <c r="Q40" s="1">
        <f t="shared" si="18"/>
        <v>46</v>
      </c>
      <c r="R40" s="1">
        <f t="shared" si="18"/>
        <v>44</v>
      </c>
      <c r="S40" s="16">
        <f t="shared" si="19"/>
        <v>0.51111111111111107</v>
      </c>
      <c r="T40" s="16">
        <f t="shared" si="20"/>
        <v>2.2222222222222143E-2</v>
      </c>
      <c r="U40" s="1" t="str">
        <f t="shared" si="21"/>
        <v>S</v>
      </c>
      <c r="V40" s="61" t="s">
        <v>18</v>
      </c>
      <c r="W40" s="1" t="str">
        <f t="shared" si="22"/>
        <v>D</v>
      </c>
      <c r="X40" s="1">
        <f>C40-Elect2008!C40</f>
        <v>-6</v>
      </c>
      <c r="Y40" s="1">
        <f>J40-Elect2008!J40</f>
        <v>-2</v>
      </c>
      <c r="Z40" s="1">
        <f t="shared" si="11"/>
        <v>-8</v>
      </c>
    </row>
    <row r="41" spans="1:26" ht="16">
      <c r="A41" s="12" t="s">
        <v>68</v>
      </c>
      <c r="B41" s="13" t="s">
        <v>34</v>
      </c>
      <c r="C41" s="61">
        <v>91</v>
      </c>
      <c r="D41" s="61">
        <v>112</v>
      </c>
      <c r="E41" s="43">
        <v>203</v>
      </c>
      <c r="F41" s="16">
        <f t="shared" si="12"/>
        <v>0.44827586206896552</v>
      </c>
      <c r="G41" s="16">
        <f t="shared" si="13"/>
        <v>0.10344827586206895</v>
      </c>
      <c r="H41" s="1" t="str">
        <f t="shared" si="14"/>
        <v>R</v>
      </c>
      <c r="I41" s="17" t="str">
        <f>IF(Elect2008!H41=H41,"N","Y")</f>
        <v>Y</v>
      </c>
      <c r="J41" s="61">
        <v>21</v>
      </c>
      <c r="K41" s="61">
        <v>29</v>
      </c>
      <c r="L41" s="43">
        <v>50</v>
      </c>
      <c r="M41" s="16">
        <f t="shared" si="15"/>
        <v>0.42</v>
      </c>
      <c r="N41" s="16">
        <f t="shared" si="16"/>
        <v>0.16000000000000009</v>
      </c>
      <c r="O41" s="1" t="str">
        <f t="shared" si="17"/>
        <v>R</v>
      </c>
      <c r="P41" s="17" t="str">
        <f>IF(Elect2008!O41=O41,"N","Y")</f>
        <v>N</v>
      </c>
      <c r="Q41" s="1">
        <f t="shared" si="18"/>
        <v>112</v>
      </c>
      <c r="R41" s="1">
        <f t="shared" si="18"/>
        <v>141</v>
      </c>
      <c r="S41" s="16">
        <f t="shared" si="19"/>
        <v>0.44268774703557312</v>
      </c>
      <c r="T41" s="16">
        <f t="shared" si="20"/>
        <v>0.11462450592885376</v>
      </c>
      <c r="U41" s="1" t="str">
        <f t="shared" si="21"/>
        <v>R</v>
      </c>
      <c r="V41" s="61" t="s">
        <v>19</v>
      </c>
      <c r="W41" s="1" t="str">
        <f t="shared" si="22"/>
        <v>U</v>
      </c>
      <c r="X41" s="1">
        <f>C41-Elect2008!C41</f>
        <v>-13</v>
      </c>
      <c r="Y41" s="1">
        <f>J41-Elect2008!J41</f>
        <v>1</v>
      </c>
      <c r="Z41" s="1">
        <f t="shared" si="11"/>
        <v>-12</v>
      </c>
    </row>
    <row r="42" spans="1:26" ht="16">
      <c r="A42" s="12" t="s">
        <v>69</v>
      </c>
      <c r="B42" s="13" t="s">
        <v>34</v>
      </c>
      <c r="C42" s="61">
        <v>65</v>
      </c>
      <c r="D42" s="61">
        <v>10</v>
      </c>
      <c r="E42" s="43">
        <v>75</v>
      </c>
      <c r="F42" s="16">
        <f t="shared" si="12"/>
        <v>0.8666666666666667</v>
      </c>
      <c r="G42" s="16">
        <f t="shared" si="13"/>
        <v>0.73333333333333339</v>
      </c>
      <c r="H42" s="1" t="str">
        <f t="shared" si="14"/>
        <v>D</v>
      </c>
      <c r="I42" s="17" t="str">
        <f>IF(Elect2008!H42=H42,"N","Y")</f>
        <v>N</v>
      </c>
      <c r="J42" s="61">
        <v>29</v>
      </c>
      <c r="K42" s="61">
        <v>8</v>
      </c>
      <c r="L42" s="43">
        <v>38</v>
      </c>
      <c r="M42" s="16">
        <f t="shared" si="15"/>
        <v>0.76315789473684215</v>
      </c>
      <c r="N42" s="16">
        <f t="shared" si="16"/>
        <v>0.52631578947368429</v>
      </c>
      <c r="O42" s="1" t="str">
        <f t="shared" si="17"/>
        <v>D</v>
      </c>
      <c r="P42" s="17" t="str">
        <f>IF(Elect2008!O42=O42,"N","Y")</f>
        <v>N</v>
      </c>
      <c r="Q42" s="1">
        <f t="shared" si="18"/>
        <v>94</v>
      </c>
      <c r="R42" s="1">
        <f t="shared" si="18"/>
        <v>18</v>
      </c>
      <c r="S42" s="16">
        <f t="shared" si="19"/>
        <v>0.83185840707964598</v>
      </c>
      <c r="T42" s="16">
        <f t="shared" si="20"/>
        <v>0.66371681415929196</v>
      </c>
      <c r="U42" s="1" t="str">
        <f t="shared" si="21"/>
        <v>D</v>
      </c>
      <c r="V42" s="61" t="s">
        <v>112</v>
      </c>
      <c r="W42" s="1" t="str">
        <f t="shared" si="22"/>
        <v>D</v>
      </c>
      <c r="X42" s="1">
        <f>C42-Elect2008!C42</f>
        <v>-4</v>
      </c>
      <c r="Y42" s="1">
        <f>J42-Elect2008!J42</f>
        <v>-4</v>
      </c>
      <c r="Z42" s="1">
        <f t="shared" si="11"/>
        <v>-8</v>
      </c>
    </row>
    <row r="43" spans="1:26" ht="16">
      <c r="A43" s="12" t="s">
        <v>70</v>
      </c>
      <c r="B43" s="13" t="s">
        <v>26</v>
      </c>
      <c r="C43" s="62">
        <v>48</v>
      </c>
      <c r="D43" s="62">
        <v>75</v>
      </c>
      <c r="E43" s="45">
        <v>124</v>
      </c>
      <c r="F43" s="16">
        <f t="shared" si="12"/>
        <v>0.38709677419354838</v>
      </c>
      <c r="G43" s="16">
        <f t="shared" si="13"/>
        <v>0.22580645161290325</v>
      </c>
      <c r="H43" s="1" t="str">
        <f t="shared" si="14"/>
        <v>R</v>
      </c>
      <c r="I43" s="17" t="str">
        <f>IF(Elect2008!H43=H43,"N","Y")</f>
        <v>N</v>
      </c>
      <c r="J43" s="62">
        <v>19</v>
      </c>
      <c r="K43" s="62">
        <v>27</v>
      </c>
      <c r="L43" s="45">
        <v>46</v>
      </c>
      <c r="M43" s="16">
        <f t="shared" si="15"/>
        <v>0.41304347826086957</v>
      </c>
      <c r="N43" s="16">
        <f t="shared" si="16"/>
        <v>0.17391304347826081</v>
      </c>
      <c r="O43" s="1" t="str">
        <f t="shared" si="17"/>
        <v>R</v>
      </c>
      <c r="P43" s="17" t="str">
        <f>IF(Elect2008!O43=O43,"N","Y")</f>
        <v>N</v>
      </c>
      <c r="Q43" s="1">
        <f t="shared" si="18"/>
        <v>67</v>
      </c>
      <c r="R43" s="1">
        <f t="shared" si="18"/>
        <v>102</v>
      </c>
      <c r="S43" s="16">
        <f t="shared" si="19"/>
        <v>0.39411764705882352</v>
      </c>
      <c r="T43" s="16">
        <f t="shared" si="20"/>
        <v>0.21176470588235302</v>
      </c>
      <c r="U43" s="1" t="str">
        <f t="shared" si="21"/>
        <v>R</v>
      </c>
      <c r="V43" s="62" t="s">
        <v>19</v>
      </c>
      <c r="W43" s="1" t="str">
        <f t="shared" si="22"/>
        <v>U</v>
      </c>
      <c r="X43" s="1">
        <f>C43-Elect2008!C43</f>
        <v>-5</v>
      </c>
      <c r="Y43" s="1">
        <f>J43-Elect2008!J43</f>
        <v>0</v>
      </c>
      <c r="Z43" s="1">
        <f t="shared" si="11"/>
        <v>-5</v>
      </c>
    </row>
    <row r="44" spans="1:26" ht="16">
      <c r="A44" s="12" t="s">
        <v>71</v>
      </c>
      <c r="B44" s="13" t="s">
        <v>41</v>
      </c>
      <c r="C44" s="63">
        <v>19</v>
      </c>
      <c r="D44" s="63">
        <v>50</v>
      </c>
      <c r="E44" s="47">
        <v>70</v>
      </c>
      <c r="F44" s="16">
        <f t="shared" si="12"/>
        <v>0.27142857142857141</v>
      </c>
      <c r="G44" s="16">
        <f t="shared" si="13"/>
        <v>0.45714285714285724</v>
      </c>
      <c r="H44" s="1" t="str">
        <f t="shared" si="14"/>
        <v>R</v>
      </c>
      <c r="I44" s="17" t="str">
        <f>IF(Elect2008!H44=H44,"N","Y")</f>
        <v>N</v>
      </c>
      <c r="J44" s="63">
        <v>6</v>
      </c>
      <c r="K44" s="63">
        <v>29</v>
      </c>
      <c r="L44" s="47">
        <v>35</v>
      </c>
      <c r="M44" s="16">
        <f t="shared" si="15"/>
        <v>0.17142857142857143</v>
      </c>
      <c r="N44" s="16">
        <f t="shared" si="16"/>
        <v>0.65714285714285703</v>
      </c>
      <c r="O44" s="1" t="str">
        <f t="shared" si="17"/>
        <v>R</v>
      </c>
      <c r="P44" s="17" t="str">
        <f>IF(Elect2008!O44=O44,"N","Y")</f>
        <v>N</v>
      </c>
      <c r="Q44" s="1">
        <f t="shared" si="18"/>
        <v>25</v>
      </c>
      <c r="R44" s="1">
        <f t="shared" si="18"/>
        <v>79</v>
      </c>
      <c r="S44" s="16">
        <f t="shared" si="19"/>
        <v>0.23809523809523808</v>
      </c>
      <c r="T44" s="16">
        <f t="shared" si="20"/>
        <v>0.52380952380952372</v>
      </c>
      <c r="U44" s="1" t="str">
        <f t="shared" si="21"/>
        <v>R</v>
      </c>
      <c r="V44" s="63" t="s">
        <v>19</v>
      </c>
      <c r="W44" s="1" t="str">
        <f t="shared" si="22"/>
        <v>U</v>
      </c>
      <c r="X44" s="1">
        <f>C44-Elect2008!C44</f>
        <v>-5</v>
      </c>
      <c r="Y44" s="1">
        <f>J44-Elect2008!J44</f>
        <v>-8</v>
      </c>
      <c r="Z44" s="1">
        <f t="shared" si="11"/>
        <v>-13</v>
      </c>
    </row>
    <row r="45" spans="1:26" ht="16">
      <c r="A45" s="12" t="s">
        <v>72</v>
      </c>
      <c r="B45" s="13" t="s">
        <v>26</v>
      </c>
      <c r="C45" s="61">
        <v>34</v>
      </c>
      <c r="D45" s="61">
        <v>64</v>
      </c>
      <c r="E45" s="43">
        <v>99</v>
      </c>
      <c r="F45" s="16">
        <f t="shared" si="12"/>
        <v>0.34343434343434343</v>
      </c>
      <c r="G45" s="16">
        <f t="shared" si="13"/>
        <v>0.31313131313131315</v>
      </c>
      <c r="H45" s="1" t="str">
        <f t="shared" si="14"/>
        <v>R</v>
      </c>
      <c r="I45" s="17" t="str">
        <f>IF(Elect2008!H45=H45,"N","Y")</f>
        <v>N</v>
      </c>
      <c r="J45" s="61">
        <v>13</v>
      </c>
      <c r="K45" s="61">
        <v>20</v>
      </c>
      <c r="L45" s="43">
        <v>33</v>
      </c>
      <c r="M45" s="16">
        <f t="shared" si="15"/>
        <v>0.39393939393939392</v>
      </c>
      <c r="N45" s="16">
        <f t="shared" si="16"/>
        <v>0.21212121212121215</v>
      </c>
      <c r="O45" s="1" t="str">
        <f t="shared" si="17"/>
        <v>R</v>
      </c>
      <c r="P45" s="17" t="str">
        <f>IF(Elect2008!O45=O45,"N","Y")</f>
        <v>N</v>
      </c>
      <c r="Q45" s="1">
        <f t="shared" si="18"/>
        <v>47</v>
      </c>
      <c r="R45" s="1">
        <f t="shared" si="18"/>
        <v>84</v>
      </c>
      <c r="S45" s="16">
        <f t="shared" si="19"/>
        <v>0.35606060606060608</v>
      </c>
      <c r="T45" s="16">
        <f t="shared" si="20"/>
        <v>0.28787878787878785</v>
      </c>
      <c r="U45" s="1" t="str">
        <f t="shared" si="21"/>
        <v>R</v>
      </c>
      <c r="V45" s="61" t="s">
        <v>19</v>
      </c>
      <c r="W45" s="1" t="str">
        <f t="shared" si="22"/>
        <v>U</v>
      </c>
      <c r="X45" s="1">
        <f>C45-Elect2008!C45</f>
        <v>-15</v>
      </c>
      <c r="Y45" s="1">
        <f>J45-Elect2008!J45</f>
        <v>-1</v>
      </c>
      <c r="Z45" s="1">
        <f t="shared" si="11"/>
        <v>-16</v>
      </c>
    </row>
    <row r="46" spans="1:26" ht="16">
      <c r="A46" s="12" t="s">
        <v>73</v>
      </c>
      <c r="B46" s="13" t="s">
        <v>26</v>
      </c>
      <c r="C46" s="61">
        <v>51</v>
      </c>
      <c r="D46" s="61">
        <v>99</v>
      </c>
      <c r="E46" s="43">
        <v>150</v>
      </c>
      <c r="F46" s="16">
        <f t="shared" si="12"/>
        <v>0.34</v>
      </c>
      <c r="G46" s="16">
        <f t="shared" si="13"/>
        <v>0.3199999999999999</v>
      </c>
      <c r="H46" s="1" t="str">
        <f t="shared" si="14"/>
        <v>R</v>
      </c>
      <c r="I46" s="17" t="str">
        <f>IF(Elect2008!H46=H46,"N","Y")</f>
        <v>N</v>
      </c>
      <c r="J46" s="61">
        <v>12</v>
      </c>
      <c r="K46" s="61">
        <v>19</v>
      </c>
      <c r="L46" s="43">
        <v>31</v>
      </c>
      <c r="M46" s="16">
        <f t="shared" si="15"/>
        <v>0.38709677419354838</v>
      </c>
      <c r="N46" s="16">
        <f t="shared" si="16"/>
        <v>0.22580645161290325</v>
      </c>
      <c r="O46" s="1" t="str">
        <f t="shared" si="17"/>
        <v>R</v>
      </c>
      <c r="P46" s="17" t="str">
        <f>IF(Elect2008!O46=O46,"N","Y")</f>
        <v>N</v>
      </c>
      <c r="Q46" s="1">
        <f t="shared" si="18"/>
        <v>63</v>
      </c>
      <c r="R46" s="1">
        <f t="shared" si="18"/>
        <v>118</v>
      </c>
      <c r="S46" s="16">
        <f t="shared" si="19"/>
        <v>0.34806629834254144</v>
      </c>
      <c r="T46" s="16">
        <f t="shared" si="20"/>
        <v>0.30386740331491713</v>
      </c>
      <c r="U46" s="1" t="str">
        <f t="shared" si="21"/>
        <v>R</v>
      </c>
      <c r="V46" s="61" t="s">
        <v>19</v>
      </c>
      <c r="W46" s="1" t="str">
        <f t="shared" si="22"/>
        <v>U</v>
      </c>
      <c r="X46" s="1">
        <f>C46-Elect2008!C46</f>
        <v>-23</v>
      </c>
      <c r="Y46" s="1">
        <f>J46-Elect2008!J46</f>
        <v>0</v>
      </c>
      <c r="Z46" s="1">
        <f t="shared" si="11"/>
        <v>-23</v>
      </c>
    </row>
    <row r="47" spans="1:26" ht="16">
      <c r="A47" s="12" t="s">
        <v>74</v>
      </c>
      <c r="B47" s="13" t="s">
        <v>28</v>
      </c>
      <c r="C47" s="61">
        <v>17</v>
      </c>
      <c r="D47" s="61">
        <v>58</v>
      </c>
      <c r="E47" s="43">
        <v>75</v>
      </c>
      <c r="F47" s="16">
        <f t="shared" si="12"/>
        <v>0.22666666666666666</v>
      </c>
      <c r="G47" s="16">
        <f t="shared" si="13"/>
        <v>0.54666666666666663</v>
      </c>
      <c r="H47" s="1" t="str">
        <f t="shared" si="14"/>
        <v>R</v>
      </c>
      <c r="I47" s="17" t="str">
        <f>IF(Elect2008!H47=H47,"N","Y")</f>
        <v>N</v>
      </c>
      <c r="J47" s="61">
        <v>7</v>
      </c>
      <c r="K47" s="61">
        <v>22</v>
      </c>
      <c r="L47" s="43">
        <v>29</v>
      </c>
      <c r="M47" s="16">
        <f t="shared" si="15"/>
        <v>0.2413793103448276</v>
      </c>
      <c r="N47" s="16">
        <f t="shared" si="16"/>
        <v>0.51724137931034475</v>
      </c>
      <c r="O47" s="1" t="str">
        <f t="shared" si="17"/>
        <v>R</v>
      </c>
      <c r="P47" s="17" t="str">
        <f>IF(Elect2008!O47=O47,"N","Y")</f>
        <v>N</v>
      </c>
      <c r="Q47" s="1">
        <f t="shared" si="18"/>
        <v>24</v>
      </c>
      <c r="R47" s="1">
        <f t="shared" si="18"/>
        <v>80</v>
      </c>
      <c r="S47" s="16">
        <f t="shared" si="19"/>
        <v>0.23076923076923078</v>
      </c>
      <c r="T47" s="16">
        <f t="shared" si="20"/>
        <v>0.53846153846153832</v>
      </c>
      <c r="U47" s="1" t="str">
        <f t="shared" si="21"/>
        <v>R</v>
      </c>
      <c r="V47" s="61" t="s">
        <v>19</v>
      </c>
      <c r="W47" s="1" t="str">
        <f t="shared" si="22"/>
        <v>U</v>
      </c>
      <c r="X47" s="1">
        <f>C47-Elect2008!C47</f>
        <v>-5</v>
      </c>
      <c r="Y47" s="1">
        <f>J47-Elect2008!J47</f>
        <v>-1</v>
      </c>
      <c r="Z47" s="1">
        <f t="shared" si="11"/>
        <v>-6</v>
      </c>
    </row>
    <row r="48" spans="1:26" ht="16">
      <c r="A48" s="12" t="s">
        <v>75</v>
      </c>
      <c r="B48" s="13" t="s">
        <v>34</v>
      </c>
      <c r="C48" s="62">
        <v>92</v>
      </c>
      <c r="D48" s="62">
        <v>48</v>
      </c>
      <c r="E48" s="45">
        <v>150</v>
      </c>
      <c r="F48" s="16">
        <f t="shared" si="12"/>
        <v>0.61333333333333329</v>
      </c>
      <c r="G48" s="16">
        <f t="shared" si="13"/>
        <v>0.22666666666666657</v>
      </c>
      <c r="H48" s="1" t="str">
        <f t="shared" si="14"/>
        <v>D</v>
      </c>
      <c r="I48" s="17" t="str">
        <f>IF(Elect2008!H48=H48,"N","Y")</f>
        <v>N</v>
      </c>
      <c r="J48" s="62">
        <v>22</v>
      </c>
      <c r="K48" s="62">
        <v>8</v>
      </c>
      <c r="L48" s="45">
        <v>30</v>
      </c>
      <c r="M48" s="16">
        <f t="shared" si="15"/>
        <v>0.73333333333333328</v>
      </c>
      <c r="N48" s="16">
        <f t="shared" si="16"/>
        <v>0.46666666666666656</v>
      </c>
      <c r="O48" s="1" t="str">
        <f t="shared" si="17"/>
        <v>D</v>
      </c>
      <c r="P48" s="17" t="str">
        <f>IF(Elect2008!O48=O48,"N","Y")</f>
        <v>N</v>
      </c>
      <c r="Q48" s="1">
        <f t="shared" si="18"/>
        <v>114</v>
      </c>
      <c r="R48" s="1">
        <f t="shared" si="18"/>
        <v>56</v>
      </c>
      <c r="S48" s="16">
        <f t="shared" si="19"/>
        <v>0.6333333333333333</v>
      </c>
      <c r="T48" s="16">
        <f t="shared" si="20"/>
        <v>0.26666666666666661</v>
      </c>
      <c r="U48" s="1" t="str">
        <f t="shared" si="21"/>
        <v>D</v>
      </c>
      <c r="V48" s="62" t="s">
        <v>18</v>
      </c>
      <c r="W48" s="1" t="str">
        <f t="shared" si="22"/>
        <v>U</v>
      </c>
      <c r="X48" s="1">
        <f>C48-Elect2008!C48</f>
        <v>-3</v>
      </c>
      <c r="Y48" s="1">
        <f>J48-Elect2008!J48</f>
        <v>-1</v>
      </c>
      <c r="Z48" s="1">
        <f t="shared" si="11"/>
        <v>-4</v>
      </c>
    </row>
    <row r="49" spans="1:26" ht="16">
      <c r="A49" s="12" t="s">
        <v>76</v>
      </c>
      <c r="B49" s="13" t="s">
        <v>26</v>
      </c>
      <c r="C49" s="61">
        <v>39</v>
      </c>
      <c r="D49" s="61">
        <v>59</v>
      </c>
      <c r="E49" s="43">
        <v>100</v>
      </c>
      <c r="F49" s="16">
        <f t="shared" si="12"/>
        <v>0.39</v>
      </c>
      <c r="G49" s="16">
        <f t="shared" si="13"/>
        <v>0.21999999999999997</v>
      </c>
      <c r="H49" s="1" t="str">
        <f t="shared" si="14"/>
        <v>R</v>
      </c>
      <c r="I49" s="17" t="str">
        <f>IF(Elect2008!H49=H49,"N","Y")</f>
        <v>N</v>
      </c>
      <c r="J49" s="61">
        <v>22</v>
      </c>
      <c r="K49" s="61">
        <v>18</v>
      </c>
      <c r="L49" s="43">
        <v>40</v>
      </c>
      <c r="M49" s="16">
        <f t="shared" si="15"/>
        <v>0.55000000000000004</v>
      </c>
      <c r="N49" s="16">
        <f t="shared" si="16"/>
        <v>0.10000000000000009</v>
      </c>
      <c r="O49" s="1" t="str">
        <f t="shared" si="17"/>
        <v>D</v>
      </c>
      <c r="P49" s="17" t="str">
        <f>IF(Elect2008!O49=O49,"N","Y")</f>
        <v>N</v>
      </c>
      <c r="Q49" s="1">
        <f t="shared" si="18"/>
        <v>61</v>
      </c>
      <c r="R49" s="1">
        <f t="shared" si="18"/>
        <v>77</v>
      </c>
      <c r="S49" s="16">
        <f t="shared" si="19"/>
        <v>0.43571428571428572</v>
      </c>
      <c r="T49" s="16">
        <f t="shared" si="20"/>
        <v>0.12857142857142856</v>
      </c>
      <c r="U49" s="1" t="str">
        <f t="shared" si="21"/>
        <v>S</v>
      </c>
      <c r="V49" s="61" t="s">
        <v>19</v>
      </c>
      <c r="W49" s="1" t="str">
        <f t="shared" si="22"/>
        <v>D</v>
      </c>
      <c r="X49" s="1">
        <f>C49-Elect2008!C49</f>
        <v>-5</v>
      </c>
      <c r="Y49" s="1">
        <f>J49-Elect2008!J49</f>
        <v>1</v>
      </c>
      <c r="Z49" s="1">
        <f t="shared" si="11"/>
        <v>-4</v>
      </c>
    </row>
    <row r="50" spans="1:26" ht="16">
      <c r="A50" s="12" t="s">
        <v>77</v>
      </c>
      <c r="B50" s="13" t="s">
        <v>28</v>
      </c>
      <c r="C50" s="61">
        <v>55</v>
      </c>
      <c r="D50" s="61">
        <v>42</v>
      </c>
      <c r="E50" s="43">
        <v>98</v>
      </c>
      <c r="F50" s="16">
        <f t="shared" si="12"/>
        <v>0.56122448979591832</v>
      </c>
      <c r="G50" s="16">
        <f t="shared" si="13"/>
        <v>0.12244897959183665</v>
      </c>
      <c r="H50" s="1" t="str">
        <f t="shared" si="14"/>
        <v>D</v>
      </c>
      <c r="I50" s="17" t="str">
        <f>IF(Elect2008!H50=H50,"N","Y")</f>
        <v>N</v>
      </c>
      <c r="J50" s="61">
        <v>27</v>
      </c>
      <c r="K50" s="61">
        <v>22</v>
      </c>
      <c r="L50" s="43">
        <v>49</v>
      </c>
      <c r="M50" s="16">
        <f t="shared" si="15"/>
        <v>0.55102040816326525</v>
      </c>
      <c r="N50" s="16">
        <f t="shared" si="16"/>
        <v>0.1020408163265305</v>
      </c>
      <c r="O50" s="1" t="str">
        <f t="shared" si="17"/>
        <v>D</v>
      </c>
      <c r="P50" s="17" t="str">
        <f>IF(Elect2008!O50=O50,"N","Y")</f>
        <v>N</v>
      </c>
      <c r="Q50" s="1">
        <f t="shared" si="18"/>
        <v>82</v>
      </c>
      <c r="R50" s="1">
        <f t="shared" si="18"/>
        <v>64</v>
      </c>
      <c r="S50" s="16">
        <f t="shared" si="19"/>
        <v>0.55782312925170063</v>
      </c>
      <c r="T50" s="16">
        <f t="shared" si="20"/>
        <v>0.11564625850340127</v>
      </c>
      <c r="U50" s="1" t="str">
        <f t="shared" si="21"/>
        <v>D</v>
      </c>
      <c r="V50" s="61" t="s">
        <v>18</v>
      </c>
      <c r="W50" s="1" t="str">
        <f t="shared" si="22"/>
        <v>U</v>
      </c>
      <c r="X50" s="1">
        <f>C50-Elect2008!C50</f>
        <v>-9</v>
      </c>
      <c r="Y50" s="1">
        <f>J50-Elect2008!J50</f>
        <v>-4</v>
      </c>
      <c r="Z50" s="1">
        <f t="shared" si="11"/>
        <v>-13</v>
      </c>
    </row>
    <row r="51" spans="1:26" ht="16">
      <c r="A51" s="12" t="s">
        <v>78</v>
      </c>
      <c r="B51" s="13" t="s">
        <v>26</v>
      </c>
      <c r="C51" s="61">
        <v>64</v>
      </c>
      <c r="D51" s="61">
        <v>36</v>
      </c>
      <c r="E51" s="43">
        <v>100</v>
      </c>
      <c r="F51" s="16">
        <f t="shared" si="12"/>
        <v>0.64</v>
      </c>
      <c r="G51" s="16">
        <f t="shared" si="13"/>
        <v>0.28000000000000003</v>
      </c>
      <c r="H51" s="1" t="str">
        <f t="shared" si="14"/>
        <v>D</v>
      </c>
      <c r="I51" s="17" t="str">
        <f>IF(Elect2008!H51=H51,"N","Y")</f>
        <v>N</v>
      </c>
      <c r="J51" s="61">
        <v>28</v>
      </c>
      <c r="K51" s="61">
        <v>6</v>
      </c>
      <c r="L51" s="43">
        <v>34</v>
      </c>
      <c r="M51" s="16">
        <f t="shared" si="15"/>
        <v>0.82352941176470584</v>
      </c>
      <c r="N51" s="16">
        <f t="shared" si="16"/>
        <v>0.64705882352941169</v>
      </c>
      <c r="O51" s="1" t="str">
        <f t="shared" si="17"/>
        <v>D</v>
      </c>
      <c r="P51" s="17" t="str">
        <f>IF(Elect2008!O51=O51,"N","Y")</f>
        <v>N</v>
      </c>
      <c r="Q51" s="1">
        <f t="shared" si="18"/>
        <v>92</v>
      </c>
      <c r="R51" s="1">
        <f t="shared" si="18"/>
        <v>42</v>
      </c>
      <c r="S51" s="16">
        <f t="shared" si="19"/>
        <v>0.68656716417910446</v>
      </c>
      <c r="T51" s="16">
        <f t="shared" si="20"/>
        <v>0.37313432835820892</v>
      </c>
      <c r="U51" s="1" t="str">
        <f t="shared" si="21"/>
        <v>D</v>
      </c>
      <c r="V51" s="61" t="s">
        <v>18</v>
      </c>
      <c r="W51" s="1" t="str">
        <f t="shared" si="22"/>
        <v>U</v>
      </c>
      <c r="X51" s="1">
        <f>C51-Elect2008!C51</f>
        <v>-15</v>
      </c>
      <c r="Y51" s="1">
        <f>J51-Elect2008!J51</f>
        <v>0</v>
      </c>
      <c r="Z51" s="1">
        <f t="shared" si="11"/>
        <v>-15</v>
      </c>
    </row>
    <row r="52" spans="1:26" ht="16">
      <c r="A52" s="12" t="s">
        <v>79</v>
      </c>
      <c r="B52" s="13" t="s">
        <v>41</v>
      </c>
      <c r="C52" s="61">
        <v>38</v>
      </c>
      <c r="D52" s="61">
        <v>60</v>
      </c>
      <c r="E52" s="43">
        <v>99</v>
      </c>
      <c r="F52" s="16">
        <f t="shared" si="12"/>
        <v>0.38383838383838381</v>
      </c>
      <c r="G52" s="16">
        <f t="shared" si="13"/>
        <v>0.23232323232323232</v>
      </c>
      <c r="H52" s="1" t="str">
        <f t="shared" si="14"/>
        <v>R</v>
      </c>
      <c r="I52" s="17" t="str">
        <f>IF(Elect2008!H52=H52,"N","Y")</f>
        <v>Y</v>
      </c>
      <c r="J52" s="61">
        <v>14</v>
      </c>
      <c r="K52" s="61">
        <v>19</v>
      </c>
      <c r="L52" s="43">
        <v>33</v>
      </c>
      <c r="M52" s="16">
        <f t="shared" si="15"/>
        <v>0.42424242424242425</v>
      </c>
      <c r="N52" s="16">
        <f t="shared" si="16"/>
        <v>0.15151515151515144</v>
      </c>
      <c r="O52" s="1" t="str">
        <f t="shared" si="17"/>
        <v>R</v>
      </c>
      <c r="P52" s="17" t="str">
        <f>IF(Elect2008!O52=O52,"N","Y")</f>
        <v>Y</v>
      </c>
      <c r="Q52" s="1">
        <f t="shared" si="18"/>
        <v>52</v>
      </c>
      <c r="R52" s="1">
        <f t="shared" si="18"/>
        <v>79</v>
      </c>
      <c r="S52" s="16">
        <f t="shared" si="19"/>
        <v>0.39393939393939392</v>
      </c>
      <c r="T52" s="16">
        <f t="shared" si="20"/>
        <v>0.21212121212121215</v>
      </c>
      <c r="U52" s="1" t="str">
        <f t="shared" si="21"/>
        <v>R</v>
      </c>
      <c r="V52" s="61" t="s">
        <v>19</v>
      </c>
      <c r="W52" s="1" t="str">
        <f t="shared" si="22"/>
        <v>U</v>
      </c>
      <c r="X52" s="1">
        <f>C52-Elect2008!C52</f>
        <v>-14</v>
      </c>
      <c r="Y52" s="1">
        <f>J52-Elect2008!J52</f>
        <v>-4</v>
      </c>
      <c r="Z52" s="1">
        <f t="shared" si="11"/>
        <v>-18</v>
      </c>
    </row>
    <row r="53" spans="1:26" ht="17" thickBot="1">
      <c r="A53" s="12" t="s">
        <v>80</v>
      </c>
      <c r="B53" s="13" t="s">
        <v>28</v>
      </c>
      <c r="C53" s="61">
        <v>10</v>
      </c>
      <c r="D53" s="61">
        <v>50</v>
      </c>
      <c r="E53" s="1">
        <v>60</v>
      </c>
      <c r="F53" s="16">
        <f t="shared" si="12"/>
        <v>0.16666666666666666</v>
      </c>
      <c r="G53" s="16">
        <f t="shared" si="13"/>
        <v>0.66666666666666674</v>
      </c>
      <c r="H53" s="1" t="str">
        <f t="shared" si="14"/>
        <v>R</v>
      </c>
      <c r="I53" s="17" t="str">
        <f>IF(Elect2008!H53=H53,"N","Y")</f>
        <v>N</v>
      </c>
      <c r="J53" s="61">
        <v>4</v>
      </c>
      <c r="K53" s="61">
        <v>26</v>
      </c>
      <c r="L53" s="43">
        <v>30</v>
      </c>
      <c r="M53" s="16">
        <f t="shared" si="15"/>
        <v>0.13333333333333333</v>
      </c>
      <c r="N53" s="16">
        <f t="shared" si="16"/>
        <v>0.73333333333333339</v>
      </c>
      <c r="O53" s="1" t="str">
        <f t="shared" si="17"/>
        <v>R</v>
      </c>
      <c r="P53" s="17" t="str">
        <f>IF(Elect2008!O53=O53,"N","Y")</f>
        <v>N</v>
      </c>
      <c r="Q53" s="1">
        <f t="shared" si="18"/>
        <v>14</v>
      </c>
      <c r="R53" s="50">
        <f t="shared" si="18"/>
        <v>76</v>
      </c>
      <c r="S53" s="25">
        <f t="shared" si="19"/>
        <v>0.15555555555555556</v>
      </c>
      <c r="T53" s="26">
        <f t="shared" si="20"/>
        <v>0.68888888888888888</v>
      </c>
      <c r="U53" s="1" t="str">
        <f t="shared" si="21"/>
        <v>R</v>
      </c>
      <c r="V53" s="61" t="s">
        <v>19</v>
      </c>
      <c r="W53" s="1" t="str">
        <f t="shared" si="22"/>
        <v>U</v>
      </c>
      <c r="X53" s="1">
        <f>C53-Elect2008!C53</f>
        <v>-9</v>
      </c>
      <c r="Y53" s="1">
        <f>J53-Elect2008!J53</f>
        <v>-3</v>
      </c>
      <c r="Z53" s="1">
        <f t="shared" si="11"/>
        <v>-12</v>
      </c>
    </row>
    <row r="54" spans="1:26" ht="14" thickBot="1">
      <c r="A54" s="27" t="s">
        <v>81</v>
      </c>
      <c r="B54" s="28"/>
      <c r="C54" s="60">
        <f>SUM(C4:C53)</f>
        <v>2477</v>
      </c>
      <c r="D54" s="60">
        <f>SUM(D4:D53)</f>
        <v>2903</v>
      </c>
      <c r="E54" s="29">
        <f>SUM(E3:E53)</f>
        <v>5411</v>
      </c>
      <c r="F54" s="30">
        <f t="shared" si="12"/>
        <v>0.45777120680096101</v>
      </c>
      <c r="G54" s="30"/>
      <c r="H54" s="31"/>
      <c r="I54" s="32"/>
      <c r="J54" s="29">
        <f>SUM(J3:J53)</f>
        <v>897</v>
      </c>
      <c r="K54" s="29">
        <f>SUM(K3:K53)</f>
        <v>1021</v>
      </c>
      <c r="L54" s="29">
        <f>SUM(L3:L53)</f>
        <v>1922</v>
      </c>
      <c r="M54" s="30">
        <f t="shared" si="15"/>
        <v>0.46670135275754421</v>
      </c>
      <c r="N54" s="30"/>
      <c r="O54" s="31"/>
      <c r="P54" s="32"/>
      <c r="Q54" s="33">
        <f>SUM(Q4:Q53)</f>
        <v>3374</v>
      </c>
      <c r="R54" s="1">
        <f>D54+K54</f>
        <v>3924</v>
      </c>
      <c r="S54" s="16">
        <f t="shared" si="19"/>
        <v>0.46011182326469385</v>
      </c>
      <c r="T54" s="34">
        <f>AVERAGE(T4:T53)</f>
        <v>0.28354693306299938</v>
      </c>
      <c r="U54" s="31"/>
      <c r="X54" s="33">
        <f t="shared" ref="X54:Z54" si="23">SUM(X4:X53)</f>
        <v>-581</v>
      </c>
      <c r="Y54" s="33">
        <f t="shared" si="23"/>
        <v>-127</v>
      </c>
      <c r="Z54" s="33">
        <f t="shared" si="23"/>
        <v>-708</v>
      </c>
    </row>
    <row r="55" spans="1:26">
      <c r="A55" s="35"/>
      <c r="B55" s="35"/>
      <c r="C55" s="36"/>
      <c r="D55" s="36"/>
      <c r="E55" s="36"/>
      <c r="F55" s="16"/>
      <c r="G55" s="16"/>
      <c r="J55" s="36"/>
      <c r="K55" s="36"/>
      <c r="L55" s="36"/>
      <c r="M55" s="16"/>
      <c r="Q55" s="37"/>
      <c r="R55" s="37"/>
      <c r="S55" s="16"/>
      <c r="T55" s="16"/>
    </row>
    <row r="56" spans="1:26">
      <c r="A56" s="38" t="s">
        <v>113</v>
      </c>
    </row>
    <row r="57" spans="1:26">
      <c r="A57" s="1" t="s">
        <v>83</v>
      </c>
      <c r="C57" s="37">
        <f>DSUM(_xlnm.Database,C3,critRGS)</f>
        <v>806</v>
      </c>
      <c r="D57" s="37"/>
      <c r="E57" s="37">
        <f>DSUM(_xlnm.Database,E3,critRGS)</f>
        <v>1767</v>
      </c>
      <c r="F57" s="16">
        <f>C57/E57</f>
        <v>0.45614035087719296</v>
      </c>
      <c r="J57" s="37">
        <f>DSUM(_xlnm.Database,J3,critRGS)</f>
        <v>296</v>
      </c>
      <c r="K57" s="37"/>
      <c r="L57" s="37">
        <f>DSUM(_xlnm.Database,L3,critRGS)</f>
        <v>624</v>
      </c>
      <c r="M57" s="16">
        <f>J57/L57</f>
        <v>0.47435897435897434</v>
      </c>
      <c r="Q57" s="37">
        <f>DSUM(_xlnm.Database,Q3,critRGS)</f>
        <v>1102</v>
      </c>
      <c r="R57" s="37"/>
      <c r="S57" s="16">
        <f>Q57/(E57+L57)</f>
        <v>0.46089502300292767</v>
      </c>
      <c r="T57" s="16"/>
    </row>
    <row r="58" spans="1:26">
      <c r="A58" s="1" t="s">
        <v>84</v>
      </c>
      <c r="C58" s="37">
        <f>DSUM(_xlnm.Database,C3,CritRGN)</f>
        <v>1671</v>
      </c>
      <c r="D58" s="37"/>
      <c r="E58" s="37">
        <f>DSUM(_xlnm.Database,E3,CritRGN)</f>
        <v>3644</v>
      </c>
      <c r="F58" s="16">
        <f>C58/E58</f>
        <v>0.45856201975850713</v>
      </c>
      <c r="J58" s="37">
        <f>DSUM(_xlnm.Database,J3,CritRGN)</f>
        <v>601</v>
      </c>
      <c r="K58" s="37"/>
      <c r="L58" s="37">
        <f>DSUM(_xlnm.Database,L3,CritRGN)</f>
        <v>1298</v>
      </c>
      <c r="M58" s="16">
        <f>J58/L58</f>
        <v>0.463020030816641</v>
      </c>
      <c r="Q58" s="37">
        <f>DSUM(_xlnm.Database,Q3,CritRGN)</f>
        <v>2272</v>
      </c>
      <c r="R58" s="37"/>
      <c r="S58" s="16">
        <f>Q58/(E58+L58)</f>
        <v>0.4597329016592473</v>
      </c>
      <c r="T58" s="16"/>
    </row>
    <row r="59" spans="1:26">
      <c r="A59" s="1" t="s">
        <v>85</v>
      </c>
      <c r="C59" s="37">
        <f>DSUM(_xlnm.Database,C3,CRITE)</f>
        <v>824</v>
      </c>
      <c r="D59" s="37"/>
      <c r="E59" s="37">
        <f>DSUM(_xlnm.Database,E3,CRITE)</f>
        <v>1561</v>
      </c>
      <c r="F59" s="16">
        <f>C59/E59</f>
        <v>0.52786675208199874</v>
      </c>
      <c r="J59" s="37">
        <f>DSUM(_xlnm.Database,J3,CRITE)</f>
        <v>217</v>
      </c>
      <c r="K59" s="37"/>
      <c r="L59" s="37">
        <f>DSUM(_xlnm.Database,L3,CRITE)</f>
        <v>376</v>
      </c>
      <c r="M59" s="16">
        <f>J59/L59</f>
        <v>0.5771276595744681</v>
      </c>
      <c r="Q59" s="37">
        <f>DSUM(_xlnm.Database,Q3,CRITE)</f>
        <v>1041</v>
      </c>
      <c r="R59" s="37"/>
      <c r="S59" s="16">
        <f>Q59/(E59+L59)</f>
        <v>0.53742901393908105</v>
      </c>
      <c r="T59" s="16"/>
    </row>
    <row r="60" spans="1:26">
      <c r="A60" s="1" t="s">
        <v>86</v>
      </c>
      <c r="C60" s="37">
        <f>DSUM(_xlnm.Database,C3,CRITM)</f>
        <v>465</v>
      </c>
      <c r="D60" s="37"/>
      <c r="E60" s="37">
        <f>DSUM(_xlnm.Database,E3,CRITM)</f>
        <v>1212</v>
      </c>
      <c r="F60" s="16">
        <f>C60/E60</f>
        <v>0.38366336633663367</v>
      </c>
      <c r="J60" s="37">
        <f>DSUM(_xlnm.Database,J3,CRITM)</f>
        <v>175</v>
      </c>
      <c r="K60" s="37"/>
      <c r="L60" s="37">
        <f>DSUM(_xlnm.Database,L3,CRITM)</f>
        <v>486</v>
      </c>
      <c r="M60" s="16">
        <f>J60/L60</f>
        <v>0.360082304526749</v>
      </c>
      <c r="Q60" s="37">
        <f>DSUM(_xlnm.Database,Q3,CRITM)</f>
        <v>640</v>
      </c>
      <c r="R60" s="37"/>
      <c r="S60" s="16">
        <f>Q60/(E60+L60)</f>
        <v>0.37691401648998824</v>
      </c>
      <c r="T60" s="16"/>
    </row>
    <row r="61" spans="1:26">
      <c r="A61" s="1" t="s">
        <v>87</v>
      </c>
      <c r="C61" s="37">
        <f>DSUM(_xlnm.Database,C3,CRITW)</f>
        <v>382</v>
      </c>
      <c r="D61" s="37"/>
      <c r="E61" s="37">
        <f>DSUM(_xlnm.Database,E3,CRITW)</f>
        <v>871</v>
      </c>
      <c r="F61" s="16">
        <f>C61/E61</f>
        <v>0.43857634902411025</v>
      </c>
      <c r="J61" s="37">
        <f>DSUM(_xlnm.Database,J3,CRITW)</f>
        <v>209</v>
      </c>
      <c r="K61" s="37"/>
      <c r="L61" s="37">
        <f>DSUM(_xlnm.Database,L3,CRITW)</f>
        <v>436</v>
      </c>
      <c r="M61" s="16">
        <f>J61/L61</f>
        <v>0.47935779816513763</v>
      </c>
      <c r="Q61" s="37">
        <f>DSUM(_xlnm.Database,Q3,CRITW)</f>
        <v>591</v>
      </c>
      <c r="R61" s="37"/>
      <c r="S61" s="16">
        <f>Q61/(E61+L61)</f>
        <v>0.4521805661820964</v>
      </c>
      <c r="T61" s="16"/>
    </row>
    <row r="62" spans="1:26">
      <c r="F62" s="16"/>
      <c r="M62" s="16"/>
      <c r="S62" s="16"/>
      <c r="T62" s="16"/>
    </row>
    <row r="63" spans="1:26">
      <c r="F63" s="16"/>
      <c r="M63" s="16"/>
      <c r="S63" s="16"/>
      <c r="T63" s="16"/>
    </row>
    <row r="64" spans="1:26">
      <c r="A64" s="38" t="s">
        <v>114</v>
      </c>
      <c r="C64" s="51" t="s">
        <v>89</v>
      </c>
      <c r="D64" s="51"/>
      <c r="E64" s="51" t="s">
        <v>26</v>
      </c>
      <c r="F64" s="51" t="s">
        <v>90</v>
      </c>
      <c r="M64" s="16"/>
      <c r="S64" s="16"/>
      <c r="T64" s="16"/>
    </row>
    <row r="65" spans="1:20">
      <c r="A65" s="35" t="s">
        <v>81</v>
      </c>
      <c r="C65" s="40">
        <f>C54-Elect2008!C54</f>
        <v>-581</v>
      </c>
      <c r="D65" s="40"/>
      <c r="E65" s="40">
        <f>J54-Elect2008!J54</f>
        <v>-127</v>
      </c>
      <c r="F65" s="40">
        <f>Q54-Elect2008!Q54</f>
        <v>-708</v>
      </c>
      <c r="M65" s="16"/>
      <c r="S65" s="16"/>
      <c r="T65" s="16"/>
    </row>
    <row r="66" spans="1:20">
      <c r="A66" s="1" t="s">
        <v>83</v>
      </c>
      <c r="C66" s="40">
        <f>C57-Elect2008!C57</f>
        <v>-147</v>
      </c>
      <c r="D66" s="40"/>
      <c r="E66" s="40">
        <f>J57-Elect2008!J57</f>
        <v>-31</v>
      </c>
      <c r="F66" s="40">
        <f>Q57-Elect2008!Q57</f>
        <v>-178</v>
      </c>
      <c r="M66" s="16"/>
      <c r="S66" s="16"/>
      <c r="T66" s="16"/>
    </row>
    <row r="67" spans="1:20">
      <c r="A67" s="1" t="s">
        <v>85</v>
      </c>
      <c r="C67" s="40">
        <f>C59-Elect2008!C59</f>
        <v>-204</v>
      </c>
      <c r="D67" s="40"/>
      <c r="E67" s="40">
        <f>J59-Elect2008!J59</f>
        <v>-23</v>
      </c>
      <c r="F67" s="40">
        <f>Q59-Elect2008!Q59</f>
        <v>-227</v>
      </c>
      <c r="M67" s="16"/>
      <c r="S67" s="16"/>
      <c r="T67" s="16"/>
    </row>
    <row r="68" spans="1:20">
      <c r="A68" s="1" t="s">
        <v>86</v>
      </c>
      <c r="C68" s="40">
        <f>C60-Elect2008!C60</f>
        <v>-155</v>
      </c>
      <c r="D68" s="40"/>
      <c r="E68" s="40">
        <f>J60-Elect2008!J60</f>
        <v>-58</v>
      </c>
      <c r="F68" s="40">
        <f>Q60-Elect2008!Q60</f>
        <v>-213</v>
      </c>
      <c r="M68" s="16"/>
      <c r="S68" s="16"/>
      <c r="T68" s="16"/>
    </row>
    <row r="69" spans="1:20">
      <c r="A69" s="1" t="s">
        <v>87</v>
      </c>
      <c r="C69" s="40">
        <f>C61-Elect2008!C61</f>
        <v>-75</v>
      </c>
      <c r="D69" s="40"/>
      <c r="E69" s="40">
        <f>J61-Elect2008!J61</f>
        <v>-15</v>
      </c>
      <c r="F69" s="40">
        <f>Q61-Elect2008!Q61</f>
        <v>-90</v>
      </c>
      <c r="M69" s="16"/>
      <c r="S69" s="16"/>
      <c r="T69" s="16"/>
    </row>
    <row r="70" spans="1:20">
      <c r="F70" s="16"/>
      <c r="M70" s="16"/>
      <c r="S70" s="16"/>
      <c r="T70" s="16"/>
    </row>
    <row r="71" spans="1:20">
      <c r="G71" s="8"/>
    </row>
    <row r="72" spans="1:20">
      <c r="A72" s="38" t="s">
        <v>91</v>
      </c>
      <c r="F72" s="1">
        <f>DCOUNTA(_xlnm.Database,"Div?",critdiv)</f>
        <v>18</v>
      </c>
    </row>
    <row r="73" spans="1:20">
      <c r="A73" s="38"/>
    </row>
    <row r="74" spans="1:20">
      <c r="A74" s="38" t="s">
        <v>92</v>
      </c>
      <c r="C74" s="1">
        <f>DCOUNTA(_xlnm.Database,"HSwch",CritHSwch)</f>
        <v>13</v>
      </c>
      <c r="E74" s="1">
        <f>DCOUNTA(_xlnm.Database,"sSwch",CritSSwch)</f>
        <v>7</v>
      </c>
      <c r="F74" s="1">
        <f>SUM(C74:E74)</f>
        <v>20</v>
      </c>
    </row>
    <row r="75" spans="1:20">
      <c r="A75" s="38"/>
      <c r="H75" s="1" t="s">
        <v>110</v>
      </c>
    </row>
    <row r="76" spans="1:20">
      <c r="A76" s="38" t="s">
        <v>115</v>
      </c>
      <c r="C76" s="1">
        <f>DCOUNTA(_xlnm.Database,"hCntrl",CritHCntrlD)</f>
        <v>19</v>
      </c>
      <c r="E76" s="1">
        <f>DCOUNTA(_xlnm.Database,"sCntrl",CritSCntrlD)</f>
        <v>21</v>
      </c>
      <c r="F76" s="1">
        <f>DCOUNTA(_xlnm.Database,"TCntrl",CritTCntrlD)</f>
        <v>17</v>
      </c>
      <c r="H76" s="1">
        <f>C76+E76</f>
        <v>40</v>
      </c>
    </row>
    <row r="77" spans="1:20">
      <c r="A77" s="38" t="s">
        <v>116</v>
      </c>
      <c r="C77" s="1">
        <f>DCOUNTA(_xlnm.Database,"HCntrl",critHCntrlR)</f>
        <v>29</v>
      </c>
      <c r="E77" s="1">
        <f>DCOUNTA(_xlnm.Database,"sCntrl",CritSCntrlR)</f>
        <v>27</v>
      </c>
      <c r="F77" s="1">
        <f>DCOUNTA(_xlnm.Database,"TCntrl",CritTCntrlR)</f>
        <v>25</v>
      </c>
      <c r="H77" s="1">
        <f>C77+E77</f>
        <v>56</v>
      </c>
    </row>
    <row r="78" spans="1:20">
      <c r="A78" s="38" t="s">
        <v>95</v>
      </c>
      <c r="F78" s="1">
        <f>DCOUNTA(_xlnm.Database,"TCntrl",CritTCntrlS)</f>
        <v>7</v>
      </c>
    </row>
    <row r="79" spans="1:20">
      <c r="A79" s="38"/>
    </row>
    <row r="80" spans="1:20">
      <c r="A80" s="38" t="s">
        <v>117</v>
      </c>
      <c r="F80" s="1">
        <f>DCOUNTA(_xlnm.Database,"Gov",CritGovD)</f>
        <v>20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0.23196289489414212</v>
      </c>
      <c r="D84" s="16"/>
      <c r="E84" s="16">
        <f>DAVERAGE(_xlnm.Database,"SMargin",critRGS)</f>
        <v>0.27143321142463628</v>
      </c>
      <c r="F84" s="16">
        <f>DAVERAGE(_xlnm.Database,"Margin",critRGS)</f>
        <v>0.22769926233260193</v>
      </c>
      <c r="G84" s="16"/>
    </row>
    <row r="85" spans="1:20">
      <c r="A85" s="1" t="s">
        <v>84</v>
      </c>
      <c r="C85" s="16">
        <f>DAVERAGE(_xlnm.Database,"HMargin",CritRGN)</f>
        <v>0.30088146628478962</v>
      </c>
      <c r="D85" s="16"/>
      <c r="E85" s="16">
        <f>DAVERAGE(_xlnm.Database,"SMargin",CritRGN)</f>
        <v>0.34311376026168233</v>
      </c>
      <c r="F85" s="16">
        <f>DAVERAGE(_xlnm.Database,"Margin",CritRGN)</f>
        <v>0.30818561132641004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0.46753046533218073</v>
      </c>
    </row>
    <row r="88" spans="1:20">
      <c r="A88" s="41" t="s">
        <v>98</v>
      </c>
      <c r="T88" s="16">
        <f>AVERAGE(T4:T53)</f>
        <v>0.28354693306299938</v>
      </c>
    </row>
    <row r="89" spans="1:20">
      <c r="A89" s="1" t="s">
        <v>99</v>
      </c>
      <c r="C89" s="1">
        <f>DCOUNT(_xlnm.Database,F3,CritHD55)</f>
        <v>7</v>
      </c>
      <c r="E89" s="1">
        <f>DCOUNT(_xlnm.Database,M3,CritSD55)</f>
        <v>6</v>
      </c>
      <c r="F89" s="1">
        <f>SUM(C89:E89)</f>
        <v>13</v>
      </c>
    </row>
    <row r="92" spans="1:20">
      <c r="A92" s="41" t="s">
        <v>118</v>
      </c>
      <c r="C92" s="1">
        <f>DCOUNTA(_xlnm.Database,"Div?",CritUnifD)</f>
        <v>11</v>
      </c>
    </row>
    <row r="93" spans="1:20">
      <c r="A93" s="41" t="s">
        <v>119</v>
      </c>
      <c r="C93" s="1">
        <f>DCOUNTA(_xlnm.Database,"Div?",CritUnifR)</f>
        <v>20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B3C7-CF8E-447B-B4F7-973E8BF5FF43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1" width="5.5" style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2012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120</v>
      </c>
      <c r="R3" s="8" t="s">
        <v>121</v>
      </c>
      <c r="S3" s="9" t="s">
        <v>122</v>
      </c>
      <c r="T3" s="8" t="s">
        <v>123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 ht="16">
      <c r="A4" s="12" t="s">
        <v>25</v>
      </c>
      <c r="B4" s="13" t="s">
        <v>26</v>
      </c>
      <c r="C4" s="66">
        <v>39</v>
      </c>
      <c r="D4" s="66">
        <v>64</v>
      </c>
      <c r="E4" s="43">
        <v>105</v>
      </c>
      <c r="F4" s="16">
        <f t="shared" ref="F4:F29" si="0">C4/E4</f>
        <v>0.37142857142857144</v>
      </c>
      <c r="G4" s="16">
        <f t="shared" ref="G4:G29" si="1">ABS(F4-(1-F4))</f>
        <v>0.25714285714285712</v>
      </c>
      <c r="H4" s="1" t="str">
        <f t="shared" ref="H4:H29" si="2">IF(F4&gt;0.5,"D",IF(F4=0.5,"T","R"))</f>
        <v>R</v>
      </c>
      <c r="I4" s="17" t="str">
        <f>IF(Elect2010!H4=H4,"N","Y")</f>
        <v>N</v>
      </c>
      <c r="J4" s="66">
        <v>11</v>
      </c>
      <c r="K4" s="66">
        <v>23</v>
      </c>
      <c r="L4" s="43">
        <v>35</v>
      </c>
      <c r="M4" s="16">
        <f t="shared" ref="M4:M29" si="3">J4/L4</f>
        <v>0.31428571428571428</v>
      </c>
      <c r="N4" s="16">
        <f t="shared" ref="N4:N29" si="4">ABS(M4-(1-M4))</f>
        <v>0.37142857142857144</v>
      </c>
      <c r="O4" s="1" t="str">
        <f t="shared" ref="O4:O29" si="5">IF(M4&gt;0.5,"D",IF(M4=0.5,"T","R"))</f>
        <v>R</v>
      </c>
      <c r="P4" s="17" t="str">
        <f>IF(Elect2010!O4=O4,"N","Y")</f>
        <v>N</v>
      </c>
      <c r="Q4" s="1">
        <f t="shared" ref="Q4:R29" si="6">C4+J4</f>
        <v>50</v>
      </c>
      <c r="R4" s="1">
        <f t="shared" si="6"/>
        <v>87</v>
      </c>
      <c r="S4" s="16">
        <f t="shared" ref="S4:S29" si="7">Q4/(E4+L4)</f>
        <v>0.35714285714285715</v>
      </c>
      <c r="T4" s="16">
        <f t="shared" ref="T4:T29" si="8">ABS(S4-(1-S4))</f>
        <v>0.28571428571428564</v>
      </c>
      <c r="U4" s="1" t="str">
        <f t="shared" ref="U4:U29" si="9">IF(H4=O4,O4,"S")</f>
        <v>R</v>
      </c>
      <c r="V4" s="61" t="s">
        <v>19</v>
      </c>
      <c r="W4" s="1" t="str">
        <f t="shared" ref="W4:W29" si="10">IF(V4=U4,"U","D")</f>
        <v>U</v>
      </c>
      <c r="X4" s="1">
        <f>C4-Elect2010!C4</f>
        <v>-4</v>
      </c>
      <c r="Y4" s="1">
        <f>J4-Elect2010!J4</f>
        <v>-1</v>
      </c>
      <c r="Z4" s="1">
        <f t="shared" ref="Z4:Z29" si="11">X4+Y4</f>
        <v>-5</v>
      </c>
    </row>
    <row r="5" spans="1:26" ht="16">
      <c r="A5" s="12" t="s">
        <v>27</v>
      </c>
      <c r="B5" s="13" t="s">
        <v>28</v>
      </c>
      <c r="C5" s="66">
        <v>15</v>
      </c>
      <c r="D5" s="66">
        <v>25</v>
      </c>
      <c r="E5" s="43">
        <v>40</v>
      </c>
      <c r="F5" s="16">
        <f t="shared" si="0"/>
        <v>0.375</v>
      </c>
      <c r="G5" s="16">
        <f t="shared" si="1"/>
        <v>0.25</v>
      </c>
      <c r="H5" s="1" t="str">
        <f t="shared" si="2"/>
        <v>R</v>
      </c>
      <c r="I5" s="17" t="str">
        <f>IF(Elect2010!H5=H5,"N","Y")</f>
        <v>N</v>
      </c>
      <c r="J5" s="66">
        <v>7</v>
      </c>
      <c r="K5" s="66">
        <v>13</v>
      </c>
      <c r="L5" s="43">
        <v>20</v>
      </c>
      <c r="M5" s="16">
        <f t="shared" si="3"/>
        <v>0.35</v>
      </c>
      <c r="N5" s="16">
        <f t="shared" si="4"/>
        <v>0.30000000000000004</v>
      </c>
      <c r="O5" s="1" t="str">
        <f t="shared" si="5"/>
        <v>R</v>
      </c>
      <c r="P5" s="17" t="str">
        <f>IF(Elect2010!O5=O5,"N","Y")</f>
        <v>Y</v>
      </c>
      <c r="Q5" s="1">
        <f t="shared" si="6"/>
        <v>22</v>
      </c>
      <c r="R5" s="1">
        <f t="shared" si="6"/>
        <v>38</v>
      </c>
      <c r="S5" s="16">
        <f t="shared" si="7"/>
        <v>0.36666666666666664</v>
      </c>
      <c r="T5" s="16">
        <f t="shared" si="8"/>
        <v>0.26666666666666666</v>
      </c>
      <c r="U5" s="1" t="str">
        <f t="shared" si="9"/>
        <v>R</v>
      </c>
      <c r="V5" s="61" t="s">
        <v>19</v>
      </c>
      <c r="W5" s="1" t="str">
        <f t="shared" si="10"/>
        <v>U</v>
      </c>
      <c r="X5" s="1">
        <f>C5-Elect2010!C5</f>
        <v>-1</v>
      </c>
      <c r="Y5" s="1">
        <f>J5-Elect2010!J5</f>
        <v>-3</v>
      </c>
      <c r="Z5" s="1">
        <f t="shared" si="11"/>
        <v>-4</v>
      </c>
    </row>
    <row r="6" spans="1:26" ht="16">
      <c r="A6" s="12" t="s">
        <v>29</v>
      </c>
      <c r="B6" s="13" t="s">
        <v>28</v>
      </c>
      <c r="C6" s="66">
        <v>23</v>
      </c>
      <c r="D6" s="66">
        <v>35</v>
      </c>
      <c r="E6" s="43">
        <v>60</v>
      </c>
      <c r="F6" s="16">
        <f t="shared" si="0"/>
        <v>0.38333333333333336</v>
      </c>
      <c r="G6" s="16">
        <f t="shared" si="1"/>
        <v>0.23333333333333334</v>
      </c>
      <c r="H6" s="1" t="str">
        <f t="shared" si="2"/>
        <v>R</v>
      </c>
      <c r="I6" s="17" t="str">
        <f>IF(Elect2010!H6=H6,"N","Y")</f>
        <v>N</v>
      </c>
      <c r="J6" s="66">
        <v>13</v>
      </c>
      <c r="K6" s="66">
        <v>17</v>
      </c>
      <c r="L6" s="43">
        <v>30</v>
      </c>
      <c r="M6" s="16">
        <f t="shared" si="3"/>
        <v>0.43333333333333335</v>
      </c>
      <c r="N6" s="16">
        <f t="shared" si="4"/>
        <v>0.1333333333333333</v>
      </c>
      <c r="O6" s="1" t="str">
        <f t="shared" si="5"/>
        <v>R</v>
      </c>
      <c r="P6" s="17" t="str">
        <f>IF(Elect2010!O6=O6,"N","Y")</f>
        <v>N</v>
      </c>
      <c r="Q6" s="1">
        <f t="shared" si="6"/>
        <v>36</v>
      </c>
      <c r="R6" s="1">
        <f t="shared" si="6"/>
        <v>52</v>
      </c>
      <c r="S6" s="16">
        <f t="shared" si="7"/>
        <v>0.4</v>
      </c>
      <c r="T6" s="16">
        <f t="shared" si="8"/>
        <v>0.19999999999999996</v>
      </c>
      <c r="U6" s="1" t="str">
        <f t="shared" si="9"/>
        <v>R</v>
      </c>
      <c r="V6" s="61" t="s">
        <v>19</v>
      </c>
      <c r="W6" s="1" t="str">
        <f t="shared" si="10"/>
        <v>U</v>
      </c>
      <c r="X6" s="1">
        <f>C6-Elect2010!C6</f>
        <v>3</v>
      </c>
      <c r="Y6" s="1">
        <f>J6-Elect2010!J6</f>
        <v>4</v>
      </c>
      <c r="Z6" s="1">
        <f t="shared" si="11"/>
        <v>7</v>
      </c>
    </row>
    <row r="7" spans="1:26" ht="16">
      <c r="A7" s="12" t="s">
        <v>30</v>
      </c>
      <c r="B7" s="13" t="s">
        <v>26</v>
      </c>
      <c r="C7" s="66">
        <v>49</v>
      </c>
      <c r="D7" s="66">
        <v>51</v>
      </c>
      <c r="E7" s="43">
        <v>100</v>
      </c>
      <c r="F7" s="16">
        <f t="shared" si="0"/>
        <v>0.49</v>
      </c>
      <c r="G7" s="16">
        <f t="shared" si="1"/>
        <v>2.0000000000000018E-2</v>
      </c>
      <c r="H7" s="1" t="str">
        <f t="shared" si="2"/>
        <v>R</v>
      </c>
      <c r="I7" s="17" t="str">
        <f>IF(Elect2010!H7=H7,"N","Y")</f>
        <v>Y</v>
      </c>
      <c r="J7" s="66">
        <v>13</v>
      </c>
      <c r="K7" s="66">
        <v>21</v>
      </c>
      <c r="L7" s="43">
        <v>35</v>
      </c>
      <c r="M7" s="16">
        <f t="shared" si="3"/>
        <v>0.37142857142857144</v>
      </c>
      <c r="N7" s="16">
        <f t="shared" si="4"/>
        <v>0.25714285714285712</v>
      </c>
      <c r="O7" s="1" t="str">
        <f t="shared" si="5"/>
        <v>R</v>
      </c>
      <c r="P7" s="17" t="str">
        <f>IF(Elect2010!O7=O7,"N","Y")</f>
        <v>Y</v>
      </c>
      <c r="Q7" s="1">
        <f t="shared" si="6"/>
        <v>62</v>
      </c>
      <c r="R7" s="1">
        <f t="shared" si="6"/>
        <v>72</v>
      </c>
      <c r="S7" s="16">
        <f t="shared" si="7"/>
        <v>0.45925925925925926</v>
      </c>
      <c r="T7" s="16">
        <f t="shared" si="8"/>
        <v>8.1481481481481488E-2</v>
      </c>
      <c r="U7" s="1" t="str">
        <f t="shared" si="9"/>
        <v>R</v>
      </c>
      <c r="V7" s="61" t="s">
        <v>18</v>
      </c>
      <c r="W7" s="1" t="str">
        <f t="shared" si="10"/>
        <v>D</v>
      </c>
      <c r="X7" s="1">
        <f>C7-Elect2010!C7</f>
        <v>-6</v>
      </c>
      <c r="Y7" s="1">
        <f>J7-Elect2010!J7</f>
        <v>-9</v>
      </c>
      <c r="Z7" s="1">
        <f t="shared" si="11"/>
        <v>-15</v>
      </c>
    </row>
    <row r="8" spans="1:26" ht="16">
      <c r="A8" s="12" t="s">
        <v>31</v>
      </c>
      <c r="B8" s="13" t="s">
        <v>28</v>
      </c>
      <c r="C8" s="66">
        <v>54</v>
      </c>
      <c r="D8" s="66">
        <v>26</v>
      </c>
      <c r="E8" s="45">
        <v>80</v>
      </c>
      <c r="F8" s="16">
        <f t="shared" si="0"/>
        <v>0.67500000000000004</v>
      </c>
      <c r="G8" s="16">
        <f t="shared" si="1"/>
        <v>0.35000000000000009</v>
      </c>
      <c r="H8" s="1" t="str">
        <f t="shared" si="2"/>
        <v>D</v>
      </c>
      <c r="I8" s="17" t="str">
        <f>IF(Elect2010!H8=H8,"N","Y")</f>
        <v>N</v>
      </c>
      <c r="J8" s="66">
        <v>26</v>
      </c>
      <c r="K8" s="66">
        <v>12</v>
      </c>
      <c r="L8" s="45">
        <v>40</v>
      </c>
      <c r="M8" s="16">
        <f t="shared" si="3"/>
        <v>0.65</v>
      </c>
      <c r="N8" s="16">
        <f t="shared" si="4"/>
        <v>0.30000000000000004</v>
      </c>
      <c r="O8" s="1" t="str">
        <f t="shared" si="5"/>
        <v>D</v>
      </c>
      <c r="P8" s="17" t="str">
        <f>IF(Elect2010!O8=O8,"N","Y")</f>
        <v>N</v>
      </c>
      <c r="Q8" s="1">
        <f t="shared" si="6"/>
        <v>80</v>
      </c>
      <c r="R8" s="1">
        <f t="shared" si="6"/>
        <v>38</v>
      </c>
      <c r="S8" s="16">
        <f t="shared" si="7"/>
        <v>0.66666666666666663</v>
      </c>
      <c r="T8" s="16">
        <f t="shared" si="8"/>
        <v>0.33333333333333326</v>
      </c>
      <c r="U8" s="1" t="str">
        <f t="shared" si="9"/>
        <v>D</v>
      </c>
      <c r="V8" s="62" t="s">
        <v>18</v>
      </c>
      <c r="W8" s="1" t="str">
        <f t="shared" si="10"/>
        <v>U</v>
      </c>
      <c r="X8" s="1">
        <f>C8-Elect2010!C8</f>
        <v>2</v>
      </c>
      <c r="Y8" s="1">
        <f>J8-Elect2010!J8</f>
        <v>1</v>
      </c>
      <c r="Z8" s="1">
        <f t="shared" si="11"/>
        <v>3</v>
      </c>
    </row>
    <row r="9" spans="1:26" ht="16">
      <c r="A9" s="12" t="s">
        <v>32</v>
      </c>
      <c r="B9" s="13" t="s">
        <v>28</v>
      </c>
      <c r="C9" s="66">
        <v>36</v>
      </c>
      <c r="D9" s="66">
        <v>29</v>
      </c>
      <c r="E9" s="47">
        <v>65</v>
      </c>
      <c r="F9" s="16">
        <f t="shared" si="0"/>
        <v>0.55384615384615388</v>
      </c>
      <c r="G9" s="16">
        <f t="shared" si="1"/>
        <v>0.10769230769230775</v>
      </c>
      <c r="H9" s="1" t="str">
        <f t="shared" si="2"/>
        <v>D</v>
      </c>
      <c r="I9" s="17" t="str">
        <f>IF(Elect2010!H9=H9,"N","Y")</f>
        <v>Y</v>
      </c>
      <c r="J9" s="66">
        <v>19</v>
      </c>
      <c r="K9" s="66">
        <v>16</v>
      </c>
      <c r="L9" s="47">
        <v>35</v>
      </c>
      <c r="M9" s="16">
        <f t="shared" si="3"/>
        <v>0.54285714285714282</v>
      </c>
      <c r="N9" s="16">
        <f t="shared" si="4"/>
        <v>8.5714285714285632E-2</v>
      </c>
      <c r="O9" s="1" t="str">
        <f t="shared" si="5"/>
        <v>D</v>
      </c>
      <c r="P9" s="17" t="str">
        <f>IF(Elect2010!O9=O9,"N","Y")</f>
        <v>N</v>
      </c>
      <c r="Q9" s="1">
        <f t="shared" si="6"/>
        <v>55</v>
      </c>
      <c r="R9" s="1">
        <f t="shared" si="6"/>
        <v>45</v>
      </c>
      <c r="S9" s="16">
        <f t="shared" si="7"/>
        <v>0.55000000000000004</v>
      </c>
      <c r="T9" s="16">
        <f t="shared" si="8"/>
        <v>0.10000000000000009</v>
      </c>
      <c r="U9" s="1" t="str">
        <f t="shared" si="9"/>
        <v>D</v>
      </c>
      <c r="V9" s="63" t="s">
        <v>18</v>
      </c>
      <c r="W9" s="1" t="str">
        <f t="shared" si="10"/>
        <v>U</v>
      </c>
      <c r="X9" s="1">
        <f>C9-Elect2010!C9</f>
        <v>4</v>
      </c>
      <c r="Y9" s="1">
        <f>J9-Elect2010!J9</f>
        <v>-1</v>
      </c>
      <c r="Z9" s="1">
        <f t="shared" si="11"/>
        <v>3</v>
      </c>
    </row>
    <row r="10" spans="1:26" ht="16">
      <c r="A10" s="12" t="s">
        <v>33</v>
      </c>
      <c r="B10" s="13" t="s">
        <v>34</v>
      </c>
      <c r="C10" s="66">
        <v>99</v>
      </c>
      <c r="D10" s="66">
        <v>52</v>
      </c>
      <c r="E10" s="43">
        <v>151</v>
      </c>
      <c r="F10" s="16">
        <f t="shared" si="0"/>
        <v>0.6556291390728477</v>
      </c>
      <c r="G10" s="16">
        <f t="shared" si="1"/>
        <v>0.3112582781456954</v>
      </c>
      <c r="H10" s="1" t="str">
        <f t="shared" si="2"/>
        <v>D</v>
      </c>
      <c r="I10" s="17" t="str">
        <f>IF(Elect2010!H10=H10,"N","Y")</f>
        <v>N</v>
      </c>
      <c r="J10" s="66">
        <v>22</v>
      </c>
      <c r="K10" s="66">
        <v>14</v>
      </c>
      <c r="L10" s="43">
        <v>36</v>
      </c>
      <c r="M10" s="16">
        <f t="shared" si="3"/>
        <v>0.61111111111111116</v>
      </c>
      <c r="N10" s="16">
        <f t="shared" si="4"/>
        <v>0.22222222222222232</v>
      </c>
      <c r="O10" s="1" t="str">
        <f t="shared" si="5"/>
        <v>D</v>
      </c>
      <c r="P10" s="17" t="str">
        <f>IF(Elect2010!O10=O10,"N","Y")</f>
        <v>N</v>
      </c>
      <c r="Q10" s="1">
        <f t="shared" si="6"/>
        <v>121</v>
      </c>
      <c r="R10" s="1">
        <f t="shared" si="6"/>
        <v>66</v>
      </c>
      <c r="S10" s="16">
        <f t="shared" si="7"/>
        <v>0.6470588235294118</v>
      </c>
      <c r="T10" s="16">
        <f t="shared" si="8"/>
        <v>0.29411764705882359</v>
      </c>
      <c r="U10" s="1" t="str">
        <f t="shared" si="9"/>
        <v>D</v>
      </c>
      <c r="V10" s="61" t="s">
        <v>18</v>
      </c>
      <c r="W10" s="1" t="str">
        <f t="shared" si="10"/>
        <v>U</v>
      </c>
      <c r="X10" s="1">
        <f>C10-Elect2010!C10</f>
        <v>-1</v>
      </c>
      <c r="Y10" s="1">
        <f>J10-Elect2010!J10</f>
        <v>-1</v>
      </c>
      <c r="Z10" s="1">
        <f t="shared" si="11"/>
        <v>-2</v>
      </c>
    </row>
    <row r="11" spans="1:26" ht="16">
      <c r="A11" s="12" t="s">
        <v>35</v>
      </c>
      <c r="B11" s="13" t="s">
        <v>34</v>
      </c>
      <c r="C11" s="66">
        <v>27</v>
      </c>
      <c r="D11" s="66">
        <v>14</v>
      </c>
      <c r="E11" s="43">
        <v>41</v>
      </c>
      <c r="F11" s="16">
        <f t="shared" si="0"/>
        <v>0.65853658536585369</v>
      </c>
      <c r="G11" s="16">
        <f t="shared" si="1"/>
        <v>0.31707317073170738</v>
      </c>
      <c r="H11" s="1" t="str">
        <f t="shared" si="2"/>
        <v>D</v>
      </c>
      <c r="I11" s="17" t="str">
        <f>IF(Elect2010!H11=H11,"N","Y")</f>
        <v>N</v>
      </c>
      <c r="J11" s="66">
        <v>13</v>
      </c>
      <c r="K11" s="66">
        <v>8</v>
      </c>
      <c r="L11" s="43">
        <v>21</v>
      </c>
      <c r="M11" s="16">
        <f t="shared" si="3"/>
        <v>0.61904761904761907</v>
      </c>
      <c r="N11" s="16">
        <f t="shared" si="4"/>
        <v>0.23809523809523814</v>
      </c>
      <c r="O11" s="1" t="str">
        <f t="shared" si="5"/>
        <v>D</v>
      </c>
      <c r="P11" s="17" t="str">
        <f>IF(Elect2010!O11=O11,"N","Y")</f>
        <v>N</v>
      </c>
      <c r="Q11" s="1">
        <f t="shared" si="6"/>
        <v>40</v>
      </c>
      <c r="R11" s="1">
        <f t="shared" si="6"/>
        <v>22</v>
      </c>
      <c r="S11" s="16">
        <f t="shared" si="7"/>
        <v>0.64516129032258063</v>
      </c>
      <c r="T11" s="16">
        <f t="shared" si="8"/>
        <v>0.29032258064516125</v>
      </c>
      <c r="U11" s="1" t="str">
        <f t="shared" si="9"/>
        <v>D</v>
      </c>
      <c r="V11" s="61" t="s">
        <v>18</v>
      </c>
      <c r="W11" s="1" t="str">
        <f t="shared" si="10"/>
        <v>U</v>
      </c>
      <c r="X11" s="1">
        <f>C11-Elect2010!C11</f>
        <v>1</v>
      </c>
      <c r="Y11" s="1">
        <f>J11-Elect2010!J11</f>
        <v>-1</v>
      </c>
      <c r="Z11" s="1">
        <f t="shared" si="11"/>
        <v>0</v>
      </c>
    </row>
    <row r="12" spans="1:26" ht="16">
      <c r="A12" s="12" t="s">
        <v>36</v>
      </c>
      <c r="B12" s="13" t="s">
        <v>26</v>
      </c>
      <c r="C12" s="66">
        <v>46</v>
      </c>
      <c r="D12" s="66">
        <v>74</v>
      </c>
      <c r="E12" s="43">
        <v>120</v>
      </c>
      <c r="F12" s="16">
        <f t="shared" si="0"/>
        <v>0.38333333333333336</v>
      </c>
      <c r="G12" s="16">
        <f t="shared" si="1"/>
        <v>0.23333333333333334</v>
      </c>
      <c r="H12" s="1" t="str">
        <f t="shared" si="2"/>
        <v>R</v>
      </c>
      <c r="I12" s="17" t="str">
        <f>IF(Elect2010!H12=H12,"N","Y")</f>
        <v>N</v>
      </c>
      <c r="J12" s="66">
        <v>14</v>
      </c>
      <c r="K12" s="66">
        <v>26</v>
      </c>
      <c r="L12" s="43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IF(Elect2010!O12=O12,"N","Y")</f>
        <v>N</v>
      </c>
      <c r="Q12" s="1">
        <f t="shared" si="6"/>
        <v>60</v>
      </c>
      <c r="R12" s="1">
        <f t="shared" si="6"/>
        <v>100</v>
      </c>
      <c r="S12" s="16">
        <f t="shared" si="7"/>
        <v>0.375</v>
      </c>
      <c r="T12" s="16">
        <f t="shared" si="8"/>
        <v>0.25</v>
      </c>
      <c r="U12" s="1" t="str">
        <f t="shared" si="9"/>
        <v>R</v>
      </c>
      <c r="V12" s="61" t="s">
        <v>19</v>
      </c>
      <c r="W12" s="1" t="str">
        <f t="shared" si="10"/>
        <v>U</v>
      </c>
      <c r="X12" s="1">
        <f>C12-Elect2010!C12</f>
        <v>7</v>
      </c>
      <c r="Y12" s="1">
        <f>J12-Elect2010!J12</f>
        <v>2</v>
      </c>
      <c r="Z12" s="1">
        <f t="shared" si="11"/>
        <v>9</v>
      </c>
    </row>
    <row r="13" spans="1:26" ht="16">
      <c r="A13" s="12" t="s">
        <v>37</v>
      </c>
      <c r="B13" s="13" t="s">
        <v>26</v>
      </c>
      <c r="C13" s="66">
        <v>60</v>
      </c>
      <c r="D13" s="66">
        <v>119</v>
      </c>
      <c r="E13" s="45">
        <v>180</v>
      </c>
      <c r="F13" s="16">
        <f t="shared" si="0"/>
        <v>0.33333333333333331</v>
      </c>
      <c r="G13" s="16">
        <f t="shared" si="1"/>
        <v>0.33333333333333343</v>
      </c>
      <c r="H13" s="1" t="str">
        <f t="shared" si="2"/>
        <v>R</v>
      </c>
      <c r="I13" s="17" t="str">
        <f>IF(Elect2010!H13=H13,"N","Y")</f>
        <v>N</v>
      </c>
      <c r="J13" s="66">
        <v>18</v>
      </c>
      <c r="K13" s="66">
        <v>38</v>
      </c>
      <c r="L13" s="45">
        <v>56</v>
      </c>
      <c r="M13" s="16">
        <f t="shared" si="3"/>
        <v>0.32142857142857145</v>
      </c>
      <c r="N13" s="16">
        <f t="shared" si="4"/>
        <v>0.35714285714285715</v>
      </c>
      <c r="O13" s="1" t="str">
        <f t="shared" si="5"/>
        <v>R</v>
      </c>
      <c r="P13" s="17" t="str">
        <f>IF(Elect2010!O13=O13,"N","Y")</f>
        <v>N</v>
      </c>
      <c r="Q13" s="1">
        <f t="shared" si="6"/>
        <v>78</v>
      </c>
      <c r="R13" s="1">
        <f t="shared" si="6"/>
        <v>157</v>
      </c>
      <c r="S13" s="16">
        <f t="shared" si="7"/>
        <v>0.33050847457627119</v>
      </c>
      <c r="T13" s="16">
        <f t="shared" si="8"/>
        <v>0.33898305084745761</v>
      </c>
      <c r="U13" s="1" t="str">
        <f t="shared" si="9"/>
        <v>R</v>
      </c>
      <c r="V13" s="62" t="s">
        <v>19</v>
      </c>
      <c r="W13" s="1" t="str">
        <f t="shared" si="10"/>
        <v>U</v>
      </c>
      <c r="X13" s="1">
        <f>C13-Elect2010!C13</f>
        <v>-11</v>
      </c>
      <c r="Y13" s="1">
        <f>J13-Elect2010!J13</f>
        <v>-3</v>
      </c>
      <c r="Z13" s="1">
        <f t="shared" si="11"/>
        <v>-14</v>
      </c>
    </row>
    <row r="14" spans="1:26" ht="16">
      <c r="A14" s="12" t="s">
        <v>38</v>
      </c>
      <c r="B14" s="13" t="s">
        <v>28</v>
      </c>
      <c r="C14" s="66">
        <v>44</v>
      </c>
      <c r="D14" s="66">
        <v>7</v>
      </c>
      <c r="E14" s="47">
        <v>51</v>
      </c>
      <c r="F14" s="16">
        <f t="shared" si="0"/>
        <v>0.86274509803921573</v>
      </c>
      <c r="G14" s="16">
        <f t="shared" si="1"/>
        <v>0.72549019607843146</v>
      </c>
      <c r="H14" s="1" t="str">
        <f t="shared" si="2"/>
        <v>D</v>
      </c>
      <c r="I14" s="17" t="str">
        <f>IF(Elect2010!H14=H14,"N","Y")</f>
        <v>N</v>
      </c>
      <c r="J14" s="66">
        <v>24</v>
      </c>
      <c r="K14" s="66">
        <v>1</v>
      </c>
      <c r="L14" s="47">
        <v>25</v>
      </c>
      <c r="M14" s="16">
        <f t="shared" si="3"/>
        <v>0.96</v>
      </c>
      <c r="N14" s="16">
        <f t="shared" si="4"/>
        <v>0.91999999999999993</v>
      </c>
      <c r="O14" s="1" t="str">
        <f t="shared" si="5"/>
        <v>D</v>
      </c>
      <c r="P14" s="17" t="str">
        <f>IF(Elect2010!O14=O14,"N","Y")</f>
        <v>N</v>
      </c>
      <c r="Q14" s="1">
        <f t="shared" si="6"/>
        <v>68</v>
      </c>
      <c r="R14" s="1">
        <f t="shared" si="6"/>
        <v>8</v>
      </c>
      <c r="S14" s="16">
        <f t="shared" si="7"/>
        <v>0.89473684210526316</v>
      </c>
      <c r="T14" s="16">
        <f t="shared" si="8"/>
        <v>0.78947368421052633</v>
      </c>
      <c r="U14" s="1" t="str">
        <f t="shared" si="9"/>
        <v>D</v>
      </c>
      <c r="V14" s="63" t="s">
        <v>18</v>
      </c>
      <c r="W14" s="1" t="str">
        <f t="shared" si="10"/>
        <v>U</v>
      </c>
      <c r="X14" s="1">
        <f>C14-Elect2010!C14</f>
        <v>2</v>
      </c>
      <c r="Y14" s="1">
        <f>J14-Elect2010!J14</f>
        <v>0</v>
      </c>
      <c r="Z14" s="1">
        <f t="shared" si="11"/>
        <v>2</v>
      </c>
    </row>
    <row r="15" spans="1:26" ht="16">
      <c r="A15" s="12" t="s">
        <v>39</v>
      </c>
      <c r="B15" s="13" t="s">
        <v>28</v>
      </c>
      <c r="C15" s="66">
        <v>13</v>
      </c>
      <c r="D15" s="66">
        <v>57</v>
      </c>
      <c r="E15" s="43">
        <v>70</v>
      </c>
      <c r="F15" s="16">
        <f t="shared" si="0"/>
        <v>0.18571428571428572</v>
      </c>
      <c r="G15" s="16">
        <f t="shared" si="1"/>
        <v>0.62857142857142856</v>
      </c>
      <c r="H15" s="1" t="str">
        <f t="shared" si="2"/>
        <v>R</v>
      </c>
      <c r="I15" s="17" t="str">
        <f>IF(Elect2010!H15=H15,"N","Y")</f>
        <v>N</v>
      </c>
      <c r="J15" s="66">
        <v>6</v>
      </c>
      <c r="K15" s="66">
        <v>29</v>
      </c>
      <c r="L15" s="43">
        <v>35</v>
      </c>
      <c r="M15" s="16">
        <f t="shared" si="3"/>
        <v>0.17142857142857143</v>
      </c>
      <c r="N15" s="16">
        <f t="shared" si="4"/>
        <v>0.65714285714285703</v>
      </c>
      <c r="O15" s="1" t="str">
        <f t="shared" si="5"/>
        <v>R</v>
      </c>
      <c r="P15" s="17" t="str">
        <f>IF(Elect2010!O15=O15,"N","Y")</f>
        <v>N</v>
      </c>
      <c r="Q15" s="1">
        <f t="shared" si="6"/>
        <v>19</v>
      </c>
      <c r="R15" s="1">
        <f t="shared" si="6"/>
        <v>86</v>
      </c>
      <c r="S15" s="16">
        <f t="shared" si="7"/>
        <v>0.18095238095238095</v>
      </c>
      <c r="T15" s="16">
        <f t="shared" si="8"/>
        <v>0.63809523809523805</v>
      </c>
      <c r="U15" s="1" t="str">
        <f t="shared" si="9"/>
        <v>R</v>
      </c>
      <c r="V15" s="61" t="s">
        <v>19</v>
      </c>
      <c r="W15" s="1" t="str">
        <f t="shared" si="10"/>
        <v>U</v>
      </c>
      <c r="X15" s="1">
        <f>C15-Elect2010!C15</f>
        <v>0</v>
      </c>
      <c r="Y15" s="1">
        <f>J15-Elect2010!J15</f>
        <v>-1</v>
      </c>
      <c r="Z15" s="1">
        <f t="shared" si="11"/>
        <v>-1</v>
      </c>
    </row>
    <row r="16" spans="1:26" ht="16">
      <c r="A16" s="12" t="s">
        <v>40</v>
      </c>
      <c r="B16" s="13" t="s">
        <v>41</v>
      </c>
      <c r="C16" s="66">
        <v>71</v>
      </c>
      <c r="D16" s="66">
        <v>47</v>
      </c>
      <c r="E16" s="43">
        <v>118</v>
      </c>
      <c r="F16" s="16">
        <f t="shared" si="0"/>
        <v>0.60169491525423724</v>
      </c>
      <c r="G16" s="16">
        <f t="shared" si="1"/>
        <v>0.20338983050847448</v>
      </c>
      <c r="H16" s="1" t="str">
        <f t="shared" si="2"/>
        <v>D</v>
      </c>
      <c r="I16" s="17" t="str">
        <f>IF(Elect2010!H16=H16,"N","Y")</f>
        <v>N</v>
      </c>
      <c r="J16" s="66">
        <v>40</v>
      </c>
      <c r="K16" s="66">
        <v>19</v>
      </c>
      <c r="L16" s="43">
        <v>59</v>
      </c>
      <c r="M16" s="16">
        <f t="shared" si="3"/>
        <v>0.67796610169491522</v>
      </c>
      <c r="N16" s="16">
        <f t="shared" si="4"/>
        <v>0.35593220338983045</v>
      </c>
      <c r="O16" s="1" t="str">
        <f t="shared" si="5"/>
        <v>D</v>
      </c>
      <c r="P16" s="17" t="str">
        <f>IF(Elect2010!O16=O16,"N","Y")</f>
        <v>N</v>
      </c>
      <c r="Q16" s="1">
        <f t="shared" si="6"/>
        <v>111</v>
      </c>
      <c r="R16" s="1">
        <f t="shared" si="6"/>
        <v>66</v>
      </c>
      <c r="S16" s="16">
        <f t="shared" si="7"/>
        <v>0.6271186440677966</v>
      </c>
      <c r="T16" s="16">
        <f t="shared" si="8"/>
        <v>0.25423728813559321</v>
      </c>
      <c r="U16" s="1" t="str">
        <f t="shared" si="9"/>
        <v>D</v>
      </c>
      <c r="V16" s="61" t="s">
        <v>18</v>
      </c>
      <c r="W16" s="1" t="str">
        <f t="shared" si="10"/>
        <v>U</v>
      </c>
      <c r="X16" s="1">
        <f>C16-Elect2010!C16</f>
        <v>7</v>
      </c>
      <c r="Y16" s="1">
        <f>J16-Elect2010!J16</f>
        <v>5</v>
      </c>
      <c r="Z16" s="1">
        <f t="shared" si="11"/>
        <v>12</v>
      </c>
    </row>
    <row r="17" spans="1:26" ht="16">
      <c r="A17" s="12" t="s">
        <v>42</v>
      </c>
      <c r="B17" s="13" t="s">
        <v>41</v>
      </c>
      <c r="C17" s="66">
        <v>31</v>
      </c>
      <c r="D17" s="66">
        <v>69</v>
      </c>
      <c r="E17" s="43">
        <v>100</v>
      </c>
      <c r="F17" s="16">
        <f t="shared" si="0"/>
        <v>0.31</v>
      </c>
      <c r="G17" s="16">
        <f t="shared" si="1"/>
        <v>0.37999999999999995</v>
      </c>
      <c r="H17" s="1" t="str">
        <f t="shared" si="2"/>
        <v>R</v>
      </c>
      <c r="I17" s="17" t="str">
        <f>IF(Elect2010!H17=H17,"N","Y")</f>
        <v>N</v>
      </c>
      <c r="J17" s="66">
        <v>13</v>
      </c>
      <c r="K17" s="66">
        <v>37</v>
      </c>
      <c r="L17" s="43">
        <v>50</v>
      </c>
      <c r="M17" s="16">
        <f t="shared" si="3"/>
        <v>0.26</v>
      </c>
      <c r="N17" s="16">
        <f t="shared" si="4"/>
        <v>0.48</v>
      </c>
      <c r="O17" s="1" t="str">
        <f t="shared" si="5"/>
        <v>R</v>
      </c>
      <c r="P17" s="17" t="str">
        <f>IF(Elect2010!O17=O17,"N","Y")</f>
        <v>N</v>
      </c>
      <c r="Q17" s="1">
        <f t="shared" si="6"/>
        <v>44</v>
      </c>
      <c r="R17" s="1">
        <f t="shared" si="6"/>
        <v>106</v>
      </c>
      <c r="S17" s="16">
        <f t="shared" si="7"/>
        <v>0.29333333333333333</v>
      </c>
      <c r="T17" s="16">
        <f t="shared" si="8"/>
        <v>0.41333333333333333</v>
      </c>
      <c r="U17" s="1" t="str">
        <f t="shared" si="9"/>
        <v>R</v>
      </c>
      <c r="V17" s="61" t="s">
        <v>19</v>
      </c>
      <c r="W17" s="1" t="str">
        <f t="shared" si="10"/>
        <v>U</v>
      </c>
      <c r="X17" s="1">
        <f>C17-Elect2010!C17</f>
        <v>-9</v>
      </c>
      <c r="Y17" s="1">
        <f>J17-Elect2010!J17</f>
        <v>0</v>
      </c>
      <c r="Z17" s="1">
        <f t="shared" si="11"/>
        <v>-9</v>
      </c>
    </row>
    <row r="18" spans="1:26" ht="16">
      <c r="A18" s="12" t="s">
        <v>43</v>
      </c>
      <c r="B18" s="13" t="s">
        <v>41</v>
      </c>
      <c r="C18" s="66">
        <v>47</v>
      </c>
      <c r="D18" s="66">
        <v>53</v>
      </c>
      <c r="E18" s="45">
        <v>100</v>
      </c>
      <c r="F18" s="16">
        <f t="shared" si="0"/>
        <v>0.47</v>
      </c>
      <c r="G18" s="16">
        <f t="shared" si="1"/>
        <v>6.0000000000000053E-2</v>
      </c>
      <c r="H18" s="1" t="str">
        <f t="shared" si="2"/>
        <v>R</v>
      </c>
      <c r="I18" s="17" t="str">
        <f>IF(Elect2010!H18=H18,"N","Y")</f>
        <v>N</v>
      </c>
      <c r="J18" s="66">
        <v>26</v>
      </c>
      <c r="K18" s="66">
        <v>23</v>
      </c>
      <c r="L18" s="45">
        <v>50</v>
      </c>
      <c r="M18" s="16">
        <f t="shared" si="3"/>
        <v>0.52</v>
      </c>
      <c r="N18" s="16">
        <f t="shared" si="4"/>
        <v>4.0000000000000036E-2</v>
      </c>
      <c r="O18" s="1" t="str">
        <f t="shared" si="5"/>
        <v>D</v>
      </c>
      <c r="P18" s="17" t="str">
        <f>IF(Elect2010!O18=O18,"N","Y")</f>
        <v>N</v>
      </c>
      <c r="Q18" s="1">
        <f t="shared" si="6"/>
        <v>73</v>
      </c>
      <c r="R18" s="1">
        <f t="shared" si="6"/>
        <v>76</v>
      </c>
      <c r="S18" s="16">
        <f t="shared" si="7"/>
        <v>0.48666666666666669</v>
      </c>
      <c r="T18" s="16">
        <f t="shared" si="8"/>
        <v>2.6666666666666616E-2</v>
      </c>
      <c r="U18" s="1" t="str">
        <f t="shared" si="9"/>
        <v>S</v>
      </c>
      <c r="V18" s="62" t="s">
        <v>19</v>
      </c>
      <c r="W18" s="1" t="str">
        <f t="shared" si="10"/>
        <v>D</v>
      </c>
      <c r="X18" s="1">
        <f>C18-Elect2010!C18</f>
        <v>7</v>
      </c>
      <c r="Y18" s="1">
        <f>J18-Elect2010!J18</f>
        <v>0</v>
      </c>
      <c r="Z18" s="1">
        <f t="shared" si="11"/>
        <v>7</v>
      </c>
    </row>
    <row r="19" spans="1:26" ht="16">
      <c r="A19" s="12" t="s">
        <v>44</v>
      </c>
      <c r="B19" s="13" t="s">
        <v>41</v>
      </c>
      <c r="C19" s="66">
        <v>35</v>
      </c>
      <c r="D19" s="66">
        <v>90</v>
      </c>
      <c r="E19" s="47">
        <v>125</v>
      </c>
      <c r="F19" s="16">
        <f t="shared" si="0"/>
        <v>0.28000000000000003</v>
      </c>
      <c r="G19" s="16">
        <f t="shared" si="1"/>
        <v>0.43999999999999995</v>
      </c>
      <c r="H19" s="1" t="str">
        <f t="shared" si="2"/>
        <v>R</v>
      </c>
      <c r="I19" s="17" t="str">
        <f>IF(Elect2010!H19=H19,"N","Y")</f>
        <v>N</v>
      </c>
      <c r="J19" s="66">
        <v>9</v>
      </c>
      <c r="K19" s="66">
        <v>31</v>
      </c>
      <c r="L19" s="47">
        <v>40</v>
      </c>
      <c r="M19" s="16">
        <f t="shared" si="3"/>
        <v>0.22500000000000001</v>
      </c>
      <c r="N19" s="16">
        <f t="shared" si="4"/>
        <v>0.55000000000000004</v>
      </c>
      <c r="O19" s="1" t="str">
        <f t="shared" si="5"/>
        <v>R</v>
      </c>
      <c r="P19" s="17" t="str">
        <f>IF(Elect2010!O19=O19,"N","Y")</f>
        <v>N</v>
      </c>
      <c r="Q19" s="1">
        <f t="shared" si="6"/>
        <v>44</v>
      </c>
      <c r="R19" s="1">
        <f t="shared" si="6"/>
        <v>121</v>
      </c>
      <c r="S19" s="16">
        <f t="shared" si="7"/>
        <v>0.26666666666666666</v>
      </c>
      <c r="T19" s="16">
        <f t="shared" si="8"/>
        <v>0.46666666666666673</v>
      </c>
      <c r="U19" s="1" t="str">
        <f t="shared" si="9"/>
        <v>R</v>
      </c>
      <c r="V19" s="63" t="s">
        <v>19</v>
      </c>
      <c r="W19" s="1" t="str">
        <f t="shared" si="10"/>
        <v>U</v>
      </c>
      <c r="X19" s="1">
        <f>C19-Elect2010!C19</f>
        <v>2</v>
      </c>
      <c r="Y19" s="1">
        <f>J19-Elect2010!J19</f>
        <v>0</v>
      </c>
      <c r="Z19" s="1">
        <f t="shared" si="11"/>
        <v>2</v>
      </c>
    </row>
    <row r="20" spans="1:26" ht="16">
      <c r="A20" s="12" t="s">
        <v>45</v>
      </c>
      <c r="B20" s="13" t="s">
        <v>26</v>
      </c>
      <c r="C20" s="66">
        <v>55</v>
      </c>
      <c r="D20" s="66">
        <v>45</v>
      </c>
      <c r="E20" s="43">
        <v>100</v>
      </c>
      <c r="F20" s="16">
        <f t="shared" si="0"/>
        <v>0.55000000000000004</v>
      </c>
      <c r="G20" s="16">
        <f t="shared" si="1"/>
        <v>0.10000000000000009</v>
      </c>
      <c r="H20" s="1" t="str">
        <f t="shared" si="2"/>
        <v>D</v>
      </c>
      <c r="I20" s="17" t="str">
        <f>IF(Elect2010!H20=H20,"N","Y")</f>
        <v>N</v>
      </c>
      <c r="J20" s="66">
        <v>14</v>
      </c>
      <c r="K20" s="66">
        <v>22</v>
      </c>
      <c r="L20" s="43">
        <v>38</v>
      </c>
      <c r="M20" s="16">
        <f t="shared" si="3"/>
        <v>0.36842105263157893</v>
      </c>
      <c r="N20" s="16">
        <f t="shared" si="4"/>
        <v>0.26315789473684209</v>
      </c>
      <c r="O20" s="1" t="str">
        <f t="shared" si="5"/>
        <v>R</v>
      </c>
      <c r="P20" s="17" t="str">
        <f>IF(Elect2010!O20=O20,"N","Y")</f>
        <v>N</v>
      </c>
      <c r="Q20" s="1">
        <f t="shared" si="6"/>
        <v>69</v>
      </c>
      <c r="R20" s="1">
        <f t="shared" si="6"/>
        <v>67</v>
      </c>
      <c r="S20" s="16">
        <f t="shared" si="7"/>
        <v>0.5</v>
      </c>
      <c r="T20" s="16">
        <f t="shared" si="8"/>
        <v>0</v>
      </c>
      <c r="U20" s="1" t="str">
        <f t="shared" si="9"/>
        <v>S</v>
      </c>
      <c r="V20" s="61" t="s">
        <v>18</v>
      </c>
      <c r="W20" s="1" t="str">
        <f t="shared" si="10"/>
        <v>D</v>
      </c>
      <c r="X20" s="1">
        <f>C20-Elect2010!C20</f>
        <v>-3</v>
      </c>
      <c r="Y20" s="1">
        <f>J20-Elect2010!J20</f>
        <v>-1</v>
      </c>
      <c r="Z20" s="1">
        <f t="shared" si="11"/>
        <v>-4</v>
      </c>
    </row>
    <row r="21" spans="1:26" ht="16">
      <c r="A21" s="12" t="s">
        <v>46</v>
      </c>
      <c r="B21" s="13" t="s">
        <v>26</v>
      </c>
      <c r="C21" s="67">
        <v>45</v>
      </c>
      <c r="D21" s="67">
        <v>58</v>
      </c>
      <c r="E21" s="43">
        <v>105</v>
      </c>
      <c r="F21" s="16">
        <f t="shared" si="0"/>
        <v>0.42857142857142855</v>
      </c>
      <c r="G21" s="16">
        <f t="shared" si="1"/>
        <v>0.14285714285714285</v>
      </c>
      <c r="H21" s="1" t="str">
        <f t="shared" si="2"/>
        <v>R</v>
      </c>
      <c r="I21" s="17" t="str">
        <f>IF(Elect2010!H21=H21,"N","Y")</f>
        <v>Y</v>
      </c>
      <c r="J21" s="67">
        <v>15</v>
      </c>
      <c r="K21" s="67">
        <v>24</v>
      </c>
      <c r="L21" s="43">
        <v>39</v>
      </c>
      <c r="M21" s="16">
        <f t="shared" si="3"/>
        <v>0.38461538461538464</v>
      </c>
      <c r="N21" s="16">
        <f t="shared" si="4"/>
        <v>0.23076923076923078</v>
      </c>
      <c r="O21" s="1" t="str">
        <f t="shared" si="5"/>
        <v>R</v>
      </c>
      <c r="P21" s="17" t="str">
        <f>IF(Elect2010!O21=O21,"N","Y")</f>
        <v>Y</v>
      </c>
      <c r="Q21" s="1">
        <f t="shared" si="6"/>
        <v>60</v>
      </c>
      <c r="R21" s="1">
        <f t="shared" si="6"/>
        <v>82</v>
      </c>
      <c r="S21" s="16">
        <f t="shared" si="7"/>
        <v>0.41666666666666669</v>
      </c>
      <c r="T21" s="16">
        <f t="shared" si="8"/>
        <v>0.16666666666666657</v>
      </c>
      <c r="U21" s="1" t="str">
        <f t="shared" si="9"/>
        <v>R</v>
      </c>
      <c r="V21" s="61" t="s">
        <v>19</v>
      </c>
      <c r="W21" s="1" t="str">
        <f t="shared" si="10"/>
        <v>U</v>
      </c>
      <c r="X21" s="1">
        <f>C21-Elect2010!C21</f>
        <v>-6</v>
      </c>
      <c r="Y21" s="1">
        <f>J21-Elect2010!J21</f>
        <v>-8</v>
      </c>
      <c r="Z21" s="1">
        <f t="shared" si="11"/>
        <v>-14</v>
      </c>
    </row>
    <row r="22" spans="1:26" ht="16">
      <c r="A22" s="12" t="s">
        <v>47</v>
      </c>
      <c r="B22" s="13" t="s">
        <v>34</v>
      </c>
      <c r="C22" s="66">
        <v>87</v>
      </c>
      <c r="D22" s="66">
        <v>60</v>
      </c>
      <c r="E22" s="43">
        <v>151</v>
      </c>
      <c r="F22" s="16">
        <f t="shared" si="0"/>
        <v>0.57615894039735094</v>
      </c>
      <c r="G22" s="16">
        <f t="shared" si="1"/>
        <v>0.15231788079470188</v>
      </c>
      <c r="H22" s="1" t="str">
        <f t="shared" si="2"/>
        <v>D</v>
      </c>
      <c r="I22" s="17" t="str">
        <f>IF(Elect2010!H22=H22,"N","Y")</f>
        <v>Y</v>
      </c>
      <c r="J22" s="66">
        <v>19</v>
      </c>
      <c r="K22" s="66">
        <v>15</v>
      </c>
      <c r="L22" s="43">
        <v>35</v>
      </c>
      <c r="M22" s="16">
        <f t="shared" si="3"/>
        <v>0.54285714285714282</v>
      </c>
      <c r="N22" s="16">
        <f t="shared" si="4"/>
        <v>8.5714285714285632E-2</v>
      </c>
      <c r="O22" s="1" t="str">
        <f t="shared" si="5"/>
        <v>D</v>
      </c>
      <c r="P22" s="17" t="str">
        <f>IF(Elect2010!O22=O22,"N","Y")</f>
        <v>Y</v>
      </c>
      <c r="Q22" s="1">
        <f t="shared" si="6"/>
        <v>106</v>
      </c>
      <c r="R22" s="1">
        <f t="shared" si="6"/>
        <v>75</v>
      </c>
      <c r="S22" s="16">
        <f t="shared" si="7"/>
        <v>0.56989247311827962</v>
      </c>
      <c r="T22" s="16">
        <f t="shared" si="8"/>
        <v>0.13978494623655924</v>
      </c>
      <c r="U22" s="1" t="str">
        <f t="shared" si="9"/>
        <v>D</v>
      </c>
      <c r="V22" s="61" t="s">
        <v>19</v>
      </c>
      <c r="W22" s="1" t="str">
        <f t="shared" si="10"/>
        <v>D</v>
      </c>
      <c r="X22" s="1">
        <f>C22-Elect2010!C22</f>
        <v>14</v>
      </c>
      <c r="Y22" s="1">
        <f>J22-Elect2010!J22</f>
        <v>5</v>
      </c>
      <c r="Z22" s="1">
        <f t="shared" si="11"/>
        <v>19</v>
      </c>
    </row>
    <row r="23" spans="1:26" ht="16">
      <c r="A23" s="12" t="s">
        <v>48</v>
      </c>
      <c r="B23" s="13" t="s">
        <v>26</v>
      </c>
      <c r="C23" s="66">
        <v>98</v>
      </c>
      <c r="D23" s="66">
        <v>43</v>
      </c>
      <c r="E23" s="45">
        <v>141</v>
      </c>
      <c r="F23" s="16">
        <f t="shared" si="0"/>
        <v>0.69503546099290781</v>
      </c>
      <c r="G23" s="16">
        <f t="shared" si="1"/>
        <v>0.39007092198581561</v>
      </c>
      <c r="H23" s="1" t="str">
        <f t="shared" si="2"/>
        <v>D</v>
      </c>
      <c r="I23" s="17" t="str">
        <f>IF(Elect2010!H23=H23,"N","Y")</f>
        <v>N</v>
      </c>
      <c r="J23" s="66">
        <v>35</v>
      </c>
      <c r="K23" s="66">
        <v>12</v>
      </c>
      <c r="L23" s="45">
        <v>47</v>
      </c>
      <c r="M23" s="16">
        <f t="shared" si="3"/>
        <v>0.74468085106382975</v>
      </c>
      <c r="N23" s="16">
        <f t="shared" si="4"/>
        <v>0.4893617021276595</v>
      </c>
      <c r="O23" s="1" t="str">
        <f t="shared" si="5"/>
        <v>D</v>
      </c>
      <c r="P23" s="17" t="str">
        <f>IF(Elect2010!O23=O23,"N","Y")</f>
        <v>N</v>
      </c>
      <c r="Q23" s="1">
        <f t="shared" si="6"/>
        <v>133</v>
      </c>
      <c r="R23" s="1">
        <f t="shared" si="6"/>
        <v>55</v>
      </c>
      <c r="S23" s="16">
        <f t="shared" si="7"/>
        <v>0.70744680851063835</v>
      </c>
      <c r="T23" s="16">
        <f t="shared" si="8"/>
        <v>0.41489361702127669</v>
      </c>
      <c r="U23" s="1" t="str">
        <f t="shared" si="9"/>
        <v>D</v>
      </c>
      <c r="V23" s="62" t="s">
        <v>18</v>
      </c>
      <c r="W23" s="1" t="str">
        <f t="shared" si="10"/>
        <v>U</v>
      </c>
      <c r="X23" s="1">
        <f>C23-Elect2010!C23</f>
        <v>0</v>
      </c>
      <c r="Y23" s="1">
        <f>J23-Elect2010!J23</f>
        <v>0</v>
      </c>
      <c r="Z23" s="1">
        <f t="shared" si="11"/>
        <v>0</v>
      </c>
    </row>
    <row r="24" spans="1:26" ht="16">
      <c r="A24" s="12" t="s">
        <v>49</v>
      </c>
      <c r="B24" s="13" t="s">
        <v>34</v>
      </c>
      <c r="C24" s="66">
        <v>131</v>
      </c>
      <c r="D24" s="66">
        <v>29</v>
      </c>
      <c r="E24" s="47">
        <v>160</v>
      </c>
      <c r="F24" s="16">
        <f t="shared" si="0"/>
        <v>0.81874999999999998</v>
      </c>
      <c r="G24" s="16">
        <f t="shared" si="1"/>
        <v>0.63749999999999996</v>
      </c>
      <c r="H24" s="1" t="str">
        <f t="shared" si="2"/>
        <v>D</v>
      </c>
      <c r="I24" s="17" t="str">
        <f>IF(Elect2010!H24=H24,"N","Y")</f>
        <v>N</v>
      </c>
      <c r="J24" s="66">
        <v>36</v>
      </c>
      <c r="K24" s="66">
        <v>4</v>
      </c>
      <c r="L24" s="47">
        <v>40</v>
      </c>
      <c r="M24" s="16">
        <f t="shared" si="3"/>
        <v>0.9</v>
      </c>
      <c r="N24" s="16">
        <f t="shared" si="4"/>
        <v>0.8</v>
      </c>
      <c r="O24" s="1" t="str">
        <f t="shared" si="5"/>
        <v>D</v>
      </c>
      <c r="P24" s="17" t="str">
        <f>IF(Elect2010!O24=O24,"N","Y")</f>
        <v>N</v>
      </c>
      <c r="Q24" s="1">
        <f t="shared" si="6"/>
        <v>167</v>
      </c>
      <c r="R24" s="1">
        <f t="shared" si="6"/>
        <v>33</v>
      </c>
      <c r="S24" s="16">
        <f t="shared" si="7"/>
        <v>0.83499999999999996</v>
      </c>
      <c r="T24" s="16">
        <f t="shared" si="8"/>
        <v>0.66999999999999993</v>
      </c>
      <c r="U24" s="1" t="str">
        <f t="shared" si="9"/>
        <v>D</v>
      </c>
      <c r="V24" s="63" t="s">
        <v>18</v>
      </c>
      <c r="W24" s="1" t="str">
        <f t="shared" si="10"/>
        <v>U</v>
      </c>
      <c r="X24" s="1">
        <f>C24-Elect2010!C24</f>
        <v>3</v>
      </c>
      <c r="Y24" s="1">
        <f>J24-Elect2010!J24</f>
        <v>0</v>
      </c>
      <c r="Z24" s="1">
        <f t="shared" si="11"/>
        <v>3</v>
      </c>
    </row>
    <row r="25" spans="1:26" ht="16">
      <c r="A25" s="12" t="s">
        <v>50</v>
      </c>
      <c r="B25" s="13" t="s">
        <v>41</v>
      </c>
      <c r="C25" s="66">
        <v>51</v>
      </c>
      <c r="D25" s="66">
        <v>59</v>
      </c>
      <c r="E25" s="43">
        <v>110</v>
      </c>
      <c r="F25" s="16">
        <f t="shared" si="0"/>
        <v>0.46363636363636362</v>
      </c>
      <c r="G25" s="16">
        <f t="shared" si="1"/>
        <v>7.2727272727272751E-2</v>
      </c>
      <c r="H25" s="1" t="str">
        <f t="shared" si="2"/>
        <v>R</v>
      </c>
      <c r="I25" s="17" t="str">
        <f>IF(Elect2010!H25=H25,"N","Y")</f>
        <v>N</v>
      </c>
      <c r="J25" s="66">
        <v>12</v>
      </c>
      <c r="K25" s="66">
        <v>26</v>
      </c>
      <c r="L25" s="43">
        <v>38</v>
      </c>
      <c r="M25" s="16">
        <f t="shared" si="3"/>
        <v>0.31578947368421051</v>
      </c>
      <c r="N25" s="16">
        <f t="shared" si="4"/>
        <v>0.36842105263157898</v>
      </c>
      <c r="O25" s="1" t="str">
        <f t="shared" si="5"/>
        <v>R</v>
      </c>
      <c r="P25" s="17" t="str">
        <f>IF(Elect2010!O25=O25,"N","Y")</f>
        <v>N</v>
      </c>
      <c r="Q25" s="1">
        <f t="shared" si="6"/>
        <v>63</v>
      </c>
      <c r="R25" s="1">
        <f t="shared" si="6"/>
        <v>85</v>
      </c>
      <c r="S25" s="16">
        <f t="shared" si="7"/>
        <v>0.42567567567567566</v>
      </c>
      <c r="T25" s="16">
        <f t="shared" si="8"/>
        <v>0.14864864864864868</v>
      </c>
      <c r="U25" s="1" t="str">
        <f t="shared" si="9"/>
        <v>R</v>
      </c>
      <c r="V25" s="61" t="s">
        <v>19</v>
      </c>
      <c r="W25" s="1" t="str">
        <f t="shared" si="10"/>
        <v>U</v>
      </c>
      <c r="X25" s="1">
        <f>C25-Elect2010!C25</f>
        <v>4</v>
      </c>
      <c r="Y25" s="1">
        <f>J25-Elect2010!J25</f>
        <v>0</v>
      </c>
      <c r="Z25" s="1">
        <f t="shared" si="11"/>
        <v>4</v>
      </c>
    </row>
    <row r="26" spans="1:26" ht="16">
      <c r="A26" s="12" t="s">
        <v>51</v>
      </c>
      <c r="B26" s="13" t="s">
        <v>41</v>
      </c>
      <c r="C26" s="66">
        <v>73</v>
      </c>
      <c r="D26" s="66">
        <v>61</v>
      </c>
      <c r="E26" s="43">
        <v>134</v>
      </c>
      <c r="F26" s="16">
        <f t="shared" si="0"/>
        <v>0.54477611940298509</v>
      </c>
      <c r="G26" s="16">
        <f t="shared" si="1"/>
        <v>8.9552238805970186E-2</v>
      </c>
      <c r="H26" s="1" t="str">
        <f t="shared" si="2"/>
        <v>D</v>
      </c>
      <c r="I26" s="17" t="str">
        <f>IF(Elect2010!H26=H26,"N","Y")</f>
        <v>Y</v>
      </c>
      <c r="J26" s="66">
        <v>39</v>
      </c>
      <c r="K26" s="66">
        <v>28</v>
      </c>
      <c r="L26" s="43">
        <v>67</v>
      </c>
      <c r="M26" s="16">
        <f t="shared" si="3"/>
        <v>0.58208955223880599</v>
      </c>
      <c r="N26" s="16">
        <f t="shared" si="4"/>
        <v>0.16417910447761197</v>
      </c>
      <c r="O26" s="1" t="str">
        <f t="shared" si="5"/>
        <v>D</v>
      </c>
      <c r="P26" s="17" t="str">
        <f>IF(Elect2010!O26=O26,"N","Y")</f>
        <v>Y</v>
      </c>
      <c r="Q26" s="1">
        <f t="shared" si="6"/>
        <v>112</v>
      </c>
      <c r="R26" s="1">
        <f t="shared" si="6"/>
        <v>89</v>
      </c>
      <c r="S26" s="16">
        <f t="shared" si="7"/>
        <v>0.55721393034825872</v>
      </c>
      <c r="T26" s="16">
        <f t="shared" si="8"/>
        <v>0.11442786069651745</v>
      </c>
      <c r="U26" s="1" t="str">
        <f t="shared" si="9"/>
        <v>D</v>
      </c>
      <c r="V26" s="61" t="s">
        <v>18</v>
      </c>
      <c r="W26" s="1" t="str">
        <f t="shared" si="10"/>
        <v>U</v>
      </c>
      <c r="X26" s="1">
        <f>C26-Elect2010!C26</f>
        <v>11</v>
      </c>
      <c r="Y26" s="1">
        <f>J26-Elect2010!J26</f>
        <v>9</v>
      </c>
      <c r="Z26" s="1">
        <f t="shared" si="11"/>
        <v>20</v>
      </c>
    </row>
    <row r="27" spans="1:26" ht="16">
      <c r="A27" s="12" t="s">
        <v>52</v>
      </c>
      <c r="B27" s="13" t="s">
        <v>26</v>
      </c>
      <c r="C27" s="66">
        <v>58</v>
      </c>
      <c r="D27" s="66">
        <v>63</v>
      </c>
      <c r="E27" s="43">
        <v>122</v>
      </c>
      <c r="F27" s="16">
        <f t="shared" si="0"/>
        <v>0.47540983606557374</v>
      </c>
      <c r="G27" s="16">
        <f t="shared" si="1"/>
        <v>4.9180327868852514E-2</v>
      </c>
      <c r="H27" s="1" t="str">
        <f t="shared" si="2"/>
        <v>R</v>
      </c>
      <c r="I27" s="17" t="str">
        <f>IF(Elect2010!H27=H27,"N","Y")</f>
        <v>Y</v>
      </c>
      <c r="J27" s="66">
        <v>21</v>
      </c>
      <c r="K27" s="66">
        <v>30</v>
      </c>
      <c r="L27" s="43">
        <v>52</v>
      </c>
      <c r="M27" s="16">
        <f t="shared" si="3"/>
        <v>0.40384615384615385</v>
      </c>
      <c r="N27" s="16">
        <f t="shared" si="4"/>
        <v>0.19230769230769229</v>
      </c>
      <c r="O27" s="1" t="str">
        <f t="shared" si="5"/>
        <v>R</v>
      </c>
      <c r="P27" s="17" t="str">
        <f>IF(Elect2010!O27=O27,"N","Y")</f>
        <v>Y</v>
      </c>
      <c r="Q27" s="1">
        <f t="shared" si="6"/>
        <v>79</v>
      </c>
      <c r="R27" s="1">
        <f t="shared" si="6"/>
        <v>93</v>
      </c>
      <c r="S27" s="16">
        <f t="shared" si="7"/>
        <v>0.45402298850574713</v>
      </c>
      <c r="T27" s="16">
        <f t="shared" si="8"/>
        <v>9.195402298850569E-2</v>
      </c>
      <c r="U27" s="1" t="str">
        <f t="shared" si="9"/>
        <v>R</v>
      </c>
      <c r="V27" s="61" t="s">
        <v>19</v>
      </c>
      <c r="W27" s="1" t="str">
        <f t="shared" si="10"/>
        <v>U</v>
      </c>
      <c r="X27" s="1">
        <f>C27-Elect2010!C27</f>
        <v>-14</v>
      </c>
      <c r="Y27" s="1">
        <f>J27-Elect2010!J27</f>
        <v>-6</v>
      </c>
      <c r="Z27" s="1">
        <f t="shared" si="11"/>
        <v>-20</v>
      </c>
    </row>
    <row r="28" spans="1:26" ht="16">
      <c r="A28" s="12" t="s">
        <v>53</v>
      </c>
      <c r="B28" s="13" t="s">
        <v>41</v>
      </c>
      <c r="C28" s="66">
        <v>53</v>
      </c>
      <c r="D28" s="66">
        <v>110</v>
      </c>
      <c r="E28" s="45">
        <v>163</v>
      </c>
      <c r="F28" s="16">
        <f t="shared" si="0"/>
        <v>0.32515337423312884</v>
      </c>
      <c r="G28" s="16">
        <f t="shared" si="1"/>
        <v>0.34969325153374231</v>
      </c>
      <c r="H28" s="1" t="str">
        <f t="shared" si="2"/>
        <v>R</v>
      </c>
      <c r="I28" s="17" t="str">
        <f>IF(Elect2010!H28=H28,"N","Y")</f>
        <v>N</v>
      </c>
      <c r="J28" s="66">
        <v>10</v>
      </c>
      <c r="K28" s="66">
        <v>24</v>
      </c>
      <c r="L28" s="45">
        <v>34</v>
      </c>
      <c r="M28" s="16">
        <f t="shared" si="3"/>
        <v>0.29411764705882354</v>
      </c>
      <c r="N28" s="16">
        <f t="shared" si="4"/>
        <v>0.41176470588235287</v>
      </c>
      <c r="O28" s="1" t="str">
        <f t="shared" si="5"/>
        <v>R</v>
      </c>
      <c r="P28" s="17" t="str">
        <f>IF(Elect2010!O28=O28,"N","Y")</f>
        <v>N</v>
      </c>
      <c r="Q28" s="1">
        <f t="shared" si="6"/>
        <v>63</v>
      </c>
      <c r="R28" s="1">
        <f t="shared" si="6"/>
        <v>134</v>
      </c>
      <c r="S28" s="16">
        <f t="shared" si="7"/>
        <v>0.31979695431472083</v>
      </c>
      <c r="T28" s="16">
        <f t="shared" si="8"/>
        <v>0.3604060913705584</v>
      </c>
      <c r="U28" s="1" t="str">
        <f t="shared" si="9"/>
        <v>R</v>
      </c>
      <c r="V28" s="62" t="s">
        <v>18</v>
      </c>
      <c r="W28" s="1" t="str">
        <f t="shared" si="10"/>
        <v>D</v>
      </c>
      <c r="X28" s="1">
        <f>C28-Elect2010!C28</f>
        <v>-4</v>
      </c>
      <c r="Y28" s="1">
        <f>J28-Elect2010!J28</f>
        <v>2</v>
      </c>
      <c r="Z28" s="1">
        <f t="shared" si="11"/>
        <v>-2</v>
      </c>
    </row>
    <row r="29" spans="1:26" ht="16">
      <c r="A29" s="12" t="s">
        <v>54</v>
      </c>
      <c r="B29" s="13" t="s">
        <v>28</v>
      </c>
      <c r="C29" s="66">
        <v>37</v>
      </c>
      <c r="D29" s="66">
        <v>63</v>
      </c>
      <c r="E29" s="47">
        <v>100</v>
      </c>
      <c r="F29" s="16">
        <f t="shared" si="0"/>
        <v>0.37</v>
      </c>
      <c r="G29" s="16">
        <f t="shared" si="1"/>
        <v>0.26</v>
      </c>
      <c r="H29" s="1" t="str">
        <f t="shared" si="2"/>
        <v>R</v>
      </c>
      <c r="I29" s="17" t="str">
        <f>IF(Elect2010!H29=H29,"N","Y")</f>
        <v>N</v>
      </c>
      <c r="J29" s="66">
        <v>23</v>
      </c>
      <c r="K29" s="66">
        <v>27</v>
      </c>
      <c r="L29" s="47">
        <v>50</v>
      </c>
      <c r="M29" s="16">
        <f t="shared" si="3"/>
        <v>0.46</v>
      </c>
      <c r="N29" s="16">
        <f t="shared" si="4"/>
        <v>8.0000000000000016E-2</v>
      </c>
      <c r="O29" s="1" t="str">
        <f t="shared" si="5"/>
        <v>R</v>
      </c>
      <c r="P29" s="17" t="str">
        <f>IF(Elect2010!O29=O29,"N","Y")</f>
        <v>N</v>
      </c>
      <c r="Q29" s="1">
        <f t="shared" si="6"/>
        <v>60</v>
      </c>
      <c r="R29" s="1">
        <f t="shared" si="6"/>
        <v>90</v>
      </c>
      <c r="S29" s="16">
        <f t="shared" si="7"/>
        <v>0.4</v>
      </c>
      <c r="T29" s="16">
        <f t="shared" si="8"/>
        <v>0.19999999999999996</v>
      </c>
      <c r="U29" s="1" t="str">
        <f t="shared" si="9"/>
        <v>R</v>
      </c>
      <c r="V29" s="63" t="s">
        <v>18</v>
      </c>
      <c r="W29" s="1" t="str">
        <f t="shared" si="10"/>
        <v>D</v>
      </c>
      <c r="X29" s="1">
        <f>C29-Elect2010!C29</f>
        <v>5</v>
      </c>
      <c r="Y29" s="1">
        <f>J29-Elect2010!J29</f>
        <v>1</v>
      </c>
      <c r="Z29" s="1">
        <f t="shared" si="11"/>
        <v>6</v>
      </c>
    </row>
    <row r="30" spans="1:26" ht="16">
      <c r="A30" s="12" t="s">
        <v>55</v>
      </c>
      <c r="B30" s="13" t="s">
        <v>41</v>
      </c>
      <c r="C30" s="68"/>
      <c r="D30" s="68"/>
      <c r="E30" s="49" t="s">
        <v>109</v>
      </c>
      <c r="F30" s="16"/>
      <c r="G30" s="16"/>
      <c r="I30" s="17" t="str">
        <f>IF(Elect2010!H30=H30,"N","Y")</f>
        <v>N</v>
      </c>
      <c r="J30" s="69"/>
      <c r="K30" s="66"/>
      <c r="L30" s="43"/>
      <c r="M30" s="16"/>
      <c r="N30" s="16"/>
      <c r="P30" s="17" t="str">
        <f>IF(Elect2010!O30=O30,"N","Y")</f>
        <v>N</v>
      </c>
      <c r="S30" s="16"/>
      <c r="T30" s="16"/>
      <c r="V30" s="61" t="s">
        <v>19</v>
      </c>
    </row>
    <row r="31" spans="1:26" ht="16">
      <c r="A31" s="12" t="s">
        <v>57</v>
      </c>
      <c r="B31" s="13" t="s">
        <v>28</v>
      </c>
      <c r="C31" s="66">
        <v>27</v>
      </c>
      <c r="D31" s="66">
        <v>15</v>
      </c>
      <c r="E31" s="43">
        <v>42</v>
      </c>
      <c r="F31" s="16">
        <f t="shared" ref="F31:F54" si="12">C31/E31</f>
        <v>0.6428571428571429</v>
      </c>
      <c r="G31" s="16">
        <f t="shared" ref="G31:G53" si="13">ABS(F31-(1-F31))</f>
        <v>0.28571428571428581</v>
      </c>
      <c r="H31" s="1" t="str">
        <f t="shared" ref="H31:H53" si="14">IF(F31&gt;0.5,"D",IF(F31=0.5,"T","R"))</f>
        <v>D</v>
      </c>
      <c r="I31" s="17" t="str">
        <f>IF(Elect2010!H31=H31,"N","Y")</f>
        <v>N</v>
      </c>
      <c r="J31" s="66">
        <v>11</v>
      </c>
      <c r="K31" s="66">
        <v>10</v>
      </c>
      <c r="L31" s="43">
        <v>21</v>
      </c>
      <c r="M31" s="16">
        <f t="shared" ref="M31:M54" si="15">J31/L31</f>
        <v>0.52380952380952384</v>
      </c>
      <c r="N31" s="16">
        <f t="shared" ref="N31:N53" si="16">ABS(M31-(1-M31))</f>
        <v>4.7619047619047672E-2</v>
      </c>
      <c r="O31" s="1" t="str">
        <f t="shared" ref="O31:O53" si="17">IF(M31&gt;0.5,"D",IF(M31=0.5,"T","R"))</f>
        <v>D</v>
      </c>
      <c r="P31" s="17" t="str">
        <f>IF(Elect2010!O31=O31,"N","Y")</f>
        <v>N</v>
      </c>
      <c r="Q31" s="1">
        <f t="shared" ref="Q31:R53" si="18">C31+J31</f>
        <v>38</v>
      </c>
      <c r="R31" s="1">
        <f t="shared" si="18"/>
        <v>25</v>
      </c>
      <c r="S31" s="16">
        <f t="shared" ref="S31:S54" si="19">Q31/(E31+L31)</f>
        <v>0.60317460317460314</v>
      </c>
      <c r="T31" s="16">
        <f t="shared" ref="T31:T53" si="20">ABS(S31-(1-S31))</f>
        <v>0.20634920634920628</v>
      </c>
      <c r="U31" s="1" t="str">
        <f t="shared" ref="U31:U53" si="21">IF(H31=O31,O31,"S")</f>
        <v>D</v>
      </c>
      <c r="V31" s="61" t="s">
        <v>19</v>
      </c>
      <c r="W31" s="1" t="str">
        <f t="shared" ref="W31:W53" si="22">IF(V31=U31,"U","D")</f>
        <v>D</v>
      </c>
      <c r="X31" s="1">
        <f>C31-Elect2010!C31</f>
        <v>1</v>
      </c>
      <c r="Y31" s="1">
        <f>J31-Elect2010!J31</f>
        <v>0</v>
      </c>
      <c r="Z31" s="1">
        <f t="shared" ref="Z31:Z53" si="23">X31+Y31</f>
        <v>1</v>
      </c>
    </row>
    <row r="32" spans="1:26" ht="16">
      <c r="A32" s="12" t="s">
        <v>58</v>
      </c>
      <c r="B32" s="13" t="s">
        <v>34</v>
      </c>
      <c r="C32" s="66">
        <v>222</v>
      </c>
      <c r="D32" s="66">
        <v>180</v>
      </c>
      <c r="E32" s="43">
        <v>400</v>
      </c>
      <c r="F32" s="16">
        <f t="shared" si="12"/>
        <v>0.55500000000000005</v>
      </c>
      <c r="G32" s="16">
        <f t="shared" si="13"/>
        <v>0.1100000000000001</v>
      </c>
      <c r="H32" s="1" t="str">
        <f t="shared" si="14"/>
        <v>D</v>
      </c>
      <c r="I32" s="17" t="str">
        <f>IF(Elect2010!H32=H32,"N","Y")</f>
        <v>Y</v>
      </c>
      <c r="J32" s="66">
        <v>11</v>
      </c>
      <c r="K32" s="66">
        <v>13</v>
      </c>
      <c r="L32" s="43">
        <v>24</v>
      </c>
      <c r="M32" s="16">
        <f t="shared" si="15"/>
        <v>0.45833333333333331</v>
      </c>
      <c r="N32" s="16">
        <f t="shared" si="16"/>
        <v>8.3333333333333426E-2</v>
      </c>
      <c r="O32" s="1" t="str">
        <f t="shared" si="17"/>
        <v>R</v>
      </c>
      <c r="P32" s="17" t="str">
        <f>IF(Elect2010!O32=O32,"N","Y")</f>
        <v>N</v>
      </c>
      <c r="Q32" s="1">
        <f t="shared" si="18"/>
        <v>233</v>
      </c>
      <c r="R32" s="1">
        <f t="shared" si="18"/>
        <v>193</v>
      </c>
      <c r="S32" s="16">
        <f t="shared" si="19"/>
        <v>0.54952830188679247</v>
      </c>
      <c r="T32" s="16">
        <f t="shared" si="20"/>
        <v>9.9056603773584939E-2</v>
      </c>
      <c r="U32" s="1" t="str">
        <f t="shared" si="21"/>
        <v>S</v>
      </c>
      <c r="V32" s="61" t="s">
        <v>18</v>
      </c>
      <c r="W32" s="1" t="str">
        <f t="shared" si="22"/>
        <v>D</v>
      </c>
      <c r="X32" s="1">
        <f>C32-Elect2010!C32</f>
        <v>120</v>
      </c>
      <c r="Y32" s="1">
        <f>J32-Elect2010!J32</f>
        <v>6</v>
      </c>
      <c r="Z32" s="1">
        <f t="shared" si="23"/>
        <v>126</v>
      </c>
    </row>
    <row r="33" spans="1:26" ht="16">
      <c r="A33" s="12" t="s">
        <v>59</v>
      </c>
      <c r="B33" s="13" t="s">
        <v>34</v>
      </c>
      <c r="C33" s="66">
        <v>48</v>
      </c>
      <c r="D33" s="66">
        <v>32</v>
      </c>
      <c r="E33" s="45">
        <v>80</v>
      </c>
      <c r="F33" s="16">
        <f t="shared" si="12"/>
        <v>0.6</v>
      </c>
      <c r="G33" s="16">
        <f t="shared" si="13"/>
        <v>0.19999999999999996</v>
      </c>
      <c r="H33" s="1" t="str">
        <f t="shared" si="14"/>
        <v>D</v>
      </c>
      <c r="I33" s="17" t="str">
        <f>IF(Elect2010!H33=H33,"N","Y")</f>
        <v>N</v>
      </c>
      <c r="J33" s="66">
        <v>24</v>
      </c>
      <c r="K33" s="66">
        <v>16</v>
      </c>
      <c r="L33" s="45">
        <v>40</v>
      </c>
      <c r="M33" s="16">
        <f t="shared" si="15"/>
        <v>0.6</v>
      </c>
      <c r="N33" s="16">
        <f t="shared" si="16"/>
        <v>0.19999999999999996</v>
      </c>
      <c r="O33" s="1" t="str">
        <f t="shared" si="17"/>
        <v>D</v>
      </c>
      <c r="P33" s="17" t="str">
        <f>IF(Elect2010!O33=O33,"N","Y")</f>
        <v>N</v>
      </c>
      <c r="Q33" s="1">
        <f t="shared" si="18"/>
        <v>72</v>
      </c>
      <c r="R33" s="1">
        <f t="shared" si="18"/>
        <v>48</v>
      </c>
      <c r="S33" s="16">
        <f t="shared" si="19"/>
        <v>0.6</v>
      </c>
      <c r="T33" s="16">
        <f t="shared" si="20"/>
        <v>0.19999999999999996</v>
      </c>
      <c r="U33" s="1" t="str">
        <f t="shared" si="21"/>
        <v>D</v>
      </c>
      <c r="V33" s="62" t="s">
        <v>19</v>
      </c>
      <c r="W33" s="1" t="str">
        <f t="shared" si="22"/>
        <v>D</v>
      </c>
      <c r="X33" s="1">
        <f>C33-Elect2010!C33</f>
        <v>1</v>
      </c>
      <c r="Y33" s="1">
        <f>J33-Elect2010!J33</f>
        <v>1</v>
      </c>
      <c r="Z33" s="1">
        <f t="shared" si="23"/>
        <v>2</v>
      </c>
    </row>
    <row r="34" spans="1:26" ht="16">
      <c r="A34" s="12" t="s">
        <v>60</v>
      </c>
      <c r="B34" s="13" t="s">
        <v>28</v>
      </c>
      <c r="C34" s="66">
        <v>38</v>
      </c>
      <c r="D34" s="66">
        <v>30</v>
      </c>
      <c r="E34" s="47">
        <v>70</v>
      </c>
      <c r="F34" s="16">
        <f t="shared" si="12"/>
        <v>0.54285714285714282</v>
      </c>
      <c r="G34" s="16">
        <f t="shared" si="13"/>
        <v>8.5714285714285632E-2</v>
      </c>
      <c r="H34" s="1" t="str">
        <f t="shared" si="14"/>
        <v>D</v>
      </c>
      <c r="I34" s="17" t="str">
        <f>IF(Elect2010!H34=H34,"N","Y")</f>
        <v>N</v>
      </c>
      <c r="J34" s="66">
        <v>24</v>
      </c>
      <c r="K34" s="66">
        <v>17</v>
      </c>
      <c r="L34" s="47">
        <v>42</v>
      </c>
      <c r="M34" s="16">
        <f t="shared" si="15"/>
        <v>0.5714285714285714</v>
      </c>
      <c r="N34" s="16">
        <f t="shared" si="16"/>
        <v>0.14285714285714279</v>
      </c>
      <c r="O34" s="1" t="str">
        <f t="shared" si="17"/>
        <v>D</v>
      </c>
      <c r="P34" s="17" t="str">
        <f>IF(Elect2010!O34=O34,"N","Y")</f>
        <v>N</v>
      </c>
      <c r="Q34" s="1">
        <f t="shared" si="18"/>
        <v>62</v>
      </c>
      <c r="R34" s="1">
        <f t="shared" si="18"/>
        <v>47</v>
      </c>
      <c r="S34" s="16">
        <f t="shared" si="19"/>
        <v>0.5535714285714286</v>
      </c>
      <c r="T34" s="16">
        <f t="shared" si="20"/>
        <v>0.10714285714285721</v>
      </c>
      <c r="U34" s="1" t="str">
        <f t="shared" si="21"/>
        <v>D</v>
      </c>
      <c r="V34" s="63" t="s">
        <v>19</v>
      </c>
      <c r="W34" s="1" t="str">
        <f t="shared" si="22"/>
        <v>D</v>
      </c>
      <c r="X34" s="1">
        <f>C34-Elect2010!C34</f>
        <v>1</v>
      </c>
      <c r="Y34" s="1">
        <f>J34-Elect2010!J34</f>
        <v>-3</v>
      </c>
      <c r="Z34" s="1">
        <f t="shared" si="23"/>
        <v>-2</v>
      </c>
    </row>
    <row r="35" spans="1:26" ht="16">
      <c r="A35" s="12" t="s">
        <v>61</v>
      </c>
      <c r="B35" s="13" t="s">
        <v>34</v>
      </c>
      <c r="C35" s="66">
        <v>105</v>
      </c>
      <c r="D35" s="66">
        <v>42</v>
      </c>
      <c r="E35" s="43">
        <v>150</v>
      </c>
      <c r="F35" s="16">
        <f t="shared" si="12"/>
        <v>0.7</v>
      </c>
      <c r="G35" s="16">
        <f t="shared" si="13"/>
        <v>0.39999999999999991</v>
      </c>
      <c r="H35" s="1" t="str">
        <f t="shared" si="14"/>
        <v>D</v>
      </c>
      <c r="I35" s="17" t="str">
        <f>IF(Elect2010!H35=H35,"N","Y")</f>
        <v>N</v>
      </c>
      <c r="J35" s="66">
        <v>32</v>
      </c>
      <c r="K35" s="66">
        <v>30</v>
      </c>
      <c r="L35" s="43">
        <v>63</v>
      </c>
      <c r="M35" s="16">
        <f t="shared" si="15"/>
        <v>0.50793650793650791</v>
      </c>
      <c r="N35" s="16">
        <f t="shared" si="16"/>
        <v>1.5873015873015817E-2</v>
      </c>
      <c r="O35" s="1" t="str">
        <f t="shared" si="17"/>
        <v>D</v>
      </c>
      <c r="P35" s="17" t="str">
        <f>IF(Elect2010!O35=O35,"N","Y")</f>
        <v>Y</v>
      </c>
      <c r="Q35" s="1">
        <f t="shared" si="18"/>
        <v>137</v>
      </c>
      <c r="R35" s="1">
        <f t="shared" si="18"/>
        <v>72</v>
      </c>
      <c r="S35" s="16">
        <f t="shared" si="19"/>
        <v>0.64319248826291076</v>
      </c>
      <c r="T35" s="16">
        <f t="shared" si="20"/>
        <v>0.28638497652582151</v>
      </c>
      <c r="U35" s="1" t="str">
        <f t="shared" si="21"/>
        <v>D</v>
      </c>
      <c r="V35" s="61" t="s">
        <v>18</v>
      </c>
      <c r="W35" s="1" t="str">
        <f t="shared" si="22"/>
        <v>U</v>
      </c>
      <c r="X35" s="1">
        <f>C35-Elect2010!C35</f>
        <v>5</v>
      </c>
      <c r="Y35" s="1">
        <f>J35-Elect2010!J35</f>
        <v>2</v>
      </c>
      <c r="Z35" s="1">
        <f t="shared" si="23"/>
        <v>7</v>
      </c>
    </row>
    <row r="36" spans="1:26" ht="16">
      <c r="A36" s="12" t="s">
        <v>62</v>
      </c>
      <c r="B36" s="13" t="s">
        <v>26</v>
      </c>
      <c r="C36" s="66">
        <v>43</v>
      </c>
      <c r="D36" s="66">
        <v>77</v>
      </c>
      <c r="E36" s="43">
        <v>120</v>
      </c>
      <c r="F36" s="16">
        <f t="shared" si="12"/>
        <v>0.35833333333333334</v>
      </c>
      <c r="G36" s="16">
        <f t="shared" si="13"/>
        <v>0.28333333333333327</v>
      </c>
      <c r="H36" s="1" t="str">
        <f t="shared" si="14"/>
        <v>R</v>
      </c>
      <c r="I36" s="17" t="str">
        <f>IF(Elect2010!H36=H36,"N","Y")</f>
        <v>N</v>
      </c>
      <c r="J36" s="66">
        <v>18</v>
      </c>
      <c r="K36" s="66">
        <v>32</v>
      </c>
      <c r="L36" s="43">
        <v>50</v>
      </c>
      <c r="M36" s="16">
        <f t="shared" si="15"/>
        <v>0.36</v>
      </c>
      <c r="N36" s="16">
        <f t="shared" si="16"/>
        <v>0.28000000000000003</v>
      </c>
      <c r="O36" s="1" t="str">
        <f t="shared" si="17"/>
        <v>R</v>
      </c>
      <c r="P36" s="17" t="str">
        <f>IF(Elect2010!O36=O36,"N","Y")</f>
        <v>N</v>
      </c>
      <c r="Q36" s="1">
        <f t="shared" si="18"/>
        <v>61</v>
      </c>
      <c r="R36" s="1">
        <f t="shared" si="18"/>
        <v>109</v>
      </c>
      <c r="S36" s="16">
        <f t="shared" si="19"/>
        <v>0.35882352941176471</v>
      </c>
      <c r="T36" s="16">
        <f t="shared" si="20"/>
        <v>0.28235294117647053</v>
      </c>
      <c r="U36" s="1" t="str">
        <f t="shared" si="21"/>
        <v>R</v>
      </c>
      <c r="V36" s="61" t="s">
        <v>19</v>
      </c>
      <c r="W36" s="1" t="str">
        <f t="shared" si="22"/>
        <v>U</v>
      </c>
      <c r="X36" s="1">
        <f>C36-Elect2010!C36</f>
        <v>-9</v>
      </c>
      <c r="Y36" s="1">
        <f>J36-Elect2010!J36</f>
        <v>-1</v>
      </c>
      <c r="Z36" s="1">
        <f t="shared" si="23"/>
        <v>-10</v>
      </c>
    </row>
    <row r="37" spans="1:26" ht="16">
      <c r="A37" s="12" t="s">
        <v>63</v>
      </c>
      <c r="B37" s="13" t="s">
        <v>41</v>
      </c>
      <c r="C37" s="66">
        <v>22</v>
      </c>
      <c r="D37" s="66">
        <v>70</v>
      </c>
      <c r="E37" s="43">
        <v>94</v>
      </c>
      <c r="F37" s="16">
        <f t="shared" si="12"/>
        <v>0.23404255319148937</v>
      </c>
      <c r="G37" s="16">
        <f t="shared" si="13"/>
        <v>0.53191489361702127</v>
      </c>
      <c r="H37" s="1" t="str">
        <f t="shared" si="14"/>
        <v>R</v>
      </c>
      <c r="I37" s="17" t="str">
        <f>IF(Elect2010!H37=H37,"N","Y")</f>
        <v>N</v>
      </c>
      <c r="J37" s="66">
        <v>13</v>
      </c>
      <c r="K37" s="66">
        <v>33</v>
      </c>
      <c r="L37" s="43">
        <v>47</v>
      </c>
      <c r="M37" s="16">
        <f t="shared" si="15"/>
        <v>0.27659574468085107</v>
      </c>
      <c r="N37" s="16">
        <f t="shared" si="16"/>
        <v>0.4468085106382978</v>
      </c>
      <c r="O37" s="1" t="str">
        <f t="shared" si="17"/>
        <v>R</v>
      </c>
      <c r="P37" s="17" t="str">
        <f>IF(Elect2010!O37=O37,"N","Y")</f>
        <v>N</v>
      </c>
      <c r="Q37" s="1">
        <f t="shared" si="18"/>
        <v>35</v>
      </c>
      <c r="R37" s="1">
        <f t="shared" si="18"/>
        <v>103</v>
      </c>
      <c r="S37" s="16">
        <f t="shared" si="19"/>
        <v>0.24822695035460993</v>
      </c>
      <c r="T37" s="16">
        <f t="shared" si="20"/>
        <v>0.50354609929078009</v>
      </c>
      <c r="U37" s="1" t="str">
        <f t="shared" si="21"/>
        <v>R</v>
      </c>
      <c r="V37" s="61" t="s">
        <v>19</v>
      </c>
      <c r="W37" s="1" t="str">
        <f t="shared" si="22"/>
        <v>U</v>
      </c>
      <c r="X37" s="1">
        <f>C37-Elect2010!C37</f>
        <v>-3</v>
      </c>
      <c r="Y37" s="1">
        <f>J37-Elect2010!J37</f>
        <v>1</v>
      </c>
      <c r="Z37" s="1">
        <f t="shared" si="23"/>
        <v>-2</v>
      </c>
    </row>
    <row r="38" spans="1:26" ht="16">
      <c r="A38" s="12" t="s">
        <v>64</v>
      </c>
      <c r="B38" s="13" t="s">
        <v>41</v>
      </c>
      <c r="C38" s="66">
        <v>39</v>
      </c>
      <c r="D38" s="66">
        <v>60</v>
      </c>
      <c r="E38" s="45">
        <v>99</v>
      </c>
      <c r="F38" s="16">
        <f t="shared" si="12"/>
        <v>0.39393939393939392</v>
      </c>
      <c r="G38" s="16">
        <f t="shared" si="13"/>
        <v>0.21212121212121215</v>
      </c>
      <c r="H38" s="1" t="str">
        <f t="shared" si="14"/>
        <v>R</v>
      </c>
      <c r="I38" s="17" t="str">
        <f>IF(Elect2010!H38=H38,"N","Y")</f>
        <v>N</v>
      </c>
      <c r="J38" s="66">
        <v>10</v>
      </c>
      <c r="K38" s="66">
        <v>23</v>
      </c>
      <c r="L38" s="45">
        <v>33</v>
      </c>
      <c r="M38" s="16">
        <f t="shared" si="15"/>
        <v>0.30303030303030304</v>
      </c>
      <c r="N38" s="16">
        <f t="shared" si="16"/>
        <v>0.39393939393939398</v>
      </c>
      <c r="O38" s="1" t="str">
        <f t="shared" si="17"/>
        <v>R</v>
      </c>
      <c r="P38" s="17" t="str">
        <f>IF(Elect2010!O38=O38,"N","Y")</f>
        <v>N</v>
      </c>
      <c r="Q38" s="1">
        <f t="shared" si="18"/>
        <v>49</v>
      </c>
      <c r="R38" s="1">
        <f t="shared" si="18"/>
        <v>83</v>
      </c>
      <c r="S38" s="16">
        <f t="shared" si="19"/>
        <v>0.37121212121212122</v>
      </c>
      <c r="T38" s="16">
        <f t="shared" si="20"/>
        <v>0.25757575757575757</v>
      </c>
      <c r="U38" s="1" t="str">
        <f t="shared" si="21"/>
        <v>R</v>
      </c>
      <c r="V38" s="62" t="s">
        <v>19</v>
      </c>
      <c r="W38" s="1" t="str">
        <f t="shared" si="22"/>
        <v>U</v>
      </c>
      <c r="X38" s="1">
        <f>C38-Elect2010!C38</f>
        <v>-1</v>
      </c>
      <c r="Y38" s="1">
        <f>J38-Elect2010!J38</f>
        <v>0</v>
      </c>
      <c r="Z38" s="1">
        <f t="shared" si="23"/>
        <v>-1</v>
      </c>
    </row>
    <row r="39" spans="1:26" ht="16">
      <c r="A39" s="12" t="s">
        <v>65</v>
      </c>
      <c r="B39" s="13" t="s">
        <v>26</v>
      </c>
      <c r="C39" s="66">
        <v>29</v>
      </c>
      <c r="D39" s="66">
        <v>72</v>
      </c>
      <c r="E39" s="47">
        <v>101</v>
      </c>
      <c r="F39" s="16">
        <f t="shared" si="12"/>
        <v>0.28712871287128711</v>
      </c>
      <c r="G39" s="16">
        <f t="shared" si="13"/>
        <v>0.42574257425742573</v>
      </c>
      <c r="H39" s="1" t="str">
        <f t="shared" si="14"/>
        <v>R</v>
      </c>
      <c r="I39" s="17" t="str">
        <f>IF(Elect2010!H39=H39,"N","Y")</f>
        <v>N</v>
      </c>
      <c r="J39" s="66">
        <v>12</v>
      </c>
      <c r="K39" s="66">
        <v>36</v>
      </c>
      <c r="L39" s="47">
        <v>48</v>
      </c>
      <c r="M39" s="16">
        <f t="shared" si="15"/>
        <v>0.25</v>
      </c>
      <c r="N39" s="16">
        <f t="shared" si="16"/>
        <v>0.5</v>
      </c>
      <c r="O39" s="1" t="str">
        <f t="shared" si="17"/>
        <v>R</v>
      </c>
      <c r="P39" s="17" t="str">
        <f>IF(Elect2010!O39=O39,"N","Y")</f>
        <v>N</v>
      </c>
      <c r="Q39" s="1">
        <f t="shared" si="18"/>
        <v>41</v>
      </c>
      <c r="R39" s="1">
        <f t="shared" si="18"/>
        <v>108</v>
      </c>
      <c r="S39" s="16">
        <f t="shared" si="19"/>
        <v>0.27516778523489932</v>
      </c>
      <c r="T39" s="16">
        <f t="shared" si="20"/>
        <v>0.44966442953020141</v>
      </c>
      <c r="U39" s="1" t="str">
        <f t="shared" si="21"/>
        <v>R</v>
      </c>
      <c r="V39" s="63" t="s">
        <v>19</v>
      </c>
      <c r="W39" s="1" t="str">
        <f t="shared" si="22"/>
        <v>U</v>
      </c>
      <c r="X39" s="1">
        <f>C39-Elect2010!C39</f>
        <v>-2</v>
      </c>
      <c r="Y39" s="1">
        <f>J39-Elect2010!J39</f>
        <v>-4</v>
      </c>
      <c r="Z39" s="1">
        <f t="shared" si="23"/>
        <v>-6</v>
      </c>
    </row>
    <row r="40" spans="1:26" ht="16">
      <c r="A40" s="12" t="s">
        <v>66</v>
      </c>
      <c r="B40" s="13" t="s">
        <v>28</v>
      </c>
      <c r="C40" s="66">
        <v>34</v>
      </c>
      <c r="D40" s="66">
        <v>26</v>
      </c>
      <c r="E40" s="43">
        <v>60</v>
      </c>
      <c r="F40" s="16">
        <f t="shared" si="12"/>
        <v>0.56666666666666665</v>
      </c>
      <c r="G40" s="16">
        <f t="shared" si="13"/>
        <v>0.1333333333333333</v>
      </c>
      <c r="H40" s="1" t="str">
        <f t="shared" si="14"/>
        <v>D</v>
      </c>
      <c r="I40" s="17" t="str">
        <f>IF(Elect2010!H40=H40,"N","Y")</f>
        <v>Y</v>
      </c>
      <c r="J40" s="66">
        <v>16</v>
      </c>
      <c r="K40" s="66">
        <v>14</v>
      </c>
      <c r="L40" s="43">
        <v>30</v>
      </c>
      <c r="M40" s="16">
        <f t="shared" si="15"/>
        <v>0.53333333333333333</v>
      </c>
      <c r="N40" s="16">
        <f t="shared" si="16"/>
        <v>6.6666666666666652E-2</v>
      </c>
      <c r="O40" s="1" t="str">
        <f t="shared" si="17"/>
        <v>D</v>
      </c>
      <c r="P40" s="17" t="str">
        <f>IF(Elect2010!O40=O40,"N","Y")</f>
        <v>N</v>
      </c>
      <c r="Q40" s="1">
        <f t="shared" si="18"/>
        <v>50</v>
      </c>
      <c r="R40" s="1">
        <f t="shared" si="18"/>
        <v>40</v>
      </c>
      <c r="S40" s="16">
        <f t="shared" si="19"/>
        <v>0.55555555555555558</v>
      </c>
      <c r="T40" s="16">
        <f t="shared" si="20"/>
        <v>0.11111111111111116</v>
      </c>
      <c r="U40" s="1" t="str">
        <f t="shared" si="21"/>
        <v>D</v>
      </c>
      <c r="V40" s="61" t="s">
        <v>18</v>
      </c>
      <c r="W40" s="1" t="str">
        <f t="shared" si="22"/>
        <v>U</v>
      </c>
      <c r="X40" s="1">
        <f>C40-Elect2010!C40</f>
        <v>4</v>
      </c>
      <c r="Y40" s="1">
        <f>J40-Elect2010!J40</f>
        <v>0</v>
      </c>
      <c r="Z40" s="1">
        <f t="shared" si="23"/>
        <v>4</v>
      </c>
    </row>
    <row r="41" spans="1:26" ht="16">
      <c r="A41" s="12" t="s">
        <v>68</v>
      </c>
      <c r="B41" s="13" t="s">
        <v>34</v>
      </c>
      <c r="C41" s="66">
        <v>93</v>
      </c>
      <c r="D41" s="66">
        <v>110</v>
      </c>
      <c r="E41" s="43">
        <v>203</v>
      </c>
      <c r="F41" s="16">
        <f t="shared" si="12"/>
        <v>0.45812807881773399</v>
      </c>
      <c r="G41" s="16">
        <f t="shared" si="13"/>
        <v>8.3743842364532028E-2</v>
      </c>
      <c r="H41" s="1" t="str">
        <f t="shared" si="14"/>
        <v>R</v>
      </c>
      <c r="I41" s="17" t="str">
        <f>IF(Elect2010!H41=H41,"N","Y")</f>
        <v>N</v>
      </c>
      <c r="J41" s="66">
        <v>23</v>
      </c>
      <c r="K41" s="66">
        <v>27</v>
      </c>
      <c r="L41" s="43">
        <v>50</v>
      </c>
      <c r="M41" s="16">
        <f t="shared" si="15"/>
        <v>0.46</v>
      </c>
      <c r="N41" s="16">
        <f t="shared" si="16"/>
        <v>8.0000000000000016E-2</v>
      </c>
      <c r="O41" s="1" t="str">
        <f t="shared" si="17"/>
        <v>R</v>
      </c>
      <c r="P41" s="17" t="str">
        <f>IF(Elect2010!O41=O41,"N","Y")</f>
        <v>N</v>
      </c>
      <c r="Q41" s="1">
        <f t="shared" si="18"/>
        <v>116</v>
      </c>
      <c r="R41" s="1">
        <f t="shared" si="18"/>
        <v>137</v>
      </c>
      <c r="S41" s="16">
        <f t="shared" si="19"/>
        <v>0.45849802371541504</v>
      </c>
      <c r="T41" s="16">
        <f t="shared" si="20"/>
        <v>8.3003952569169925E-2</v>
      </c>
      <c r="U41" s="1" t="str">
        <f t="shared" si="21"/>
        <v>R</v>
      </c>
      <c r="V41" s="61" t="s">
        <v>19</v>
      </c>
      <c r="W41" s="1" t="str">
        <f t="shared" si="22"/>
        <v>U</v>
      </c>
      <c r="X41" s="1">
        <f>C41-Elect2010!C41</f>
        <v>2</v>
      </c>
      <c r="Y41" s="1">
        <f>J41-Elect2010!J41</f>
        <v>2</v>
      </c>
      <c r="Z41" s="1">
        <f t="shared" si="23"/>
        <v>4</v>
      </c>
    </row>
    <row r="42" spans="1:26" ht="16">
      <c r="A42" s="12" t="s">
        <v>69</v>
      </c>
      <c r="B42" s="13" t="s">
        <v>34</v>
      </c>
      <c r="C42" s="66">
        <v>69</v>
      </c>
      <c r="D42" s="66">
        <v>6</v>
      </c>
      <c r="E42" s="43">
        <v>75</v>
      </c>
      <c r="F42" s="16">
        <f t="shared" si="12"/>
        <v>0.92</v>
      </c>
      <c r="G42" s="16">
        <f t="shared" si="13"/>
        <v>0.84000000000000008</v>
      </c>
      <c r="H42" s="1" t="str">
        <f t="shared" si="14"/>
        <v>D</v>
      </c>
      <c r="I42" s="17" t="str">
        <f>IF(Elect2010!H42=H42,"N","Y")</f>
        <v>N</v>
      </c>
      <c r="J42" s="66">
        <v>32</v>
      </c>
      <c r="K42" s="66">
        <v>5</v>
      </c>
      <c r="L42" s="43">
        <v>38</v>
      </c>
      <c r="M42" s="16">
        <f t="shared" si="15"/>
        <v>0.84210526315789469</v>
      </c>
      <c r="N42" s="16">
        <f t="shared" si="16"/>
        <v>0.68421052631578938</v>
      </c>
      <c r="O42" s="1" t="str">
        <f t="shared" si="17"/>
        <v>D</v>
      </c>
      <c r="P42" s="17" t="str">
        <f>IF(Elect2010!O42=O42,"N","Y")</f>
        <v>N</v>
      </c>
      <c r="Q42" s="1">
        <f t="shared" si="18"/>
        <v>101</v>
      </c>
      <c r="R42" s="1">
        <f t="shared" si="18"/>
        <v>11</v>
      </c>
      <c r="S42" s="16">
        <f t="shared" si="19"/>
        <v>0.89380530973451322</v>
      </c>
      <c r="T42" s="16">
        <f t="shared" si="20"/>
        <v>0.78761061946902644</v>
      </c>
      <c r="U42" s="1" t="str">
        <f t="shared" si="21"/>
        <v>D</v>
      </c>
      <c r="V42" s="61" t="s">
        <v>112</v>
      </c>
      <c r="W42" s="1" t="str">
        <f t="shared" si="22"/>
        <v>D</v>
      </c>
      <c r="X42" s="1">
        <f>C42-Elect2010!C42</f>
        <v>4</v>
      </c>
      <c r="Y42" s="1">
        <f>J42-Elect2010!J42</f>
        <v>3</v>
      </c>
      <c r="Z42" s="1">
        <f t="shared" si="23"/>
        <v>7</v>
      </c>
    </row>
    <row r="43" spans="1:26" ht="16">
      <c r="A43" s="12" t="s">
        <v>70</v>
      </c>
      <c r="B43" s="13" t="s">
        <v>26</v>
      </c>
      <c r="C43" s="66">
        <v>46</v>
      </c>
      <c r="D43" s="66">
        <v>73</v>
      </c>
      <c r="E43" s="45">
        <v>124</v>
      </c>
      <c r="F43" s="16">
        <f t="shared" si="12"/>
        <v>0.37096774193548387</v>
      </c>
      <c r="G43" s="16">
        <f t="shared" si="13"/>
        <v>0.25806451612903225</v>
      </c>
      <c r="H43" s="1" t="str">
        <f t="shared" si="14"/>
        <v>R</v>
      </c>
      <c r="I43" s="17" t="str">
        <f>IF(Elect2010!H43=H43,"N","Y")</f>
        <v>N</v>
      </c>
      <c r="J43" s="66">
        <v>18</v>
      </c>
      <c r="K43" s="66">
        <v>28</v>
      </c>
      <c r="L43" s="45">
        <v>46</v>
      </c>
      <c r="M43" s="16">
        <f t="shared" si="15"/>
        <v>0.39130434782608697</v>
      </c>
      <c r="N43" s="16">
        <f t="shared" si="16"/>
        <v>0.21739130434782611</v>
      </c>
      <c r="O43" s="1" t="str">
        <f t="shared" si="17"/>
        <v>R</v>
      </c>
      <c r="P43" s="17" t="str">
        <f>IF(Elect2010!O43=O43,"N","Y")</f>
        <v>N</v>
      </c>
      <c r="Q43" s="1">
        <f t="shared" si="18"/>
        <v>64</v>
      </c>
      <c r="R43" s="1">
        <f t="shared" si="18"/>
        <v>101</v>
      </c>
      <c r="S43" s="16">
        <f t="shared" si="19"/>
        <v>0.37647058823529411</v>
      </c>
      <c r="T43" s="16">
        <f t="shared" si="20"/>
        <v>0.24705882352941178</v>
      </c>
      <c r="U43" s="1" t="str">
        <f t="shared" si="21"/>
        <v>R</v>
      </c>
      <c r="V43" s="62" t="s">
        <v>19</v>
      </c>
      <c r="W43" s="1" t="str">
        <f t="shared" si="22"/>
        <v>U</v>
      </c>
      <c r="X43" s="1">
        <f>C43-Elect2010!C43</f>
        <v>-2</v>
      </c>
      <c r="Y43" s="1">
        <f>J43-Elect2010!J43</f>
        <v>-1</v>
      </c>
      <c r="Z43" s="1">
        <f t="shared" si="23"/>
        <v>-3</v>
      </c>
    </row>
    <row r="44" spans="1:26" ht="16">
      <c r="A44" s="12" t="s">
        <v>71</v>
      </c>
      <c r="B44" s="13" t="s">
        <v>41</v>
      </c>
      <c r="C44" s="66">
        <v>17</v>
      </c>
      <c r="D44" s="66">
        <v>53</v>
      </c>
      <c r="E44" s="47">
        <v>70</v>
      </c>
      <c r="F44" s="16">
        <f t="shared" si="12"/>
        <v>0.24285714285714285</v>
      </c>
      <c r="G44" s="16">
        <f t="shared" si="13"/>
        <v>0.51428571428571423</v>
      </c>
      <c r="H44" s="1" t="str">
        <f t="shared" si="14"/>
        <v>R</v>
      </c>
      <c r="I44" s="17" t="str">
        <f>IF(Elect2010!H44=H44,"N","Y")</f>
        <v>N</v>
      </c>
      <c r="J44" s="66">
        <v>7</v>
      </c>
      <c r="K44" s="66">
        <v>28</v>
      </c>
      <c r="L44" s="47">
        <v>35</v>
      </c>
      <c r="M44" s="16">
        <f t="shared" si="15"/>
        <v>0.2</v>
      </c>
      <c r="N44" s="16">
        <f t="shared" si="16"/>
        <v>0.60000000000000009</v>
      </c>
      <c r="O44" s="1" t="str">
        <f t="shared" si="17"/>
        <v>R</v>
      </c>
      <c r="P44" s="17" t="str">
        <f>IF(Elect2010!O44=O44,"N","Y")</f>
        <v>N</v>
      </c>
      <c r="Q44" s="1">
        <f t="shared" si="18"/>
        <v>24</v>
      </c>
      <c r="R44" s="1">
        <f t="shared" si="18"/>
        <v>81</v>
      </c>
      <c r="S44" s="16">
        <f t="shared" si="19"/>
        <v>0.22857142857142856</v>
      </c>
      <c r="T44" s="16">
        <f t="shared" si="20"/>
        <v>0.54285714285714293</v>
      </c>
      <c r="U44" s="1" t="str">
        <f t="shared" si="21"/>
        <v>R</v>
      </c>
      <c r="V44" s="63" t="s">
        <v>19</v>
      </c>
      <c r="W44" s="1" t="str">
        <f t="shared" si="22"/>
        <v>U</v>
      </c>
      <c r="X44" s="1">
        <f>C44-Elect2010!C44</f>
        <v>-2</v>
      </c>
      <c r="Y44" s="1">
        <f>J44-Elect2010!J44</f>
        <v>1</v>
      </c>
      <c r="Z44" s="1">
        <f t="shared" si="23"/>
        <v>-1</v>
      </c>
    </row>
    <row r="45" spans="1:26" ht="16">
      <c r="A45" s="12" t="s">
        <v>72</v>
      </c>
      <c r="B45" s="13" t="s">
        <v>26</v>
      </c>
      <c r="C45" s="66">
        <v>28</v>
      </c>
      <c r="D45" s="66">
        <v>70</v>
      </c>
      <c r="E45" s="43">
        <v>99</v>
      </c>
      <c r="F45" s="16">
        <f t="shared" si="12"/>
        <v>0.28282828282828282</v>
      </c>
      <c r="G45" s="16">
        <f t="shared" si="13"/>
        <v>0.43434343434343431</v>
      </c>
      <c r="H45" s="1" t="str">
        <f t="shared" si="14"/>
        <v>R</v>
      </c>
      <c r="I45" s="17" t="str">
        <f>IF(Elect2010!H45=H45,"N","Y")</f>
        <v>N</v>
      </c>
      <c r="J45" s="66">
        <v>7</v>
      </c>
      <c r="K45" s="66">
        <v>26</v>
      </c>
      <c r="L45" s="43">
        <v>33</v>
      </c>
      <c r="M45" s="16">
        <f t="shared" si="15"/>
        <v>0.21212121212121213</v>
      </c>
      <c r="N45" s="16">
        <f t="shared" si="16"/>
        <v>0.57575757575757569</v>
      </c>
      <c r="O45" s="1" t="str">
        <f t="shared" si="17"/>
        <v>R</v>
      </c>
      <c r="P45" s="17" t="str">
        <f>IF(Elect2010!O45=O45,"N","Y")</f>
        <v>N</v>
      </c>
      <c r="Q45" s="1">
        <f t="shared" si="18"/>
        <v>35</v>
      </c>
      <c r="R45" s="1">
        <f t="shared" si="18"/>
        <v>96</v>
      </c>
      <c r="S45" s="16">
        <f t="shared" si="19"/>
        <v>0.26515151515151514</v>
      </c>
      <c r="T45" s="16">
        <f t="shared" si="20"/>
        <v>0.46969696969696972</v>
      </c>
      <c r="U45" s="1" t="str">
        <f t="shared" si="21"/>
        <v>R</v>
      </c>
      <c r="V45" s="61" t="s">
        <v>19</v>
      </c>
      <c r="W45" s="1" t="str">
        <f t="shared" si="22"/>
        <v>U</v>
      </c>
      <c r="X45" s="1">
        <f>C45-Elect2010!C45</f>
        <v>-6</v>
      </c>
      <c r="Y45" s="1">
        <f>J45-Elect2010!J45</f>
        <v>-6</v>
      </c>
      <c r="Z45" s="1">
        <f t="shared" si="23"/>
        <v>-12</v>
      </c>
    </row>
    <row r="46" spans="1:26" ht="16">
      <c r="A46" s="12" t="s">
        <v>73</v>
      </c>
      <c r="B46" s="13" t="s">
        <v>26</v>
      </c>
      <c r="C46" s="66">
        <v>55</v>
      </c>
      <c r="D46" s="66">
        <v>95</v>
      </c>
      <c r="E46" s="43">
        <v>150</v>
      </c>
      <c r="F46" s="16">
        <f t="shared" si="12"/>
        <v>0.36666666666666664</v>
      </c>
      <c r="G46" s="16">
        <f t="shared" si="13"/>
        <v>0.26666666666666666</v>
      </c>
      <c r="H46" s="1" t="str">
        <f t="shared" si="14"/>
        <v>R</v>
      </c>
      <c r="I46" s="17" t="str">
        <f>IF(Elect2010!H46=H46,"N","Y")</f>
        <v>N</v>
      </c>
      <c r="J46" s="66">
        <v>12</v>
      </c>
      <c r="K46" s="66">
        <v>19</v>
      </c>
      <c r="L46" s="43">
        <v>31</v>
      </c>
      <c r="M46" s="16">
        <f t="shared" si="15"/>
        <v>0.38709677419354838</v>
      </c>
      <c r="N46" s="16">
        <f t="shared" si="16"/>
        <v>0.22580645161290325</v>
      </c>
      <c r="O46" s="1" t="str">
        <f t="shared" si="17"/>
        <v>R</v>
      </c>
      <c r="P46" s="17" t="str">
        <f>IF(Elect2010!O46=O46,"N","Y")</f>
        <v>N</v>
      </c>
      <c r="Q46" s="1">
        <f t="shared" si="18"/>
        <v>67</v>
      </c>
      <c r="R46" s="1">
        <f t="shared" si="18"/>
        <v>114</v>
      </c>
      <c r="S46" s="16">
        <f t="shared" si="19"/>
        <v>0.37016574585635359</v>
      </c>
      <c r="T46" s="16">
        <f t="shared" si="20"/>
        <v>0.25966850828729277</v>
      </c>
      <c r="U46" s="1" t="str">
        <f t="shared" si="21"/>
        <v>R</v>
      </c>
      <c r="V46" s="61" t="s">
        <v>19</v>
      </c>
      <c r="W46" s="1" t="str">
        <f t="shared" si="22"/>
        <v>U</v>
      </c>
      <c r="X46" s="1">
        <f>C46-Elect2010!C46</f>
        <v>4</v>
      </c>
      <c r="Y46" s="1">
        <f>J46-Elect2010!J46</f>
        <v>0</v>
      </c>
      <c r="Z46" s="1">
        <f t="shared" si="23"/>
        <v>4</v>
      </c>
    </row>
    <row r="47" spans="1:26" ht="16">
      <c r="A47" s="12" t="s">
        <v>74</v>
      </c>
      <c r="B47" s="13" t="s">
        <v>28</v>
      </c>
      <c r="C47" s="66">
        <v>14</v>
      </c>
      <c r="D47" s="66">
        <v>61</v>
      </c>
      <c r="E47" s="43">
        <v>75</v>
      </c>
      <c r="F47" s="16">
        <f t="shared" si="12"/>
        <v>0.18666666666666668</v>
      </c>
      <c r="G47" s="16">
        <f t="shared" si="13"/>
        <v>0.62666666666666671</v>
      </c>
      <c r="H47" s="1" t="str">
        <f t="shared" si="14"/>
        <v>R</v>
      </c>
      <c r="I47" s="17" t="str">
        <f>IF(Elect2010!H47=H47,"N","Y")</f>
        <v>N</v>
      </c>
      <c r="J47" s="66">
        <v>5</v>
      </c>
      <c r="K47" s="66">
        <v>24</v>
      </c>
      <c r="L47" s="43">
        <v>29</v>
      </c>
      <c r="M47" s="16">
        <f t="shared" si="15"/>
        <v>0.17241379310344829</v>
      </c>
      <c r="N47" s="16">
        <f t="shared" si="16"/>
        <v>0.65517241379310343</v>
      </c>
      <c r="O47" s="1" t="str">
        <f t="shared" si="17"/>
        <v>R</v>
      </c>
      <c r="P47" s="17" t="str">
        <f>IF(Elect2010!O47=O47,"N","Y")</f>
        <v>N</v>
      </c>
      <c r="Q47" s="1">
        <f t="shared" si="18"/>
        <v>19</v>
      </c>
      <c r="R47" s="1">
        <f t="shared" si="18"/>
        <v>85</v>
      </c>
      <c r="S47" s="16">
        <f t="shared" si="19"/>
        <v>0.18269230769230768</v>
      </c>
      <c r="T47" s="16">
        <f t="shared" si="20"/>
        <v>0.63461538461538458</v>
      </c>
      <c r="U47" s="1" t="str">
        <f t="shared" si="21"/>
        <v>R</v>
      </c>
      <c r="V47" s="61" t="s">
        <v>19</v>
      </c>
      <c r="W47" s="1" t="str">
        <f t="shared" si="22"/>
        <v>U</v>
      </c>
      <c r="X47" s="1">
        <f>C47-Elect2010!C47</f>
        <v>-3</v>
      </c>
      <c r="Y47" s="1">
        <f>J47-Elect2010!J47</f>
        <v>-2</v>
      </c>
      <c r="Z47" s="1">
        <f t="shared" si="23"/>
        <v>-5</v>
      </c>
    </row>
    <row r="48" spans="1:26" ht="16">
      <c r="A48" s="12" t="s">
        <v>75</v>
      </c>
      <c r="B48" s="13" t="s">
        <v>34</v>
      </c>
      <c r="C48" s="66">
        <v>96</v>
      </c>
      <c r="D48" s="66">
        <v>45</v>
      </c>
      <c r="E48" s="45">
        <v>150</v>
      </c>
      <c r="F48" s="16">
        <f t="shared" si="12"/>
        <v>0.64</v>
      </c>
      <c r="G48" s="16">
        <f t="shared" si="13"/>
        <v>0.28000000000000003</v>
      </c>
      <c r="H48" s="1" t="str">
        <f t="shared" si="14"/>
        <v>D</v>
      </c>
      <c r="I48" s="17" t="str">
        <f>IF(Elect2010!H48=H48,"N","Y")</f>
        <v>N</v>
      </c>
      <c r="J48" s="66">
        <v>22</v>
      </c>
      <c r="K48" s="66">
        <v>6</v>
      </c>
      <c r="L48" s="45">
        <v>30</v>
      </c>
      <c r="M48" s="16">
        <f t="shared" si="15"/>
        <v>0.73333333333333328</v>
      </c>
      <c r="N48" s="16">
        <f t="shared" si="16"/>
        <v>0.46666666666666656</v>
      </c>
      <c r="O48" s="1" t="str">
        <f t="shared" si="17"/>
        <v>D</v>
      </c>
      <c r="P48" s="17" t="str">
        <f>IF(Elect2010!O48=O48,"N","Y")</f>
        <v>N</v>
      </c>
      <c r="Q48" s="1">
        <f t="shared" si="18"/>
        <v>118</v>
      </c>
      <c r="R48" s="1">
        <f t="shared" si="18"/>
        <v>51</v>
      </c>
      <c r="S48" s="16">
        <f t="shared" si="19"/>
        <v>0.65555555555555556</v>
      </c>
      <c r="T48" s="16">
        <f t="shared" si="20"/>
        <v>0.31111111111111112</v>
      </c>
      <c r="U48" s="1" t="str">
        <f t="shared" si="21"/>
        <v>D</v>
      </c>
      <c r="V48" s="62" t="s">
        <v>18</v>
      </c>
      <c r="W48" s="1" t="str">
        <f t="shared" si="22"/>
        <v>U</v>
      </c>
      <c r="X48" s="1">
        <f>C48-Elect2010!C48</f>
        <v>4</v>
      </c>
      <c r="Y48" s="1">
        <f>J48-Elect2010!J48</f>
        <v>0</v>
      </c>
      <c r="Z48" s="1">
        <f t="shared" si="23"/>
        <v>4</v>
      </c>
    </row>
    <row r="49" spans="1:26" ht="16">
      <c r="A49" s="12" t="s">
        <v>76</v>
      </c>
      <c r="B49" s="13" t="s">
        <v>26</v>
      </c>
      <c r="C49" s="66">
        <v>31</v>
      </c>
      <c r="D49" s="66">
        <v>67</v>
      </c>
      <c r="E49" s="43">
        <v>100</v>
      </c>
      <c r="F49" s="16">
        <f t="shared" si="12"/>
        <v>0.31</v>
      </c>
      <c r="G49" s="16">
        <f t="shared" si="13"/>
        <v>0.37999999999999995</v>
      </c>
      <c r="H49" s="1" t="str">
        <f t="shared" si="14"/>
        <v>R</v>
      </c>
      <c r="I49" s="17" t="str">
        <f>IF(Elect2010!H49=H49,"N","Y")</f>
        <v>N</v>
      </c>
      <c r="J49" s="66">
        <v>20</v>
      </c>
      <c r="K49" s="66">
        <v>20</v>
      </c>
      <c r="L49" s="43">
        <v>40</v>
      </c>
      <c r="M49" s="16">
        <f t="shared" si="15"/>
        <v>0.5</v>
      </c>
      <c r="N49" s="16">
        <f t="shared" si="16"/>
        <v>0</v>
      </c>
      <c r="O49" s="1" t="str">
        <f t="shared" si="17"/>
        <v>T</v>
      </c>
      <c r="P49" s="17" t="str">
        <f>IF(Elect2010!O49=O49,"N","Y")</f>
        <v>Y</v>
      </c>
      <c r="Q49" s="1">
        <f t="shared" si="18"/>
        <v>51</v>
      </c>
      <c r="R49" s="1">
        <f t="shared" si="18"/>
        <v>87</v>
      </c>
      <c r="S49" s="16">
        <f t="shared" si="19"/>
        <v>0.36428571428571427</v>
      </c>
      <c r="T49" s="16">
        <f t="shared" si="20"/>
        <v>0.27142857142857141</v>
      </c>
      <c r="U49" s="1" t="str">
        <f t="shared" si="21"/>
        <v>S</v>
      </c>
      <c r="V49" s="61" t="s">
        <v>19</v>
      </c>
      <c r="W49" s="1" t="str">
        <f t="shared" si="22"/>
        <v>D</v>
      </c>
      <c r="X49" s="1">
        <f>C49-Elect2010!C49</f>
        <v>-8</v>
      </c>
      <c r="Y49" s="1">
        <f>J49-Elect2010!J49</f>
        <v>-2</v>
      </c>
      <c r="Z49" s="1">
        <f t="shared" si="23"/>
        <v>-10</v>
      </c>
    </row>
    <row r="50" spans="1:26" ht="16">
      <c r="A50" s="12" t="s">
        <v>77</v>
      </c>
      <c r="B50" s="13" t="s">
        <v>28</v>
      </c>
      <c r="C50" s="66">
        <v>55</v>
      </c>
      <c r="D50" s="66">
        <v>43</v>
      </c>
      <c r="E50" s="43">
        <v>98</v>
      </c>
      <c r="F50" s="16">
        <f t="shared" si="12"/>
        <v>0.56122448979591832</v>
      </c>
      <c r="G50" s="16">
        <f t="shared" si="13"/>
        <v>0.12244897959183665</v>
      </c>
      <c r="H50" s="1" t="str">
        <f t="shared" si="14"/>
        <v>D</v>
      </c>
      <c r="I50" s="17" t="str">
        <f>IF(Elect2010!H50=H50,"N","Y")</f>
        <v>N</v>
      </c>
      <c r="J50" s="66">
        <v>27</v>
      </c>
      <c r="K50" s="66">
        <v>22</v>
      </c>
      <c r="L50" s="43">
        <v>49</v>
      </c>
      <c r="M50" s="16">
        <f t="shared" si="15"/>
        <v>0.55102040816326525</v>
      </c>
      <c r="N50" s="16">
        <f t="shared" si="16"/>
        <v>0.1020408163265305</v>
      </c>
      <c r="O50" s="1" t="str">
        <f t="shared" si="17"/>
        <v>D</v>
      </c>
      <c r="P50" s="17" t="str">
        <f>IF(Elect2010!O50=O50,"N","Y")</f>
        <v>N</v>
      </c>
      <c r="Q50" s="1">
        <f t="shared" si="18"/>
        <v>82</v>
      </c>
      <c r="R50" s="1">
        <f t="shared" si="18"/>
        <v>65</v>
      </c>
      <c r="S50" s="16">
        <f t="shared" si="19"/>
        <v>0.55782312925170063</v>
      </c>
      <c r="T50" s="16">
        <f t="shared" si="20"/>
        <v>0.11564625850340127</v>
      </c>
      <c r="U50" s="1" t="str">
        <f t="shared" si="21"/>
        <v>D</v>
      </c>
      <c r="V50" s="61" t="s">
        <v>18</v>
      </c>
      <c r="W50" s="1" t="str">
        <f t="shared" si="22"/>
        <v>U</v>
      </c>
      <c r="X50" s="1">
        <f>C50-Elect2010!C50</f>
        <v>0</v>
      </c>
      <c r="Y50" s="1">
        <f>J50-Elect2010!J50</f>
        <v>0</v>
      </c>
      <c r="Z50" s="1">
        <f t="shared" si="23"/>
        <v>0</v>
      </c>
    </row>
    <row r="51" spans="1:26" ht="16">
      <c r="A51" s="12" t="s">
        <v>78</v>
      </c>
      <c r="B51" s="13" t="s">
        <v>26</v>
      </c>
      <c r="C51" s="66">
        <v>54</v>
      </c>
      <c r="D51" s="66">
        <v>46</v>
      </c>
      <c r="E51" s="43">
        <v>100</v>
      </c>
      <c r="F51" s="16">
        <f t="shared" si="12"/>
        <v>0.54</v>
      </c>
      <c r="G51" s="16">
        <f t="shared" si="13"/>
        <v>8.0000000000000071E-2</v>
      </c>
      <c r="H51" s="1" t="str">
        <f t="shared" si="14"/>
        <v>D</v>
      </c>
      <c r="I51" s="17" t="str">
        <f>IF(Elect2010!H51=H51,"N","Y")</f>
        <v>N</v>
      </c>
      <c r="J51" s="66">
        <v>25</v>
      </c>
      <c r="K51" s="66">
        <v>9</v>
      </c>
      <c r="L51" s="43">
        <v>34</v>
      </c>
      <c r="M51" s="16">
        <f t="shared" si="15"/>
        <v>0.73529411764705888</v>
      </c>
      <c r="N51" s="16">
        <f t="shared" si="16"/>
        <v>0.47058823529411775</v>
      </c>
      <c r="O51" s="1" t="str">
        <f t="shared" si="17"/>
        <v>D</v>
      </c>
      <c r="P51" s="17" t="str">
        <f>IF(Elect2010!O51=O51,"N","Y")</f>
        <v>N</v>
      </c>
      <c r="Q51" s="1">
        <f t="shared" si="18"/>
        <v>79</v>
      </c>
      <c r="R51" s="1">
        <f t="shared" si="18"/>
        <v>55</v>
      </c>
      <c r="S51" s="16">
        <f t="shared" si="19"/>
        <v>0.58955223880597019</v>
      </c>
      <c r="T51" s="16">
        <f t="shared" si="20"/>
        <v>0.17910447761194037</v>
      </c>
      <c r="U51" s="1" t="str">
        <f t="shared" si="21"/>
        <v>D</v>
      </c>
      <c r="V51" s="61" t="s">
        <v>18</v>
      </c>
      <c r="W51" s="1" t="str">
        <f t="shared" si="22"/>
        <v>U</v>
      </c>
      <c r="X51" s="1">
        <f>C51-Elect2010!C51</f>
        <v>-10</v>
      </c>
      <c r="Y51" s="1">
        <f>J51-Elect2010!J51</f>
        <v>-3</v>
      </c>
      <c r="Z51" s="1">
        <f t="shared" si="23"/>
        <v>-13</v>
      </c>
    </row>
    <row r="52" spans="1:26" ht="16">
      <c r="A52" s="12" t="s">
        <v>79</v>
      </c>
      <c r="B52" s="13" t="s">
        <v>41</v>
      </c>
      <c r="C52" s="66">
        <v>39</v>
      </c>
      <c r="D52" s="66">
        <v>60</v>
      </c>
      <c r="E52" s="43">
        <v>99</v>
      </c>
      <c r="F52" s="16">
        <f t="shared" si="12"/>
        <v>0.39393939393939392</v>
      </c>
      <c r="G52" s="16">
        <f t="shared" si="13"/>
        <v>0.21212121212121215</v>
      </c>
      <c r="H52" s="1" t="str">
        <f t="shared" si="14"/>
        <v>R</v>
      </c>
      <c r="I52" s="17" t="str">
        <f>IF(Elect2010!H52=H52,"N","Y")</f>
        <v>N</v>
      </c>
      <c r="J52" s="66">
        <v>15</v>
      </c>
      <c r="K52" s="66">
        <v>18</v>
      </c>
      <c r="L52" s="43">
        <v>33</v>
      </c>
      <c r="M52" s="16">
        <f t="shared" si="15"/>
        <v>0.45454545454545453</v>
      </c>
      <c r="N52" s="16">
        <f t="shared" si="16"/>
        <v>9.0909090909090884E-2</v>
      </c>
      <c r="O52" s="1" t="str">
        <f t="shared" si="17"/>
        <v>R</v>
      </c>
      <c r="P52" s="17" t="str">
        <f>IF(Elect2010!O52=O52,"N","Y")</f>
        <v>N</v>
      </c>
      <c r="Q52" s="1">
        <f t="shared" si="18"/>
        <v>54</v>
      </c>
      <c r="R52" s="1">
        <f t="shared" si="18"/>
        <v>78</v>
      </c>
      <c r="S52" s="16">
        <f t="shared" si="19"/>
        <v>0.40909090909090912</v>
      </c>
      <c r="T52" s="16">
        <f t="shared" si="20"/>
        <v>0.18181818181818171</v>
      </c>
      <c r="U52" s="1" t="str">
        <f t="shared" si="21"/>
        <v>R</v>
      </c>
      <c r="V52" s="61" t="s">
        <v>19</v>
      </c>
      <c r="W52" s="1" t="str">
        <f t="shared" si="22"/>
        <v>U</v>
      </c>
      <c r="X52" s="1">
        <f>C52-Elect2010!C52</f>
        <v>1</v>
      </c>
      <c r="Y52" s="1">
        <f>J52-Elect2010!J52</f>
        <v>1</v>
      </c>
      <c r="Z52" s="1">
        <f t="shared" si="23"/>
        <v>2</v>
      </c>
    </row>
    <row r="53" spans="1:26" ht="17" thickBot="1">
      <c r="A53" s="12" t="s">
        <v>80</v>
      </c>
      <c r="B53" s="13" t="s">
        <v>28</v>
      </c>
      <c r="C53" s="66">
        <v>8</v>
      </c>
      <c r="D53" s="66">
        <v>52</v>
      </c>
      <c r="E53" s="1">
        <v>60</v>
      </c>
      <c r="F53" s="16">
        <f t="shared" si="12"/>
        <v>0.13333333333333333</v>
      </c>
      <c r="G53" s="16">
        <f t="shared" si="13"/>
        <v>0.73333333333333339</v>
      </c>
      <c r="H53" s="1" t="str">
        <f t="shared" si="14"/>
        <v>R</v>
      </c>
      <c r="I53" s="17" t="str">
        <f>IF(Elect2010!H53=H53,"N","Y")</f>
        <v>N</v>
      </c>
      <c r="J53" s="66">
        <v>4</v>
      </c>
      <c r="K53" s="66">
        <v>26</v>
      </c>
      <c r="L53" s="43">
        <v>30</v>
      </c>
      <c r="M53" s="16">
        <f t="shared" si="15"/>
        <v>0.13333333333333333</v>
      </c>
      <c r="N53" s="16">
        <f t="shared" si="16"/>
        <v>0.73333333333333339</v>
      </c>
      <c r="O53" s="1" t="str">
        <f t="shared" si="17"/>
        <v>R</v>
      </c>
      <c r="P53" s="17" t="str">
        <f>IF(Elect2010!O53=O53,"N","Y")</f>
        <v>N</v>
      </c>
      <c r="Q53" s="1">
        <f t="shared" si="18"/>
        <v>12</v>
      </c>
      <c r="R53" s="50">
        <f t="shared" si="18"/>
        <v>78</v>
      </c>
      <c r="S53" s="25">
        <f t="shared" si="19"/>
        <v>0.13333333333333333</v>
      </c>
      <c r="T53" s="26">
        <f t="shared" si="20"/>
        <v>0.73333333333333339</v>
      </c>
      <c r="U53" s="1" t="str">
        <f t="shared" si="21"/>
        <v>R</v>
      </c>
      <c r="V53" s="61" t="s">
        <v>19</v>
      </c>
      <c r="W53" s="1" t="str">
        <f t="shared" si="22"/>
        <v>U</v>
      </c>
      <c r="X53" s="1">
        <f>C53-Elect2010!C53</f>
        <v>-2</v>
      </c>
      <c r="Y53" s="1">
        <f>J53-Elect2010!J53</f>
        <v>0</v>
      </c>
      <c r="Z53" s="1">
        <f t="shared" si="23"/>
        <v>-2</v>
      </c>
    </row>
    <row r="54" spans="1:26" ht="17" thickBot="1">
      <c r="A54" s="27" t="s">
        <v>81</v>
      </c>
      <c r="B54" s="28"/>
      <c r="C54" s="60">
        <f>SUM(C4:C53)</f>
        <v>2589</v>
      </c>
      <c r="D54" s="60">
        <f>SUM(D4:D53)</f>
        <v>2788</v>
      </c>
      <c r="E54" s="29">
        <f>SUM(E3:E53)</f>
        <v>5411</v>
      </c>
      <c r="F54" s="30">
        <f t="shared" si="12"/>
        <v>0.47846978377379412</v>
      </c>
      <c r="G54" s="30"/>
      <c r="H54" s="31"/>
      <c r="I54" s="32"/>
      <c r="J54" s="70">
        <f>SUM(J4:J53)</f>
        <v>886</v>
      </c>
      <c r="K54" s="70">
        <f>SUM(K4:K53)</f>
        <v>1022</v>
      </c>
      <c r="L54" s="29">
        <f>SUM(L3:L53)</f>
        <v>1923</v>
      </c>
      <c r="M54" s="30">
        <f t="shared" si="15"/>
        <v>0.46073842953718147</v>
      </c>
      <c r="N54" s="30"/>
      <c r="O54" s="31"/>
      <c r="P54" s="32"/>
      <c r="Q54" s="33">
        <f>SUM(Q4:Q53)</f>
        <v>3475</v>
      </c>
      <c r="R54" s="1">
        <f>D54+K54</f>
        <v>3810</v>
      </c>
      <c r="S54" s="16">
        <f t="shared" si="19"/>
        <v>0.47382056176711207</v>
      </c>
      <c r="T54" s="34">
        <f>AVERAGE(T4:T53)</f>
        <v>0.29910226722021838</v>
      </c>
      <c r="U54" s="31"/>
      <c r="X54" s="71">
        <f>SUM(X4:X53)</f>
        <v>112</v>
      </c>
      <c r="Y54" s="33">
        <f>SUM(Y4:Y53)</f>
        <v>-11</v>
      </c>
      <c r="Z54" s="33">
        <f>SUM(Z4:Z53)</f>
        <v>101</v>
      </c>
    </row>
    <row r="55" spans="1:26" ht="16">
      <c r="A55" s="35"/>
      <c r="B55" s="35"/>
      <c r="C55" s="36"/>
      <c r="D55" s="36"/>
      <c r="E55" s="36"/>
      <c r="F55" s="16"/>
      <c r="G55" s="16"/>
      <c r="J55" s="72"/>
      <c r="K55" s="72"/>
      <c r="L55" s="36"/>
      <c r="M55" s="16"/>
      <c r="Q55" s="37"/>
      <c r="R55" s="37"/>
      <c r="S55" s="16"/>
      <c r="T55" s="16"/>
    </row>
    <row r="56" spans="1:26" ht="16">
      <c r="A56" s="38" t="s">
        <v>113</v>
      </c>
      <c r="J56" s="72"/>
      <c r="K56" s="72"/>
    </row>
    <row r="57" spans="1:26" ht="16">
      <c r="A57" s="1" t="s">
        <v>83</v>
      </c>
      <c r="C57" s="37">
        <f>DSUM(_xlnm.Database,C3,critRGS)</f>
        <v>736</v>
      </c>
      <c r="D57" s="37"/>
      <c r="E57" s="37">
        <f>DSUM(_xlnm.Database,E3,critRGS)</f>
        <v>1767</v>
      </c>
      <c r="F57" s="16">
        <f>C57/E57</f>
        <v>0.41652518392756083</v>
      </c>
      <c r="J57" s="37">
        <f>DSUM(_xlnm.Database,J3,critRGS)</f>
        <v>253</v>
      </c>
      <c r="K57" s="72"/>
      <c r="L57" s="37">
        <f>DSUM(_xlnm.Database,L3,critRGS)</f>
        <v>624</v>
      </c>
      <c r="M57" s="16">
        <f>J57/L57</f>
        <v>0.40544871794871795</v>
      </c>
      <c r="Q57" s="37">
        <f>DSUM(_xlnm.Database,Q3,critRGS)</f>
        <v>989</v>
      </c>
      <c r="R57" s="37"/>
      <c r="S57" s="16">
        <f>Q57/(E57+L57)</f>
        <v>0.41363446256796321</v>
      </c>
      <c r="T57" s="16"/>
    </row>
    <row r="58" spans="1:26" ht="16">
      <c r="A58" s="1" t="s">
        <v>84</v>
      </c>
      <c r="C58" s="37">
        <f>DSUM(_xlnm.Database,C3,CritRGN)</f>
        <v>1853</v>
      </c>
      <c r="D58" s="37"/>
      <c r="E58" s="37">
        <f>DSUM(_xlnm.Database,E3,CritRGN)</f>
        <v>3644</v>
      </c>
      <c r="F58" s="16">
        <f>C58/E58</f>
        <v>0.50850713501646538</v>
      </c>
      <c r="J58" s="37">
        <f>DSUM(_xlnm.Database,J3,CritRGN)</f>
        <v>633</v>
      </c>
      <c r="K58" s="72"/>
      <c r="L58" s="37">
        <f>DSUM(_xlnm.Database,L3,CritRGN)</f>
        <v>1299</v>
      </c>
      <c r="M58" s="16">
        <f>J58/L58</f>
        <v>0.48729792147806006</v>
      </c>
      <c r="Q58" s="37">
        <f>DSUM(_xlnm.Database,Q3,CritRGN)</f>
        <v>2486</v>
      </c>
      <c r="R58" s="37"/>
      <c r="S58" s="16">
        <f>Q58/(E58+L58)</f>
        <v>0.50293344123002226</v>
      </c>
      <c r="T58" s="16"/>
    </row>
    <row r="59" spans="1:26" ht="16">
      <c r="A59" s="1" t="s">
        <v>85</v>
      </c>
      <c r="C59" s="37">
        <f>DSUM(_xlnm.Database,C3,CRITE)</f>
        <v>977</v>
      </c>
      <c r="D59" s="37"/>
      <c r="E59" s="37">
        <f>DSUM(_xlnm.Database,E3,CRITE)</f>
        <v>1561</v>
      </c>
      <c r="F59" s="16">
        <f>C59/E59</f>
        <v>0.62588084561178736</v>
      </c>
      <c r="J59" s="37">
        <f>DSUM(_xlnm.Database,J3,CRITE)</f>
        <v>234</v>
      </c>
      <c r="K59" s="72"/>
      <c r="L59" s="37">
        <f>DSUM(_xlnm.Database,L3,CRITE)</f>
        <v>377</v>
      </c>
      <c r="M59" s="16">
        <f>J59/L59</f>
        <v>0.62068965517241381</v>
      </c>
      <c r="Q59" s="37">
        <f>DSUM(_xlnm.Database,Q3,CRITE)</f>
        <v>1211</v>
      </c>
      <c r="R59" s="37"/>
      <c r="S59" s="16">
        <f>Q59/(E59+L59)</f>
        <v>0.62487100103199178</v>
      </c>
      <c r="T59" s="16"/>
    </row>
    <row r="60" spans="1:26" ht="16">
      <c r="A60" s="1" t="s">
        <v>86</v>
      </c>
      <c r="C60" s="37">
        <f>DSUM(_xlnm.Database,C3,CRITM)</f>
        <v>478</v>
      </c>
      <c r="D60" s="37"/>
      <c r="E60" s="37">
        <f>DSUM(_xlnm.Database,E3,CRITM)</f>
        <v>1212</v>
      </c>
      <c r="F60" s="16">
        <f>C60/E60</f>
        <v>0.39438943894389439</v>
      </c>
      <c r="J60" s="37">
        <f>DSUM(_xlnm.Database,J3,CRITM)</f>
        <v>194</v>
      </c>
      <c r="K60" s="72"/>
      <c r="L60" s="37">
        <f>DSUM(_xlnm.Database,L3,CRITM)</f>
        <v>486</v>
      </c>
      <c r="M60" s="16">
        <f>J60/L60</f>
        <v>0.3991769547325103</v>
      </c>
      <c r="Q60" s="37">
        <f>DSUM(_xlnm.Database,Q3,CRITM)</f>
        <v>672</v>
      </c>
      <c r="R60" s="37"/>
      <c r="S60" s="16">
        <f>Q60/(E60+L60)</f>
        <v>0.39575971731448761</v>
      </c>
      <c r="T60" s="16"/>
    </row>
    <row r="61" spans="1:26" ht="16">
      <c r="A61" s="1" t="s">
        <v>87</v>
      </c>
      <c r="C61" s="37">
        <f>DSUM(_xlnm.Database,C3,CRITW)</f>
        <v>398</v>
      </c>
      <c r="D61" s="37"/>
      <c r="E61" s="37">
        <f>DSUM(_xlnm.Database,E3,CRITW)</f>
        <v>871</v>
      </c>
      <c r="F61" s="16">
        <f>C61/E61</f>
        <v>0.45694603903559128</v>
      </c>
      <c r="J61" s="37">
        <f>DSUM(_xlnm.Database,J3,CRITW)</f>
        <v>205</v>
      </c>
      <c r="K61" s="72"/>
      <c r="L61" s="37">
        <f>DSUM(_xlnm.Database,L3,CRITW)</f>
        <v>436</v>
      </c>
      <c r="M61" s="16">
        <f>J61/L61</f>
        <v>0.47018348623853212</v>
      </c>
      <c r="Q61" s="37">
        <f>DSUM(_xlnm.Database,Q3,CRITW)</f>
        <v>603</v>
      </c>
      <c r="R61" s="37"/>
      <c r="S61" s="16">
        <f>Q61/(E61+L61)</f>
        <v>0.4613618974751339</v>
      </c>
      <c r="T61" s="16"/>
    </row>
    <row r="62" spans="1:26" ht="16">
      <c r="F62" s="16"/>
      <c r="J62" s="72"/>
      <c r="K62" s="72"/>
      <c r="M62" s="16"/>
      <c r="S62" s="16"/>
      <c r="T62" s="16"/>
    </row>
    <row r="63" spans="1:26" ht="16">
      <c r="F63" s="16"/>
      <c r="J63" s="72"/>
      <c r="K63" s="72"/>
      <c r="M63" s="16"/>
      <c r="S63" s="16"/>
      <c r="T63" s="16"/>
    </row>
    <row r="64" spans="1:26" ht="16">
      <c r="A64" s="38" t="s">
        <v>114</v>
      </c>
      <c r="C64" s="51" t="s">
        <v>89</v>
      </c>
      <c r="D64" s="51"/>
      <c r="E64" s="51" t="s">
        <v>26</v>
      </c>
      <c r="F64" s="51" t="s">
        <v>90</v>
      </c>
      <c r="J64" s="72"/>
      <c r="K64" s="72"/>
      <c r="M64" s="16"/>
      <c r="S64" s="16"/>
      <c r="T64" s="16"/>
    </row>
    <row r="65" spans="1:20" ht="16">
      <c r="A65" s="35" t="s">
        <v>81</v>
      </c>
      <c r="C65" s="40">
        <f>C54-Elect2010!C54</f>
        <v>112</v>
      </c>
      <c r="D65" s="40"/>
      <c r="E65" s="40">
        <f>J54-Elect2010!J54</f>
        <v>-11</v>
      </c>
      <c r="F65" s="40">
        <f>Q54-Elect2010!Q54</f>
        <v>101</v>
      </c>
      <c r="J65" s="72"/>
      <c r="K65" s="72"/>
      <c r="M65" s="16"/>
      <c r="S65" s="16"/>
      <c r="T65" s="16"/>
    </row>
    <row r="66" spans="1:20" ht="16">
      <c r="A66" s="1" t="s">
        <v>83</v>
      </c>
      <c r="C66" s="40">
        <f>C57-Elect2010!C57</f>
        <v>-70</v>
      </c>
      <c r="D66" s="40"/>
      <c r="E66" s="40">
        <f>J57-Elect2010!J57</f>
        <v>-43</v>
      </c>
      <c r="F66" s="40">
        <f t="shared" ref="F66:F69" si="24">SUM(C66:E66)</f>
        <v>-113</v>
      </c>
      <c r="J66" s="72"/>
      <c r="K66" s="72"/>
      <c r="M66" s="16"/>
      <c r="S66" s="16"/>
      <c r="T66" s="16"/>
    </row>
    <row r="67" spans="1:20" ht="16">
      <c r="A67" s="1" t="s">
        <v>85</v>
      </c>
      <c r="C67" s="40">
        <f>C59-Elect2010!C59</f>
        <v>153</v>
      </c>
      <c r="D67" s="40"/>
      <c r="E67" s="40">
        <f>J59-Elect2010!J59</f>
        <v>17</v>
      </c>
      <c r="F67" s="40">
        <f t="shared" si="24"/>
        <v>170</v>
      </c>
      <c r="J67" s="72"/>
      <c r="K67" s="72"/>
      <c r="M67" s="16"/>
      <c r="S67" s="16"/>
      <c r="T67" s="16"/>
    </row>
    <row r="68" spans="1:20" ht="16">
      <c r="A68" s="1" t="s">
        <v>86</v>
      </c>
      <c r="C68" s="40">
        <f>C60-Elect2010!C60</f>
        <v>13</v>
      </c>
      <c r="D68" s="40"/>
      <c r="E68" s="40">
        <f>J60-Elect2010!J60</f>
        <v>19</v>
      </c>
      <c r="F68" s="40">
        <f t="shared" si="24"/>
        <v>32</v>
      </c>
      <c r="J68" s="72"/>
      <c r="K68" s="72"/>
      <c r="M68" s="16"/>
      <c r="S68" s="16"/>
      <c r="T68" s="16"/>
    </row>
    <row r="69" spans="1:20" ht="16">
      <c r="A69" s="1" t="s">
        <v>87</v>
      </c>
      <c r="C69" s="40">
        <f>C61-Elect2010!C61</f>
        <v>16</v>
      </c>
      <c r="D69" s="40"/>
      <c r="E69" s="40">
        <f>J61-Elect2010!J61</f>
        <v>-4</v>
      </c>
      <c r="F69" s="40">
        <f t="shared" si="24"/>
        <v>12</v>
      </c>
      <c r="J69" s="72"/>
      <c r="K69" s="72"/>
      <c r="M69" s="16"/>
      <c r="S69" s="16"/>
      <c r="T69" s="16"/>
    </row>
    <row r="70" spans="1:20" ht="16">
      <c r="F70" s="16"/>
      <c r="J70" s="72"/>
      <c r="K70" s="72"/>
      <c r="M70" s="16"/>
      <c r="S70" s="16"/>
      <c r="T70" s="16"/>
    </row>
    <row r="71" spans="1:20" ht="16">
      <c r="G71" s="8"/>
      <c r="J71" s="72"/>
      <c r="K71" s="72"/>
    </row>
    <row r="72" spans="1:20" ht="16">
      <c r="A72" s="38" t="s">
        <v>91</v>
      </c>
      <c r="F72" s="1">
        <f>DCOUNTA(_xlnm.Database,"Div?",critdiv)</f>
        <v>12</v>
      </c>
      <c r="J72" s="72"/>
      <c r="K72" s="72"/>
    </row>
    <row r="73" spans="1:20" ht="16">
      <c r="A73" s="38"/>
      <c r="J73" s="72"/>
      <c r="K73" s="72"/>
    </row>
    <row r="74" spans="1:20" ht="16">
      <c r="A74" s="38" t="s">
        <v>92</v>
      </c>
      <c r="C74" s="1">
        <f>DCOUNTA(_xlnm.Database,"HSwch",CritHSwch)</f>
        <v>8</v>
      </c>
      <c r="E74" s="1">
        <f>DCOUNTA(_xlnm.Database,"sSwch",CritSSwch)</f>
        <v>8</v>
      </c>
      <c r="F74" s="1">
        <f>SUM(C74:E74)</f>
        <v>16</v>
      </c>
      <c r="J74" s="72"/>
      <c r="K74" s="72"/>
    </row>
    <row r="75" spans="1:20" ht="16">
      <c r="A75" s="38"/>
      <c r="H75" s="1" t="s">
        <v>110</v>
      </c>
      <c r="J75" s="72"/>
      <c r="K75" s="72"/>
    </row>
    <row r="76" spans="1:20" ht="16">
      <c r="A76" s="38" t="s">
        <v>115</v>
      </c>
      <c r="C76" s="1">
        <f>DCOUNTA(_xlnm.Database,"hCntrl",CritHCntrlD)</f>
        <v>21</v>
      </c>
      <c r="E76" s="1">
        <f>DCOUNTA(_xlnm.Database,"sCntrl",CritSCntrlD)</f>
        <v>20</v>
      </c>
      <c r="F76" s="1">
        <f>DCOUNTA(_xlnm.Database,"TCntrl",CritTCntrlD)</f>
        <v>19</v>
      </c>
      <c r="H76" s="1">
        <f>C76+E76</f>
        <v>41</v>
      </c>
      <c r="J76" s="72"/>
      <c r="K76" s="72"/>
    </row>
    <row r="77" spans="1:20" ht="16">
      <c r="A77" s="38" t="s">
        <v>116</v>
      </c>
      <c r="C77" s="1">
        <f>DCOUNTA(_xlnm.Database,"HCntrl",critHCntrlR)</f>
        <v>28</v>
      </c>
      <c r="E77" s="1">
        <f>DCOUNTA(_xlnm.Database,"sCntrl",CritSCntrlR)</f>
        <v>28</v>
      </c>
      <c r="F77" s="1">
        <f>DCOUNTA(_xlnm.Database,"TCntrl",CritTCntrlR)</f>
        <v>26</v>
      </c>
      <c r="H77" s="1">
        <f>C77+E77</f>
        <v>56</v>
      </c>
      <c r="J77" s="72"/>
      <c r="K77" s="72"/>
    </row>
    <row r="78" spans="1:20">
      <c r="A78" s="38" t="s">
        <v>95</v>
      </c>
      <c r="F78" s="1">
        <f>DCOUNTA(_xlnm.Database,"TCntrl",CritTCntrlS)</f>
        <v>4</v>
      </c>
    </row>
    <row r="79" spans="1:20">
      <c r="A79" s="38"/>
    </row>
    <row r="80" spans="1:20">
      <c r="A80" s="38" t="s">
        <v>117</v>
      </c>
      <c r="F80" s="1">
        <f>DCOUNTA(_xlnm.Database,"Gov",CritGovD)</f>
        <v>19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0.24360456275008183</v>
      </c>
      <c r="D84" s="16"/>
      <c r="E84" s="16">
        <f>DAVERAGE(_xlnm.Database,"SMargin",critRGS)</f>
        <v>0.31539029151120884</v>
      </c>
      <c r="F84" s="16">
        <f>DAVERAGE(_xlnm.Database,"TMargin",critRGS)</f>
        <v>0.25257785639870206</v>
      </c>
      <c r="G84" s="16"/>
    </row>
    <row r="85" spans="1:20">
      <c r="A85" s="1" t="s">
        <v>84</v>
      </c>
      <c r="C85" s="16">
        <f>DAVERAGE(_xlnm.Database,"HMargin",CritRGN)</f>
        <v>0.32176461611136764</v>
      </c>
      <c r="D85" s="16"/>
      <c r="E85" s="16">
        <f>DAVERAGE(_xlnm.Database,"SMargin",CritRGN)</f>
        <v>0.3235867425551473</v>
      </c>
      <c r="F85" s="16">
        <f>DAVERAGE(_xlnm.Database,"TMargin",CritRGN)</f>
        <v>0.31962774258265192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0.46890005371511229</v>
      </c>
    </row>
    <row r="88" spans="1:20">
      <c r="A88" s="41" t="s">
        <v>98</v>
      </c>
      <c r="T88" s="16">
        <f>AVERAGE(T4:T53)</f>
        <v>0.29910226722021838</v>
      </c>
    </row>
    <row r="89" spans="1:20">
      <c r="A89" s="1" t="s">
        <v>99</v>
      </c>
      <c r="C89" s="1">
        <f>DCOUNT(_xlnm.Database,F3,CritHD55)</f>
        <v>8</v>
      </c>
      <c r="E89" s="1">
        <f>DCOUNT(_xlnm.Database,M3,CritSD55)</f>
        <v>11</v>
      </c>
      <c r="F89" s="1">
        <f>SUM(C89:E89)</f>
        <v>19</v>
      </c>
    </row>
    <row r="92" spans="1:20">
      <c r="A92" s="41" t="s">
        <v>118</v>
      </c>
      <c r="C92" s="1">
        <f>DCOUNTA(_xlnm.Database,"Div?",CritUnifD)</f>
        <v>14</v>
      </c>
    </row>
    <row r="93" spans="1:20">
      <c r="A93" s="41" t="s">
        <v>119</v>
      </c>
      <c r="C93" s="1">
        <f>DCOUNTA(_xlnm.Database,"Div?",CritUnifR)</f>
        <v>23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F450-34AE-40DC-B3B5-EF6E50AE2F93}">
  <dimension ref="A1:AX1023"/>
  <sheetViews>
    <sheetView zoomScale="90" workbookViewId="0">
      <pane ySplit="3" topLeftCell="A55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0" width="5.5" style="1" customWidth="1"/>
    <col min="11" max="11" width="6.33203125" style="1" bestFit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120</v>
      </c>
      <c r="R3" s="8" t="s">
        <v>121</v>
      </c>
      <c r="S3" s="9" t="s">
        <v>122</v>
      </c>
      <c r="T3" s="8" t="s">
        <v>123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 ht="16">
      <c r="A4" s="12" t="s">
        <v>25</v>
      </c>
      <c r="B4" s="13" t="s">
        <v>26</v>
      </c>
      <c r="C4" s="73">
        <v>33</v>
      </c>
      <c r="D4" s="73">
        <v>72</v>
      </c>
      <c r="E4" s="43">
        <v>105</v>
      </c>
      <c r="F4" s="16">
        <f t="shared" ref="F4:F29" si="0">C4/E4</f>
        <v>0.31428571428571428</v>
      </c>
      <c r="G4" s="16">
        <f t="shared" ref="G4:G29" si="1">ABS(F4-(1-F4))</f>
        <v>0.37142857142857144</v>
      </c>
      <c r="H4" s="1" t="str">
        <f t="shared" ref="H4:H29" si="2">IF(F4&gt;0.5,"D",IF(F4=0.5,"T","R"))</f>
        <v>R</v>
      </c>
      <c r="I4" s="17" t="str">
        <f>IF(Elect2012!H4=H4,"N","Y")</f>
        <v>N</v>
      </c>
      <c r="J4" s="73">
        <v>8</v>
      </c>
      <c r="K4" s="73">
        <v>26</v>
      </c>
      <c r="L4" s="43">
        <v>35</v>
      </c>
      <c r="M4" s="16">
        <f t="shared" ref="M4:M29" si="3">J4/L4</f>
        <v>0.22857142857142856</v>
      </c>
      <c r="N4" s="16">
        <f t="shared" ref="N4:N29" si="4">ABS(M4-(1-M4))</f>
        <v>0.54285714285714293</v>
      </c>
      <c r="O4" s="1" t="str">
        <f t="shared" ref="O4:O29" si="5">IF(M4&gt;0.5,"D",IF(M4=0.5,"T","R"))</f>
        <v>R</v>
      </c>
      <c r="P4" s="17" t="str">
        <f>IF(Elect2012!O4=O4,"N","Y")</f>
        <v>N</v>
      </c>
      <c r="Q4" s="1">
        <f t="shared" ref="Q4:R29" si="6">C4+J4</f>
        <v>41</v>
      </c>
      <c r="R4" s="1">
        <f t="shared" si="6"/>
        <v>98</v>
      </c>
      <c r="S4" s="16">
        <f t="shared" ref="S4:S29" si="7">Q4/(E4+L4)</f>
        <v>0.29285714285714287</v>
      </c>
      <c r="T4" s="16">
        <f t="shared" ref="T4:T29" si="8">ABS(S4-(1-S4))</f>
        <v>0.4142857142857142</v>
      </c>
      <c r="U4" s="1" t="str">
        <f t="shared" ref="U4:U29" si="9">IF(H4=O4,O4,"S")</f>
        <v>R</v>
      </c>
      <c r="V4" s="61" t="s">
        <v>19</v>
      </c>
      <c r="W4" s="1" t="str">
        <f t="shared" ref="W4:W29" si="10">IF(V4=U4,"U","D")</f>
        <v>U</v>
      </c>
      <c r="X4" s="1">
        <f>C4-Elect2012!C4</f>
        <v>-6</v>
      </c>
      <c r="Y4" s="1">
        <f>J4-Elect2012!J4</f>
        <v>-3</v>
      </c>
      <c r="Z4" s="1">
        <f t="shared" ref="Z4:Z53" si="11">AD4+AE4</f>
        <v>0</v>
      </c>
    </row>
    <row r="5" spans="1:26" ht="16">
      <c r="A5" s="12" t="s">
        <v>27</v>
      </c>
      <c r="B5" s="13" t="s">
        <v>28</v>
      </c>
      <c r="C5" s="74">
        <v>16</v>
      </c>
      <c r="D5" s="74">
        <v>23</v>
      </c>
      <c r="E5" s="43">
        <v>40</v>
      </c>
      <c r="F5" s="16">
        <f t="shared" si="0"/>
        <v>0.4</v>
      </c>
      <c r="G5" s="16">
        <f t="shared" si="1"/>
        <v>0.19999999999999996</v>
      </c>
      <c r="H5" s="1" t="str">
        <f t="shared" si="2"/>
        <v>R</v>
      </c>
      <c r="I5" s="17" t="str">
        <f>IF(Elect2012!H5=H5,"N","Y")</f>
        <v>N</v>
      </c>
      <c r="J5" s="74">
        <v>6</v>
      </c>
      <c r="K5" s="74">
        <v>14</v>
      </c>
      <c r="L5" s="43">
        <v>20</v>
      </c>
      <c r="M5" s="16">
        <f t="shared" si="3"/>
        <v>0.3</v>
      </c>
      <c r="N5" s="16">
        <f t="shared" si="4"/>
        <v>0.39999999999999997</v>
      </c>
      <c r="O5" s="1" t="str">
        <f t="shared" si="5"/>
        <v>R</v>
      </c>
      <c r="P5" s="17" t="str">
        <f>IF(Elect2012!O5=O5,"N","Y")</f>
        <v>N</v>
      </c>
      <c r="Q5" s="1">
        <f t="shared" si="6"/>
        <v>22</v>
      </c>
      <c r="R5" s="1">
        <f t="shared" si="6"/>
        <v>37</v>
      </c>
      <c r="S5" s="16">
        <f t="shared" si="7"/>
        <v>0.36666666666666664</v>
      </c>
      <c r="T5" s="16">
        <f t="shared" si="8"/>
        <v>0.26666666666666666</v>
      </c>
      <c r="U5" s="1" t="str">
        <f t="shared" si="9"/>
        <v>R</v>
      </c>
      <c r="V5" s="61" t="s">
        <v>112</v>
      </c>
      <c r="W5" s="1" t="str">
        <f t="shared" si="10"/>
        <v>D</v>
      </c>
      <c r="X5" s="1">
        <f>C5-Elect2012!C5</f>
        <v>1</v>
      </c>
      <c r="Y5" s="1">
        <f>J5-Elect2012!J5</f>
        <v>-1</v>
      </c>
      <c r="Z5" s="1">
        <f t="shared" si="11"/>
        <v>0</v>
      </c>
    </row>
    <row r="6" spans="1:26" ht="16">
      <c r="A6" s="12" t="s">
        <v>29</v>
      </c>
      <c r="B6" s="13" t="s">
        <v>28</v>
      </c>
      <c r="C6" s="74">
        <v>22</v>
      </c>
      <c r="D6" s="74">
        <v>38</v>
      </c>
      <c r="E6" s="43">
        <v>60</v>
      </c>
      <c r="F6" s="16">
        <f t="shared" si="0"/>
        <v>0.36666666666666664</v>
      </c>
      <c r="G6" s="16">
        <f t="shared" si="1"/>
        <v>0.26666666666666666</v>
      </c>
      <c r="H6" s="1" t="str">
        <f t="shared" si="2"/>
        <v>R</v>
      </c>
      <c r="I6" s="17" t="str">
        <f>IF(Elect2012!H6=H6,"N","Y")</f>
        <v>N</v>
      </c>
      <c r="J6" s="74">
        <v>11</v>
      </c>
      <c r="K6" s="74">
        <v>17</v>
      </c>
      <c r="L6" s="43">
        <v>30</v>
      </c>
      <c r="M6" s="16">
        <f t="shared" si="3"/>
        <v>0.36666666666666664</v>
      </c>
      <c r="N6" s="16">
        <f t="shared" si="4"/>
        <v>0.26666666666666666</v>
      </c>
      <c r="O6" s="1" t="str">
        <f t="shared" si="5"/>
        <v>R</v>
      </c>
      <c r="P6" s="17" t="str">
        <f>IF(Elect2012!O6=O6,"N","Y")</f>
        <v>N</v>
      </c>
      <c r="Q6" s="1">
        <f t="shared" si="6"/>
        <v>33</v>
      </c>
      <c r="R6" s="1">
        <f t="shared" si="6"/>
        <v>55</v>
      </c>
      <c r="S6" s="16">
        <f t="shared" si="7"/>
        <v>0.36666666666666664</v>
      </c>
      <c r="T6" s="16">
        <f t="shared" si="8"/>
        <v>0.26666666666666666</v>
      </c>
      <c r="U6" s="1" t="str">
        <f t="shared" si="9"/>
        <v>R</v>
      </c>
      <c r="V6" s="61" t="s">
        <v>19</v>
      </c>
      <c r="W6" s="1" t="str">
        <f t="shared" si="10"/>
        <v>U</v>
      </c>
      <c r="X6" s="1">
        <f>C6-Elect2012!C6</f>
        <v>-1</v>
      </c>
      <c r="Y6" s="1">
        <f>J6-Elect2012!J6</f>
        <v>-2</v>
      </c>
      <c r="Z6" s="1">
        <f t="shared" si="11"/>
        <v>0</v>
      </c>
    </row>
    <row r="7" spans="1:26" ht="16">
      <c r="A7" s="12" t="s">
        <v>30</v>
      </c>
      <c r="B7" s="13" t="s">
        <v>26</v>
      </c>
      <c r="C7" s="74">
        <v>36</v>
      </c>
      <c r="D7" s="74">
        <v>64</v>
      </c>
      <c r="E7" s="43">
        <v>100</v>
      </c>
      <c r="F7" s="16">
        <f t="shared" si="0"/>
        <v>0.36</v>
      </c>
      <c r="G7" s="16">
        <f t="shared" si="1"/>
        <v>0.28000000000000003</v>
      </c>
      <c r="H7" s="1" t="str">
        <f t="shared" si="2"/>
        <v>R</v>
      </c>
      <c r="I7" s="17" t="str">
        <f>IF(Elect2012!H7=H7,"N","Y")</f>
        <v>N</v>
      </c>
      <c r="J7" s="74">
        <v>11</v>
      </c>
      <c r="K7" s="74">
        <v>24</v>
      </c>
      <c r="L7" s="43">
        <v>35</v>
      </c>
      <c r="M7" s="16">
        <f t="shared" si="3"/>
        <v>0.31428571428571428</v>
      </c>
      <c r="N7" s="16">
        <f t="shared" si="4"/>
        <v>0.37142857142857144</v>
      </c>
      <c r="O7" s="1" t="str">
        <f t="shared" si="5"/>
        <v>R</v>
      </c>
      <c r="P7" s="17" t="str">
        <f>IF(Elect2012!O7=O7,"N","Y")</f>
        <v>N</v>
      </c>
      <c r="Q7" s="1">
        <f t="shared" si="6"/>
        <v>47</v>
      </c>
      <c r="R7" s="1">
        <f t="shared" si="6"/>
        <v>88</v>
      </c>
      <c r="S7" s="16">
        <f t="shared" si="7"/>
        <v>0.34814814814814815</v>
      </c>
      <c r="T7" s="16">
        <f t="shared" si="8"/>
        <v>0.30370370370370375</v>
      </c>
      <c r="U7" s="1" t="str">
        <f t="shared" si="9"/>
        <v>R</v>
      </c>
      <c r="V7" s="61" t="s">
        <v>19</v>
      </c>
      <c r="W7" s="1" t="str">
        <f t="shared" si="10"/>
        <v>U</v>
      </c>
      <c r="X7" s="1">
        <f>C7-Elect2012!C7</f>
        <v>-13</v>
      </c>
      <c r="Y7" s="1">
        <f>J7-Elect2012!J7</f>
        <v>-2</v>
      </c>
      <c r="Z7" s="1">
        <f t="shared" si="11"/>
        <v>0</v>
      </c>
    </row>
    <row r="8" spans="1:26" ht="16">
      <c r="A8" s="12" t="s">
        <v>31</v>
      </c>
      <c r="B8" s="13" t="s">
        <v>28</v>
      </c>
      <c r="C8" s="74">
        <v>52</v>
      </c>
      <c r="D8" s="74">
        <v>28</v>
      </c>
      <c r="E8" s="45">
        <v>80</v>
      </c>
      <c r="F8" s="16">
        <f t="shared" si="0"/>
        <v>0.65</v>
      </c>
      <c r="G8" s="16">
        <f t="shared" si="1"/>
        <v>0.30000000000000004</v>
      </c>
      <c r="H8" s="1" t="str">
        <f t="shared" si="2"/>
        <v>D</v>
      </c>
      <c r="I8" s="17" t="str">
        <f>IF(Elect2012!H8=H8,"N","Y")</f>
        <v>N</v>
      </c>
      <c r="J8" s="74">
        <v>25</v>
      </c>
      <c r="K8" s="74">
        <v>14</v>
      </c>
      <c r="L8" s="45">
        <v>40</v>
      </c>
      <c r="M8" s="16">
        <f t="shared" si="3"/>
        <v>0.625</v>
      </c>
      <c r="N8" s="16">
        <f t="shared" si="4"/>
        <v>0.25</v>
      </c>
      <c r="O8" s="1" t="str">
        <f t="shared" si="5"/>
        <v>D</v>
      </c>
      <c r="P8" s="17" t="str">
        <f>IF(Elect2012!O8=O8,"N","Y")</f>
        <v>N</v>
      </c>
      <c r="Q8" s="1">
        <f t="shared" si="6"/>
        <v>77</v>
      </c>
      <c r="R8" s="1">
        <f t="shared" si="6"/>
        <v>42</v>
      </c>
      <c r="S8" s="16">
        <f t="shared" si="7"/>
        <v>0.64166666666666672</v>
      </c>
      <c r="T8" s="16">
        <f t="shared" si="8"/>
        <v>0.28333333333333344</v>
      </c>
      <c r="U8" s="1" t="str">
        <f t="shared" si="9"/>
        <v>D</v>
      </c>
      <c r="V8" s="62" t="s">
        <v>18</v>
      </c>
      <c r="W8" s="1" t="str">
        <f t="shared" si="10"/>
        <v>U</v>
      </c>
      <c r="X8" s="1">
        <f>C8-Elect2012!C8</f>
        <v>-2</v>
      </c>
      <c r="Y8" s="1">
        <f>J8-Elect2012!J8</f>
        <v>-1</v>
      </c>
      <c r="Z8" s="1">
        <f t="shared" si="11"/>
        <v>0</v>
      </c>
    </row>
    <row r="9" spans="1:26" ht="16">
      <c r="A9" s="12" t="s">
        <v>32</v>
      </c>
      <c r="B9" s="13" t="s">
        <v>28</v>
      </c>
      <c r="C9" s="74">
        <v>33</v>
      </c>
      <c r="D9" s="74">
        <v>32</v>
      </c>
      <c r="E9" s="47">
        <v>65</v>
      </c>
      <c r="F9" s="16">
        <f t="shared" si="0"/>
        <v>0.50769230769230766</v>
      </c>
      <c r="G9" s="16">
        <f t="shared" si="1"/>
        <v>1.538461538461533E-2</v>
      </c>
      <c r="H9" s="1" t="str">
        <f t="shared" si="2"/>
        <v>D</v>
      </c>
      <c r="I9" s="17" t="str">
        <f>IF(Elect2012!H9=H9,"N","Y")</f>
        <v>N</v>
      </c>
      <c r="J9" s="74">
        <v>16</v>
      </c>
      <c r="K9" s="74">
        <v>18</v>
      </c>
      <c r="L9" s="47">
        <v>35</v>
      </c>
      <c r="M9" s="16">
        <f t="shared" si="3"/>
        <v>0.45714285714285713</v>
      </c>
      <c r="N9" s="16">
        <f t="shared" si="4"/>
        <v>8.5714285714285798E-2</v>
      </c>
      <c r="O9" s="1" t="str">
        <f t="shared" si="5"/>
        <v>R</v>
      </c>
      <c r="P9" s="17" t="str">
        <f>IF(Elect2012!O9=O9,"N","Y")</f>
        <v>Y</v>
      </c>
      <c r="Q9" s="1">
        <f t="shared" si="6"/>
        <v>49</v>
      </c>
      <c r="R9" s="1">
        <f t="shared" si="6"/>
        <v>50</v>
      </c>
      <c r="S9" s="16">
        <f t="shared" si="7"/>
        <v>0.49</v>
      </c>
      <c r="T9" s="16">
        <f t="shared" si="8"/>
        <v>2.0000000000000018E-2</v>
      </c>
      <c r="U9" s="1" t="str">
        <f t="shared" si="9"/>
        <v>S</v>
      </c>
      <c r="V9" s="63" t="s">
        <v>18</v>
      </c>
      <c r="W9" s="1" t="str">
        <f t="shared" si="10"/>
        <v>D</v>
      </c>
      <c r="X9" s="1">
        <f>C9-Elect2012!C9</f>
        <v>-3</v>
      </c>
      <c r="Y9" s="1">
        <f>J9-Elect2012!J9</f>
        <v>-3</v>
      </c>
      <c r="Z9" s="1">
        <f t="shared" si="11"/>
        <v>0</v>
      </c>
    </row>
    <row r="10" spans="1:26" ht="16">
      <c r="A10" s="12" t="s">
        <v>33</v>
      </c>
      <c r="B10" s="13" t="s">
        <v>34</v>
      </c>
      <c r="C10" s="74">
        <v>87</v>
      </c>
      <c r="D10" s="74">
        <v>64</v>
      </c>
      <c r="E10" s="43">
        <v>151</v>
      </c>
      <c r="F10" s="16">
        <f t="shared" si="0"/>
        <v>0.57615894039735094</v>
      </c>
      <c r="G10" s="16">
        <f t="shared" si="1"/>
        <v>0.15231788079470188</v>
      </c>
      <c r="H10" s="1" t="str">
        <f t="shared" si="2"/>
        <v>D</v>
      </c>
      <c r="I10" s="17" t="str">
        <f>IF(Elect2012!H10=H10,"N","Y")</f>
        <v>N</v>
      </c>
      <c r="J10" s="74">
        <v>21</v>
      </c>
      <c r="K10" s="74">
        <v>15</v>
      </c>
      <c r="L10" s="43">
        <v>36</v>
      </c>
      <c r="M10" s="16">
        <f t="shared" si="3"/>
        <v>0.58333333333333337</v>
      </c>
      <c r="N10" s="16">
        <f t="shared" si="4"/>
        <v>0.16666666666666674</v>
      </c>
      <c r="O10" s="1" t="str">
        <f t="shared" si="5"/>
        <v>D</v>
      </c>
      <c r="P10" s="17" t="str">
        <f>IF(Elect2012!O10=O10,"N","Y")</f>
        <v>N</v>
      </c>
      <c r="Q10" s="1">
        <f t="shared" si="6"/>
        <v>108</v>
      </c>
      <c r="R10" s="1">
        <f t="shared" si="6"/>
        <v>79</v>
      </c>
      <c r="S10" s="16">
        <f t="shared" si="7"/>
        <v>0.57754010695187163</v>
      </c>
      <c r="T10" s="16">
        <f t="shared" si="8"/>
        <v>0.15508021390374327</v>
      </c>
      <c r="U10" s="1" t="str">
        <f t="shared" si="9"/>
        <v>D</v>
      </c>
      <c r="V10" s="61" t="s">
        <v>18</v>
      </c>
      <c r="W10" s="1" t="str">
        <f t="shared" si="10"/>
        <v>U</v>
      </c>
      <c r="X10" s="1">
        <f>C10-Elect2012!C10</f>
        <v>-12</v>
      </c>
      <c r="Y10" s="1">
        <f>J10-Elect2012!J10</f>
        <v>-1</v>
      </c>
      <c r="Z10" s="1">
        <f t="shared" si="11"/>
        <v>0</v>
      </c>
    </row>
    <row r="11" spans="1:26" ht="16">
      <c r="A11" s="12" t="s">
        <v>35</v>
      </c>
      <c r="B11" s="13" t="s">
        <v>34</v>
      </c>
      <c r="C11" s="74">
        <v>25</v>
      </c>
      <c r="D11" s="74">
        <v>16</v>
      </c>
      <c r="E11" s="43">
        <v>41</v>
      </c>
      <c r="F11" s="16">
        <f t="shared" si="0"/>
        <v>0.6097560975609756</v>
      </c>
      <c r="G11" s="16">
        <f t="shared" si="1"/>
        <v>0.21951219512195119</v>
      </c>
      <c r="H11" s="1" t="str">
        <f t="shared" si="2"/>
        <v>D</v>
      </c>
      <c r="I11" s="17" t="str">
        <f>IF(Elect2012!H11=H11,"N","Y")</f>
        <v>N</v>
      </c>
      <c r="J11" s="74">
        <v>12</v>
      </c>
      <c r="K11" s="74">
        <v>9</v>
      </c>
      <c r="L11" s="43">
        <v>21</v>
      </c>
      <c r="M11" s="16">
        <f t="shared" si="3"/>
        <v>0.5714285714285714</v>
      </c>
      <c r="N11" s="16">
        <f t="shared" si="4"/>
        <v>0.14285714285714279</v>
      </c>
      <c r="O11" s="1" t="str">
        <f t="shared" si="5"/>
        <v>D</v>
      </c>
      <c r="P11" s="17" t="str">
        <f>IF(Elect2012!O11=O11,"N","Y")</f>
        <v>N</v>
      </c>
      <c r="Q11" s="1">
        <f t="shared" si="6"/>
        <v>37</v>
      </c>
      <c r="R11" s="1">
        <f t="shared" si="6"/>
        <v>25</v>
      </c>
      <c r="S11" s="16">
        <f t="shared" si="7"/>
        <v>0.59677419354838712</v>
      </c>
      <c r="T11" s="16">
        <f t="shared" si="8"/>
        <v>0.19354838709677424</v>
      </c>
      <c r="U11" s="1" t="str">
        <f t="shared" si="9"/>
        <v>D</v>
      </c>
      <c r="V11" s="61" t="s">
        <v>18</v>
      </c>
      <c r="W11" s="1" t="str">
        <f t="shared" si="10"/>
        <v>U</v>
      </c>
      <c r="X11" s="1">
        <f>C11-Elect2012!C11</f>
        <v>-2</v>
      </c>
      <c r="Y11" s="1">
        <f>J11-Elect2012!J11</f>
        <v>-1</v>
      </c>
      <c r="Z11" s="1">
        <f t="shared" si="11"/>
        <v>0</v>
      </c>
    </row>
    <row r="12" spans="1:26" ht="16">
      <c r="A12" s="12" t="s">
        <v>36</v>
      </c>
      <c r="B12" s="13" t="s">
        <v>26</v>
      </c>
      <c r="C12" s="74">
        <v>37</v>
      </c>
      <c r="D12" s="74">
        <v>82</v>
      </c>
      <c r="E12" s="43">
        <v>120</v>
      </c>
      <c r="F12" s="16">
        <f t="shared" si="0"/>
        <v>0.30833333333333335</v>
      </c>
      <c r="G12" s="16">
        <f t="shared" si="1"/>
        <v>0.3833333333333333</v>
      </c>
      <c r="H12" s="1" t="str">
        <f t="shared" si="2"/>
        <v>R</v>
      </c>
      <c r="I12" s="17" t="str">
        <f>IF(Elect2012!H12=H12,"N","Y")</f>
        <v>N</v>
      </c>
      <c r="J12" s="74">
        <v>14</v>
      </c>
      <c r="K12" s="74">
        <v>26</v>
      </c>
      <c r="L12" s="43">
        <v>40</v>
      </c>
      <c r="M12" s="16">
        <f t="shared" si="3"/>
        <v>0.35</v>
      </c>
      <c r="N12" s="16">
        <f t="shared" si="4"/>
        <v>0.30000000000000004</v>
      </c>
      <c r="O12" s="1" t="str">
        <f t="shared" si="5"/>
        <v>R</v>
      </c>
      <c r="P12" s="17" t="str">
        <f>IF(Elect2012!O12=O12,"N","Y")</f>
        <v>N</v>
      </c>
      <c r="Q12" s="1">
        <f t="shared" si="6"/>
        <v>51</v>
      </c>
      <c r="R12" s="1">
        <f t="shared" si="6"/>
        <v>108</v>
      </c>
      <c r="S12" s="16">
        <f t="shared" si="7"/>
        <v>0.31874999999999998</v>
      </c>
      <c r="T12" s="16">
        <f t="shared" si="8"/>
        <v>0.36250000000000004</v>
      </c>
      <c r="U12" s="1" t="str">
        <f t="shared" si="9"/>
        <v>R</v>
      </c>
      <c r="V12" s="61" t="s">
        <v>19</v>
      </c>
      <c r="W12" s="1" t="str">
        <f t="shared" si="10"/>
        <v>U</v>
      </c>
      <c r="X12" s="1">
        <f>C12-Elect2012!C12</f>
        <v>-9</v>
      </c>
      <c r="Y12" s="1">
        <f>J12-Elect2012!J12</f>
        <v>0</v>
      </c>
      <c r="Z12" s="1">
        <f t="shared" si="11"/>
        <v>0</v>
      </c>
    </row>
    <row r="13" spans="1:26" ht="16">
      <c r="A13" s="12" t="s">
        <v>37</v>
      </c>
      <c r="B13" s="13" t="s">
        <v>26</v>
      </c>
      <c r="C13" s="74">
        <v>59</v>
      </c>
      <c r="D13" s="74">
        <v>120</v>
      </c>
      <c r="E13" s="45">
        <v>180</v>
      </c>
      <c r="F13" s="16">
        <f t="shared" si="0"/>
        <v>0.32777777777777778</v>
      </c>
      <c r="G13" s="16">
        <f t="shared" si="1"/>
        <v>0.3444444444444445</v>
      </c>
      <c r="H13" s="1" t="str">
        <f t="shared" si="2"/>
        <v>R</v>
      </c>
      <c r="I13" s="17" t="str">
        <f>IF(Elect2012!H13=H13,"N","Y")</f>
        <v>N</v>
      </c>
      <c r="J13" s="74">
        <v>18</v>
      </c>
      <c r="K13" s="74">
        <v>38</v>
      </c>
      <c r="L13" s="45">
        <v>56</v>
      </c>
      <c r="M13" s="16">
        <f t="shared" si="3"/>
        <v>0.32142857142857145</v>
      </c>
      <c r="N13" s="16">
        <f t="shared" si="4"/>
        <v>0.35714285714285715</v>
      </c>
      <c r="O13" s="1" t="str">
        <f t="shared" si="5"/>
        <v>R</v>
      </c>
      <c r="P13" s="17" t="str">
        <f>IF(Elect2012!O13=O13,"N","Y")</f>
        <v>N</v>
      </c>
      <c r="Q13" s="1">
        <f t="shared" si="6"/>
        <v>77</v>
      </c>
      <c r="R13" s="1">
        <f t="shared" si="6"/>
        <v>158</v>
      </c>
      <c r="S13" s="16">
        <f t="shared" si="7"/>
        <v>0.32627118644067798</v>
      </c>
      <c r="T13" s="16">
        <f t="shared" si="8"/>
        <v>0.34745762711864403</v>
      </c>
      <c r="U13" s="1" t="str">
        <f t="shared" si="9"/>
        <v>R</v>
      </c>
      <c r="V13" s="62" t="s">
        <v>19</v>
      </c>
      <c r="W13" s="1" t="str">
        <f t="shared" si="10"/>
        <v>U</v>
      </c>
      <c r="X13" s="1">
        <f>C13-Elect2012!C13</f>
        <v>-1</v>
      </c>
      <c r="Y13" s="1">
        <f>J13-Elect2012!J13</f>
        <v>0</v>
      </c>
      <c r="Z13" s="1">
        <f t="shared" si="11"/>
        <v>0</v>
      </c>
    </row>
    <row r="14" spans="1:26" ht="16">
      <c r="A14" s="12" t="s">
        <v>38</v>
      </c>
      <c r="B14" s="13" t="s">
        <v>28</v>
      </c>
      <c r="C14" s="74">
        <v>43</v>
      </c>
      <c r="D14" s="74">
        <v>8</v>
      </c>
      <c r="E14" s="47">
        <v>51</v>
      </c>
      <c r="F14" s="16">
        <f t="shared" si="0"/>
        <v>0.84313725490196079</v>
      </c>
      <c r="G14" s="16">
        <f t="shared" si="1"/>
        <v>0.68627450980392157</v>
      </c>
      <c r="H14" s="1" t="str">
        <f t="shared" si="2"/>
        <v>D</v>
      </c>
      <c r="I14" s="17" t="str">
        <f>IF(Elect2012!H14=H14,"N","Y")</f>
        <v>N</v>
      </c>
      <c r="J14" s="74">
        <v>24</v>
      </c>
      <c r="K14" s="74">
        <v>1</v>
      </c>
      <c r="L14" s="47">
        <v>25</v>
      </c>
      <c r="M14" s="16">
        <f t="shared" si="3"/>
        <v>0.96</v>
      </c>
      <c r="N14" s="16">
        <f t="shared" si="4"/>
        <v>0.91999999999999993</v>
      </c>
      <c r="O14" s="1" t="str">
        <f t="shared" si="5"/>
        <v>D</v>
      </c>
      <c r="P14" s="17" t="str">
        <f>IF(Elect2012!O14=O14,"N","Y")</f>
        <v>N</v>
      </c>
      <c r="Q14" s="1">
        <f t="shared" si="6"/>
        <v>67</v>
      </c>
      <c r="R14" s="1">
        <f t="shared" si="6"/>
        <v>9</v>
      </c>
      <c r="S14" s="16">
        <f t="shared" si="7"/>
        <v>0.88157894736842102</v>
      </c>
      <c r="T14" s="16">
        <f t="shared" si="8"/>
        <v>0.76315789473684204</v>
      </c>
      <c r="U14" s="1" t="str">
        <f t="shared" si="9"/>
        <v>D</v>
      </c>
      <c r="V14" s="63" t="s">
        <v>18</v>
      </c>
      <c r="W14" s="1" t="str">
        <f t="shared" si="10"/>
        <v>U</v>
      </c>
      <c r="X14" s="1">
        <f>C14-Elect2012!C14</f>
        <v>-1</v>
      </c>
      <c r="Y14" s="1">
        <f>J14-Elect2012!J14</f>
        <v>0</v>
      </c>
      <c r="Z14" s="1">
        <f t="shared" si="11"/>
        <v>0</v>
      </c>
    </row>
    <row r="15" spans="1:26" ht="16">
      <c r="A15" s="12" t="s">
        <v>39</v>
      </c>
      <c r="B15" s="13" t="s">
        <v>28</v>
      </c>
      <c r="C15" s="74">
        <v>14</v>
      </c>
      <c r="D15" s="74">
        <v>56</v>
      </c>
      <c r="E15" s="43">
        <v>70</v>
      </c>
      <c r="F15" s="16">
        <f t="shared" si="0"/>
        <v>0.2</v>
      </c>
      <c r="G15" s="16">
        <f t="shared" si="1"/>
        <v>0.60000000000000009</v>
      </c>
      <c r="H15" s="1" t="str">
        <f t="shared" si="2"/>
        <v>R</v>
      </c>
      <c r="I15" s="17" t="str">
        <f>IF(Elect2012!H15=H15,"N","Y")</f>
        <v>N</v>
      </c>
      <c r="J15" s="74">
        <v>7</v>
      </c>
      <c r="K15" s="74">
        <v>28</v>
      </c>
      <c r="L15" s="43">
        <v>35</v>
      </c>
      <c r="M15" s="16">
        <f t="shared" si="3"/>
        <v>0.2</v>
      </c>
      <c r="N15" s="16">
        <f t="shared" si="4"/>
        <v>0.60000000000000009</v>
      </c>
      <c r="O15" s="1" t="str">
        <f t="shared" si="5"/>
        <v>R</v>
      </c>
      <c r="P15" s="17" t="str">
        <f>IF(Elect2012!O15=O15,"N","Y")</f>
        <v>N</v>
      </c>
      <c r="Q15" s="1">
        <f t="shared" si="6"/>
        <v>21</v>
      </c>
      <c r="R15" s="1">
        <f t="shared" si="6"/>
        <v>84</v>
      </c>
      <c r="S15" s="16">
        <f t="shared" si="7"/>
        <v>0.2</v>
      </c>
      <c r="T15" s="16">
        <f t="shared" si="8"/>
        <v>0.60000000000000009</v>
      </c>
      <c r="U15" s="1" t="str">
        <f t="shared" si="9"/>
        <v>R</v>
      </c>
      <c r="V15" s="61" t="s">
        <v>19</v>
      </c>
      <c r="W15" s="1" t="str">
        <f t="shared" si="10"/>
        <v>U</v>
      </c>
      <c r="X15" s="1">
        <f>C15-Elect2012!C15</f>
        <v>1</v>
      </c>
      <c r="Y15" s="1">
        <f>J15-Elect2012!J15</f>
        <v>1</v>
      </c>
      <c r="Z15" s="1">
        <f t="shared" si="11"/>
        <v>0</v>
      </c>
    </row>
    <row r="16" spans="1:26" ht="16">
      <c r="A16" s="12" t="s">
        <v>40</v>
      </c>
      <c r="B16" s="13" t="s">
        <v>41</v>
      </c>
      <c r="C16" s="74">
        <v>71</v>
      </c>
      <c r="D16" s="74">
        <v>47</v>
      </c>
      <c r="E16" s="43">
        <v>118</v>
      </c>
      <c r="F16" s="16">
        <f t="shared" si="0"/>
        <v>0.60169491525423724</v>
      </c>
      <c r="G16" s="16">
        <f t="shared" si="1"/>
        <v>0.20338983050847448</v>
      </c>
      <c r="H16" s="1" t="str">
        <f t="shared" si="2"/>
        <v>D</v>
      </c>
      <c r="I16" s="17" t="str">
        <f>IF(Elect2012!H16=H16,"N","Y")</f>
        <v>N</v>
      </c>
      <c r="J16" s="74">
        <v>39</v>
      </c>
      <c r="K16" s="74">
        <v>20</v>
      </c>
      <c r="L16" s="43">
        <v>59</v>
      </c>
      <c r="M16" s="16">
        <f t="shared" si="3"/>
        <v>0.66101694915254239</v>
      </c>
      <c r="N16" s="16">
        <f t="shared" si="4"/>
        <v>0.32203389830508478</v>
      </c>
      <c r="O16" s="1" t="str">
        <f t="shared" si="5"/>
        <v>D</v>
      </c>
      <c r="P16" s="17" t="str">
        <f>IF(Elect2012!O16=O16,"N","Y")</f>
        <v>N</v>
      </c>
      <c r="Q16" s="1">
        <f t="shared" si="6"/>
        <v>110</v>
      </c>
      <c r="R16" s="1">
        <f t="shared" si="6"/>
        <v>67</v>
      </c>
      <c r="S16" s="16">
        <f t="shared" si="7"/>
        <v>0.62146892655367236</v>
      </c>
      <c r="T16" s="16">
        <f t="shared" si="8"/>
        <v>0.24293785310734473</v>
      </c>
      <c r="U16" s="1" t="str">
        <f t="shared" si="9"/>
        <v>D</v>
      </c>
      <c r="V16" s="61" t="s">
        <v>19</v>
      </c>
      <c r="W16" s="1" t="str">
        <f t="shared" si="10"/>
        <v>D</v>
      </c>
      <c r="X16" s="1">
        <f>C16-Elect2012!C16</f>
        <v>0</v>
      </c>
      <c r="Y16" s="1">
        <f>J16-Elect2012!J16</f>
        <v>-1</v>
      </c>
      <c r="Z16" s="1">
        <f t="shared" si="11"/>
        <v>0</v>
      </c>
    </row>
    <row r="17" spans="1:26" ht="16">
      <c r="A17" s="12" t="s">
        <v>42</v>
      </c>
      <c r="B17" s="13" t="s">
        <v>41</v>
      </c>
      <c r="C17" s="74">
        <v>30</v>
      </c>
      <c r="D17" s="74">
        <v>70</v>
      </c>
      <c r="E17" s="43">
        <v>100</v>
      </c>
      <c r="F17" s="16">
        <f t="shared" si="0"/>
        <v>0.3</v>
      </c>
      <c r="G17" s="16">
        <f t="shared" si="1"/>
        <v>0.39999999999999997</v>
      </c>
      <c r="H17" s="1" t="str">
        <f t="shared" si="2"/>
        <v>R</v>
      </c>
      <c r="I17" s="17" t="str">
        <f>IF(Elect2012!H17=H17,"N","Y")</f>
        <v>N</v>
      </c>
      <c r="J17" s="74">
        <v>10</v>
      </c>
      <c r="K17" s="74">
        <v>40</v>
      </c>
      <c r="L17" s="43">
        <v>50</v>
      </c>
      <c r="M17" s="16">
        <f t="shared" si="3"/>
        <v>0.2</v>
      </c>
      <c r="N17" s="16">
        <f t="shared" si="4"/>
        <v>0.60000000000000009</v>
      </c>
      <c r="O17" s="1" t="str">
        <f t="shared" si="5"/>
        <v>R</v>
      </c>
      <c r="P17" s="17" t="str">
        <f>IF(Elect2012!O17=O17,"N","Y")</f>
        <v>N</v>
      </c>
      <c r="Q17" s="1">
        <f t="shared" si="6"/>
        <v>40</v>
      </c>
      <c r="R17" s="1">
        <f t="shared" si="6"/>
        <v>110</v>
      </c>
      <c r="S17" s="16">
        <f t="shared" si="7"/>
        <v>0.26666666666666666</v>
      </c>
      <c r="T17" s="16">
        <f t="shared" si="8"/>
        <v>0.46666666666666673</v>
      </c>
      <c r="U17" s="1" t="str">
        <f t="shared" si="9"/>
        <v>R</v>
      </c>
      <c r="V17" s="61" t="s">
        <v>19</v>
      </c>
      <c r="W17" s="1" t="str">
        <f t="shared" si="10"/>
        <v>U</v>
      </c>
      <c r="X17" s="1">
        <f>C17-Elect2012!C17</f>
        <v>-1</v>
      </c>
      <c r="Y17" s="1">
        <f>J17-Elect2012!J17</f>
        <v>-3</v>
      </c>
      <c r="Z17" s="1">
        <f t="shared" si="11"/>
        <v>0</v>
      </c>
    </row>
    <row r="18" spans="1:26" ht="16">
      <c r="A18" s="12" t="s">
        <v>43</v>
      </c>
      <c r="B18" s="13" t="s">
        <v>41</v>
      </c>
      <c r="C18" s="74">
        <v>43</v>
      </c>
      <c r="D18" s="74">
        <v>57</v>
      </c>
      <c r="E18" s="45">
        <v>100</v>
      </c>
      <c r="F18" s="16">
        <f t="shared" si="0"/>
        <v>0.43</v>
      </c>
      <c r="G18" s="16">
        <f t="shared" si="1"/>
        <v>0.14000000000000007</v>
      </c>
      <c r="H18" s="1" t="str">
        <f t="shared" si="2"/>
        <v>R</v>
      </c>
      <c r="I18" s="17" t="str">
        <f>IF(Elect2012!H18=H18,"N","Y")</f>
        <v>N</v>
      </c>
      <c r="J18" s="74">
        <v>26</v>
      </c>
      <c r="K18" s="74">
        <v>24</v>
      </c>
      <c r="L18" s="45">
        <v>50</v>
      </c>
      <c r="M18" s="16">
        <f t="shared" si="3"/>
        <v>0.52</v>
      </c>
      <c r="N18" s="16">
        <f t="shared" si="4"/>
        <v>4.0000000000000036E-2</v>
      </c>
      <c r="O18" s="1" t="str">
        <f t="shared" si="5"/>
        <v>D</v>
      </c>
      <c r="P18" s="17" t="str">
        <f>IF(Elect2012!O18=O18,"N","Y")</f>
        <v>N</v>
      </c>
      <c r="Q18" s="1">
        <f t="shared" si="6"/>
        <v>69</v>
      </c>
      <c r="R18" s="1">
        <f t="shared" si="6"/>
        <v>81</v>
      </c>
      <c r="S18" s="16">
        <f t="shared" si="7"/>
        <v>0.46</v>
      </c>
      <c r="T18" s="16">
        <f t="shared" si="8"/>
        <v>8.0000000000000016E-2</v>
      </c>
      <c r="U18" s="1" t="str">
        <f t="shared" si="9"/>
        <v>S</v>
      </c>
      <c r="V18" s="62" t="s">
        <v>19</v>
      </c>
      <c r="W18" s="1" t="str">
        <f t="shared" si="10"/>
        <v>D</v>
      </c>
      <c r="X18" s="1">
        <f>C18-Elect2012!C18</f>
        <v>-4</v>
      </c>
      <c r="Y18" s="1">
        <f>J18-Elect2012!J18</f>
        <v>0</v>
      </c>
      <c r="Z18" s="1">
        <f t="shared" si="11"/>
        <v>0</v>
      </c>
    </row>
    <row r="19" spans="1:26" ht="16">
      <c r="A19" s="12" t="s">
        <v>44</v>
      </c>
      <c r="B19" s="13" t="s">
        <v>41</v>
      </c>
      <c r="C19" s="74">
        <v>27</v>
      </c>
      <c r="D19" s="74">
        <v>98</v>
      </c>
      <c r="E19" s="47">
        <v>125</v>
      </c>
      <c r="F19" s="16">
        <f t="shared" si="0"/>
        <v>0.216</v>
      </c>
      <c r="G19" s="16">
        <f t="shared" si="1"/>
        <v>0.56800000000000006</v>
      </c>
      <c r="H19" s="1" t="str">
        <f t="shared" si="2"/>
        <v>R</v>
      </c>
      <c r="I19" s="17" t="str">
        <f>IF(Elect2012!H19=H19,"N","Y")</f>
        <v>N</v>
      </c>
      <c r="J19" s="74">
        <v>8</v>
      </c>
      <c r="K19" s="74">
        <v>32</v>
      </c>
      <c r="L19" s="47">
        <v>40</v>
      </c>
      <c r="M19" s="16">
        <f t="shared" si="3"/>
        <v>0.2</v>
      </c>
      <c r="N19" s="16">
        <f t="shared" si="4"/>
        <v>0.60000000000000009</v>
      </c>
      <c r="O19" s="1" t="str">
        <f t="shared" si="5"/>
        <v>R</v>
      </c>
      <c r="P19" s="17" t="str">
        <f>IF(Elect2012!O19=O19,"N","Y")</f>
        <v>N</v>
      </c>
      <c r="Q19" s="1">
        <f t="shared" si="6"/>
        <v>35</v>
      </c>
      <c r="R19" s="1">
        <f t="shared" si="6"/>
        <v>130</v>
      </c>
      <c r="S19" s="16">
        <f t="shared" si="7"/>
        <v>0.21212121212121213</v>
      </c>
      <c r="T19" s="16">
        <f t="shared" si="8"/>
        <v>0.57575757575757569</v>
      </c>
      <c r="U19" s="1" t="str">
        <f t="shared" si="9"/>
        <v>R</v>
      </c>
      <c r="V19" s="63" t="s">
        <v>19</v>
      </c>
      <c r="W19" s="1" t="str">
        <f t="shared" si="10"/>
        <v>U</v>
      </c>
      <c r="X19" s="1">
        <f>C19-Elect2012!C19</f>
        <v>-8</v>
      </c>
      <c r="Y19" s="1">
        <f>J19-Elect2012!J19</f>
        <v>-1</v>
      </c>
      <c r="Z19" s="1">
        <f t="shared" si="11"/>
        <v>0</v>
      </c>
    </row>
    <row r="20" spans="1:26" ht="16">
      <c r="A20" s="12" t="s">
        <v>45</v>
      </c>
      <c r="B20" s="13" t="s">
        <v>26</v>
      </c>
      <c r="C20" s="74">
        <v>53</v>
      </c>
      <c r="D20" s="74">
        <v>46</v>
      </c>
      <c r="E20" s="43">
        <v>100</v>
      </c>
      <c r="F20" s="16">
        <f t="shared" si="0"/>
        <v>0.53</v>
      </c>
      <c r="G20" s="16">
        <f t="shared" si="1"/>
        <v>6.0000000000000053E-2</v>
      </c>
      <c r="H20" s="1" t="str">
        <f t="shared" si="2"/>
        <v>D</v>
      </c>
      <c r="I20" s="17" t="str">
        <f>IF(Elect2012!H20=H20,"N","Y")</f>
        <v>N</v>
      </c>
      <c r="J20" s="74">
        <v>12</v>
      </c>
      <c r="K20" s="74">
        <v>26</v>
      </c>
      <c r="L20" s="43">
        <v>38</v>
      </c>
      <c r="M20" s="16">
        <f t="shared" si="3"/>
        <v>0.31578947368421051</v>
      </c>
      <c r="N20" s="16">
        <f t="shared" si="4"/>
        <v>0.36842105263157898</v>
      </c>
      <c r="O20" s="1" t="str">
        <f t="shared" si="5"/>
        <v>R</v>
      </c>
      <c r="P20" s="17" t="str">
        <f>IF(Elect2012!O20=O20,"N","Y")</f>
        <v>N</v>
      </c>
      <c r="Q20" s="1">
        <f t="shared" si="6"/>
        <v>65</v>
      </c>
      <c r="R20" s="1">
        <f t="shared" si="6"/>
        <v>72</v>
      </c>
      <c r="S20" s="16">
        <f t="shared" si="7"/>
        <v>0.47101449275362317</v>
      </c>
      <c r="T20" s="16">
        <f t="shared" si="8"/>
        <v>5.7971014492753659E-2</v>
      </c>
      <c r="U20" s="1" t="str">
        <f t="shared" si="9"/>
        <v>S</v>
      </c>
      <c r="V20" s="61" t="s">
        <v>18</v>
      </c>
      <c r="W20" s="1" t="str">
        <f t="shared" si="10"/>
        <v>D</v>
      </c>
      <c r="X20" s="1">
        <f>C20-Elect2012!C20</f>
        <v>-2</v>
      </c>
      <c r="Y20" s="1">
        <f>J20-Elect2012!J20</f>
        <v>-2</v>
      </c>
      <c r="Z20" s="1">
        <f t="shared" si="11"/>
        <v>0</v>
      </c>
    </row>
    <row r="21" spans="1:26" ht="16">
      <c r="A21" s="12" t="s">
        <v>46</v>
      </c>
      <c r="B21" s="13" t="s">
        <v>26</v>
      </c>
      <c r="C21" s="74">
        <v>44</v>
      </c>
      <c r="D21" s="74">
        <v>59</v>
      </c>
      <c r="E21" s="43">
        <v>105</v>
      </c>
      <c r="F21" s="16">
        <f t="shared" si="0"/>
        <v>0.41904761904761906</v>
      </c>
      <c r="G21" s="16">
        <f t="shared" si="1"/>
        <v>0.16190476190476183</v>
      </c>
      <c r="H21" s="1" t="str">
        <f t="shared" si="2"/>
        <v>R</v>
      </c>
      <c r="I21" s="17" t="str">
        <f>IF(Elect2012!H21=H21,"N","Y")</f>
        <v>N</v>
      </c>
      <c r="J21" s="74">
        <v>13</v>
      </c>
      <c r="K21" s="74">
        <v>26</v>
      </c>
      <c r="L21" s="43">
        <v>39</v>
      </c>
      <c r="M21" s="16">
        <f t="shared" si="3"/>
        <v>0.33333333333333331</v>
      </c>
      <c r="N21" s="16">
        <f t="shared" si="4"/>
        <v>0.33333333333333343</v>
      </c>
      <c r="O21" s="1" t="str">
        <f t="shared" si="5"/>
        <v>R</v>
      </c>
      <c r="P21" s="17" t="str">
        <f>IF(Elect2012!O21=O21,"N","Y")</f>
        <v>N</v>
      </c>
      <c r="Q21" s="1">
        <f t="shared" si="6"/>
        <v>57</v>
      </c>
      <c r="R21" s="1">
        <f t="shared" si="6"/>
        <v>85</v>
      </c>
      <c r="S21" s="16">
        <f t="shared" si="7"/>
        <v>0.39583333333333331</v>
      </c>
      <c r="T21" s="16">
        <f t="shared" si="8"/>
        <v>0.20833333333333343</v>
      </c>
      <c r="U21" s="1" t="str">
        <f t="shared" si="9"/>
        <v>R</v>
      </c>
      <c r="V21" s="61" t="s">
        <v>19</v>
      </c>
      <c r="W21" s="1" t="str">
        <f t="shared" si="10"/>
        <v>U</v>
      </c>
      <c r="X21" s="1">
        <f>C21-Elect2012!C21</f>
        <v>-1</v>
      </c>
      <c r="Y21" s="1">
        <f>J21-Elect2012!J21</f>
        <v>-2</v>
      </c>
      <c r="Z21" s="1">
        <f t="shared" si="11"/>
        <v>0</v>
      </c>
    </row>
    <row r="22" spans="1:26" ht="16">
      <c r="A22" s="12" t="s">
        <v>47</v>
      </c>
      <c r="B22" s="13" t="s">
        <v>34</v>
      </c>
      <c r="C22" s="74">
        <v>79</v>
      </c>
      <c r="D22" s="74">
        <v>68</v>
      </c>
      <c r="E22" s="43">
        <v>151</v>
      </c>
      <c r="F22" s="16">
        <f t="shared" si="0"/>
        <v>0.52317880794701987</v>
      </c>
      <c r="G22" s="16">
        <f t="shared" si="1"/>
        <v>4.635761589403975E-2</v>
      </c>
      <c r="H22" s="1" t="str">
        <f t="shared" si="2"/>
        <v>D</v>
      </c>
      <c r="I22" s="17" t="str">
        <f>IF(Elect2012!H22=H22,"N","Y")</f>
        <v>N</v>
      </c>
      <c r="J22" s="74">
        <v>15</v>
      </c>
      <c r="K22" s="74">
        <v>20</v>
      </c>
      <c r="L22" s="43">
        <v>35</v>
      </c>
      <c r="M22" s="16">
        <f t="shared" si="3"/>
        <v>0.42857142857142855</v>
      </c>
      <c r="N22" s="16">
        <f t="shared" si="4"/>
        <v>0.14285714285714285</v>
      </c>
      <c r="O22" s="1" t="str">
        <f t="shared" si="5"/>
        <v>R</v>
      </c>
      <c r="P22" s="17" t="str">
        <f>IF(Elect2012!O22=O22,"N","Y")</f>
        <v>Y</v>
      </c>
      <c r="Q22" s="1">
        <f t="shared" si="6"/>
        <v>94</v>
      </c>
      <c r="R22" s="1">
        <f t="shared" si="6"/>
        <v>88</v>
      </c>
      <c r="S22" s="16">
        <f t="shared" si="7"/>
        <v>0.5053763440860215</v>
      </c>
      <c r="T22" s="16">
        <f t="shared" si="8"/>
        <v>1.0752688172043001E-2</v>
      </c>
      <c r="U22" s="1" t="str">
        <f t="shared" si="9"/>
        <v>S</v>
      </c>
      <c r="V22" s="61" t="s">
        <v>19</v>
      </c>
      <c r="W22" s="1" t="str">
        <f t="shared" si="10"/>
        <v>D</v>
      </c>
      <c r="X22" s="1">
        <f>C22-Elect2012!C22</f>
        <v>-8</v>
      </c>
      <c r="Y22" s="1">
        <f>J22-Elect2012!J22</f>
        <v>-4</v>
      </c>
      <c r="Z22" s="1">
        <f t="shared" si="11"/>
        <v>0</v>
      </c>
    </row>
    <row r="23" spans="1:26" ht="16">
      <c r="A23" s="12" t="s">
        <v>48</v>
      </c>
      <c r="B23" s="13" t="s">
        <v>26</v>
      </c>
      <c r="C23" s="74">
        <v>90</v>
      </c>
      <c r="D23" s="74">
        <v>51</v>
      </c>
      <c r="E23" s="45">
        <v>141</v>
      </c>
      <c r="F23" s="16">
        <f t="shared" si="0"/>
        <v>0.63829787234042556</v>
      </c>
      <c r="G23" s="16">
        <f t="shared" si="1"/>
        <v>0.27659574468085113</v>
      </c>
      <c r="H23" s="1" t="str">
        <f t="shared" si="2"/>
        <v>D</v>
      </c>
      <c r="I23" s="17" t="str">
        <f>IF(Elect2012!H23=H23,"N","Y")</f>
        <v>N</v>
      </c>
      <c r="J23" s="74">
        <v>32</v>
      </c>
      <c r="K23" s="74">
        <v>14</v>
      </c>
      <c r="L23" s="45">
        <v>47</v>
      </c>
      <c r="M23" s="16">
        <f t="shared" si="3"/>
        <v>0.68085106382978722</v>
      </c>
      <c r="N23" s="16">
        <f t="shared" si="4"/>
        <v>0.36170212765957444</v>
      </c>
      <c r="O23" s="1" t="str">
        <f t="shared" si="5"/>
        <v>D</v>
      </c>
      <c r="P23" s="17" t="str">
        <f>IF(Elect2012!O23=O23,"N","Y")</f>
        <v>N</v>
      </c>
      <c r="Q23" s="1">
        <f t="shared" si="6"/>
        <v>122</v>
      </c>
      <c r="R23" s="1">
        <f t="shared" si="6"/>
        <v>65</v>
      </c>
      <c r="S23" s="16">
        <f t="shared" si="7"/>
        <v>0.64893617021276595</v>
      </c>
      <c r="T23" s="16">
        <f t="shared" si="8"/>
        <v>0.2978723404255319</v>
      </c>
      <c r="U23" s="1" t="str">
        <f t="shared" si="9"/>
        <v>D</v>
      </c>
      <c r="V23" s="62" t="s">
        <v>19</v>
      </c>
      <c r="W23" s="1" t="str">
        <f t="shared" si="10"/>
        <v>D</v>
      </c>
      <c r="X23" s="1">
        <f>C23-Elect2012!C23</f>
        <v>-8</v>
      </c>
      <c r="Y23" s="1">
        <f>J23-Elect2012!J23</f>
        <v>-3</v>
      </c>
      <c r="Z23" s="1">
        <f t="shared" si="11"/>
        <v>0</v>
      </c>
    </row>
    <row r="24" spans="1:26" ht="16">
      <c r="A24" s="12" t="s">
        <v>49</v>
      </c>
      <c r="B24" s="13" t="s">
        <v>34</v>
      </c>
      <c r="C24" s="74">
        <v>125</v>
      </c>
      <c r="D24" s="74">
        <v>34</v>
      </c>
      <c r="E24" s="47">
        <v>160</v>
      </c>
      <c r="F24" s="16">
        <f t="shared" si="0"/>
        <v>0.78125</v>
      </c>
      <c r="G24" s="16">
        <f t="shared" si="1"/>
        <v>0.5625</v>
      </c>
      <c r="H24" s="1" t="str">
        <f t="shared" si="2"/>
        <v>D</v>
      </c>
      <c r="I24" s="17" t="str">
        <f>IF(Elect2012!H24=H24,"N","Y")</f>
        <v>N</v>
      </c>
      <c r="J24" s="74">
        <v>34</v>
      </c>
      <c r="K24" s="74">
        <v>6</v>
      </c>
      <c r="L24" s="47">
        <v>40</v>
      </c>
      <c r="M24" s="16">
        <f t="shared" si="3"/>
        <v>0.85</v>
      </c>
      <c r="N24" s="16">
        <f t="shared" si="4"/>
        <v>0.7</v>
      </c>
      <c r="O24" s="1" t="str">
        <f t="shared" si="5"/>
        <v>D</v>
      </c>
      <c r="P24" s="17" t="str">
        <f>IF(Elect2012!O24=O24,"N","Y")</f>
        <v>N</v>
      </c>
      <c r="Q24" s="1">
        <f t="shared" si="6"/>
        <v>159</v>
      </c>
      <c r="R24" s="1">
        <f t="shared" si="6"/>
        <v>40</v>
      </c>
      <c r="S24" s="16">
        <f t="shared" si="7"/>
        <v>0.79500000000000004</v>
      </c>
      <c r="T24" s="16">
        <f t="shared" si="8"/>
        <v>0.59000000000000008</v>
      </c>
      <c r="U24" s="1" t="str">
        <f t="shared" si="9"/>
        <v>D</v>
      </c>
      <c r="V24" s="63" t="s">
        <v>19</v>
      </c>
      <c r="W24" s="1" t="str">
        <f t="shared" si="10"/>
        <v>D</v>
      </c>
      <c r="X24" s="1">
        <f>C24-Elect2012!C24</f>
        <v>-6</v>
      </c>
      <c r="Y24" s="1">
        <f>J24-Elect2012!J24</f>
        <v>-2</v>
      </c>
      <c r="Z24" s="1">
        <f t="shared" si="11"/>
        <v>0</v>
      </c>
    </row>
    <row r="25" spans="1:26" ht="16">
      <c r="A25" s="12" t="s">
        <v>50</v>
      </c>
      <c r="B25" s="13" t="s">
        <v>41</v>
      </c>
      <c r="C25" s="74">
        <v>47</v>
      </c>
      <c r="D25" s="74">
        <v>60</v>
      </c>
      <c r="E25" s="43">
        <v>110</v>
      </c>
      <c r="F25" s="16">
        <f t="shared" si="0"/>
        <v>0.42727272727272725</v>
      </c>
      <c r="G25" s="16">
        <f t="shared" si="1"/>
        <v>0.1454545454545455</v>
      </c>
      <c r="H25" s="1" t="str">
        <f t="shared" si="2"/>
        <v>R</v>
      </c>
      <c r="I25" s="17" t="str">
        <f>IF(Elect2012!H25=H25,"N","Y")</f>
        <v>N</v>
      </c>
      <c r="J25" s="74">
        <v>11</v>
      </c>
      <c r="K25" s="74">
        <v>27</v>
      </c>
      <c r="L25" s="43">
        <v>38</v>
      </c>
      <c r="M25" s="16">
        <f t="shared" si="3"/>
        <v>0.28947368421052633</v>
      </c>
      <c r="N25" s="16">
        <f t="shared" si="4"/>
        <v>0.42105263157894735</v>
      </c>
      <c r="O25" s="1" t="str">
        <f t="shared" si="5"/>
        <v>R</v>
      </c>
      <c r="P25" s="17" t="str">
        <f>IF(Elect2012!O25=O25,"N","Y")</f>
        <v>N</v>
      </c>
      <c r="Q25" s="1">
        <f t="shared" si="6"/>
        <v>58</v>
      </c>
      <c r="R25" s="1">
        <f t="shared" si="6"/>
        <v>87</v>
      </c>
      <c r="S25" s="16">
        <f t="shared" si="7"/>
        <v>0.39189189189189189</v>
      </c>
      <c r="T25" s="16">
        <f t="shared" si="8"/>
        <v>0.21621621621621623</v>
      </c>
      <c r="U25" s="1" t="str">
        <f t="shared" si="9"/>
        <v>R</v>
      </c>
      <c r="V25" s="61" t="s">
        <v>19</v>
      </c>
      <c r="W25" s="1" t="str">
        <f t="shared" si="10"/>
        <v>U</v>
      </c>
      <c r="X25" s="1">
        <f>C25-Elect2012!C25</f>
        <v>-4</v>
      </c>
      <c r="Y25" s="1">
        <f>J25-Elect2012!J25</f>
        <v>-1</v>
      </c>
      <c r="Z25" s="1">
        <f t="shared" si="11"/>
        <v>0</v>
      </c>
    </row>
    <row r="26" spans="1:26" ht="16">
      <c r="A26" s="12" t="s">
        <v>51</v>
      </c>
      <c r="B26" s="13" t="s">
        <v>41</v>
      </c>
      <c r="C26" s="74">
        <v>62</v>
      </c>
      <c r="D26" s="74">
        <v>72</v>
      </c>
      <c r="E26" s="43">
        <v>134</v>
      </c>
      <c r="F26" s="16">
        <f t="shared" si="0"/>
        <v>0.46268656716417911</v>
      </c>
      <c r="G26" s="16">
        <f t="shared" si="1"/>
        <v>7.4626865671641784E-2</v>
      </c>
      <c r="H26" s="1" t="str">
        <f t="shared" si="2"/>
        <v>R</v>
      </c>
      <c r="I26" s="17" t="str">
        <f>IF(Elect2012!H26=H26,"N","Y")</f>
        <v>Y</v>
      </c>
      <c r="J26" s="74">
        <v>39</v>
      </c>
      <c r="K26" s="74">
        <v>28</v>
      </c>
      <c r="L26" s="43">
        <v>67</v>
      </c>
      <c r="M26" s="16">
        <f t="shared" si="3"/>
        <v>0.58208955223880599</v>
      </c>
      <c r="N26" s="16">
        <f t="shared" si="4"/>
        <v>0.16417910447761197</v>
      </c>
      <c r="O26" s="1" t="str">
        <f t="shared" si="5"/>
        <v>D</v>
      </c>
      <c r="P26" s="17" t="str">
        <f>IF(Elect2012!O26=O26,"N","Y")</f>
        <v>N</v>
      </c>
      <c r="Q26" s="1">
        <f t="shared" si="6"/>
        <v>101</v>
      </c>
      <c r="R26" s="1">
        <f t="shared" si="6"/>
        <v>100</v>
      </c>
      <c r="S26" s="16">
        <f t="shared" si="7"/>
        <v>0.50248756218905477</v>
      </c>
      <c r="T26" s="16">
        <f t="shared" si="8"/>
        <v>4.9751243781095411E-3</v>
      </c>
      <c r="U26" s="1" t="str">
        <f t="shared" si="9"/>
        <v>S</v>
      </c>
      <c r="V26" s="61" t="s">
        <v>18</v>
      </c>
      <c r="W26" s="1" t="str">
        <f t="shared" si="10"/>
        <v>D</v>
      </c>
      <c r="X26" s="1">
        <f>C26-Elect2012!C26</f>
        <v>-11</v>
      </c>
      <c r="Y26" s="1">
        <f>J26-Elect2012!J26</f>
        <v>0</v>
      </c>
      <c r="Z26" s="1">
        <f t="shared" si="11"/>
        <v>0</v>
      </c>
    </row>
    <row r="27" spans="1:26" ht="16">
      <c r="A27" s="12" t="s">
        <v>52</v>
      </c>
      <c r="B27" s="13" t="s">
        <v>26</v>
      </c>
      <c r="C27" s="74">
        <v>56</v>
      </c>
      <c r="D27" s="74">
        <v>66</v>
      </c>
      <c r="E27" s="43">
        <v>122</v>
      </c>
      <c r="F27" s="16">
        <f t="shared" si="0"/>
        <v>0.45901639344262296</v>
      </c>
      <c r="G27" s="16">
        <f t="shared" si="1"/>
        <v>8.1967213114754023E-2</v>
      </c>
      <c r="H27" s="1" t="str">
        <f t="shared" si="2"/>
        <v>R</v>
      </c>
      <c r="I27" s="17" t="str">
        <f>IF(Elect2012!H27=H27,"N","Y")</f>
        <v>N</v>
      </c>
      <c r="J27" s="74">
        <v>20</v>
      </c>
      <c r="K27" s="74">
        <v>31</v>
      </c>
      <c r="L27" s="43">
        <v>52</v>
      </c>
      <c r="M27" s="16">
        <f t="shared" si="3"/>
        <v>0.38461538461538464</v>
      </c>
      <c r="N27" s="16">
        <f t="shared" si="4"/>
        <v>0.23076923076923078</v>
      </c>
      <c r="O27" s="1" t="str">
        <f t="shared" si="5"/>
        <v>R</v>
      </c>
      <c r="P27" s="17" t="str">
        <f>IF(Elect2012!O27=O27,"N","Y")</f>
        <v>N</v>
      </c>
      <c r="Q27" s="1">
        <f t="shared" si="6"/>
        <v>76</v>
      </c>
      <c r="R27" s="1">
        <f t="shared" si="6"/>
        <v>97</v>
      </c>
      <c r="S27" s="16">
        <f t="shared" si="7"/>
        <v>0.43678160919540232</v>
      </c>
      <c r="T27" s="16">
        <f t="shared" si="8"/>
        <v>0.12643678160919536</v>
      </c>
      <c r="U27" s="1" t="str">
        <f t="shared" si="9"/>
        <v>R</v>
      </c>
      <c r="V27" s="61" t="s">
        <v>19</v>
      </c>
      <c r="W27" s="1" t="str">
        <f t="shared" si="10"/>
        <v>U</v>
      </c>
      <c r="X27" s="1">
        <f>C27-Elect2012!C27</f>
        <v>-2</v>
      </c>
      <c r="Y27" s="1">
        <f>J27-Elect2012!J27</f>
        <v>-1</v>
      </c>
      <c r="Z27" s="1">
        <f t="shared" si="11"/>
        <v>0</v>
      </c>
    </row>
    <row r="28" spans="1:26" ht="16">
      <c r="A28" s="12" t="s">
        <v>53</v>
      </c>
      <c r="B28" s="13" t="s">
        <v>41</v>
      </c>
      <c r="C28" s="74">
        <v>45</v>
      </c>
      <c r="D28" s="74">
        <v>117</v>
      </c>
      <c r="E28" s="45">
        <v>163</v>
      </c>
      <c r="F28" s="16">
        <f t="shared" si="0"/>
        <v>0.27607361963190186</v>
      </c>
      <c r="G28" s="16">
        <f t="shared" si="1"/>
        <v>0.44785276073619634</v>
      </c>
      <c r="H28" s="1" t="str">
        <f t="shared" si="2"/>
        <v>R</v>
      </c>
      <c r="I28" s="17" t="str">
        <f>IF(Elect2012!H28=H28,"N","Y")</f>
        <v>N</v>
      </c>
      <c r="J28" s="74">
        <v>9</v>
      </c>
      <c r="K28" s="74">
        <v>25</v>
      </c>
      <c r="L28" s="45">
        <v>34</v>
      </c>
      <c r="M28" s="16">
        <f t="shared" si="3"/>
        <v>0.26470588235294118</v>
      </c>
      <c r="N28" s="16">
        <f t="shared" si="4"/>
        <v>0.4705882352941177</v>
      </c>
      <c r="O28" s="1" t="str">
        <f t="shared" si="5"/>
        <v>R</v>
      </c>
      <c r="P28" s="17" t="str">
        <f>IF(Elect2012!O28=O28,"N","Y")</f>
        <v>N</v>
      </c>
      <c r="Q28" s="1">
        <f t="shared" si="6"/>
        <v>54</v>
      </c>
      <c r="R28" s="1">
        <f t="shared" si="6"/>
        <v>142</v>
      </c>
      <c r="S28" s="16">
        <f t="shared" si="7"/>
        <v>0.27411167512690354</v>
      </c>
      <c r="T28" s="16">
        <f t="shared" si="8"/>
        <v>0.45177664974619297</v>
      </c>
      <c r="U28" s="1" t="str">
        <f t="shared" si="9"/>
        <v>R</v>
      </c>
      <c r="V28" s="62" t="s">
        <v>18</v>
      </c>
      <c r="W28" s="1" t="str">
        <f t="shared" si="10"/>
        <v>D</v>
      </c>
      <c r="X28" s="1">
        <f>C28-Elect2012!C28</f>
        <v>-8</v>
      </c>
      <c r="Y28" s="1">
        <f>J28-Elect2012!J28</f>
        <v>-1</v>
      </c>
      <c r="Z28" s="1">
        <f t="shared" si="11"/>
        <v>0</v>
      </c>
    </row>
    <row r="29" spans="1:26" ht="16">
      <c r="A29" s="12" t="s">
        <v>54</v>
      </c>
      <c r="B29" s="13" t="s">
        <v>28</v>
      </c>
      <c r="C29" s="74">
        <v>41</v>
      </c>
      <c r="D29" s="74">
        <v>59</v>
      </c>
      <c r="E29" s="47">
        <v>100</v>
      </c>
      <c r="F29" s="16">
        <f t="shared" si="0"/>
        <v>0.41</v>
      </c>
      <c r="G29" s="16">
        <f t="shared" si="1"/>
        <v>0.1800000000000001</v>
      </c>
      <c r="H29" s="1" t="str">
        <f t="shared" si="2"/>
        <v>R</v>
      </c>
      <c r="I29" s="17" t="str">
        <f>IF(Elect2012!H29=H29,"N","Y")</f>
        <v>N</v>
      </c>
      <c r="J29" s="74">
        <v>20</v>
      </c>
      <c r="K29" s="74">
        <v>29</v>
      </c>
      <c r="L29" s="47">
        <v>50</v>
      </c>
      <c r="M29" s="16">
        <f t="shared" si="3"/>
        <v>0.4</v>
      </c>
      <c r="N29" s="16">
        <f t="shared" si="4"/>
        <v>0.19999999999999996</v>
      </c>
      <c r="O29" s="1" t="str">
        <f t="shared" si="5"/>
        <v>R</v>
      </c>
      <c r="P29" s="17" t="str">
        <f>IF(Elect2012!O29=O29,"N","Y")</f>
        <v>N</v>
      </c>
      <c r="Q29" s="1">
        <f t="shared" si="6"/>
        <v>61</v>
      </c>
      <c r="R29" s="1">
        <f t="shared" si="6"/>
        <v>88</v>
      </c>
      <c r="S29" s="16">
        <f t="shared" si="7"/>
        <v>0.40666666666666668</v>
      </c>
      <c r="T29" s="16">
        <f t="shared" si="8"/>
        <v>0.18666666666666659</v>
      </c>
      <c r="U29" s="1" t="str">
        <f t="shared" si="9"/>
        <v>R</v>
      </c>
      <c r="V29" s="63" t="s">
        <v>18</v>
      </c>
      <c r="W29" s="1" t="str">
        <f t="shared" si="10"/>
        <v>D</v>
      </c>
      <c r="X29" s="1">
        <f>C29-Elect2012!C29</f>
        <v>4</v>
      </c>
      <c r="Y29" s="1">
        <f>J29-Elect2012!J29</f>
        <v>-3</v>
      </c>
      <c r="Z29" s="1">
        <f t="shared" si="11"/>
        <v>0</v>
      </c>
    </row>
    <row r="30" spans="1:26" ht="16">
      <c r="A30" s="12" t="s">
        <v>55</v>
      </c>
      <c r="B30" s="13" t="s">
        <v>41</v>
      </c>
      <c r="C30" s="75"/>
      <c r="D30" s="75"/>
      <c r="E30" s="49" t="s">
        <v>109</v>
      </c>
      <c r="F30" s="16"/>
      <c r="G30" s="16"/>
      <c r="I30" s="17" t="str">
        <f>IF(Elect2012!H30=H30,"N","Y")</f>
        <v>N</v>
      </c>
      <c r="J30" s="76"/>
      <c r="K30" s="74"/>
      <c r="L30" s="43"/>
      <c r="M30" s="16"/>
      <c r="N30" s="16"/>
      <c r="P30" s="17" t="str">
        <f>IF(Elect2012!O30=O30,"N","Y")</f>
        <v>N</v>
      </c>
      <c r="S30" s="16"/>
      <c r="T30" s="16"/>
      <c r="V30" s="61" t="s">
        <v>19</v>
      </c>
      <c r="X30" s="1">
        <f>C30-Elect2012!C30</f>
        <v>0</v>
      </c>
      <c r="Y30" s="1">
        <f>J30-Elect2012!J30</f>
        <v>0</v>
      </c>
      <c r="Z30" s="1">
        <f t="shared" si="11"/>
        <v>0</v>
      </c>
    </row>
    <row r="31" spans="1:26" ht="16">
      <c r="A31" s="12" t="s">
        <v>57</v>
      </c>
      <c r="B31" s="13" t="s">
        <v>28</v>
      </c>
      <c r="C31" s="74">
        <v>15</v>
      </c>
      <c r="D31" s="74">
        <v>27</v>
      </c>
      <c r="E31" s="43">
        <v>42</v>
      </c>
      <c r="F31" s="16">
        <f t="shared" ref="F31:F54" si="12">C31/E31</f>
        <v>0.35714285714285715</v>
      </c>
      <c r="G31" s="16">
        <f t="shared" ref="G31:G53" si="13">ABS(F31-(1-F31))</f>
        <v>0.28571428571428564</v>
      </c>
      <c r="H31" s="1" t="str">
        <f t="shared" ref="H31:H53" si="14">IF(F31&gt;0.5,"D",IF(F31=0.5,"T","R"))</f>
        <v>R</v>
      </c>
      <c r="I31" s="17" t="str">
        <f>IF(Elect2012!H31=H31,"N","Y")</f>
        <v>Y</v>
      </c>
      <c r="J31" s="74">
        <v>10</v>
      </c>
      <c r="K31" s="74">
        <v>11</v>
      </c>
      <c r="L31" s="43">
        <v>21</v>
      </c>
      <c r="M31" s="16">
        <f t="shared" ref="M31:M54" si="15">J31/L31</f>
        <v>0.47619047619047616</v>
      </c>
      <c r="N31" s="16">
        <f t="shared" ref="N31:N53" si="16">ABS(M31-(1-M31))</f>
        <v>4.7619047619047672E-2</v>
      </c>
      <c r="O31" s="1" t="str">
        <f t="shared" ref="O31:O53" si="17">IF(M31&gt;0.5,"D",IF(M31=0.5,"T","R"))</f>
        <v>R</v>
      </c>
      <c r="P31" s="17" t="str">
        <f>IF(Elect2012!O31=O31,"N","Y")</f>
        <v>Y</v>
      </c>
      <c r="Q31" s="1">
        <f t="shared" ref="Q31:R53" si="18">C31+J31</f>
        <v>25</v>
      </c>
      <c r="R31" s="1">
        <f t="shared" si="18"/>
        <v>38</v>
      </c>
      <c r="S31" s="16">
        <f t="shared" ref="S31:S54" si="19">Q31/(E31+L31)</f>
        <v>0.3968253968253968</v>
      </c>
      <c r="T31" s="16">
        <f t="shared" ref="T31:T53" si="20">ABS(S31-(1-S31))</f>
        <v>0.20634920634920645</v>
      </c>
      <c r="U31" s="1" t="str">
        <f t="shared" ref="U31:U53" si="21">IF(H31=O31,O31,"S")</f>
        <v>R</v>
      </c>
      <c r="V31" s="61" t="s">
        <v>19</v>
      </c>
      <c r="W31" s="1" t="str">
        <f t="shared" ref="W31:W53" si="22">IF(V31=U31,"U","D")</f>
        <v>U</v>
      </c>
      <c r="X31" s="1">
        <f>C31-Elect2012!C31</f>
        <v>-12</v>
      </c>
      <c r="Y31" s="1">
        <f>J31-Elect2012!J31</f>
        <v>-1</v>
      </c>
      <c r="Z31" s="1">
        <f t="shared" si="11"/>
        <v>0</v>
      </c>
    </row>
    <row r="32" spans="1:26" ht="16">
      <c r="A32" s="12" t="s">
        <v>58</v>
      </c>
      <c r="B32" s="13" t="s">
        <v>34</v>
      </c>
      <c r="C32" s="74">
        <v>158</v>
      </c>
      <c r="D32" s="74">
        <v>238</v>
      </c>
      <c r="E32" s="43">
        <v>400</v>
      </c>
      <c r="F32" s="16">
        <f t="shared" si="12"/>
        <v>0.39500000000000002</v>
      </c>
      <c r="G32" s="16">
        <f t="shared" si="13"/>
        <v>0.20999999999999996</v>
      </c>
      <c r="H32" s="1" t="str">
        <f t="shared" si="14"/>
        <v>R</v>
      </c>
      <c r="I32" s="17" t="str">
        <f>IF(Elect2012!H32=H32,"N","Y")</f>
        <v>Y</v>
      </c>
      <c r="J32" s="74">
        <v>10</v>
      </c>
      <c r="K32" s="74">
        <v>14</v>
      </c>
      <c r="L32" s="43">
        <v>24</v>
      </c>
      <c r="M32" s="16">
        <f t="shared" si="15"/>
        <v>0.41666666666666669</v>
      </c>
      <c r="N32" s="16">
        <f t="shared" si="16"/>
        <v>0.16666666666666657</v>
      </c>
      <c r="O32" s="1" t="str">
        <f t="shared" si="17"/>
        <v>R</v>
      </c>
      <c r="P32" s="17" t="str">
        <f>IF(Elect2012!O32=O32,"N","Y")</f>
        <v>N</v>
      </c>
      <c r="Q32" s="1">
        <f t="shared" si="18"/>
        <v>168</v>
      </c>
      <c r="R32" s="1">
        <f t="shared" si="18"/>
        <v>252</v>
      </c>
      <c r="S32" s="16">
        <f t="shared" si="19"/>
        <v>0.39622641509433965</v>
      </c>
      <c r="T32" s="16">
        <f t="shared" si="20"/>
        <v>0.20754716981132071</v>
      </c>
      <c r="U32" s="1" t="str">
        <f t="shared" si="21"/>
        <v>R</v>
      </c>
      <c r="V32" s="61" t="s">
        <v>18</v>
      </c>
      <c r="W32" s="1" t="str">
        <f t="shared" si="22"/>
        <v>D</v>
      </c>
      <c r="X32" s="1">
        <f>C32-Elect2012!C32</f>
        <v>-64</v>
      </c>
      <c r="Y32" s="1">
        <f>J32-Elect2012!J32</f>
        <v>-1</v>
      </c>
      <c r="Z32" s="1">
        <f t="shared" si="11"/>
        <v>0</v>
      </c>
    </row>
    <row r="33" spans="1:26" ht="16">
      <c r="A33" s="12" t="s">
        <v>59</v>
      </c>
      <c r="B33" s="13" t="s">
        <v>34</v>
      </c>
      <c r="C33" s="74">
        <v>48</v>
      </c>
      <c r="D33" s="74">
        <v>32</v>
      </c>
      <c r="E33" s="45">
        <v>80</v>
      </c>
      <c r="F33" s="16">
        <f t="shared" si="12"/>
        <v>0.6</v>
      </c>
      <c r="G33" s="16">
        <f t="shared" si="13"/>
        <v>0.19999999999999996</v>
      </c>
      <c r="H33" s="1" t="str">
        <f t="shared" si="14"/>
        <v>D</v>
      </c>
      <c r="I33" s="17" t="str">
        <f>IF(Elect2012!H33=H33,"N","Y")</f>
        <v>N</v>
      </c>
      <c r="J33" s="74">
        <v>24</v>
      </c>
      <c r="K33" s="74">
        <v>16</v>
      </c>
      <c r="L33" s="45">
        <v>40</v>
      </c>
      <c r="M33" s="16">
        <f t="shared" si="15"/>
        <v>0.6</v>
      </c>
      <c r="N33" s="16">
        <f t="shared" si="16"/>
        <v>0.19999999999999996</v>
      </c>
      <c r="O33" s="1" t="str">
        <f t="shared" si="17"/>
        <v>D</v>
      </c>
      <c r="P33" s="17" t="str">
        <f>IF(Elect2012!O33=O33,"N","Y")</f>
        <v>N</v>
      </c>
      <c r="Q33" s="1">
        <f t="shared" si="18"/>
        <v>72</v>
      </c>
      <c r="R33" s="1">
        <f t="shared" si="18"/>
        <v>48</v>
      </c>
      <c r="S33" s="16">
        <f t="shared" si="19"/>
        <v>0.6</v>
      </c>
      <c r="T33" s="16">
        <f t="shared" si="20"/>
        <v>0.19999999999999996</v>
      </c>
      <c r="U33" s="1" t="str">
        <f t="shared" si="21"/>
        <v>D</v>
      </c>
      <c r="V33" s="62" t="s">
        <v>19</v>
      </c>
      <c r="W33" s="1" t="str">
        <f t="shared" si="22"/>
        <v>D</v>
      </c>
      <c r="X33" s="1">
        <f>C33-Elect2012!C33</f>
        <v>0</v>
      </c>
      <c r="Y33" s="1">
        <f>J33-Elect2012!J33</f>
        <v>0</v>
      </c>
      <c r="Z33" s="1">
        <f t="shared" si="11"/>
        <v>0</v>
      </c>
    </row>
    <row r="34" spans="1:26" ht="16">
      <c r="A34" s="12" t="s">
        <v>60</v>
      </c>
      <c r="B34" s="13" t="s">
        <v>28</v>
      </c>
      <c r="C34" s="74">
        <v>33</v>
      </c>
      <c r="D34" s="74">
        <v>37</v>
      </c>
      <c r="E34" s="47">
        <v>70</v>
      </c>
      <c r="F34" s="16">
        <f t="shared" si="12"/>
        <v>0.47142857142857142</v>
      </c>
      <c r="G34" s="16">
        <f t="shared" si="13"/>
        <v>5.7142857142857162E-2</v>
      </c>
      <c r="H34" s="1" t="str">
        <f t="shared" si="14"/>
        <v>R</v>
      </c>
      <c r="I34" s="17" t="str">
        <f>IF(Elect2012!H34=H34,"N","Y")</f>
        <v>Y</v>
      </c>
      <c r="J34" s="74">
        <v>25</v>
      </c>
      <c r="K34" s="74">
        <v>17</v>
      </c>
      <c r="L34" s="47">
        <v>42</v>
      </c>
      <c r="M34" s="16">
        <f t="shared" si="15"/>
        <v>0.59523809523809523</v>
      </c>
      <c r="N34" s="16">
        <f t="shared" si="16"/>
        <v>0.19047619047619047</v>
      </c>
      <c r="O34" s="1" t="str">
        <f t="shared" si="17"/>
        <v>D</v>
      </c>
      <c r="P34" s="17" t="str">
        <f>IF(Elect2012!O34=O34,"N","Y")</f>
        <v>N</v>
      </c>
      <c r="Q34" s="1">
        <f t="shared" si="18"/>
        <v>58</v>
      </c>
      <c r="R34" s="1">
        <f t="shared" si="18"/>
        <v>54</v>
      </c>
      <c r="S34" s="16">
        <f t="shared" si="19"/>
        <v>0.5178571428571429</v>
      </c>
      <c r="T34" s="16">
        <f t="shared" si="20"/>
        <v>3.5714285714285809E-2</v>
      </c>
      <c r="U34" s="1" t="str">
        <f t="shared" si="21"/>
        <v>S</v>
      </c>
      <c r="V34" s="63" t="s">
        <v>19</v>
      </c>
      <c r="W34" s="1" t="str">
        <f t="shared" si="22"/>
        <v>D</v>
      </c>
      <c r="X34" s="1">
        <f>C34-Elect2012!C34</f>
        <v>-5</v>
      </c>
      <c r="Y34" s="1">
        <f>J34-Elect2012!J34</f>
        <v>1</v>
      </c>
      <c r="Z34" s="1">
        <f t="shared" si="11"/>
        <v>0</v>
      </c>
    </row>
    <row r="35" spans="1:26" ht="16">
      <c r="A35" s="12" t="s">
        <v>61</v>
      </c>
      <c r="B35" s="13" t="s">
        <v>34</v>
      </c>
      <c r="C35" s="74">
        <v>106</v>
      </c>
      <c r="D35" s="74">
        <v>44</v>
      </c>
      <c r="E35" s="43">
        <v>150</v>
      </c>
      <c r="F35" s="16">
        <f t="shared" si="12"/>
        <v>0.70666666666666667</v>
      </c>
      <c r="G35" s="16">
        <f t="shared" si="13"/>
        <v>0.41333333333333333</v>
      </c>
      <c r="H35" s="1" t="str">
        <f t="shared" si="14"/>
        <v>D</v>
      </c>
      <c r="I35" s="17" t="str">
        <f>IF(Elect2012!H35=H35,"N","Y")</f>
        <v>N</v>
      </c>
      <c r="J35" s="74">
        <v>31</v>
      </c>
      <c r="K35" s="74">
        <v>32</v>
      </c>
      <c r="L35" s="43">
        <v>63</v>
      </c>
      <c r="M35" s="16">
        <f t="shared" si="15"/>
        <v>0.49206349206349204</v>
      </c>
      <c r="N35" s="16">
        <f t="shared" si="16"/>
        <v>1.5873015873015872E-2</v>
      </c>
      <c r="O35" s="1" t="str">
        <f t="shared" si="17"/>
        <v>R</v>
      </c>
      <c r="P35" s="17" t="str">
        <f>IF(Elect2012!O35=O35,"N","Y")</f>
        <v>Y</v>
      </c>
      <c r="Q35" s="1">
        <f t="shared" si="18"/>
        <v>137</v>
      </c>
      <c r="R35" s="1">
        <f t="shared" si="18"/>
        <v>76</v>
      </c>
      <c r="S35" s="16">
        <f t="shared" si="19"/>
        <v>0.64319248826291076</v>
      </c>
      <c r="T35" s="16">
        <f t="shared" si="20"/>
        <v>0.28638497652582151</v>
      </c>
      <c r="U35" s="1" t="str">
        <f t="shared" si="21"/>
        <v>S</v>
      </c>
      <c r="V35" s="61" t="s">
        <v>18</v>
      </c>
      <c r="W35" s="1" t="str">
        <f t="shared" si="22"/>
        <v>D</v>
      </c>
      <c r="X35" s="1">
        <f>C35-Elect2012!C35</f>
        <v>1</v>
      </c>
      <c r="Y35" s="1">
        <f>J35-Elect2012!J35</f>
        <v>-1</v>
      </c>
      <c r="Z35" s="1">
        <f t="shared" si="11"/>
        <v>0</v>
      </c>
    </row>
    <row r="36" spans="1:26" ht="16">
      <c r="A36" s="12" t="s">
        <v>62</v>
      </c>
      <c r="B36" s="13" t="s">
        <v>26</v>
      </c>
      <c r="C36" s="74">
        <v>46</v>
      </c>
      <c r="D36" s="74">
        <v>74</v>
      </c>
      <c r="E36" s="43">
        <v>120</v>
      </c>
      <c r="F36" s="16">
        <f t="shared" si="12"/>
        <v>0.38333333333333336</v>
      </c>
      <c r="G36" s="16">
        <f t="shared" si="13"/>
        <v>0.23333333333333334</v>
      </c>
      <c r="H36" s="1" t="str">
        <f t="shared" si="14"/>
        <v>R</v>
      </c>
      <c r="I36" s="17" t="str">
        <f>IF(Elect2012!H36=H36,"N","Y")</f>
        <v>N</v>
      </c>
      <c r="J36" s="74">
        <v>16</v>
      </c>
      <c r="K36" s="74">
        <v>34</v>
      </c>
      <c r="L36" s="43">
        <v>50</v>
      </c>
      <c r="M36" s="16">
        <f t="shared" si="15"/>
        <v>0.32</v>
      </c>
      <c r="N36" s="16">
        <f t="shared" si="16"/>
        <v>0.35999999999999993</v>
      </c>
      <c r="O36" s="1" t="str">
        <f t="shared" si="17"/>
        <v>R</v>
      </c>
      <c r="P36" s="17" t="str">
        <f>IF(Elect2012!O36=O36,"N","Y")</f>
        <v>N</v>
      </c>
      <c r="Q36" s="1">
        <f t="shared" si="18"/>
        <v>62</v>
      </c>
      <c r="R36" s="1">
        <f t="shared" si="18"/>
        <v>108</v>
      </c>
      <c r="S36" s="16">
        <f t="shared" si="19"/>
        <v>0.36470588235294116</v>
      </c>
      <c r="T36" s="16">
        <f t="shared" si="20"/>
        <v>0.27058823529411763</v>
      </c>
      <c r="U36" s="1" t="str">
        <f t="shared" si="21"/>
        <v>R</v>
      </c>
      <c r="V36" s="61" t="s">
        <v>19</v>
      </c>
      <c r="W36" s="1" t="str">
        <f t="shared" si="22"/>
        <v>U</v>
      </c>
      <c r="X36" s="1">
        <f>C36-Elect2012!C36</f>
        <v>3</v>
      </c>
      <c r="Y36" s="1">
        <f>J36-Elect2012!J36</f>
        <v>-2</v>
      </c>
      <c r="Z36" s="1">
        <f t="shared" si="11"/>
        <v>0</v>
      </c>
    </row>
    <row r="37" spans="1:26" ht="16">
      <c r="A37" s="12" t="s">
        <v>63</v>
      </c>
      <c r="B37" s="13" t="s">
        <v>41</v>
      </c>
      <c r="C37" s="74">
        <v>23</v>
      </c>
      <c r="D37" s="74">
        <v>71</v>
      </c>
      <c r="E37" s="43">
        <v>94</v>
      </c>
      <c r="F37" s="16">
        <f t="shared" si="12"/>
        <v>0.24468085106382978</v>
      </c>
      <c r="G37" s="16">
        <f t="shared" si="13"/>
        <v>0.5106382978723405</v>
      </c>
      <c r="H37" s="1" t="str">
        <f t="shared" si="14"/>
        <v>R</v>
      </c>
      <c r="I37" s="17" t="str">
        <f>IF(Elect2012!H37=H37,"N","Y")</f>
        <v>N</v>
      </c>
      <c r="J37" s="74">
        <v>16</v>
      </c>
      <c r="K37" s="74">
        <v>31</v>
      </c>
      <c r="L37" s="43">
        <v>47</v>
      </c>
      <c r="M37" s="16">
        <f t="shared" si="15"/>
        <v>0.34042553191489361</v>
      </c>
      <c r="N37" s="16">
        <f t="shared" si="16"/>
        <v>0.31914893617021273</v>
      </c>
      <c r="O37" s="1" t="str">
        <f t="shared" si="17"/>
        <v>R</v>
      </c>
      <c r="P37" s="17" t="str">
        <f>IF(Elect2012!O37=O37,"N","Y")</f>
        <v>N</v>
      </c>
      <c r="Q37" s="1">
        <f t="shared" si="18"/>
        <v>39</v>
      </c>
      <c r="R37" s="1">
        <f t="shared" si="18"/>
        <v>102</v>
      </c>
      <c r="S37" s="16">
        <f t="shared" si="19"/>
        <v>0.27659574468085107</v>
      </c>
      <c r="T37" s="16">
        <f t="shared" si="20"/>
        <v>0.4468085106382978</v>
      </c>
      <c r="U37" s="1" t="str">
        <f t="shared" si="21"/>
        <v>R</v>
      </c>
      <c r="V37" s="61" t="s">
        <v>19</v>
      </c>
      <c r="W37" s="1" t="str">
        <f t="shared" si="22"/>
        <v>U</v>
      </c>
      <c r="X37" s="1">
        <f>C37-Elect2012!C37</f>
        <v>1</v>
      </c>
      <c r="Y37" s="1">
        <f>J37-Elect2012!J37</f>
        <v>3</v>
      </c>
      <c r="Z37" s="1">
        <f t="shared" si="11"/>
        <v>0</v>
      </c>
    </row>
    <row r="38" spans="1:26" ht="16">
      <c r="A38" s="12" t="s">
        <v>64</v>
      </c>
      <c r="B38" s="13" t="s">
        <v>41</v>
      </c>
      <c r="C38" s="74">
        <v>34</v>
      </c>
      <c r="D38" s="74">
        <v>65</v>
      </c>
      <c r="E38" s="45">
        <v>99</v>
      </c>
      <c r="F38" s="16">
        <f t="shared" si="12"/>
        <v>0.34343434343434343</v>
      </c>
      <c r="G38" s="16">
        <f t="shared" si="13"/>
        <v>0.31313131313131315</v>
      </c>
      <c r="H38" s="1" t="str">
        <f t="shared" si="14"/>
        <v>R</v>
      </c>
      <c r="I38" s="17" t="str">
        <f>IF(Elect2012!H38=H38,"N","Y")</f>
        <v>N</v>
      </c>
      <c r="J38" s="74">
        <v>10</v>
      </c>
      <c r="K38" s="74">
        <v>23</v>
      </c>
      <c r="L38" s="45">
        <v>33</v>
      </c>
      <c r="M38" s="16">
        <f t="shared" si="15"/>
        <v>0.30303030303030304</v>
      </c>
      <c r="N38" s="16">
        <f t="shared" si="16"/>
        <v>0.39393939393939398</v>
      </c>
      <c r="O38" s="1" t="str">
        <f t="shared" si="17"/>
        <v>R</v>
      </c>
      <c r="P38" s="17" t="str">
        <f>IF(Elect2012!O38=O38,"N","Y")</f>
        <v>N</v>
      </c>
      <c r="Q38" s="1">
        <f t="shared" si="18"/>
        <v>44</v>
      </c>
      <c r="R38" s="1">
        <f t="shared" si="18"/>
        <v>88</v>
      </c>
      <c r="S38" s="16">
        <f t="shared" si="19"/>
        <v>0.33333333333333331</v>
      </c>
      <c r="T38" s="16">
        <f t="shared" si="20"/>
        <v>0.33333333333333343</v>
      </c>
      <c r="U38" s="1" t="str">
        <f t="shared" si="21"/>
        <v>R</v>
      </c>
      <c r="V38" s="62" t="s">
        <v>19</v>
      </c>
      <c r="W38" s="1" t="str">
        <f t="shared" si="22"/>
        <v>U</v>
      </c>
      <c r="X38" s="1">
        <f>C38-Elect2012!C38</f>
        <v>-5</v>
      </c>
      <c r="Y38" s="1">
        <f>J38-Elect2012!J38</f>
        <v>0</v>
      </c>
      <c r="Z38" s="1">
        <f t="shared" si="11"/>
        <v>0</v>
      </c>
    </row>
    <row r="39" spans="1:26" ht="16">
      <c r="A39" s="12" t="s">
        <v>65</v>
      </c>
      <c r="B39" s="13" t="s">
        <v>26</v>
      </c>
      <c r="C39" s="74">
        <v>29</v>
      </c>
      <c r="D39" s="74">
        <v>72</v>
      </c>
      <c r="E39" s="47">
        <v>101</v>
      </c>
      <c r="F39" s="16">
        <f t="shared" si="12"/>
        <v>0.28712871287128711</v>
      </c>
      <c r="G39" s="16">
        <f t="shared" si="13"/>
        <v>0.42574257425742573</v>
      </c>
      <c r="H39" s="1" t="str">
        <f t="shared" si="14"/>
        <v>R</v>
      </c>
      <c r="I39" s="17" t="str">
        <f>IF(Elect2012!H39=H39,"N","Y")</f>
        <v>N</v>
      </c>
      <c r="J39" s="74">
        <v>8</v>
      </c>
      <c r="K39" s="74">
        <v>40</v>
      </c>
      <c r="L39" s="47">
        <v>48</v>
      </c>
      <c r="M39" s="16">
        <f t="shared" si="15"/>
        <v>0.16666666666666666</v>
      </c>
      <c r="N39" s="16">
        <f t="shared" si="16"/>
        <v>0.66666666666666674</v>
      </c>
      <c r="O39" s="1" t="str">
        <f t="shared" si="17"/>
        <v>R</v>
      </c>
      <c r="P39" s="17" t="str">
        <f>IF(Elect2012!O39=O39,"N","Y")</f>
        <v>N</v>
      </c>
      <c r="Q39" s="1">
        <f t="shared" si="18"/>
        <v>37</v>
      </c>
      <c r="R39" s="1">
        <f t="shared" si="18"/>
        <v>112</v>
      </c>
      <c r="S39" s="16">
        <f t="shared" si="19"/>
        <v>0.24832214765100671</v>
      </c>
      <c r="T39" s="16">
        <f t="shared" si="20"/>
        <v>0.50335570469798663</v>
      </c>
      <c r="U39" s="1" t="str">
        <f t="shared" si="21"/>
        <v>R</v>
      </c>
      <c r="V39" s="63" t="s">
        <v>19</v>
      </c>
      <c r="W39" s="1" t="str">
        <f t="shared" si="22"/>
        <v>U</v>
      </c>
      <c r="X39" s="1">
        <f>C39-Elect2012!C39</f>
        <v>0</v>
      </c>
      <c r="Y39" s="1">
        <f>J39-Elect2012!J39</f>
        <v>-4</v>
      </c>
      <c r="Z39" s="1">
        <f t="shared" si="11"/>
        <v>0</v>
      </c>
    </row>
    <row r="40" spans="1:26" ht="16">
      <c r="A40" s="12" t="s">
        <v>66</v>
      </c>
      <c r="B40" s="13" t="s">
        <v>28</v>
      </c>
      <c r="C40" s="74">
        <v>35</v>
      </c>
      <c r="D40" s="74">
        <v>25</v>
      </c>
      <c r="E40" s="43">
        <v>60</v>
      </c>
      <c r="F40" s="16">
        <f t="shared" si="12"/>
        <v>0.58333333333333337</v>
      </c>
      <c r="G40" s="16">
        <f t="shared" si="13"/>
        <v>0.16666666666666674</v>
      </c>
      <c r="H40" s="1" t="str">
        <f t="shared" si="14"/>
        <v>D</v>
      </c>
      <c r="I40" s="17" t="str">
        <f>IF(Elect2012!H40=H40,"N","Y")</f>
        <v>N</v>
      </c>
      <c r="J40" s="74">
        <v>17</v>
      </c>
      <c r="K40" s="74">
        <v>12</v>
      </c>
      <c r="L40" s="43">
        <v>30</v>
      </c>
      <c r="M40" s="16">
        <f t="shared" si="15"/>
        <v>0.56666666666666665</v>
      </c>
      <c r="N40" s="16">
        <f t="shared" si="16"/>
        <v>0.1333333333333333</v>
      </c>
      <c r="O40" s="1" t="str">
        <f t="shared" si="17"/>
        <v>D</v>
      </c>
      <c r="P40" s="17" t="str">
        <f>IF(Elect2012!O40=O40,"N","Y")</f>
        <v>N</v>
      </c>
      <c r="Q40" s="1">
        <f t="shared" si="18"/>
        <v>52</v>
      </c>
      <c r="R40" s="1">
        <f t="shared" si="18"/>
        <v>37</v>
      </c>
      <c r="S40" s="16">
        <f t="shared" si="19"/>
        <v>0.57777777777777772</v>
      </c>
      <c r="T40" s="16">
        <f t="shared" si="20"/>
        <v>0.15555555555555545</v>
      </c>
      <c r="U40" s="1" t="str">
        <f t="shared" si="21"/>
        <v>D</v>
      </c>
      <c r="V40" s="61" t="s">
        <v>18</v>
      </c>
      <c r="W40" s="1" t="str">
        <f t="shared" si="22"/>
        <v>U</v>
      </c>
      <c r="X40" s="1">
        <f>C40-Elect2012!C40</f>
        <v>1</v>
      </c>
      <c r="Y40" s="1">
        <f>J40-Elect2012!J40</f>
        <v>1</v>
      </c>
      <c r="Z40" s="1">
        <f t="shared" si="11"/>
        <v>0</v>
      </c>
    </row>
    <row r="41" spans="1:26" ht="16">
      <c r="A41" s="12" t="s">
        <v>68</v>
      </c>
      <c r="B41" s="13" t="s">
        <v>34</v>
      </c>
      <c r="C41" s="74">
        <v>84</v>
      </c>
      <c r="D41" s="74">
        <v>119</v>
      </c>
      <c r="E41" s="43">
        <v>203</v>
      </c>
      <c r="F41" s="16">
        <f t="shared" si="12"/>
        <v>0.41379310344827586</v>
      </c>
      <c r="G41" s="16">
        <f t="shared" si="13"/>
        <v>0.17241379310344834</v>
      </c>
      <c r="H41" s="1" t="str">
        <f t="shared" si="14"/>
        <v>R</v>
      </c>
      <c r="I41" s="17" t="str">
        <f>IF(Elect2012!H41=H41,"N","Y")</f>
        <v>N</v>
      </c>
      <c r="J41" s="74">
        <v>20</v>
      </c>
      <c r="K41" s="74">
        <v>30</v>
      </c>
      <c r="L41" s="43">
        <v>50</v>
      </c>
      <c r="M41" s="16">
        <f t="shared" si="15"/>
        <v>0.4</v>
      </c>
      <c r="N41" s="16">
        <f t="shared" si="16"/>
        <v>0.19999999999999996</v>
      </c>
      <c r="O41" s="1" t="str">
        <f t="shared" si="17"/>
        <v>R</v>
      </c>
      <c r="P41" s="17" t="str">
        <f>IF(Elect2012!O41=O41,"N","Y")</f>
        <v>N</v>
      </c>
      <c r="Q41" s="1">
        <f t="shared" si="18"/>
        <v>104</v>
      </c>
      <c r="R41" s="1">
        <f t="shared" si="18"/>
        <v>149</v>
      </c>
      <c r="S41" s="16">
        <f t="shared" si="19"/>
        <v>0.41106719367588934</v>
      </c>
      <c r="T41" s="16">
        <f t="shared" si="20"/>
        <v>0.17786561264822126</v>
      </c>
      <c r="U41" s="1" t="str">
        <f t="shared" si="21"/>
        <v>R</v>
      </c>
      <c r="V41" s="61" t="s">
        <v>18</v>
      </c>
      <c r="W41" s="1" t="str">
        <f t="shared" si="22"/>
        <v>D</v>
      </c>
      <c r="X41" s="1">
        <f>C41-Elect2012!C41</f>
        <v>-9</v>
      </c>
      <c r="Y41" s="1">
        <f>J41-Elect2012!J41</f>
        <v>-3</v>
      </c>
      <c r="Z41" s="1">
        <f t="shared" si="11"/>
        <v>0</v>
      </c>
    </row>
    <row r="42" spans="1:26" ht="16">
      <c r="A42" s="12" t="s">
        <v>69</v>
      </c>
      <c r="B42" s="13" t="s">
        <v>34</v>
      </c>
      <c r="C42" s="74">
        <v>63</v>
      </c>
      <c r="D42" s="74">
        <v>11</v>
      </c>
      <c r="E42" s="43">
        <v>75</v>
      </c>
      <c r="F42" s="16">
        <f t="shared" si="12"/>
        <v>0.84</v>
      </c>
      <c r="G42" s="16">
        <f t="shared" si="13"/>
        <v>0.67999999999999994</v>
      </c>
      <c r="H42" s="1" t="str">
        <f t="shared" si="14"/>
        <v>D</v>
      </c>
      <c r="I42" s="17" t="str">
        <f>IF(Elect2012!H42=H42,"N","Y")</f>
        <v>N</v>
      </c>
      <c r="J42" s="74">
        <v>32</v>
      </c>
      <c r="K42" s="74">
        <v>5</v>
      </c>
      <c r="L42" s="43">
        <v>38</v>
      </c>
      <c r="M42" s="16">
        <f t="shared" si="15"/>
        <v>0.84210526315789469</v>
      </c>
      <c r="N42" s="16">
        <f t="shared" si="16"/>
        <v>0.68421052631578938</v>
      </c>
      <c r="O42" s="1" t="str">
        <f t="shared" si="17"/>
        <v>D</v>
      </c>
      <c r="P42" s="17" t="str">
        <f>IF(Elect2012!O42=O42,"N","Y")</f>
        <v>N</v>
      </c>
      <c r="Q42" s="1">
        <f t="shared" si="18"/>
        <v>95</v>
      </c>
      <c r="R42" s="1">
        <f t="shared" si="18"/>
        <v>16</v>
      </c>
      <c r="S42" s="16">
        <f t="shared" si="19"/>
        <v>0.84070796460176989</v>
      </c>
      <c r="T42" s="16">
        <f t="shared" si="20"/>
        <v>0.68141592920353977</v>
      </c>
      <c r="U42" s="1" t="str">
        <f t="shared" si="21"/>
        <v>D</v>
      </c>
      <c r="V42" s="61" t="s">
        <v>18</v>
      </c>
      <c r="W42" s="1" t="str">
        <f t="shared" si="22"/>
        <v>U</v>
      </c>
      <c r="X42" s="1">
        <f>C42-Elect2012!C42</f>
        <v>-6</v>
      </c>
      <c r="Y42" s="1">
        <f>J42-Elect2012!J42</f>
        <v>0</v>
      </c>
      <c r="Z42" s="1">
        <f t="shared" si="11"/>
        <v>0</v>
      </c>
    </row>
    <row r="43" spans="1:26" ht="16">
      <c r="A43" s="12" t="s">
        <v>70</v>
      </c>
      <c r="B43" s="13" t="s">
        <v>26</v>
      </c>
      <c r="C43" s="74">
        <v>46</v>
      </c>
      <c r="D43" s="74">
        <v>78</v>
      </c>
      <c r="E43" s="45">
        <v>124</v>
      </c>
      <c r="F43" s="16">
        <f t="shared" si="12"/>
        <v>0.37096774193548387</v>
      </c>
      <c r="G43" s="16">
        <f t="shared" si="13"/>
        <v>0.25806451612903225</v>
      </c>
      <c r="H43" s="1" t="str">
        <f t="shared" si="14"/>
        <v>R</v>
      </c>
      <c r="I43" s="17" t="str">
        <f>IF(Elect2012!H43=H43,"N","Y")</f>
        <v>N</v>
      </c>
      <c r="J43" s="74">
        <v>18</v>
      </c>
      <c r="K43" s="74">
        <v>28</v>
      </c>
      <c r="L43" s="45">
        <v>46</v>
      </c>
      <c r="M43" s="16">
        <f t="shared" si="15"/>
        <v>0.39130434782608697</v>
      </c>
      <c r="N43" s="16">
        <f t="shared" si="16"/>
        <v>0.21739130434782611</v>
      </c>
      <c r="O43" s="1" t="str">
        <f t="shared" si="17"/>
        <v>R</v>
      </c>
      <c r="P43" s="17" t="str">
        <f>IF(Elect2012!O43=O43,"N","Y")</f>
        <v>N</v>
      </c>
      <c r="Q43" s="1">
        <f t="shared" si="18"/>
        <v>64</v>
      </c>
      <c r="R43" s="1">
        <f t="shared" si="18"/>
        <v>106</v>
      </c>
      <c r="S43" s="16">
        <f t="shared" si="19"/>
        <v>0.37647058823529411</v>
      </c>
      <c r="T43" s="16">
        <f t="shared" si="20"/>
        <v>0.24705882352941178</v>
      </c>
      <c r="U43" s="1" t="str">
        <f t="shared" si="21"/>
        <v>R</v>
      </c>
      <c r="V43" s="62" t="s">
        <v>19</v>
      </c>
      <c r="W43" s="1" t="str">
        <f t="shared" si="22"/>
        <v>U</v>
      </c>
      <c r="X43" s="1">
        <f>C43-Elect2012!C43</f>
        <v>0</v>
      </c>
      <c r="Y43" s="1">
        <f>J43-Elect2012!J43</f>
        <v>0</v>
      </c>
      <c r="Z43" s="1">
        <f t="shared" si="11"/>
        <v>0</v>
      </c>
    </row>
    <row r="44" spans="1:26" ht="16">
      <c r="A44" s="12" t="s">
        <v>71</v>
      </c>
      <c r="B44" s="13" t="s">
        <v>41</v>
      </c>
      <c r="C44" s="74">
        <v>12</v>
      </c>
      <c r="D44" s="74">
        <v>58</v>
      </c>
      <c r="E44" s="47">
        <v>70</v>
      </c>
      <c r="F44" s="16">
        <f t="shared" si="12"/>
        <v>0.17142857142857143</v>
      </c>
      <c r="G44" s="16">
        <f t="shared" si="13"/>
        <v>0.65714285714285703</v>
      </c>
      <c r="H44" s="1" t="str">
        <f t="shared" si="14"/>
        <v>R</v>
      </c>
      <c r="I44" s="17" t="str">
        <f>IF(Elect2012!H44=H44,"N","Y")</f>
        <v>N</v>
      </c>
      <c r="J44" s="74">
        <v>8</v>
      </c>
      <c r="K44" s="74">
        <v>27</v>
      </c>
      <c r="L44" s="47">
        <v>35</v>
      </c>
      <c r="M44" s="16">
        <f t="shared" si="15"/>
        <v>0.22857142857142856</v>
      </c>
      <c r="N44" s="16">
        <f t="shared" si="16"/>
        <v>0.54285714285714293</v>
      </c>
      <c r="O44" s="1" t="str">
        <f t="shared" si="17"/>
        <v>R</v>
      </c>
      <c r="P44" s="17" t="str">
        <f>IF(Elect2012!O44=O44,"N","Y")</f>
        <v>N</v>
      </c>
      <c r="Q44" s="1">
        <f t="shared" si="18"/>
        <v>20</v>
      </c>
      <c r="R44" s="1">
        <f t="shared" si="18"/>
        <v>85</v>
      </c>
      <c r="S44" s="16">
        <f t="shared" si="19"/>
        <v>0.19047619047619047</v>
      </c>
      <c r="T44" s="16">
        <f t="shared" si="20"/>
        <v>0.61904761904761907</v>
      </c>
      <c r="U44" s="1" t="str">
        <f t="shared" si="21"/>
        <v>R</v>
      </c>
      <c r="V44" s="63" t="s">
        <v>19</v>
      </c>
      <c r="W44" s="1" t="str">
        <f t="shared" si="22"/>
        <v>U</v>
      </c>
      <c r="X44" s="1">
        <f>C44-Elect2012!C44</f>
        <v>-5</v>
      </c>
      <c r="Y44" s="1">
        <f>J44-Elect2012!J44</f>
        <v>1</v>
      </c>
      <c r="Z44" s="1">
        <f t="shared" si="11"/>
        <v>0</v>
      </c>
    </row>
    <row r="45" spans="1:26" ht="16">
      <c r="A45" s="12" t="s">
        <v>72</v>
      </c>
      <c r="B45" s="13" t="s">
        <v>26</v>
      </c>
      <c r="C45" s="74">
        <v>26</v>
      </c>
      <c r="D45" s="74">
        <v>73</v>
      </c>
      <c r="E45" s="43">
        <v>99</v>
      </c>
      <c r="F45" s="16">
        <f t="shared" si="12"/>
        <v>0.26262626262626265</v>
      </c>
      <c r="G45" s="16">
        <f t="shared" si="13"/>
        <v>0.4747474747474747</v>
      </c>
      <c r="H45" s="1" t="str">
        <f t="shared" si="14"/>
        <v>R</v>
      </c>
      <c r="I45" s="17" t="str">
        <f>IF(Elect2012!H45=H45,"N","Y")</f>
        <v>N</v>
      </c>
      <c r="J45" s="74">
        <v>6</v>
      </c>
      <c r="K45" s="74">
        <v>27</v>
      </c>
      <c r="L45" s="43">
        <v>33</v>
      </c>
      <c r="M45" s="16">
        <f t="shared" si="15"/>
        <v>0.18181818181818182</v>
      </c>
      <c r="N45" s="16">
        <f t="shared" si="16"/>
        <v>0.63636363636363624</v>
      </c>
      <c r="O45" s="1" t="str">
        <f t="shared" si="17"/>
        <v>R</v>
      </c>
      <c r="P45" s="17" t="str">
        <f>IF(Elect2012!O45=O45,"N","Y")</f>
        <v>N</v>
      </c>
      <c r="Q45" s="1">
        <f t="shared" si="18"/>
        <v>32</v>
      </c>
      <c r="R45" s="1">
        <f t="shared" si="18"/>
        <v>100</v>
      </c>
      <c r="S45" s="16">
        <f t="shared" si="19"/>
        <v>0.24242424242424243</v>
      </c>
      <c r="T45" s="16">
        <f t="shared" si="20"/>
        <v>0.51515151515151514</v>
      </c>
      <c r="U45" s="1" t="str">
        <f t="shared" si="21"/>
        <v>R</v>
      </c>
      <c r="V45" s="61" t="s">
        <v>19</v>
      </c>
      <c r="W45" s="1" t="str">
        <f t="shared" si="22"/>
        <v>U</v>
      </c>
      <c r="X45" s="1">
        <f>C45-Elect2012!C45</f>
        <v>-2</v>
      </c>
      <c r="Y45" s="1">
        <f>J45-Elect2012!J45</f>
        <v>-1</v>
      </c>
      <c r="Z45" s="1">
        <f t="shared" si="11"/>
        <v>0</v>
      </c>
    </row>
    <row r="46" spans="1:26" ht="16">
      <c r="A46" s="12" t="s">
        <v>73</v>
      </c>
      <c r="B46" s="13" t="s">
        <v>26</v>
      </c>
      <c r="C46" s="74">
        <v>52</v>
      </c>
      <c r="D46" s="74">
        <v>98</v>
      </c>
      <c r="E46" s="43">
        <v>150</v>
      </c>
      <c r="F46" s="16">
        <f t="shared" si="12"/>
        <v>0.34666666666666668</v>
      </c>
      <c r="G46" s="16">
        <f t="shared" si="13"/>
        <v>0.30666666666666664</v>
      </c>
      <c r="H46" s="1" t="str">
        <f t="shared" si="14"/>
        <v>R</v>
      </c>
      <c r="I46" s="17" t="str">
        <f>IF(Elect2012!H46=H46,"N","Y")</f>
        <v>N</v>
      </c>
      <c r="J46" s="74">
        <v>11</v>
      </c>
      <c r="K46" s="74">
        <v>20</v>
      </c>
      <c r="L46" s="43">
        <v>31</v>
      </c>
      <c r="M46" s="16">
        <f t="shared" si="15"/>
        <v>0.35483870967741937</v>
      </c>
      <c r="N46" s="16">
        <f t="shared" si="16"/>
        <v>0.29032258064516125</v>
      </c>
      <c r="O46" s="1" t="str">
        <f t="shared" si="17"/>
        <v>R</v>
      </c>
      <c r="P46" s="17" t="str">
        <f>IF(Elect2012!O46=O46,"N","Y")</f>
        <v>N</v>
      </c>
      <c r="Q46" s="1">
        <f t="shared" si="18"/>
        <v>63</v>
      </c>
      <c r="R46" s="1">
        <f t="shared" si="18"/>
        <v>118</v>
      </c>
      <c r="S46" s="16">
        <f t="shared" si="19"/>
        <v>0.34806629834254144</v>
      </c>
      <c r="T46" s="16">
        <f t="shared" si="20"/>
        <v>0.30386740331491713</v>
      </c>
      <c r="U46" s="1" t="str">
        <f t="shared" si="21"/>
        <v>R</v>
      </c>
      <c r="V46" s="61" t="s">
        <v>19</v>
      </c>
      <c r="W46" s="1" t="str">
        <f t="shared" si="22"/>
        <v>U</v>
      </c>
      <c r="X46" s="1">
        <f>C46-Elect2012!C46</f>
        <v>-3</v>
      </c>
      <c r="Y46" s="1">
        <f>J46-Elect2012!J46</f>
        <v>-1</v>
      </c>
      <c r="Z46" s="1">
        <f t="shared" si="11"/>
        <v>0</v>
      </c>
    </row>
    <row r="47" spans="1:26" ht="16">
      <c r="A47" s="12" t="s">
        <v>74</v>
      </c>
      <c r="B47" s="13" t="s">
        <v>28</v>
      </c>
      <c r="C47" s="74">
        <v>15</v>
      </c>
      <c r="D47" s="74">
        <v>60</v>
      </c>
      <c r="E47" s="43">
        <v>75</v>
      </c>
      <c r="F47" s="16">
        <f t="shared" si="12"/>
        <v>0.2</v>
      </c>
      <c r="G47" s="16">
        <f t="shared" si="13"/>
        <v>0.60000000000000009</v>
      </c>
      <c r="H47" s="1" t="str">
        <f t="shared" si="14"/>
        <v>R</v>
      </c>
      <c r="I47" s="17" t="str">
        <f>IF(Elect2012!H47=H47,"N","Y")</f>
        <v>N</v>
      </c>
      <c r="J47" s="74">
        <v>4</v>
      </c>
      <c r="K47" s="74">
        <v>23</v>
      </c>
      <c r="L47" s="43">
        <v>29</v>
      </c>
      <c r="M47" s="16">
        <f t="shared" si="15"/>
        <v>0.13793103448275862</v>
      </c>
      <c r="N47" s="16">
        <f t="shared" si="16"/>
        <v>0.72413793103448265</v>
      </c>
      <c r="O47" s="1" t="str">
        <f t="shared" si="17"/>
        <v>R</v>
      </c>
      <c r="P47" s="17" t="str">
        <f>IF(Elect2012!O47=O47,"N","Y")</f>
        <v>N</v>
      </c>
      <c r="Q47" s="1">
        <f t="shared" si="18"/>
        <v>19</v>
      </c>
      <c r="R47" s="1">
        <f t="shared" si="18"/>
        <v>83</v>
      </c>
      <c r="S47" s="16">
        <f t="shared" si="19"/>
        <v>0.18269230769230768</v>
      </c>
      <c r="T47" s="16">
        <f t="shared" si="20"/>
        <v>0.63461538461538458</v>
      </c>
      <c r="U47" s="1" t="str">
        <f t="shared" si="21"/>
        <v>R</v>
      </c>
      <c r="V47" s="61" t="s">
        <v>19</v>
      </c>
      <c r="W47" s="1" t="str">
        <f t="shared" si="22"/>
        <v>U</v>
      </c>
      <c r="X47" s="1">
        <f>C47-Elect2012!C47</f>
        <v>1</v>
      </c>
      <c r="Y47" s="1">
        <f>J47-Elect2012!J47</f>
        <v>-1</v>
      </c>
      <c r="Z47" s="1">
        <f t="shared" si="11"/>
        <v>0</v>
      </c>
    </row>
    <row r="48" spans="1:26" ht="16">
      <c r="A48" s="12" t="s">
        <v>75</v>
      </c>
      <c r="B48" s="13" t="s">
        <v>34</v>
      </c>
      <c r="C48" s="74">
        <v>85</v>
      </c>
      <c r="D48" s="74">
        <v>53</v>
      </c>
      <c r="E48" s="45">
        <v>150</v>
      </c>
      <c r="F48" s="16">
        <f t="shared" si="12"/>
        <v>0.56666666666666665</v>
      </c>
      <c r="G48" s="16">
        <f t="shared" si="13"/>
        <v>0.1333333333333333</v>
      </c>
      <c r="H48" s="1" t="str">
        <f t="shared" si="14"/>
        <v>D</v>
      </c>
      <c r="I48" s="17" t="str">
        <f>IF(Elect2012!H48=H48,"N","Y")</f>
        <v>N</v>
      </c>
      <c r="J48" s="74">
        <v>20</v>
      </c>
      <c r="K48" s="74">
        <v>9</v>
      </c>
      <c r="L48" s="45">
        <v>30</v>
      </c>
      <c r="M48" s="16">
        <f t="shared" si="15"/>
        <v>0.66666666666666663</v>
      </c>
      <c r="N48" s="16">
        <f t="shared" si="16"/>
        <v>0.33333333333333326</v>
      </c>
      <c r="O48" s="1" t="str">
        <f t="shared" si="17"/>
        <v>D</v>
      </c>
      <c r="P48" s="17" t="str">
        <f>IF(Elect2012!O48=O48,"N","Y")</f>
        <v>N</v>
      </c>
      <c r="Q48" s="1">
        <f t="shared" si="18"/>
        <v>105</v>
      </c>
      <c r="R48" s="1">
        <f t="shared" si="18"/>
        <v>62</v>
      </c>
      <c r="S48" s="16">
        <f t="shared" si="19"/>
        <v>0.58333333333333337</v>
      </c>
      <c r="T48" s="16">
        <f t="shared" si="20"/>
        <v>0.16666666666666674</v>
      </c>
      <c r="U48" s="1" t="str">
        <f t="shared" si="21"/>
        <v>D</v>
      </c>
      <c r="V48" s="62" t="s">
        <v>18</v>
      </c>
      <c r="W48" s="1" t="str">
        <f t="shared" si="22"/>
        <v>U</v>
      </c>
      <c r="X48" s="1">
        <f>C48-Elect2012!C48</f>
        <v>-11</v>
      </c>
      <c r="Y48" s="1">
        <f>J48-Elect2012!J48</f>
        <v>-2</v>
      </c>
      <c r="Z48" s="1">
        <f t="shared" si="11"/>
        <v>0</v>
      </c>
    </row>
    <row r="49" spans="1:26" ht="16">
      <c r="A49" s="12" t="s">
        <v>76</v>
      </c>
      <c r="B49" s="13" t="s">
        <v>26</v>
      </c>
      <c r="C49" s="74">
        <v>32</v>
      </c>
      <c r="D49" s="74">
        <v>67</v>
      </c>
      <c r="E49" s="43">
        <v>100</v>
      </c>
      <c r="F49" s="16">
        <f t="shared" si="12"/>
        <v>0.32</v>
      </c>
      <c r="G49" s="16">
        <f t="shared" si="13"/>
        <v>0.35999999999999993</v>
      </c>
      <c r="H49" s="1" t="str">
        <f t="shared" si="14"/>
        <v>R</v>
      </c>
      <c r="I49" s="17" t="str">
        <f>IF(Elect2012!H49=H49,"N","Y")</f>
        <v>N</v>
      </c>
      <c r="J49" s="74">
        <v>19</v>
      </c>
      <c r="K49" s="74">
        <v>21</v>
      </c>
      <c r="L49" s="43">
        <v>40</v>
      </c>
      <c r="M49" s="16">
        <f t="shared" si="15"/>
        <v>0.47499999999999998</v>
      </c>
      <c r="N49" s="16">
        <f t="shared" si="16"/>
        <v>5.0000000000000044E-2</v>
      </c>
      <c r="O49" s="1" t="str">
        <f t="shared" si="17"/>
        <v>R</v>
      </c>
      <c r="P49" s="17" t="str">
        <f>IF(Elect2012!O49=O49,"N","Y")</f>
        <v>Y</v>
      </c>
      <c r="Q49" s="1">
        <f t="shared" si="18"/>
        <v>51</v>
      </c>
      <c r="R49" s="1">
        <f t="shared" si="18"/>
        <v>88</v>
      </c>
      <c r="S49" s="16">
        <f t="shared" si="19"/>
        <v>0.36428571428571427</v>
      </c>
      <c r="T49" s="16">
        <f t="shared" si="20"/>
        <v>0.27142857142857141</v>
      </c>
      <c r="U49" s="1" t="str">
        <f t="shared" si="21"/>
        <v>R</v>
      </c>
      <c r="V49" s="61" t="s">
        <v>18</v>
      </c>
      <c r="W49" s="1" t="str">
        <f t="shared" si="22"/>
        <v>D</v>
      </c>
      <c r="X49" s="1">
        <f>C49-Elect2012!C49</f>
        <v>1</v>
      </c>
      <c r="Y49" s="1">
        <f>J49-Elect2012!J49</f>
        <v>-1</v>
      </c>
      <c r="Z49" s="1">
        <f t="shared" si="11"/>
        <v>0</v>
      </c>
    </row>
    <row r="50" spans="1:26" ht="16">
      <c r="A50" s="12" t="s">
        <v>77</v>
      </c>
      <c r="B50" s="13" t="s">
        <v>28</v>
      </c>
      <c r="C50" s="74">
        <v>50</v>
      </c>
      <c r="D50" s="74">
        <v>43</v>
      </c>
      <c r="E50" s="43">
        <v>98</v>
      </c>
      <c r="F50" s="16">
        <f t="shared" si="12"/>
        <v>0.51020408163265307</v>
      </c>
      <c r="G50" s="16">
        <f t="shared" si="13"/>
        <v>2.0408163265306145E-2</v>
      </c>
      <c r="H50" s="1" t="str">
        <f t="shared" si="14"/>
        <v>D</v>
      </c>
      <c r="I50" s="17" t="str">
        <f>IF(Elect2012!H50=H50,"N","Y")</f>
        <v>N</v>
      </c>
      <c r="J50" s="74">
        <v>24</v>
      </c>
      <c r="K50" s="74">
        <v>25</v>
      </c>
      <c r="L50" s="43">
        <v>49</v>
      </c>
      <c r="M50" s="16">
        <f t="shared" si="15"/>
        <v>0.48979591836734693</v>
      </c>
      <c r="N50" s="16">
        <f t="shared" si="16"/>
        <v>2.0408163265306145E-2</v>
      </c>
      <c r="O50" s="1" t="str">
        <f t="shared" si="17"/>
        <v>R</v>
      </c>
      <c r="P50" s="17" t="str">
        <f>IF(Elect2012!O50=O50,"N","Y")</f>
        <v>Y</v>
      </c>
      <c r="Q50" s="1">
        <f t="shared" si="18"/>
        <v>74</v>
      </c>
      <c r="R50" s="1">
        <f t="shared" si="18"/>
        <v>68</v>
      </c>
      <c r="S50" s="16">
        <f t="shared" si="19"/>
        <v>0.50340136054421769</v>
      </c>
      <c r="T50" s="16">
        <f t="shared" si="20"/>
        <v>6.8027210884353817E-3</v>
      </c>
      <c r="U50" s="1" t="str">
        <f t="shared" si="21"/>
        <v>S</v>
      </c>
      <c r="V50" s="61" t="s">
        <v>18</v>
      </c>
      <c r="W50" s="1" t="str">
        <f t="shared" si="22"/>
        <v>D</v>
      </c>
      <c r="X50" s="1">
        <f>C50-Elect2012!C50</f>
        <v>-5</v>
      </c>
      <c r="Y50" s="1">
        <f>J50-Elect2012!J50</f>
        <v>-3</v>
      </c>
      <c r="Z50" s="1">
        <f t="shared" si="11"/>
        <v>0</v>
      </c>
    </row>
    <row r="51" spans="1:26" ht="16">
      <c r="A51" s="12" t="s">
        <v>78</v>
      </c>
      <c r="B51" s="13" t="s">
        <v>26</v>
      </c>
      <c r="C51" s="74">
        <v>33</v>
      </c>
      <c r="D51" s="74">
        <v>62</v>
      </c>
      <c r="E51" s="43">
        <v>100</v>
      </c>
      <c r="F51" s="16">
        <f t="shared" si="12"/>
        <v>0.33</v>
      </c>
      <c r="G51" s="16">
        <f t="shared" si="13"/>
        <v>0.33999999999999991</v>
      </c>
      <c r="H51" s="1" t="str">
        <f t="shared" si="14"/>
        <v>R</v>
      </c>
      <c r="I51" s="17" t="str">
        <f>IF(Elect2012!H51=H51,"N","Y")</f>
        <v>Y</v>
      </c>
      <c r="J51" s="74">
        <v>16</v>
      </c>
      <c r="K51" s="74">
        <v>18</v>
      </c>
      <c r="L51" s="43">
        <v>34</v>
      </c>
      <c r="M51" s="16">
        <f t="shared" si="15"/>
        <v>0.47058823529411764</v>
      </c>
      <c r="N51" s="16">
        <f t="shared" si="16"/>
        <v>5.8823529411764719E-2</v>
      </c>
      <c r="O51" s="1" t="str">
        <f t="shared" si="17"/>
        <v>R</v>
      </c>
      <c r="P51" s="17" t="str">
        <f>IF(Elect2012!O51=O51,"N","Y")</f>
        <v>Y</v>
      </c>
      <c r="Q51" s="1">
        <f t="shared" si="18"/>
        <v>49</v>
      </c>
      <c r="R51" s="1">
        <f t="shared" si="18"/>
        <v>80</v>
      </c>
      <c r="S51" s="16">
        <f t="shared" si="19"/>
        <v>0.36567164179104478</v>
      </c>
      <c r="T51" s="16">
        <f t="shared" si="20"/>
        <v>0.26865671641791039</v>
      </c>
      <c r="U51" s="1" t="str">
        <f t="shared" si="21"/>
        <v>R</v>
      </c>
      <c r="V51" s="61" t="s">
        <v>19</v>
      </c>
      <c r="W51" s="1" t="str">
        <f t="shared" si="22"/>
        <v>U</v>
      </c>
      <c r="X51" s="1">
        <f>C51-Elect2012!C51</f>
        <v>-21</v>
      </c>
      <c r="Y51" s="1">
        <f>J51-Elect2012!J51</f>
        <v>-9</v>
      </c>
      <c r="Z51" s="1">
        <f t="shared" si="11"/>
        <v>0</v>
      </c>
    </row>
    <row r="52" spans="1:26" ht="16">
      <c r="A52" s="12" t="s">
        <v>79</v>
      </c>
      <c r="B52" s="13" t="s">
        <v>41</v>
      </c>
      <c r="C52" s="74">
        <v>36</v>
      </c>
      <c r="D52" s="74">
        <v>61</v>
      </c>
      <c r="E52" s="43">
        <v>99</v>
      </c>
      <c r="F52" s="16">
        <f t="shared" si="12"/>
        <v>0.36363636363636365</v>
      </c>
      <c r="G52" s="16">
        <f t="shared" si="13"/>
        <v>0.27272727272727271</v>
      </c>
      <c r="H52" s="1" t="str">
        <f t="shared" si="14"/>
        <v>R</v>
      </c>
      <c r="I52" s="17" t="str">
        <f>IF(Elect2012!H52=H52,"N","Y")</f>
        <v>N</v>
      </c>
      <c r="J52" s="74">
        <v>14</v>
      </c>
      <c r="K52" s="74">
        <v>19</v>
      </c>
      <c r="L52" s="43">
        <v>33</v>
      </c>
      <c r="M52" s="16">
        <f t="shared" si="15"/>
        <v>0.42424242424242425</v>
      </c>
      <c r="N52" s="16">
        <f t="shared" si="16"/>
        <v>0.15151515151515144</v>
      </c>
      <c r="O52" s="1" t="str">
        <f t="shared" si="17"/>
        <v>R</v>
      </c>
      <c r="P52" s="17" t="str">
        <f>IF(Elect2012!O52=O52,"N","Y")</f>
        <v>N</v>
      </c>
      <c r="Q52" s="1">
        <f t="shared" si="18"/>
        <v>50</v>
      </c>
      <c r="R52" s="1">
        <f t="shared" si="18"/>
        <v>80</v>
      </c>
      <c r="S52" s="16">
        <f t="shared" si="19"/>
        <v>0.37878787878787878</v>
      </c>
      <c r="T52" s="16">
        <f t="shared" si="20"/>
        <v>0.24242424242424243</v>
      </c>
      <c r="U52" s="1" t="str">
        <f t="shared" si="21"/>
        <v>R</v>
      </c>
      <c r="V52" s="61" t="s">
        <v>19</v>
      </c>
      <c r="W52" s="1" t="str">
        <f t="shared" si="22"/>
        <v>U</v>
      </c>
      <c r="X52" s="1">
        <f>C52-Elect2012!C52</f>
        <v>-3</v>
      </c>
      <c r="Y52" s="1">
        <f>J52-Elect2012!J52</f>
        <v>-1</v>
      </c>
      <c r="Z52" s="1">
        <f t="shared" si="11"/>
        <v>0</v>
      </c>
    </row>
    <row r="53" spans="1:26" ht="16">
      <c r="A53" s="12" t="s">
        <v>80</v>
      </c>
      <c r="B53" s="13" t="s">
        <v>28</v>
      </c>
      <c r="C53" s="74">
        <v>9</v>
      </c>
      <c r="D53" s="74">
        <v>51</v>
      </c>
      <c r="E53" s="1">
        <v>60</v>
      </c>
      <c r="F53" s="16">
        <f t="shared" si="12"/>
        <v>0.15</v>
      </c>
      <c r="G53" s="16">
        <f t="shared" si="13"/>
        <v>0.7</v>
      </c>
      <c r="H53" s="1" t="str">
        <f t="shared" si="14"/>
        <v>R</v>
      </c>
      <c r="I53" s="17" t="str">
        <f>IF(Elect2012!H53=H53,"N","Y")</f>
        <v>N</v>
      </c>
      <c r="J53" s="74">
        <v>4</v>
      </c>
      <c r="K53" s="74">
        <v>26</v>
      </c>
      <c r="L53" s="43">
        <v>30</v>
      </c>
      <c r="M53" s="16">
        <f t="shared" si="15"/>
        <v>0.13333333333333333</v>
      </c>
      <c r="N53" s="16">
        <f t="shared" si="16"/>
        <v>0.73333333333333339</v>
      </c>
      <c r="O53" s="1" t="str">
        <f t="shared" si="17"/>
        <v>R</v>
      </c>
      <c r="P53" s="17" t="str">
        <f>IF(Elect2012!O53=O53,"N","Y")</f>
        <v>N</v>
      </c>
      <c r="Q53" s="1">
        <f t="shared" si="18"/>
        <v>13</v>
      </c>
      <c r="R53" s="50">
        <f t="shared" si="18"/>
        <v>77</v>
      </c>
      <c r="S53" s="25">
        <f t="shared" si="19"/>
        <v>0.14444444444444443</v>
      </c>
      <c r="T53" s="26">
        <f t="shared" si="20"/>
        <v>0.71111111111111125</v>
      </c>
      <c r="U53" s="1" t="str">
        <f t="shared" si="21"/>
        <v>R</v>
      </c>
      <c r="V53" s="61" t="s">
        <v>19</v>
      </c>
      <c r="W53" s="1" t="str">
        <f t="shared" si="22"/>
        <v>U</v>
      </c>
      <c r="X53" s="1">
        <f>C53-Elect2012!C53</f>
        <v>1</v>
      </c>
      <c r="Y53" s="1">
        <f>J53-Elect2012!J53</f>
        <v>0</v>
      </c>
      <c r="Z53" s="1">
        <f t="shared" si="11"/>
        <v>0</v>
      </c>
    </row>
    <row r="54" spans="1:26">
      <c r="A54" s="27" t="s">
        <v>81</v>
      </c>
      <c r="B54" s="28"/>
      <c r="C54" s="29">
        <f>SUM(C4:C53)</f>
        <v>2340</v>
      </c>
      <c r="D54" s="29">
        <f>SUM(D4:D53)</f>
        <v>3026</v>
      </c>
      <c r="E54" s="29">
        <f>SUM(E3:E53)</f>
        <v>5411</v>
      </c>
      <c r="F54" s="30">
        <f t="shared" si="12"/>
        <v>0.43245241175383475</v>
      </c>
      <c r="G54" s="30"/>
      <c r="H54" s="31"/>
      <c r="I54" s="32"/>
      <c r="J54" s="29">
        <f>SUM(J4:J53)</f>
        <v>824</v>
      </c>
      <c r="K54" s="29">
        <f>SUM(K4:K53)</f>
        <v>1086</v>
      </c>
      <c r="L54" s="29">
        <f>SUM(L3:L53)</f>
        <v>1923</v>
      </c>
      <c r="M54" s="30">
        <f t="shared" si="15"/>
        <v>0.4284971398855954</v>
      </c>
      <c r="N54" s="30"/>
      <c r="O54" s="31"/>
      <c r="P54" s="32"/>
      <c r="Q54" s="33">
        <f>SUM(Q4:Q53)</f>
        <v>3164</v>
      </c>
      <c r="R54" s="1">
        <f>D54+K54</f>
        <v>4112</v>
      </c>
      <c r="S54" s="16">
        <f t="shared" si="19"/>
        <v>0.43141532587946552</v>
      </c>
      <c r="T54" s="34">
        <f>AVERAGE(T4:T53)</f>
        <v>0.30580637576839165</v>
      </c>
      <c r="U54" s="31"/>
      <c r="X54" s="33">
        <f>SUM(X4:X53)</f>
        <v>-249</v>
      </c>
      <c r="Y54" s="33">
        <f>SUM(Y4:Y53)</f>
        <v>-62</v>
      </c>
      <c r="Z54" s="33">
        <f>SUM(Z4:Z53)</f>
        <v>0</v>
      </c>
    </row>
    <row r="55" spans="1:26" ht="16">
      <c r="A55" s="35"/>
      <c r="B55" s="35"/>
      <c r="C55" s="36"/>
      <c r="D55" s="36"/>
      <c r="E55" s="36"/>
      <c r="F55" s="16"/>
      <c r="G55" s="16"/>
      <c r="J55" s="72"/>
      <c r="K55" s="72"/>
      <c r="L55" s="36"/>
      <c r="M55" s="16"/>
      <c r="Q55" s="37"/>
      <c r="R55" s="37"/>
      <c r="S55" s="16"/>
      <c r="T55" s="16"/>
    </row>
    <row r="56" spans="1:26" ht="16">
      <c r="A56" s="38" t="s">
        <v>113</v>
      </c>
      <c r="J56" s="72"/>
      <c r="K56" s="72"/>
    </row>
    <row r="57" spans="1:26" ht="16">
      <c r="A57" s="1" t="s">
        <v>83</v>
      </c>
      <c r="C57" s="37">
        <f>DSUM(_xlnm.Database,C3,critRGS)</f>
        <v>672</v>
      </c>
      <c r="D57" s="37"/>
      <c r="E57" s="37">
        <f>DSUM(_xlnm.Database,E3,critRGS)</f>
        <v>1767</v>
      </c>
      <c r="F57" s="16">
        <f>C57/E57</f>
        <v>0.38030560271646857</v>
      </c>
      <c r="J57" s="37">
        <f>DSUM(_xlnm.Database,J3,critRGS)</f>
        <v>222</v>
      </c>
      <c r="K57" s="72"/>
      <c r="L57" s="37">
        <f>DSUM(_xlnm.Database,L3,critRGS)</f>
        <v>624</v>
      </c>
      <c r="M57" s="16">
        <f>J57/L57</f>
        <v>0.35576923076923078</v>
      </c>
      <c r="Q57" s="37">
        <f>DSUM(_xlnm.Database,Q3,critRGS)</f>
        <v>894</v>
      </c>
      <c r="R57" s="37"/>
      <c r="S57" s="16">
        <f>Q57/(E57+L57)</f>
        <v>0.37390213299874531</v>
      </c>
      <c r="T57" s="16"/>
    </row>
    <row r="58" spans="1:26" ht="16">
      <c r="A58" s="1" t="s">
        <v>84</v>
      </c>
      <c r="C58" s="37">
        <f>DSUM(_xlnm.Database,C3,CritRGN)</f>
        <v>1668</v>
      </c>
      <c r="D58" s="37"/>
      <c r="E58" s="37">
        <f>DSUM(_xlnm.Database,E3,CritRGN)</f>
        <v>3644</v>
      </c>
      <c r="F58" s="16">
        <f>C58/E58</f>
        <v>0.45773874862788144</v>
      </c>
      <c r="J58" s="37">
        <f>DSUM(_xlnm.Database,J3,CritRGN)</f>
        <v>602</v>
      </c>
      <c r="K58" s="72"/>
      <c r="L58" s="37">
        <f>DSUM(_xlnm.Database,L3,CritRGN)</f>
        <v>1299</v>
      </c>
      <c r="M58" s="16">
        <f>J58/L58</f>
        <v>0.4634334103156274</v>
      </c>
      <c r="Q58" s="37">
        <f>DSUM(_xlnm.Database,Q3,CritRGN)</f>
        <v>2270</v>
      </c>
      <c r="R58" s="37"/>
      <c r="S58" s="16">
        <f>Q58/(E58+L58)</f>
        <v>0.45923528221727694</v>
      </c>
      <c r="T58" s="16"/>
    </row>
    <row r="59" spans="1:26" ht="16">
      <c r="A59" s="1" t="s">
        <v>85</v>
      </c>
      <c r="C59" s="37">
        <f>DSUM(_xlnm.Database,C3,CRITE)</f>
        <v>860</v>
      </c>
      <c r="D59" s="37"/>
      <c r="E59" s="37">
        <f>DSUM(_xlnm.Database,E3,CRITE)</f>
        <v>1561</v>
      </c>
      <c r="F59" s="16">
        <f>C59/E59</f>
        <v>0.55092889173606663</v>
      </c>
      <c r="J59" s="37">
        <f>DSUM(_xlnm.Database,J3,CRITE)</f>
        <v>219</v>
      </c>
      <c r="K59" s="72"/>
      <c r="L59" s="37">
        <f>DSUM(_xlnm.Database,L3,CRITE)</f>
        <v>377</v>
      </c>
      <c r="M59" s="16">
        <f>J59/L59</f>
        <v>0.58090185676392569</v>
      </c>
      <c r="Q59" s="37">
        <f>DSUM(_xlnm.Database,Q3,CRITE)</f>
        <v>1079</v>
      </c>
      <c r="R59" s="37"/>
      <c r="S59" s="16">
        <f>Q59/(E59+L59)</f>
        <v>0.55675954592363264</v>
      </c>
      <c r="T59" s="16"/>
    </row>
    <row r="60" spans="1:26" ht="16">
      <c r="A60" s="1" t="s">
        <v>86</v>
      </c>
      <c r="C60" s="37">
        <f>DSUM(_xlnm.Database,C3,CRITM)</f>
        <v>430</v>
      </c>
      <c r="D60" s="37"/>
      <c r="E60" s="37">
        <f>DSUM(_xlnm.Database,E3,CRITM)</f>
        <v>1212</v>
      </c>
      <c r="F60" s="16">
        <f>C60/E60</f>
        <v>0.3547854785478548</v>
      </c>
      <c r="J60" s="37">
        <f>DSUM(_xlnm.Database,J3,CRITM)</f>
        <v>190</v>
      </c>
      <c r="K60" s="72"/>
      <c r="L60" s="37">
        <f>DSUM(_xlnm.Database,L3,CRITM)</f>
        <v>486</v>
      </c>
      <c r="M60" s="16">
        <f>J60/L60</f>
        <v>0.39094650205761317</v>
      </c>
      <c r="Q60" s="37">
        <f>DSUM(_xlnm.Database,Q3,CRITM)</f>
        <v>620</v>
      </c>
      <c r="R60" s="37"/>
      <c r="S60" s="16">
        <f>Q60/(E60+L60)</f>
        <v>0.36513545347467607</v>
      </c>
      <c r="T60" s="16"/>
    </row>
    <row r="61" spans="1:26" ht="16">
      <c r="A61" s="1" t="s">
        <v>87</v>
      </c>
      <c r="C61" s="37">
        <f>DSUM(_xlnm.Database,C3,CRITW)</f>
        <v>378</v>
      </c>
      <c r="D61" s="37"/>
      <c r="E61" s="37">
        <f>DSUM(_xlnm.Database,E3,CRITW)</f>
        <v>871</v>
      </c>
      <c r="F61" s="16">
        <f>C61/E61</f>
        <v>0.43398392652123996</v>
      </c>
      <c r="J61" s="37">
        <f>DSUM(_xlnm.Database,J3,CRITW)</f>
        <v>193</v>
      </c>
      <c r="K61" s="72"/>
      <c r="L61" s="37">
        <f>DSUM(_xlnm.Database,L3,CRITW)</f>
        <v>436</v>
      </c>
      <c r="M61" s="16">
        <f>J61/L61</f>
        <v>0.44266055045871561</v>
      </c>
      <c r="Q61" s="37">
        <f>DSUM(_xlnm.Database,Q3,CRITW)</f>
        <v>571</v>
      </c>
      <c r="R61" s="37"/>
      <c r="S61" s="16">
        <f>Q61/(E61+L61)</f>
        <v>0.43687834736036724</v>
      </c>
      <c r="T61" s="16"/>
    </row>
    <row r="62" spans="1:26" ht="16">
      <c r="F62" s="16"/>
      <c r="J62" s="72"/>
      <c r="K62" s="72"/>
      <c r="M62" s="16"/>
      <c r="S62" s="16"/>
      <c r="T62" s="16"/>
    </row>
    <row r="63" spans="1:26" ht="16">
      <c r="F63" s="16"/>
      <c r="J63" s="72"/>
      <c r="K63" s="72"/>
      <c r="M63" s="16"/>
      <c r="S63" s="16"/>
      <c r="T63" s="16"/>
    </row>
    <row r="64" spans="1:26" ht="16">
      <c r="A64" s="38" t="s">
        <v>114</v>
      </c>
      <c r="C64" s="51" t="s">
        <v>89</v>
      </c>
      <c r="D64" s="51"/>
      <c r="E64" s="51" t="s">
        <v>26</v>
      </c>
      <c r="F64" s="51" t="s">
        <v>90</v>
      </c>
      <c r="J64" s="72"/>
      <c r="K64" s="72"/>
      <c r="M64" s="16"/>
      <c r="S64" s="16"/>
      <c r="T64" s="16"/>
    </row>
    <row r="65" spans="1:20" ht="16">
      <c r="A65" s="35" t="s">
        <v>81</v>
      </c>
      <c r="C65" s="40">
        <f>C54-Elect2012!C54</f>
        <v>-249</v>
      </c>
      <c r="D65" s="40"/>
      <c r="E65" s="40">
        <f>J54-Elect2012!J54</f>
        <v>-62</v>
      </c>
      <c r="F65" s="40">
        <f>Q54-Elect2012!Q54</f>
        <v>-311</v>
      </c>
      <c r="J65" s="72"/>
      <c r="K65" s="72"/>
      <c r="M65" s="16"/>
      <c r="S65" s="16"/>
      <c r="T65" s="16"/>
    </row>
    <row r="66" spans="1:20" ht="16">
      <c r="A66" s="1" t="s">
        <v>83</v>
      </c>
      <c r="C66" s="40">
        <f>C57-Elect2012!C57</f>
        <v>-64</v>
      </c>
      <c r="D66" s="40"/>
      <c r="E66" s="40">
        <f>J57-Elect2012!J57</f>
        <v>-31</v>
      </c>
      <c r="F66" s="40">
        <f t="shared" ref="F66:F69" si="23">SUM(C66:E66)</f>
        <v>-95</v>
      </c>
      <c r="J66" s="72"/>
      <c r="K66" s="72"/>
      <c r="M66" s="16"/>
      <c r="S66" s="16"/>
      <c r="T66" s="16"/>
    </row>
    <row r="67" spans="1:20" ht="16">
      <c r="A67" s="1" t="s">
        <v>85</v>
      </c>
      <c r="C67" s="40">
        <f>C59-Elect2012!C59</f>
        <v>-117</v>
      </c>
      <c r="D67" s="40"/>
      <c r="E67" s="40">
        <f>J59-Elect2012!J59</f>
        <v>-15</v>
      </c>
      <c r="F67" s="40">
        <f t="shared" si="23"/>
        <v>-132</v>
      </c>
      <c r="J67" s="72"/>
      <c r="K67" s="72"/>
      <c r="M67" s="16"/>
      <c r="S67" s="16"/>
      <c r="T67" s="16"/>
    </row>
    <row r="68" spans="1:20" ht="16">
      <c r="A68" s="1" t="s">
        <v>86</v>
      </c>
      <c r="C68" s="40">
        <f>C60-Elect2012!C60</f>
        <v>-48</v>
      </c>
      <c r="D68" s="40"/>
      <c r="E68" s="40">
        <f>J60-Elect2012!J60</f>
        <v>-4</v>
      </c>
      <c r="F68" s="40">
        <f t="shared" si="23"/>
        <v>-52</v>
      </c>
      <c r="J68" s="72"/>
      <c r="K68" s="72"/>
      <c r="M68" s="16"/>
      <c r="S68" s="16"/>
      <c r="T68" s="16"/>
    </row>
    <row r="69" spans="1:20" ht="16">
      <c r="A69" s="1" t="s">
        <v>87</v>
      </c>
      <c r="C69" s="40">
        <f>C61-Elect2012!C61</f>
        <v>-20</v>
      </c>
      <c r="D69" s="40"/>
      <c r="E69" s="40">
        <f>J61-Elect2012!J61</f>
        <v>-12</v>
      </c>
      <c r="F69" s="40">
        <f t="shared" si="23"/>
        <v>-32</v>
      </c>
      <c r="J69" s="72"/>
      <c r="K69" s="72"/>
      <c r="M69" s="16"/>
      <c r="S69" s="16"/>
      <c r="T69" s="16"/>
    </row>
    <row r="70" spans="1:20" ht="16">
      <c r="F70" s="16"/>
      <c r="J70" s="72"/>
      <c r="K70" s="72"/>
      <c r="M70" s="16"/>
      <c r="S70" s="16"/>
      <c r="T70" s="16"/>
    </row>
    <row r="71" spans="1:20" ht="16">
      <c r="G71" s="8"/>
      <c r="J71" s="72"/>
      <c r="K71" s="72"/>
    </row>
    <row r="72" spans="1:20" ht="16">
      <c r="A72" s="38" t="s">
        <v>91</v>
      </c>
      <c r="F72" s="1">
        <f>DCOUNTA(_xlnm.Database,"Div?",critdiv)</f>
        <v>18</v>
      </c>
      <c r="J72" s="72"/>
      <c r="K72" s="72"/>
    </row>
    <row r="73" spans="1:20" ht="16">
      <c r="A73" s="38"/>
      <c r="J73" s="72"/>
      <c r="K73" s="72"/>
    </row>
    <row r="74" spans="1:20" ht="16">
      <c r="A74" s="38" t="s">
        <v>92</v>
      </c>
      <c r="C74" s="1">
        <f>DCOUNTA(_xlnm.Database,"HSwch",CritHSwch)</f>
        <v>5</v>
      </c>
      <c r="E74" s="1">
        <f>DCOUNTA(_xlnm.Database,"sSwch",CritSSwch)</f>
        <v>7</v>
      </c>
      <c r="F74" s="1">
        <f>SUM(C74:E74)</f>
        <v>12</v>
      </c>
      <c r="J74" s="72"/>
      <c r="K74" s="72"/>
    </row>
    <row r="75" spans="1:20" ht="16">
      <c r="A75" s="38"/>
      <c r="H75" s="1" t="s">
        <v>110</v>
      </c>
      <c r="J75" s="72"/>
      <c r="K75" s="72"/>
    </row>
    <row r="76" spans="1:20" ht="16">
      <c r="A76" s="38" t="s">
        <v>115</v>
      </c>
      <c r="C76" s="1">
        <f>DCOUNTA(_xlnm.Database,"hCntrl",CritHCntrlD)</f>
        <v>16</v>
      </c>
      <c r="E76" s="1">
        <f>DCOUNTA(_xlnm.Database,"sCntrl",CritSCntrlD)</f>
        <v>14</v>
      </c>
      <c r="F76" s="1">
        <f>DCOUNTA(_xlnm.Database,"TCntrl",CritTCntrlD)</f>
        <v>11</v>
      </c>
      <c r="H76" s="1">
        <f>C76+E76</f>
        <v>30</v>
      </c>
      <c r="J76" s="72"/>
      <c r="K76" s="72"/>
    </row>
    <row r="77" spans="1:20" ht="16">
      <c r="A77" s="38" t="s">
        <v>116</v>
      </c>
      <c r="C77" s="1">
        <f>DCOUNTA(_xlnm.Database,"HCntrl",critHCntrlR)</f>
        <v>33</v>
      </c>
      <c r="E77" s="1">
        <f>DCOUNTA(_xlnm.Database,"sCntrl",CritSCntrlR)</f>
        <v>35</v>
      </c>
      <c r="F77" s="1">
        <f>DCOUNTA(_xlnm.Database,"TCntrl",CritTCntrlR)</f>
        <v>30</v>
      </c>
      <c r="H77" s="1">
        <f>C77+E77</f>
        <v>68</v>
      </c>
      <c r="J77" s="72"/>
      <c r="K77" s="72"/>
    </row>
    <row r="78" spans="1:20">
      <c r="A78" s="38" t="s">
        <v>95</v>
      </c>
      <c r="F78" s="1">
        <f>DCOUNTA(_xlnm.Database,"TCntrl",CritTCntrlS)</f>
        <v>8</v>
      </c>
    </row>
    <row r="79" spans="1:20">
      <c r="A79" s="38"/>
    </row>
    <row r="80" spans="1:20">
      <c r="A80" s="38" t="s">
        <v>117</v>
      </c>
      <c r="F80" s="1">
        <f>DCOUNTA(_xlnm.Database,"Gov",CritGovD)</f>
        <v>17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0.29054857560270991</v>
      </c>
      <c r="D84" s="16"/>
      <c r="E84" s="16">
        <f>DAVERAGE(_xlnm.Database,"SMargin",critRGS)</f>
        <v>0.34301480221715624</v>
      </c>
      <c r="F84" s="16">
        <f>DAVERAGE(_xlnm.Database,"TMargin",critRGS)</f>
        <v>0.2999111656535538</v>
      </c>
      <c r="G84" s="16"/>
    </row>
    <row r="85" spans="1:20">
      <c r="A85" s="1" t="s">
        <v>84</v>
      </c>
      <c r="C85" s="16">
        <f>DAVERAGE(_xlnm.Database,"HMargin",CritRGN)</f>
        <v>0.31179381351381669</v>
      </c>
      <c r="D85" s="16"/>
      <c r="E85" s="16">
        <f>DAVERAGE(_xlnm.Database,"SMargin",CritRGN)</f>
        <v>0.33380788059264904</v>
      </c>
      <c r="F85" s="16">
        <f>DAVERAGE(_xlnm.Database,"TMargin",CritRGN)</f>
        <v>0.30840720376023184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0.43024370946086582</v>
      </c>
    </row>
    <row r="88" spans="1:20">
      <c r="A88" s="41" t="s">
        <v>98</v>
      </c>
      <c r="T88" s="16">
        <f>AVERAGE(T4:T53)</f>
        <v>0.30580637576839165</v>
      </c>
    </row>
    <row r="89" spans="1:20">
      <c r="A89" s="1" t="s">
        <v>99</v>
      </c>
      <c r="C89" s="1">
        <f>DCOUNT(_xlnm.Database,F3,CritHD55)</f>
        <v>7</v>
      </c>
      <c r="E89" s="1">
        <f>DCOUNT(_xlnm.Database,M3,CritSD55)</f>
        <v>7</v>
      </c>
      <c r="F89" s="1">
        <f>SUM(C89:E89)</f>
        <v>14</v>
      </c>
    </row>
    <row r="92" spans="1:20">
      <c r="A92" s="41" t="s">
        <v>118</v>
      </c>
      <c r="C92" s="1">
        <f>DCOUNTA(_xlnm.Database,"Div?",CritUnifD)</f>
        <v>7</v>
      </c>
    </row>
    <row r="93" spans="1:20">
      <c r="A93" s="41" t="s">
        <v>119</v>
      </c>
      <c r="C93" s="1">
        <f>DCOUNTA(_xlnm.Database,"Div?",CritUnifR)</f>
        <v>24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9C9C-E272-4A33-95FF-C5CB8C94A177}">
  <dimension ref="A1:AX1023"/>
  <sheetViews>
    <sheetView zoomScale="90" workbookViewId="0">
      <pane ySplit="3" topLeftCell="A4" activePane="bottomLeft" state="frozen"/>
      <selection activeCell="H24" sqref="H24"/>
      <selection pane="bottomLeft" activeCell="H24" sqref="H24"/>
    </sheetView>
  </sheetViews>
  <sheetFormatPr baseColWidth="10" defaultColWidth="8.6640625" defaultRowHeight="13"/>
  <cols>
    <col min="1" max="1" width="16.6640625" style="1" customWidth="1"/>
    <col min="2" max="2" width="3.6640625" style="1" customWidth="1"/>
    <col min="3" max="6" width="7.1640625" style="1" customWidth="1"/>
    <col min="7" max="7" width="8.33203125" style="1" customWidth="1"/>
    <col min="8" max="8" width="6.1640625" style="1" customWidth="1"/>
    <col min="9" max="9" width="7" style="1" customWidth="1"/>
    <col min="10" max="10" width="5.5" style="1" customWidth="1"/>
    <col min="11" max="11" width="6.33203125" style="1" bestFit="1" customWidth="1"/>
    <col min="12" max="12" width="6.6640625" style="1" customWidth="1"/>
    <col min="13" max="13" width="6.6640625" style="1" bestFit="1" customWidth="1"/>
    <col min="14" max="14" width="8.1640625" style="1" customWidth="1"/>
    <col min="15" max="15" width="6" style="1" customWidth="1"/>
    <col min="16" max="17" width="6.6640625" style="1" customWidth="1"/>
    <col min="18" max="18" width="5.5" style="1" customWidth="1"/>
    <col min="19" max="19" width="6.6640625" style="1" bestFit="1" customWidth="1"/>
    <col min="20" max="20" width="6.6640625" style="1" customWidth="1"/>
    <col min="21" max="21" width="6" style="1" customWidth="1"/>
    <col min="22" max="22" width="4.5" style="1" customWidth="1"/>
    <col min="23" max="23" width="4.6640625" style="1" customWidth="1"/>
    <col min="24" max="16384" width="8.6640625" style="1"/>
  </cols>
  <sheetData>
    <row r="1" spans="1:26">
      <c r="B1" s="2"/>
      <c r="C1" s="3">
        <v>2016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6">
      <c r="B2" s="2"/>
      <c r="C2" s="3" t="s">
        <v>0</v>
      </c>
      <c r="D2" s="3"/>
      <c r="E2" s="3"/>
      <c r="F2" s="3"/>
      <c r="G2" s="3"/>
      <c r="H2" s="3"/>
      <c r="I2" s="4"/>
      <c r="J2" s="3" t="s">
        <v>1</v>
      </c>
      <c r="K2" s="3"/>
      <c r="L2" s="3"/>
      <c r="M2" s="3"/>
      <c r="N2" s="3"/>
      <c r="O2" s="3"/>
      <c r="P2" s="4"/>
      <c r="Q2" s="3" t="s">
        <v>2</v>
      </c>
      <c r="R2" s="3"/>
      <c r="S2" s="3"/>
      <c r="T2" s="3"/>
      <c r="U2" s="3"/>
      <c r="V2" s="3"/>
      <c r="W2" s="3"/>
    </row>
    <row r="3" spans="1:26">
      <c r="A3" s="6"/>
      <c r="B3" s="7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10" t="s">
        <v>10</v>
      </c>
      <c r="J3" s="8" t="s">
        <v>11</v>
      </c>
      <c r="K3" s="8" t="s">
        <v>12</v>
      </c>
      <c r="L3" s="8" t="s">
        <v>13</v>
      </c>
      <c r="M3" s="9" t="s">
        <v>14</v>
      </c>
      <c r="N3" s="8" t="s">
        <v>15</v>
      </c>
      <c r="O3" s="8" t="s">
        <v>16</v>
      </c>
      <c r="P3" s="10" t="s">
        <v>17</v>
      </c>
      <c r="Q3" s="8" t="s">
        <v>120</v>
      </c>
      <c r="R3" s="8" t="s">
        <v>121</v>
      </c>
      <c r="S3" s="9" t="s">
        <v>122</v>
      </c>
      <c r="T3" s="8" t="s">
        <v>123</v>
      </c>
      <c r="U3" s="8" t="s">
        <v>22</v>
      </c>
      <c r="V3" s="8" t="s">
        <v>23</v>
      </c>
      <c r="W3" s="8" t="s">
        <v>24</v>
      </c>
      <c r="X3" s="8" t="s">
        <v>106</v>
      </c>
      <c r="Y3" s="8" t="s">
        <v>107</v>
      </c>
      <c r="Z3" s="8" t="s">
        <v>108</v>
      </c>
    </row>
    <row r="4" spans="1:26" ht="16">
      <c r="A4" s="12" t="s">
        <v>25</v>
      </c>
      <c r="B4" s="13" t="s">
        <v>26</v>
      </c>
      <c r="C4" s="73">
        <v>32</v>
      </c>
      <c r="D4" s="73">
        <v>72</v>
      </c>
      <c r="E4" s="43">
        <v>105</v>
      </c>
      <c r="F4" s="16">
        <f t="shared" ref="F4:F29" si="0">C4/E4</f>
        <v>0.30476190476190479</v>
      </c>
      <c r="G4" s="16">
        <f t="shared" ref="G4:G29" si="1">ABS(F4-(1-F4))</f>
        <v>0.39047619047619042</v>
      </c>
      <c r="H4" s="1" t="str">
        <f t="shared" ref="H4:H29" si="2">IF(F4&gt;0.5,"D",IF(F4=0.5,"T","R"))</f>
        <v>R</v>
      </c>
      <c r="I4" s="17" t="str">
        <f>IF(Elect2014!H4=H4,"N","Y")</f>
        <v>N</v>
      </c>
      <c r="J4" s="73">
        <v>8</v>
      </c>
      <c r="K4" s="73">
        <v>26</v>
      </c>
      <c r="L4" s="43">
        <v>35</v>
      </c>
      <c r="M4" s="16">
        <f t="shared" ref="M4:M29" si="3">J4/L4</f>
        <v>0.22857142857142856</v>
      </c>
      <c r="N4" s="16">
        <f t="shared" ref="N4:N29" si="4">ABS(M4-(1-M4))</f>
        <v>0.54285714285714293</v>
      </c>
      <c r="O4" s="1" t="str">
        <f t="shared" ref="O4:O29" si="5">IF(M4&gt;0.5,"D",IF(M4=0.5,"T","R"))</f>
        <v>R</v>
      </c>
      <c r="P4" s="17" t="str">
        <f>IF(Elect2014!O4=O4,"N","Y")</f>
        <v>N</v>
      </c>
      <c r="Q4" s="1">
        <f t="shared" ref="Q4:R29" si="6">C4+J4</f>
        <v>40</v>
      </c>
      <c r="R4" s="1">
        <f t="shared" si="6"/>
        <v>98</v>
      </c>
      <c r="S4" s="16">
        <f t="shared" ref="S4:S29" si="7">Q4/(E4+L4)</f>
        <v>0.2857142857142857</v>
      </c>
      <c r="T4" s="16">
        <f t="shared" ref="T4:T29" si="8">ABS(S4-(1-S4))</f>
        <v>0.4285714285714286</v>
      </c>
      <c r="U4" s="1" t="str">
        <f t="shared" ref="U4:U29" si="9">IF(H4=O4,O4,"S")</f>
        <v>R</v>
      </c>
      <c r="V4" s="72" t="s">
        <v>19</v>
      </c>
      <c r="W4" s="1" t="str">
        <f t="shared" ref="W4:W29" si="10">IF(V4=U4,"U","D")</f>
        <v>U</v>
      </c>
      <c r="X4" s="1">
        <f>C4-Elect2014!C4</f>
        <v>-1</v>
      </c>
      <c r="Y4" s="1">
        <f>J4-Elect2014!J4</f>
        <v>0</v>
      </c>
      <c r="Z4" s="1">
        <f t="shared" ref="Z4:Z53" si="11">AD4+AE4</f>
        <v>0</v>
      </c>
    </row>
    <row r="5" spans="1:26" ht="16">
      <c r="A5" s="12" t="s">
        <v>27</v>
      </c>
      <c r="B5" s="13" t="s">
        <v>28</v>
      </c>
      <c r="C5" s="74">
        <v>17</v>
      </c>
      <c r="D5" s="74">
        <v>21</v>
      </c>
      <c r="E5" s="43">
        <v>40</v>
      </c>
      <c r="F5" s="16">
        <f t="shared" si="0"/>
        <v>0.42499999999999999</v>
      </c>
      <c r="G5" s="16">
        <f t="shared" si="1"/>
        <v>0.14999999999999997</v>
      </c>
      <c r="H5" s="1" t="str">
        <f t="shared" si="2"/>
        <v>R</v>
      </c>
      <c r="I5" s="17" t="str">
        <f>IF(Elect2014!H5=H5,"N","Y")</f>
        <v>N</v>
      </c>
      <c r="J5" s="74">
        <v>6</v>
      </c>
      <c r="K5" s="74">
        <v>14</v>
      </c>
      <c r="L5" s="43">
        <v>20</v>
      </c>
      <c r="M5" s="16">
        <f t="shared" si="3"/>
        <v>0.3</v>
      </c>
      <c r="N5" s="16">
        <f t="shared" si="4"/>
        <v>0.39999999999999997</v>
      </c>
      <c r="O5" s="1" t="str">
        <f t="shared" si="5"/>
        <v>R</v>
      </c>
      <c r="P5" s="17" t="str">
        <f>IF(Elect2014!O5=O5,"N","Y")</f>
        <v>N</v>
      </c>
      <c r="Q5" s="1">
        <f t="shared" si="6"/>
        <v>23</v>
      </c>
      <c r="R5" s="1">
        <f t="shared" si="6"/>
        <v>35</v>
      </c>
      <c r="S5" s="16">
        <f t="shared" si="7"/>
        <v>0.38333333333333336</v>
      </c>
      <c r="T5" s="16">
        <f t="shared" si="8"/>
        <v>0.23333333333333334</v>
      </c>
      <c r="U5" s="1" t="str">
        <f t="shared" si="9"/>
        <v>R</v>
      </c>
      <c r="V5" s="72" t="s">
        <v>112</v>
      </c>
      <c r="W5" s="1" t="str">
        <f t="shared" si="10"/>
        <v>D</v>
      </c>
      <c r="X5" s="1">
        <f>C5-Elect2014!C5</f>
        <v>1</v>
      </c>
      <c r="Y5" s="1">
        <f>J5-Elect2014!J5</f>
        <v>0</v>
      </c>
      <c r="Z5" s="1">
        <f t="shared" si="11"/>
        <v>0</v>
      </c>
    </row>
    <row r="6" spans="1:26" ht="16">
      <c r="A6" s="12" t="s">
        <v>29</v>
      </c>
      <c r="B6" s="13" t="s">
        <v>28</v>
      </c>
      <c r="C6" s="74">
        <v>25</v>
      </c>
      <c r="D6" s="74">
        <v>35</v>
      </c>
      <c r="E6" s="43">
        <v>60</v>
      </c>
      <c r="F6" s="16">
        <f t="shared" si="0"/>
        <v>0.41666666666666669</v>
      </c>
      <c r="G6" s="16">
        <f t="shared" si="1"/>
        <v>0.16666666666666657</v>
      </c>
      <c r="H6" s="1" t="str">
        <f t="shared" si="2"/>
        <v>R</v>
      </c>
      <c r="I6" s="17" t="str">
        <f>IF(Elect2014!H6=H6,"N","Y")</f>
        <v>N</v>
      </c>
      <c r="J6" s="74">
        <v>13</v>
      </c>
      <c r="K6" s="74">
        <v>17</v>
      </c>
      <c r="L6" s="43">
        <v>30</v>
      </c>
      <c r="M6" s="16">
        <f t="shared" si="3"/>
        <v>0.43333333333333335</v>
      </c>
      <c r="N6" s="16">
        <f t="shared" si="4"/>
        <v>0.1333333333333333</v>
      </c>
      <c r="O6" s="1" t="str">
        <f t="shared" si="5"/>
        <v>R</v>
      </c>
      <c r="P6" s="17" t="str">
        <f>IF(Elect2014!O6=O6,"N","Y")</f>
        <v>N</v>
      </c>
      <c r="Q6" s="1">
        <f t="shared" si="6"/>
        <v>38</v>
      </c>
      <c r="R6" s="1">
        <f t="shared" si="6"/>
        <v>52</v>
      </c>
      <c r="S6" s="16">
        <f t="shared" si="7"/>
        <v>0.42222222222222222</v>
      </c>
      <c r="T6" s="16">
        <f t="shared" si="8"/>
        <v>0.1555555555555555</v>
      </c>
      <c r="U6" s="1" t="str">
        <f t="shared" si="9"/>
        <v>R</v>
      </c>
      <c r="V6" s="72" t="s">
        <v>19</v>
      </c>
      <c r="W6" s="1" t="str">
        <f t="shared" si="10"/>
        <v>U</v>
      </c>
      <c r="X6" s="1">
        <f>C6-Elect2014!C6</f>
        <v>3</v>
      </c>
      <c r="Y6" s="1">
        <f>J6-Elect2014!J6</f>
        <v>2</v>
      </c>
      <c r="Z6" s="1">
        <f t="shared" si="11"/>
        <v>0</v>
      </c>
    </row>
    <row r="7" spans="1:26" ht="16">
      <c r="A7" s="12" t="s">
        <v>30</v>
      </c>
      <c r="B7" s="13" t="s">
        <v>26</v>
      </c>
      <c r="C7" s="74">
        <v>25</v>
      </c>
      <c r="D7" s="74">
        <v>75</v>
      </c>
      <c r="E7" s="43">
        <v>100</v>
      </c>
      <c r="F7" s="16">
        <f t="shared" si="0"/>
        <v>0.25</v>
      </c>
      <c r="G7" s="16">
        <f t="shared" si="1"/>
        <v>0.5</v>
      </c>
      <c r="H7" s="1" t="str">
        <f t="shared" si="2"/>
        <v>R</v>
      </c>
      <c r="I7" s="17" t="str">
        <f>IF(Elect2014!H7=H7,"N","Y")</f>
        <v>N</v>
      </c>
      <c r="J7" s="74">
        <v>9</v>
      </c>
      <c r="K7" s="74">
        <v>26</v>
      </c>
      <c r="L7" s="43">
        <v>35</v>
      </c>
      <c r="M7" s="16">
        <f t="shared" si="3"/>
        <v>0.25714285714285712</v>
      </c>
      <c r="N7" s="16">
        <f t="shared" si="4"/>
        <v>0.48571428571428577</v>
      </c>
      <c r="O7" s="1" t="str">
        <f t="shared" si="5"/>
        <v>R</v>
      </c>
      <c r="P7" s="17" t="str">
        <f>IF(Elect2014!O7=O7,"N","Y")</f>
        <v>N</v>
      </c>
      <c r="Q7" s="1">
        <f t="shared" si="6"/>
        <v>34</v>
      </c>
      <c r="R7" s="1">
        <f t="shared" si="6"/>
        <v>101</v>
      </c>
      <c r="S7" s="16">
        <f t="shared" si="7"/>
        <v>0.25185185185185183</v>
      </c>
      <c r="T7" s="16">
        <f t="shared" si="8"/>
        <v>0.4962962962962964</v>
      </c>
      <c r="U7" s="1" t="str">
        <f t="shared" si="9"/>
        <v>R</v>
      </c>
      <c r="V7" s="72" t="s">
        <v>19</v>
      </c>
      <c r="W7" s="1" t="str">
        <f t="shared" si="10"/>
        <v>U</v>
      </c>
      <c r="X7" s="1">
        <f>C7-Elect2014!C7</f>
        <v>-11</v>
      </c>
      <c r="Y7" s="1">
        <f>J7-Elect2014!J7</f>
        <v>-2</v>
      </c>
      <c r="Z7" s="1">
        <f t="shared" si="11"/>
        <v>0</v>
      </c>
    </row>
    <row r="8" spans="1:26" ht="16">
      <c r="A8" s="12" t="s">
        <v>31</v>
      </c>
      <c r="B8" s="13" t="s">
        <v>28</v>
      </c>
      <c r="C8" s="74">
        <v>55</v>
      </c>
      <c r="D8" s="74">
        <v>25</v>
      </c>
      <c r="E8" s="45">
        <v>80</v>
      </c>
      <c r="F8" s="16">
        <f t="shared" si="0"/>
        <v>0.6875</v>
      </c>
      <c r="G8" s="16">
        <f t="shared" si="1"/>
        <v>0.375</v>
      </c>
      <c r="H8" s="1" t="str">
        <f t="shared" si="2"/>
        <v>D</v>
      </c>
      <c r="I8" s="17" t="str">
        <f>IF(Elect2014!H8=H8,"N","Y")</f>
        <v>N</v>
      </c>
      <c r="J8" s="74">
        <v>27</v>
      </c>
      <c r="K8" s="74">
        <v>13</v>
      </c>
      <c r="L8" s="45">
        <v>40</v>
      </c>
      <c r="M8" s="16">
        <f t="shared" si="3"/>
        <v>0.67500000000000004</v>
      </c>
      <c r="N8" s="16">
        <f t="shared" si="4"/>
        <v>0.35000000000000009</v>
      </c>
      <c r="O8" s="1" t="str">
        <f t="shared" si="5"/>
        <v>D</v>
      </c>
      <c r="P8" s="17" t="str">
        <f>IF(Elect2014!O8=O8,"N","Y")</f>
        <v>N</v>
      </c>
      <c r="Q8" s="1">
        <f t="shared" si="6"/>
        <v>82</v>
      </c>
      <c r="R8" s="1">
        <f t="shared" si="6"/>
        <v>38</v>
      </c>
      <c r="S8" s="16">
        <f t="shared" si="7"/>
        <v>0.68333333333333335</v>
      </c>
      <c r="T8" s="16">
        <f t="shared" si="8"/>
        <v>0.3666666666666667</v>
      </c>
      <c r="U8" s="1" t="str">
        <f t="shared" si="9"/>
        <v>D</v>
      </c>
      <c r="V8" s="77" t="s">
        <v>18</v>
      </c>
      <c r="W8" s="1" t="str">
        <f t="shared" si="10"/>
        <v>U</v>
      </c>
      <c r="X8" s="1">
        <f>C8-Elect2014!C8</f>
        <v>3</v>
      </c>
      <c r="Y8" s="1">
        <f>J8-Elect2014!J8</f>
        <v>2</v>
      </c>
      <c r="Z8" s="1">
        <f t="shared" si="11"/>
        <v>0</v>
      </c>
    </row>
    <row r="9" spans="1:26" ht="16">
      <c r="A9" s="12" t="s">
        <v>32</v>
      </c>
      <c r="B9" s="13" t="s">
        <v>28</v>
      </c>
      <c r="C9" s="74">
        <v>37</v>
      </c>
      <c r="D9" s="74">
        <v>28</v>
      </c>
      <c r="E9" s="47">
        <v>65</v>
      </c>
      <c r="F9" s="16">
        <f t="shared" si="0"/>
        <v>0.56923076923076921</v>
      </c>
      <c r="G9" s="16">
        <f t="shared" si="1"/>
        <v>0.13846153846153841</v>
      </c>
      <c r="H9" s="1" t="str">
        <f t="shared" si="2"/>
        <v>D</v>
      </c>
      <c r="I9" s="17" t="str">
        <f>IF(Elect2014!H9=H9,"N","Y")</f>
        <v>N</v>
      </c>
      <c r="J9" s="74">
        <v>17</v>
      </c>
      <c r="K9" s="74">
        <v>18</v>
      </c>
      <c r="L9" s="47">
        <v>35</v>
      </c>
      <c r="M9" s="16">
        <f t="shared" si="3"/>
        <v>0.48571428571428571</v>
      </c>
      <c r="N9" s="16">
        <f t="shared" si="4"/>
        <v>2.8571428571428525E-2</v>
      </c>
      <c r="O9" s="1" t="str">
        <f t="shared" si="5"/>
        <v>R</v>
      </c>
      <c r="P9" s="17" t="str">
        <f>IF(Elect2014!O9=O9,"N","Y")</f>
        <v>N</v>
      </c>
      <c r="Q9" s="1">
        <f t="shared" si="6"/>
        <v>54</v>
      </c>
      <c r="R9" s="1">
        <f t="shared" si="6"/>
        <v>46</v>
      </c>
      <c r="S9" s="16">
        <f t="shared" si="7"/>
        <v>0.54</v>
      </c>
      <c r="T9" s="16">
        <f t="shared" si="8"/>
        <v>8.0000000000000071E-2</v>
      </c>
      <c r="U9" s="1" t="str">
        <f t="shared" si="9"/>
        <v>S</v>
      </c>
      <c r="V9" s="78" t="s">
        <v>18</v>
      </c>
      <c r="W9" s="1" t="str">
        <f t="shared" si="10"/>
        <v>D</v>
      </c>
      <c r="X9" s="1">
        <f>C9-Elect2014!C9</f>
        <v>4</v>
      </c>
      <c r="Y9" s="1">
        <f>J9-Elect2014!J9</f>
        <v>1</v>
      </c>
      <c r="Z9" s="1">
        <f t="shared" si="11"/>
        <v>0</v>
      </c>
    </row>
    <row r="10" spans="1:26" ht="16">
      <c r="A10" s="12" t="s">
        <v>33</v>
      </c>
      <c r="B10" s="13" t="s">
        <v>34</v>
      </c>
      <c r="C10" s="74">
        <v>79</v>
      </c>
      <c r="D10" s="74">
        <v>72</v>
      </c>
      <c r="E10" s="43">
        <v>151</v>
      </c>
      <c r="F10" s="16">
        <f t="shared" si="0"/>
        <v>0.52317880794701987</v>
      </c>
      <c r="G10" s="16">
        <f t="shared" si="1"/>
        <v>4.635761589403975E-2</v>
      </c>
      <c r="H10" s="1" t="str">
        <f t="shared" si="2"/>
        <v>D</v>
      </c>
      <c r="I10" s="17" t="str">
        <f>IF(Elect2014!H10=H10,"N","Y")</f>
        <v>N</v>
      </c>
      <c r="J10" s="74">
        <v>18</v>
      </c>
      <c r="K10" s="74">
        <v>18</v>
      </c>
      <c r="L10" s="43">
        <v>36</v>
      </c>
      <c r="M10" s="16">
        <f t="shared" si="3"/>
        <v>0.5</v>
      </c>
      <c r="N10" s="16">
        <f t="shared" si="4"/>
        <v>0</v>
      </c>
      <c r="O10" s="1" t="str">
        <f t="shared" si="5"/>
        <v>T</v>
      </c>
      <c r="P10" s="17" t="str">
        <f>IF(Elect2014!O10=O10,"N","Y")</f>
        <v>Y</v>
      </c>
      <c r="Q10" s="1">
        <f t="shared" si="6"/>
        <v>97</v>
      </c>
      <c r="R10" s="1">
        <f t="shared" si="6"/>
        <v>90</v>
      </c>
      <c r="S10" s="16">
        <f t="shared" si="7"/>
        <v>0.51871657754010692</v>
      </c>
      <c r="T10" s="16">
        <f t="shared" si="8"/>
        <v>3.7433155080213831E-2</v>
      </c>
      <c r="U10" s="1" t="str">
        <f t="shared" si="9"/>
        <v>S</v>
      </c>
      <c r="V10" s="72" t="s">
        <v>18</v>
      </c>
      <c r="W10" s="1" t="str">
        <f t="shared" si="10"/>
        <v>D</v>
      </c>
      <c r="X10" s="1">
        <f>C10-Elect2014!C10</f>
        <v>-8</v>
      </c>
      <c r="Y10" s="1">
        <f>J10-Elect2014!J10</f>
        <v>-3</v>
      </c>
      <c r="Z10" s="1">
        <f t="shared" si="11"/>
        <v>0</v>
      </c>
    </row>
    <row r="11" spans="1:26" ht="16">
      <c r="A11" s="12" t="s">
        <v>35</v>
      </c>
      <c r="B11" s="13" t="s">
        <v>34</v>
      </c>
      <c r="C11" s="74">
        <v>25</v>
      </c>
      <c r="D11" s="74">
        <v>16</v>
      </c>
      <c r="E11" s="43">
        <v>41</v>
      </c>
      <c r="F11" s="16">
        <f t="shared" si="0"/>
        <v>0.6097560975609756</v>
      </c>
      <c r="G11" s="16">
        <f t="shared" si="1"/>
        <v>0.21951219512195119</v>
      </c>
      <c r="H11" s="1" t="str">
        <f t="shared" si="2"/>
        <v>D</v>
      </c>
      <c r="I11" s="17" t="str">
        <f>IF(Elect2014!H11=H11,"N","Y")</f>
        <v>N</v>
      </c>
      <c r="J11" s="74">
        <v>11</v>
      </c>
      <c r="K11" s="74">
        <v>10</v>
      </c>
      <c r="L11" s="43">
        <v>21</v>
      </c>
      <c r="M11" s="16">
        <f t="shared" si="3"/>
        <v>0.52380952380952384</v>
      </c>
      <c r="N11" s="16">
        <f t="shared" si="4"/>
        <v>4.7619047619047672E-2</v>
      </c>
      <c r="O11" s="1" t="str">
        <f t="shared" si="5"/>
        <v>D</v>
      </c>
      <c r="P11" s="17" t="str">
        <f>IF(Elect2014!O11=O11,"N","Y")</f>
        <v>N</v>
      </c>
      <c r="Q11" s="1">
        <f t="shared" si="6"/>
        <v>36</v>
      </c>
      <c r="R11" s="1">
        <f t="shared" si="6"/>
        <v>26</v>
      </c>
      <c r="S11" s="16">
        <f t="shared" si="7"/>
        <v>0.58064516129032262</v>
      </c>
      <c r="T11" s="16">
        <f t="shared" si="8"/>
        <v>0.16129032258064524</v>
      </c>
      <c r="U11" s="1" t="str">
        <f t="shared" si="9"/>
        <v>D</v>
      </c>
      <c r="V11" s="72" t="s">
        <v>18</v>
      </c>
      <c r="W11" s="1" t="str">
        <f t="shared" si="10"/>
        <v>U</v>
      </c>
      <c r="X11" s="1">
        <f>C11-Elect2014!C11</f>
        <v>0</v>
      </c>
      <c r="Y11" s="1">
        <f>J11-Elect2014!J11</f>
        <v>-1</v>
      </c>
      <c r="Z11" s="1">
        <f t="shared" si="11"/>
        <v>0</v>
      </c>
    </row>
    <row r="12" spans="1:26" ht="16">
      <c r="A12" s="12" t="s">
        <v>36</v>
      </c>
      <c r="B12" s="13" t="s">
        <v>26</v>
      </c>
      <c r="C12" s="74">
        <v>41</v>
      </c>
      <c r="D12" s="74">
        <v>79</v>
      </c>
      <c r="E12" s="43">
        <v>120</v>
      </c>
      <c r="F12" s="16">
        <f t="shared" si="0"/>
        <v>0.34166666666666667</v>
      </c>
      <c r="G12" s="16">
        <f t="shared" si="1"/>
        <v>0.31666666666666665</v>
      </c>
      <c r="H12" s="1" t="str">
        <f t="shared" si="2"/>
        <v>R</v>
      </c>
      <c r="I12" s="17" t="str">
        <f>IF(Elect2014!H12=H12,"N","Y")</f>
        <v>N</v>
      </c>
      <c r="J12" s="74">
        <v>15</v>
      </c>
      <c r="K12" s="74">
        <v>25</v>
      </c>
      <c r="L12" s="43">
        <v>40</v>
      </c>
      <c r="M12" s="16">
        <f t="shared" si="3"/>
        <v>0.375</v>
      </c>
      <c r="N12" s="16">
        <f t="shared" si="4"/>
        <v>0.25</v>
      </c>
      <c r="O12" s="1" t="str">
        <f t="shared" si="5"/>
        <v>R</v>
      </c>
      <c r="P12" s="17" t="str">
        <f>IF(Elect2014!O12=O12,"N","Y")</f>
        <v>N</v>
      </c>
      <c r="Q12" s="1">
        <f t="shared" si="6"/>
        <v>56</v>
      </c>
      <c r="R12" s="1">
        <f t="shared" si="6"/>
        <v>104</v>
      </c>
      <c r="S12" s="16">
        <f t="shared" si="7"/>
        <v>0.35</v>
      </c>
      <c r="T12" s="16">
        <f t="shared" si="8"/>
        <v>0.30000000000000004</v>
      </c>
      <c r="U12" s="1" t="str">
        <f t="shared" si="9"/>
        <v>R</v>
      </c>
      <c r="V12" s="72" t="s">
        <v>19</v>
      </c>
      <c r="W12" s="1" t="str">
        <f t="shared" si="10"/>
        <v>U</v>
      </c>
      <c r="X12" s="1">
        <f>C12-Elect2014!C12</f>
        <v>4</v>
      </c>
      <c r="Y12" s="1">
        <f>J12-Elect2014!J12</f>
        <v>1</v>
      </c>
      <c r="Z12" s="1">
        <f t="shared" si="11"/>
        <v>0</v>
      </c>
    </row>
    <row r="13" spans="1:26" ht="16">
      <c r="A13" s="12" t="s">
        <v>37</v>
      </c>
      <c r="B13" s="13" t="s">
        <v>26</v>
      </c>
      <c r="C13" s="74">
        <v>62</v>
      </c>
      <c r="D13" s="74">
        <v>118</v>
      </c>
      <c r="E13" s="45">
        <v>180</v>
      </c>
      <c r="F13" s="16">
        <f t="shared" si="0"/>
        <v>0.34444444444444444</v>
      </c>
      <c r="G13" s="16">
        <f t="shared" si="1"/>
        <v>0.31111111111111112</v>
      </c>
      <c r="H13" s="1" t="str">
        <f t="shared" si="2"/>
        <v>R</v>
      </c>
      <c r="I13" s="17" t="str">
        <f>IF(Elect2014!H13=H13,"N","Y")</f>
        <v>N</v>
      </c>
      <c r="J13" s="74">
        <v>18</v>
      </c>
      <c r="K13" s="74">
        <v>38</v>
      </c>
      <c r="L13" s="45">
        <v>56</v>
      </c>
      <c r="M13" s="16">
        <f t="shared" si="3"/>
        <v>0.32142857142857145</v>
      </c>
      <c r="N13" s="16">
        <f t="shared" si="4"/>
        <v>0.35714285714285715</v>
      </c>
      <c r="O13" s="1" t="str">
        <f t="shared" si="5"/>
        <v>R</v>
      </c>
      <c r="P13" s="17" t="str">
        <f>IF(Elect2014!O13=O13,"N","Y")</f>
        <v>N</v>
      </c>
      <c r="Q13" s="1">
        <f t="shared" si="6"/>
        <v>80</v>
      </c>
      <c r="R13" s="1">
        <f t="shared" si="6"/>
        <v>156</v>
      </c>
      <c r="S13" s="16">
        <f t="shared" si="7"/>
        <v>0.33898305084745761</v>
      </c>
      <c r="T13" s="16">
        <f t="shared" si="8"/>
        <v>0.32203389830508478</v>
      </c>
      <c r="U13" s="1" t="str">
        <f t="shared" si="9"/>
        <v>R</v>
      </c>
      <c r="V13" s="77" t="s">
        <v>19</v>
      </c>
      <c r="W13" s="1" t="str">
        <f t="shared" si="10"/>
        <v>U</v>
      </c>
      <c r="X13" s="1">
        <f>C13-Elect2014!C13</f>
        <v>3</v>
      </c>
      <c r="Y13" s="1">
        <f>J13-Elect2014!J13</f>
        <v>0</v>
      </c>
      <c r="Z13" s="1">
        <f t="shared" si="11"/>
        <v>0</v>
      </c>
    </row>
    <row r="14" spans="1:26" ht="16">
      <c r="A14" s="12" t="s">
        <v>38</v>
      </c>
      <c r="B14" s="13" t="s">
        <v>28</v>
      </c>
      <c r="C14" s="74">
        <v>45</v>
      </c>
      <c r="D14" s="74">
        <v>6</v>
      </c>
      <c r="E14" s="47">
        <v>51</v>
      </c>
      <c r="F14" s="16">
        <f t="shared" si="0"/>
        <v>0.88235294117647056</v>
      </c>
      <c r="G14" s="16">
        <f t="shared" si="1"/>
        <v>0.76470588235294112</v>
      </c>
      <c r="H14" s="1" t="str">
        <f t="shared" si="2"/>
        <v>D</v>
      </c>
      <c r="I14" s="17" t="str">
        <f>IF(Elect2014!H14=H14,"N","Y")</f>
        <v>N</v>
      </c>
      <c r="J14" s="74">
        <v>25</v>
      </c>
      <c r="K14" s="74">
        <v>0</v>
      </c>
      <c r="L14" s="47">
        <v>25</v>
      </c>
      <c r="M14" s="16">
        <f t="shared" si="3"/>
        <v>1</v>
      </c>
      <c r="N14" s="16">
        <f t="shared" si="4"/>
        <v>1</v>
      </c>
      <c r="O14" s="1" t="str">
        <f t="shared" si="5"/>
        <v>D</v>
      </c>
      <c r="P14" s="17" t="str">
        <f>IF(Elect2014!O14=O14,"N","Y")</f>
        <v>N</v>
      </c>
      <c r="Q14" s="1">
        <f t="shared" si="6"/>
        <v>70</v>
      </c>
      <c r="R14" s="1">
        <f t="shared" si="6"/>
        <v>6</v>
      </c>
      <c r="S14" s="16">
        <f t="shared" si="7"/>
        <v>0.92105263157894735</v>
      </c>
      <c r="T14" s="16">
        <f t="shared" si="8"/>
        <v>0.84210526315789469</v>
      </c>
      <c r="U14" s="1" t="str">
        <f t="shared" si="9"/>
        <v>D</v>
      </c>
      <c r="V14" s="78" t="s">
        <v>18</v>
      </c>
      <c r="W14" s="1" t="str">
        <f t="shared" si="10"/>
        <v>U</v>
      </c>
      <c r="X14" s="1">
        <f>C14-Elect2014!C14</f>
        <v>2</v>
      </c>
      <c r="Y14" s="1">
        <f>J14-Elect2014!J14</f>
        <v>1</v>
      </c>
      <c r="Z14" s="1">
        <f t="shared" si="11"/>
        <v>0</v>
      </c>
    </row>
    <row r="15" spans="1:26" ht="16">
      <c r="A15" s="12" t="s">
        <v>39</v>
      </c>
      <c r="B15" s="13" t="s">
        <v>28</v>
      </c>
      <c r="C15" s="74">
        <v>11</v>
      </c>
      <c r="D15" s="74">
        <v>59</v>
      </c>
      <c r="E15" s="43">
        <v>70</v>
      </c>
      <c r="F15" s="16">
        <f t="shared" si="0"/>
        <v>0.15714285714285714</v>
      </c>
      <c r="G15" s="16">
        <f t="shared" si="1"/>
        <v>0.68571428571428572</v>
      </c>
      <c r="H15" s="1" t="str">
        <f t="shared" si="2"/>
        <v>R</v>
      </c>
      <c r="I15" s="17" t="str">
        <f>IF(Elect2014!H15=H15,"N","Y")</f>
        <v>N</v>
      </c>
      <c r="J15" s="74">
        <v>6</v>
      </c>
      <c r="K15" s="74">
        <v>29</v>
      </c>
      <c r="L15" s="43">
        <v>35</v>
      </c>
      <c r="M15" s="16">
        <f t="shared" si="3"/>
        <v>0.17142857142857143</v>
      </c>
      <c r="N15" s="16">
        <f t="shared" si="4"/>
        <v>0.65714285714285703</v>
      </c>
      <c r="O15" s="1" t="str">
        <f t="shared" si="5"/>
        <v>R</v>
      </c>
      <c r="P15" s="17" t="str">
        <f>IF(Elect2014!O15=O15,"N","Y")</f>
        <v>N</v>
      </c>
      <c r="Q15" s="1">
        <f t="shared" si="6"/>
        <v>17</v>
      </c>
      <c r="R15" s="1">
        <f t="shared" si="6"/>
        <v>88</v>
      </c>
      <c r="S15" s="16">
        <f t="shared" si="7"/>
        <v>0.16190476190476191</v>
      </c>
      <c r="T15" s="16">
        <f t="shared" si="8"/>
        <v>0.67619047619047623</v>
      </c>
      <c r="U15" s="1" t="str">
        <f t="shared" si="9"/>
        <v>R</v>
      </c>
      <c r="V15" s="72" t="s">
        <v>19</v>
      </c>
      <c r="W15" s="1" t="str">
        <f t="shared" si="10"/>
        <v>U</v>
      </c>
      <c r="X15" s="1">
        <f>C15-Elect2014!C15</f>
        <v>-3</v>
      </c>
      <c r="Y15" s="1">
        <f>J15-Elect2014!J15</f>
        <v>-1</v>
      </c>
      <c r="Z15" s="1">
        <f t="shared" si="11"/>
        <v>0</v>
      </c>
    </row>
    <row r="16" spans="1:26" ht="16">
      <c r="A16" s="12" t="s">
        <v>40</v>
      </c>
      <c r="B16" s="13" t="s">
        <v>41</v>
      </c>
      <c r="C16" s="74">
        <v>67</v>
      </c>
      <c r="D16" s="74">
        <v>51</v>
      </c>
      <c r="E16" s="43">
        <v>118</v>
      </c>
      <c r="F16" s="16">
        <f t="shared" si="0"/>
        <v>0.56779661016949157</v>
      </c>
      <c r="G16" s="16">
        <f t="shared" si="1"/>
        <v>0.13559322033898313</v>
      </c>
      <c r="H16" s="1" t="str">
        <f t="shared" si="2"/>
        <v>D</v>
      </c>
      <c r="I16" s="17" t="str">
        <f>IF(Elect2014!H16=H16,"N","Y")</f>
        <v>N</v>
      </c>
      <c r="J16" s="74">
        <v>37</v>
      </c>
      <c r="K16" s="74">
        <v>22</v>
      </c>
      <c r="L16" s="43">
        <v>59</v>
      </c>
      <c r="M16" s="16">
        <f t="shared" si="3"/>
        <v>0.6271186440677966</v>
      </c>
      <c r="N16" s="16">
        <f t="shared" si="4"/>
        <v>0.25423728813559321</v>
      </c>
      <c r="O16" s="1" t="str">
        <f t="shared" si="5"/>
        <v>D</v>
      </c>
      <c r="P16" s="17" t="str">
        <f>IF(Elect2014!O16=O16,"N","Y")</f>
        <v>N</v>
      </c>
      <c r="Q16" s="1">
        <f t="shared" si="6"/>
        <v>104</v>
      </c>
      <c r="R16" s="1">
        <f t="shared" si="6"/>
        <v>73</v>
      </c>
      <c r="S16" s="16">
        <f t="shared" si="7"/>
        <v>0.58757062146892658</v>
      </c>
      <c r="T16" s="16">
        <f t="shared" si="8"/>
        <v>0.17514124293785316</v>
      </c>
      <c r="U16" s="1" t="str">
        <f t="shared" si="9"/>
        <v>D</v>
      </c>
      <c r="V16" s="72" t="s">
        <v>19</v>
      </c>
      <c r="W16" s="1" t="str">
        <f t="shared" si="10"/>
        <v>D</v>
      </c>
      <c r="X16" s="1">
        <f>C16-Elect2014!C16</f>
        <v>-4</v>
      </c>
      <c r="Y16" s="1">
        <f>J16-Elect2014!J16</f>
        <v>-2</v>
      </c>
      <c r="Z16" s="1">
        <f t="shared" si="11"/>
        <v>0</v>
      </c>
    </row>
    <row r="17" spans="1:26" ht="16">
      <c r="A17" s="12" t="s">
        <v>42</v>
      </c>
      <c r="B17" s="13" t="s">
        <v>41</v>
      </c>
      <c r="C17" s="74">
        <v>30</v>
      </c>
      <c r="D17" s="74">
        <v>70</v>
      </c>
      <c r="E17" s="43">
        <v>100</v>
      </c>
      <c r="F17" s="16">
        <f t="shared" si="0"/>
        <v>0.3</v>
      </c>
      <c r="G17" s="16">
        <f t="shared" si="1"/>
        <v>0.39999999999999997</v>
      </c>
      <c r="H17" s="1" t="str">
        <f t="shared" si="2"/>
        <v>R</v>
      </c>
      <c r="I17" s="17" t="str">
        <f>IF(Elect2014!H17=H17,"N","Y")</f>
        <v>N</v>
      </c>
      <c r="J17" s="74">
        <v>9</v>
      </c>
      <c r="K17" s="74">
        <v>41</v>
      </c>
      <c r="L17" s="43">
        <v>50</v>
      </c>
      <c r="M17" s="16">
        <f t="shared" si="3"/>
        <v>0.18</v>
      </c>
      <c r="N17" s="16">
        <f t="shared" si="4"/>
        <v>0.64000000000000012</v>
      </c>
      <c r="O17" s="1" t="str">
        <f t="shared" si="5"/>
        <v>R</v>
      </c>
      <c r="P17" s="17" t="str">
        <f>IF(Elect2014!O17=O17,"N","Y")</f>
        <v>N</v>
      </c>
      <c r="Q17" s="1">
        <f t="shared" si="6"/>
        <v>39</v>
      </c>
      <c r="R17" s="1">
        <f t="shared" si="6"/>
        <v>111</v>
      </c>
      <c r="S17" s="16">
        <f t="shared" si="7"/>
        <v>0.26</v>
      </c>
      <c r="T17" s="16">
        <f t="shared" si="8"/>
        <v>0.48</v>
      </c>
      <c r="U17" s="1" t="str">
        <f t="shared" si="9"/>
        <v>R</v>
      </c>
      <c r="V17" s="72" t="s">
        <v>19</v>
      </c>
      <c r="W17" s="1" t="str">
        <f t="shared" si="10"/>
        <v>U</v>
      </c>
      <c r="X17" s="1">
        <f>C17-Elect2014!C17</f>
        <v>0</v>
      </c>
      <c r="Y17" s="1">
        <f>J17-Elect2014!J17</f>
        <v>-1</v>
      </c>
      <c r="Z17" s="1">
        <f t="shared" si="11"/>
        <v>0</v>
      </c>
    </row>
    <row r="18" spans="1:26" ht="16">
      <c r="A18" s="12" t="s">
        <v>43</v>
      </c>
      <c r="B18" s="13" t="s">
        <v>41</v>
      </c>
      <c r="C18" s="74">
        <v>41</v>
      </c>
      <c r="D18" s="74">
        <v>59</v>
      </c>
      <c r="E18" s="45">
        <v>100</v>
      </c>
      <c r="F18" s="16">
        <f t="shared" si="0"/>
        <v>0.41</v>
      </c>
      <c r="G18" s="16">
        <f t="shared" si="1"/>
        <v>0.1800000000000001</v>
      </c>
      <c r="H18" s="1" t="str">
        <f t="shared" si="2"/>
        <v>R</v>
      </c>
      <c r="I18" s="17" t="str">
        <f>IF(Elect2014!H18=H18,"N","Y")</f>
        <v>N</v>
      </c>
      <c r="J18" s="74">
        <v>20</v>
      </c>
      <c r="K18" s="74">
        <v>29</v>
      </c>
      <c r="L18" s="45">
        <v>50</v>
      </c>
      <c r="M18" s="16">
        <f t="shared" si="3"/>
        <v>0.4</v>
      </c>
      <c r="N18" s="16">
        <f t="shared" si="4"/>
        <v>0.19999999999999996</v>
      </c>
      <c r="O18" s="1" t="str">
        <f t="shared" si="5"/>
        <v>R</v>
      </c>
      <c r="P18" s="17" t="str">
        <f>IF(Elect2014!O18=O18,"N","Y")</f>
        <v>Y</v>
      </c>
      <c r="Q18" s="1">
        <f t="shared" si="6"/>
        <v>61</v>
      </c>
      <c r="R18" s="1">
        <f t="shared" si="6"/>
        <v>88</v>
      </c>
      <c r="S18" s="16">
        <f t="shared" si="7"/>
        <v>0.40666666666666668</v>
      </c>
      <c r="T18" s="16">
        <f t="shared" si="8"/>
        <v>0.18666666666666659</v>
      </c>
      <c r="U18" s="1" t="str">
        <f t="shared" si="9"/>
        <v>R</v>
      </c>
      <c r="V18" s="77" t="s">
        <v>19</v>
      </c>
      <c r="W18" s="1" t="str">
        <f t="shared" si="10"/>
        <v>U</v>
      </c>
      <c r="X18" s="1">
        <f>C18-Elect2014!C18</f>
        <v>-2</v>
      </c>
      <c r="Y18" s="1">
        <f>J18-Elect2014!J18</f>
        <v>-6</v>
      </c>
      <c r="Z18" s="1">
        <f t="shared" si="11"/>
        <v>0</v>
      </c>
    </row>
    <row r="19" spans="1:26" ht="16">
      <c r="A19" s="12" t="s">
        <v>44</v>
      </c>
      <c r="B19" s="13" t="s">
        <v>41</v>
      </c>
      <c r="C19" s="74">
        <v>40</v>
      </c>
      <c r="D19" s="74">
        <v>85</v>
      </c>
      <c r="E19" s="47">
        <v>125</v>
      </c>
      <c r="F19" s="16">
        <f t="shared" si="0"/>
        <v>0.32</v>
      </c>
      <c r="G19" s="16">
        <f t="shared" si="1"/>
        <v>0.35999999999999993</v>
      </c>
      <c r="H19" s="1" t="str">
        <f t="shared" si="2"/>
        <v>R</v>
      </c>
      <c r="I19" s="17" t="str">
        <f>IF(Elect2014!H19=H19,"N","Y")</f>
        <v>N</v>
      </c>
      <c r="J19" s="74">
        <v>9</v>
      </c>
      <c r="K19" s="74">
        <v>31</v>
      </c>
      <c r="L19" s="47">
        <v>40</v>
      </c>
      <c r="M19" s="16">
        <f t="shared" si="3"/>
        <v>0.22500000000000001</v>
      </c>
      <c r="N19" s="16">
        <f t="shared" si="4"/>
        <v>0.55000000000000004</v>
      </c>
      <c r="O19" s="1" t="str">
        <f t="shared" si="5"/>
        <v>R</v>
      </c>
      <c r="P19" s="17" t="str">
        <f>IF(Elect2014!O19=O19,"N","Y")</f>
        <v>N</v>
      </c>
      <c r="Q19" s="1">
        <f t="shared" si="6"/>
        <v>49</v>
      </c>
      <c r="R19" s="1">
        <f t="shared" si="6"/>
        <v>116</v>
      </c>
      <c r="S19" s="16">
        <f t="shared" si="7"/>
        <v>0.29696969696969699</v>
      </c>
      <c r="T19" s="16">
        <f t="shared" si="8"/>
        <v>0.40606060606060601</v>
      </c>
      <c r="U19" s="1" t="str">
        <f t="shared" si="9"/>
        <v>R</v>
      </c>
      <c r="V19" s="78" t="s">
        <v>19</v>
      </c>
      <c r="W19" s="1" t="str">
        <f t="shared" si="10"/>
        <v>U</v>
      </c>
      <c r="X19" s="1">
        <f>C19-Elect2014!C19</f>
        <v>13</v>
      </c>
      <c r="Y19" s="1">
        <f>J19-Elect2014!J19</f>
        <v>1</v>
      </c>
      <c r="Z19" s="1">
        <f t="shared" si="11"/>
        <v>0</v>
      </c>
    </row>
    <row r="20" spans="1:26" ht="16">
      <c r="A20" s="12" t="s">
        <v>45</v>
      </c>
      <c r="B20" s="13" t="s">
        <v>26</v>
      </c>
      <c r="C20" s="74">
        <v>36</v>
      </c>
      <c r="D20" s="74">
        <v>64</v>
      </c>
      <c r="E20" s="43">
        <v>100</v>
      </c>
      <c r="F20" s="16">
        <f t="shared" si="0"/>
        <v>0.36</v>
      </c>
      <c r="G20" s="16">
        <f t="shared" si="1"/>
        <v>0.28000000000000003</v>
      </c>
      <c r="H20" s="1" t="str">
        <f t="shared" si="2"/>
        <v>R</v>
      </c>
      <c r="I20" s="17" t="str">
        <f>IF(Elect2014!H20=H20,"N","Y")</f>
        <v>Y</v>
      </c>
      <c r="J20" s="74">
        <v>11</v>
      </c>
      <c r="K20" s="74">
        <v>27</v>
      </c>
      <c r="L20" s="43">
        <v>38</v>
      </c>
      <c r="M20" s="16">
        <f t="shared" si="3"/>
        <v>0.28947368421052633</v>
      </c>
      <c r="N20" s="16">
        <f t="shared" si="4"/>
        <v>0.42105263157894735</v>
      </c>
      <c r="O20" s="1" t="str">
        <f t="shared" si="5"/>
        <v>R</v>
      </c>
      <c r="P20" s="17" t="str">
        <f>IF(Elect2014!O20=O20,"N","Y")</f>
        <v>N</v>
      </c>
      <c r="Q20" s="1">
        <f t="shared" si="6"/>
        <v>47</v>
      </c>
      <c r="R20" s="1">
        <f t="shared" si="6"/>
        <v>91</v>
      </c>
      <c r="S20" s="16">
        <f t="shared" si="7"/>
        <v>0.34057971014492755</v>
      </c>
      <c r="T20" s="16">
        <f t="shared" si="8"/>
        <v>0.31884057971014496</v>
      </c>
      <c r="U20" s="1" t="str">
        <f t="shared" si="9"/>
        <v>R</v>
      </c>
      <c r="V20" s="72" t="s">
        <v>19</v>
      </c>
      <c r="W20" s="1" t="str">
        <f t="shared" si="10"/>
        <v>U</v>
      </c>
      <c r="X20" s="1">
        <f>C20-Elect2014!C20</f>
        <v>-17</v>
      </c>
      <c r="Y20" s="1">
        <f>J20-Elect2014!J20</f>
        <v>-1</v>
      </c>
      <c r="Z20" s="1">
        <f t="shared" si="11"/>
        <v>0</v>
      </c>
    </row>
    <row r="21" spans="1:26" ht="16">
      <c r="A21" s="12" t="s">
        <v>46</v>
      </c>
      <c r="B21" s="13" t="s">
        <v>26</v>
      </c>
      <c r="C21" s="74">
        <v>42</v>
      </c>
      <c r="D21" s="74">
        <v>60</v>
      </c>
      <c r="E21" s="43">
        <v>105</v>
      </c>
      <c r="F21" s="16">
        <f t="shared" si="0"/>
        <v>0.4</v>
      </c>
      <c r="G21" s="16">
        <f t="shared" si="1"/>
        <v>0.19999999999999996</v>
      </c>
      <c r="H21" s="1" t="str">
        <f>IF(F21&gt;0.5,"D",IF(F21=0.5,"T","R"))</f>
        <v>R</v>
      </c>
      <c r="I21" s="17" t="str">
        <f>IF(Elect2014!H21=H21,"N","Y")</f>
        <v>N</v>
      </c>
      <c r="J21" s="74">
        <v>14</v>
      </c>
      <c r="K21" s="74">
        <v>25</v>
      </c>
      <c r="L21" s="43">
        <v>39</v>
      </c>
      <c r="M21" s="16">
        <f t="shared" si="3"/>
        <v>0.35897435897435898</v>
      </c>
      <c r="N21" s="16">
        <f t="shared" si="4"/>
        <v>0.28205128205128199</v>
      </c>
      <c r="O21" s="1" t="str">
        <f t="shared" si="5"/>
        <v>R</v>
      </c>
      <c r="P21" s="17" t="str">
        <f>IF(Elect2014!O21=O21,"N","Y")</f>
        <v>N</v>
      </c>
      <c r="Q21" s="1">
        <f t="shared" si="6"/>
        <v>56</v>
      </c>
      <c r="R21" s="1">
        <f t="shared" si="6"/>
        <v>85</v>
      </c>
      <c r="S21" s="16">
        <f t="shared" si="7"/>
        <v>0.3888888888888889</v>
      </c>
      <c r="T21" s="16">
        <f t="shared" si="8"/>
        <v>0.22222222222222227</v>
      </c>
      <c r="U21" s="1" t="str">
        <f t="shared" si="9"/>
        <v>R</v>
      </c>
      <c r="V21" s="72" t="s">
        <v>18</v>
      </c>
      <c r="W21" s="1" t="str">
        <f t="shared" si="10"/>
        <v>D</v>
      </c>
      <c r="X21" s="1">
        <f>C21-Elect2014!C21</f>
        <v>-2</v>
      </c>
      <c r="Y21" s="1">
        <f>J21-Elect2014!J21</f>
        <v>1</v>
      </c>
      <c r="Z21" s="1">
        <f t="shared" si="11"/>
        <v>0</v>
      </c>
    </row>
    <row r="22" spans="1:26" ht="16">
      <c r="A22" s="12" t="s">
        <v>47</v>
      </c>
      <c r="B22" s="13" t="s">
        <v>34</v>
      </c>
      <c r="C22" s="74">
        <v>76</v>
      </c>
      <c r="D22" s="74">
        <v>73</v>
      </c>
      <c r="E22" s="43">
        <v>151</v>
      </c>
      <c r="F22" s="16">
        <f t="shared" si="0"/>
        <v>0.50331125827814571</v>
      </c>
      <c r="G22" s="16">
        <f t="shared" si="1"/>
        <v>6.6225165562914245E-3</v>
      </c>
      <c r="H22" s="1" t="str">
        <f>IF(F22&gt;0.5,"D",IF(F22=0.5,"T","R"))</f>
        <v>D</v>
      </c>
      <c r="I22" s="17" t="str">
        <f>IF(Elect2014!H22=H22,"N","Y")</f>
        <v>N</v>
      </c>
      <c r="J22" s="74">
        <v>17</v>
      </c>
      <c r="K22" s="74">
        <v>18</v>
      </c>
      <c r="L22" s="43">
        <v>35</v>
      </c>
      <c r="M22" s="16">
        <f t="shared" si="3"/>
        <v>0.48571428571428571</v>
      </c>
      <c r="N22" s="16">
        <f t="shared" si="4"/>
        <v>2.8571428571428525E-2</v>
      </c>
      <c r="O22" s="1" t="str">
        <f t="shared" si="5"/>
        <v>R</v>
      </c>
      <c r="P22" s="17" t="str">
        <f>IF(Elect2014!O22=O22,"N","Y")</f>
        <v>N</v>
      </c>
      <c r="Q22" s="1">
        <f t="shared" si="6"/>
        <v>93</v>
      </c>
      <c r="R22" s="1">
        <f t="shared" si="6"/>
        <v>91</v>
      </c>
      <c r="S22" s="16">
        <f t="shared" si="7"/>
        <v>0.5</v>
      </c>
      <c r="T22" s="16">
        <f t="shared" si="8"/>
        <v>0</v>
      </c>
      <c r="U22" s="1" t="str">
        <f t="shared" si="9"/>
        <v>S</v>
      </c>
      <c r="V22" s="72" t="s">
        <v>19</v>
      </c>
      <c r="W22" s="1" t="str">
        <f t="shared" si="10"/>
        <v>D</v>
      </c>
      <c r="X22" s="1">
        <f>C22-Elect2014!C22</f>
        <v>-3</v>
      </c>
      <c r="Y22" s="1">
        <f>J22-Elect2014!J22</f>
        <v>2</v>
      </c>
      <c r="Z22" s="1">
        <f t="shared" si="11"/>
        <v>0</v>
      </c>
    </row>
    <row r="23" spans="1:26" ht="16">
      <c r="A23" s="12" t="s">
        <v>48</v>
      </c>
      <c r="B23" s="13" t="s">
        <v>26</v>
      </c>
      <c r="C23" s="74">
        <v>90</v>
      </c>
      <c r="D23" s="74">
        <v>51</v>
      </c>
      <c r="E23" s="45">
        <v>141</v>
      </c>
      <c r="F23" s="16">
        <f t="shared" si="0"/>
        <v>0.63829787234042556</v>
      </c>
      <c r="G23" s="16">
        <f t="shared" si="1"/>
        <v>0.27659574468085113</v>
      </c>
      <c r="H23" s="1" t="str">
        <f t="shared" si="2"/>
        <v>D</v>
      </c>
      <c r="I23" s="17" t="str">
        <f>IF(Elect2014!H23=H23,"N","Y")</f>
        <v>N</v>
      </c>
      <c r="J23" s="74">
        <v>33</v>
      </c>
      <c r="K23" s="74">
        <v>14</v>
      </c>
      <c r="L23" s="45">
        <v>47</v>
      </c>
      <c r="M23" s="16">
        <f t="shared" si="3"/>
        <v>0.7021276595744681</v>
      </c>
      <c r="N23" s="16">
        <f t="shared" si="4"/>
        <v>0.4042553191489362</v>
      </c>
      <c r="O23" s="1" t="str">
        <f t="shared" si="5"/>
        <v>D</v>
      </c>
      <c r="P23" s="17" t="str">
        <f>IF(Elect2014!O23=O23,"N","Y")</f>
        <v>N</v>
      </c>
      <c r="Q23" s="1">
        <f t="shared" si="6"/>
        <v>123</v>
      </c>
      <c r="R23" s="1">
        <f t="shared" si="6"/>
        <v>65</v>
      </c>
      <c r="S23" s="16">
        <f t="shared" si="7"/>
        <v>0.6542553191489362</v>
      </c>
      <c r="T23" s="16">
        <f t="shared" si="8"/>
        <v>0.3085106382978724</v>
      </c>
      <c r="U23" s="1" t="str">
        <f t="shared" si="9"/>
        <v>D</v>
      </c>
      <c r="V23" s="77" t="s">
        <v>19</v>
      </c>
      <c r="W23" s="1" t="str">
        <f t="shared" si="10"/>
        <v>D</v>
      </c>
      <c r="X23" s="1">
        <f>C23-Elect2014!C23</f>
        <v>0</v>
      </c>
      <c r="Y23" s="1">
        <f>J23-Elect2014!J23</f>
        <v>1</v>
      </c>
      <c r="Z23" s="1">
        <f t="shared" si="11"/>
        <v>0</v>
      </c>
    </row>
    <row r="24" spans="1:26" ht="16">
      <c r="A24" s="12" t="s">
        <v>49</v>
      </c>
      <c r="B24" s="13" t="s">
        <v>34</v>
      </c>
      <c r="C24" s="74">
        <v>125</v>
      </c>
      <c r="D24" s="74">
        <v>35</v>
      </c>
      <c r="E24" s="47">
        <v>160</v>
      </c>
      <c r="F24" s="16">
        <f t="shared" si="0"/>
        <v>0.78125</v>
      </c>
      <c r="G24" s="16">
        <f t="shared" si="1"/>
        <v>0.5625</v>
      </c>
      <c r="H24" s="1" t="str">
        <f t="shared" si="2"/>
        <v>D</v>
      </c>
      <c r="I24" s="17" t="str">
        <f>IF(Elect2014!H24=H24,"N","Y")</f>
        <v>N</v>
      </c>
      <c r="J24" s="74">
        <v>34</v>
      </c>
      <c r="K24" s="74">
        <v>6</v>
      </c>
      <c r="L24" s="47">
        <v>40</v>
      </c>
      <c r="M24" s="16">
        <f t="shared" si="3"/>
        <v>0.85</v>
      </c>
      <c r="N24" s="16">
        <f t="shared" si="4"/>
        <v>0.7</v>
      </c>
      <c r="O24" s="1" t="str">
        <f t="shared" si="5"/>
        <v>D</v>
      </c>
      <c r="P24" s="17" t="str">
        <f>IF(Elect2014!O24=O24,"N","Y")</f>
        <v>N</v>
      </c>
      <c r="Q24" s="1">
        <f t="shared" si="6"/>
        <v>159</v>
      </c>
      <c r="R24" s="1">
        <f t="shared" si="6"/>
        <v>41</v>
      </c>
      <c r="S24" s="16">
        <f t="shared" si="7"/>
        <v>0.79500000000000004</v>
      </c>
      <c r="T24" s="16">
        <f t="shared" si="8"/>
        <v>0.59000000000000008</v>
      </c>
      <c r="U24" s="1" t="str">
        <f t="shared" si="9"/>
        <v>D</v>
      </c>
      <c r="V24" s="78" t="s">
        <v>19</v>
      </c>
      <c r="W24" s="1" t="str">
        <f t="shared" si="10"/>
        <v>D</v>
      </c>
      <c r="X24" s="1">
        <f>C24-Elect2014!C24</f>
        <v>0</v>
      </c>
      <c r="Y24" s="1">
        <f>J24-Elect2014!J24</f>
        <v>0</v>
      </c>
      <c r="Z24" s="1">
        <f t="shared" si="11"/>
        <v>0</v>
      </c>
    </row>
    <row r="25" spans="1:26" ht="16">
      <c r="A25" s="12" t="s">
        <v>50</v>
      </c>
      <c r="B25" s="13" t="s">
        <v>41</v>
      </c>
      <c r="C25" s="74">
        <v>47</v>
      </c>
      <c r="D25" s="74">
        <v>63</v>
      </c>
      <c r="E25" s="43">
        <v>110</v>
      </c>
      <c r="F25" s="16">
        <f t="shared" si="0"/>
        <v>0.42727272727272725</v>
      </c>
      <c r="G25" s="16">
        <f t="shared" si="1"/>
        <v>0.1454545454545455</v>
      </c>
      <c r="H25" s="1" t="str">
        <f t="shared" si="2"/>
        <v>R</v>
      </c>
      <c r="I25" s="17" t="str">
        <f>IF(Elect2014!H25=H25,"N","Y")</f>
        <v>N</v>
      </c>
      <c r="J25" s="74">
        <v>11</v>
      </c>
      <c r="K25" s="74">
        <v>27</v>
      </c>
      <c r="L25" s="43">
        <v>38</v>
      </c>
      <c r="M25" s="16">
        <f t="shared" si="3"/>
        <v>0.28947368421052633</v>
      </c>
      <c r="N25" s="16">
        <f t="shared" si="4"/>
        <v>0.42105263157894735</v>
      </c>
      <c r="O25" s="1" t="str">
        <f t="shared" si="5"/>
        <v>R</v>
      </c>
      <c r="P25" s="17" t="str">
        <f>IF(Elect2014!O25=O25,"N","Y")</f>
        <v>N</v>
      </c>
      <c r="Q25" s="1">
        <f t="shared" si="6"/>
        <v>58</v>
      </c>
      <c r="R25" s="1">
        <f t="shared" si="6"/>
        <v>90</v>
      </c>
      <c r="S25" s="16">
        <f t="shared" si="7"/>
        <v>0.39189189189189189</v>
      </c>
      <c r="T25" s="16">
        <f t="shared" si="8"/>
        <v>0.21621621621621623</v>
      </c>
      <c r="U25" s="1" t="str">
        <f t="shared" si="9"/>
        <v>R</v>
      </c>
      <c r="V25" s="72" t="s">
        <v>19</v>
      </c>
      <c r="W25" s="1" t="str">
        <f t="shared" si="10"/>
        <v>U</v>
      </c>
      <c r="X25" s="1">
        <f>C25-Elect2014!C25</f>
        <v>0</v>
      </c>
      <c r="Y25" s="1">
        <f>J25-Elect2014!J25</f>
        <v>0</v>
      </c>
      <c r="Z25" s="1">
        <f t="shared" si="11"/>
        <v>0</v>
      </c>
    </row>
    <row r="26" spans="1:26" ht="16">
      <c r="A26" s="12" t="s">
        <v>51</v>
      </c>
      <c r="B26" s="13" t="s">
        <v>41</v>
      </c>
      <c r="C26" s="74">
        <v>57</v>
      </c>
      <c r="D26" s="74">
        <v>76</v>
      </c>
      <c r="E26" s="43">
        <v>134</v>
      </c>
      <c r="F26" s="16">
        <f t="shared" si="0"/>
        <v>0.42537313432835822</v>
      </c>
      <c r="G26" s="16">
        <f t="shared" si="1"/>
        <v>0.14925373134328357</v>
      </c>
      <c r="H26" s="1" t="str">
        <f t="shared" si="2"/>
        <v>R</v>
      </c>
      <c r="I26" s="17" t="str">
        <f>IF(Elect2014!H26=H26,"N","Y")</f>
        <v>N</v>
      </c>
      <c r="J26" s="74">
        <v>33</v>
      </c>
      <c r="K26" s="74">
        <v>34</v>
      </c>
      <c r="L26" s="43">
        <v>67</v>
      </c>
      <c r="M26" s="16">
        <f t="shared" si="3"/>
        <v>0.4925373134328358</v>
      </c>
      <c r="N26" s="16">
        <f t="shared" si="4"/>
        <v>1.4925373134328401E-2</v>
      </c>
      <c r="O26" s="1" t="str">
        <f t="shared" si="5"/>
        <v>R</v>
      </c>
      <c r="P26" s="17" t="str">
        <f>IF(Elect2014!O26=O26,"N","Y")</f>
        <v>Y</v>
      </c>
      <c r="Q26" s="1">
        <f t="shared" si="6"/>
        <v>90</v>
      </c>
      <c r="R26" s="1">
        <f t="shared" si="6"/>
        <v>110</v>
      </c>
      <c r="S26" s="16">
        <f t="shared" si="7"/>
        <v>0.44776119402985076</v>
      </c>
      <c r="T26" s="16">
        <f t="shared" si="8"/>
        <v>0.10447761194029853</v>
      </c>
      <c r="U26" s="1" t="str">
        <f t="shared" si="9"/>
        <v>R</v>
      </c>
      <c r="V26" s="72" t="s">
        <v>18</v>
      </c>
      <c r="W26" s="1" t="str">
        <f t="shared" si="10"/>
        <v>D</v>
      </c>
      <c r="X26" s="1">
        <f>C26-Elect2014!C26</f>
        <v>-5</v>
      </c>
      <c r="Y26" s="1">
        <f>J26-Elect2014!J26</f>
        <v>-6</v>
      </c>
      <c r="Z26" s="1">
        <f t="shared" si="11"/>
        <v>0</v>
      </c>
    </row>
    <row r="27" spans="1:26" ht="16">
      <c r="A27" s="12" t="s">
        <v>52</v>
      </c>
      <c r="B27" s="13" t="s">
        <v>26</v>
      </c>
      <c r="C27" s="74">
        <v>48</v>
      </c>
      <c r="D27" s="74">
        <v>72</v>
      </c>
      <c r="E27" s="43">
        <v>122</v>
      </c>
      <c r="F27" s="16">
        <f t="shared" si="0"/>
        <v>0.39344262295081966</v>
      </c>
      <c r="G27" s="16">
        <f t="shared" si="1"/>
        <v>0.21311475409836067</v>
      </c>
      <c r="H27" s="1" t="str">
        <f t="shared" si="2"/>
        <v>R</v>
      </c>
      <c r="I27" s="17" t="str">
        <f>IF(Elect2014!H27=H27,"N","Y")</f>
        <v>N</v>
      </c>
      <c r="J27" s="74">
        <v>20</v>
      </c>
      <c r="K27" s="74">
        <v>32</v>
      </c>
      <c r="L27" s="43">
        <v>52</v>
      </c>
      <c r="M27" s="16">
        <f t="shared" si="3"/>
        <v>0.38461538461538464</v>
      </c>
      <c r="N27" s="16">
        <f t="shared" si="4"/>
        <v>0.23076923076923078</v>
      </c>
      <c r="O27" s="1" t="str">
        <f t="shared" si="5"/>
        <v>R</v>
      </c>
      <c r="P27" s="17" t="str">
        <f>IF(Elect2014!O27=O27,"N","Y")</f>
        <v>N</v>
      </c>
      <c r="Q27" s="1">
        <f t="shared" si="6"/>
        <v>68</v>
      </c>
      <c r="R27" s="1">
        <f t="shared" si="6"/>
        <v>104</v>
      </c>
      <c r="S27" s="16">
        <f t="shared" si="7"/>
        <v>0.39080459770114945</v>
      </c>
      <c r="T27" s="16">
        <f t="shared" si="8"/>
        <v>0.21839080459770116</v>
      </c>
      <c r="U27" s="1" t="str">
        <f t="shared" si="9"/>
        <v>R</v>
      </c>
      <c r="V27" s="72" t="s">
        <v>19</v>
      </c>
      <c r="W27" s="1" t="str">
        <f t="shared" si="10"/>
        <v>U</v>
      </c>
      <c r="X27" s="1">
        <f>C27-Elect2014!C27</f>
        <v>-8</v>
      </c>
      <c r="Y27" s="1">
        <f>J27-Elect2014!J27</f>
        <v>0</v>
      </c>
      <c r="Z27" s="1">
        <f t="shared" si="11"/>
        <v>0</v>
      </c>
    </row>
    <row r="28" spans="1:26" ht="16">
      <c r="A28" s="12" t="s">
        <v>53</v>
      </c>
      <c r="B28" s="13" t="s">
        <v>41</v>
      </c>
      <c r="C28" s="74">
        <v>46</v>
      </c>
      <c r="D28" s="74">
        <v>117</v>
      </c>
      <c r="E28" s="45">
        <v>163</v>
      </c>
      <c r="F28" s="16">
        <f t="shared" si="0"/>
        <v>0.2822085889570552</v>
      </c>
      <c r="G28" s="16">
        <f t="shared" si="1"/>
        <v>0.43558282208588966</v>
      </c>
      <c r="H28" s="1" t="str">
        <f t="shared" si="2"/>
        <v>R</v>
      </c>
      <c r="I28" s="17" t="str">
        <f>IF(Elect2014!H28=H28,"N","Y")</f>
        <v>N</v>
      </c>
      <c r="J28" s="74">
        <v>9</v>
      </c>
      <c r="K28" s="74">
        <v>25</v>
      </c>
      <c r="L28" s="45">
        <v>34</v>
      </c>
      <c r="M28" s="16">
        <f t="shared" si="3"/>
        <v>0.26470588235294118</v>
      </c>
      <c r="N28" s="16">
        <f t="shared" si="4"/>
        <v>0.4705882352941177</v>
      </c>
      <c r="O28" s="1" t="str">
        <f t="shared" si="5"/>
        <v>R</v>
      </c>
      <c r="P28" s="17" t="str">
        <f>IF(Elect2014!O28=O28,"N","Y")</f>
        <v>N</v>
      </c>
      <c r="Q28" s="1">
        <f t="shared" si="6"/>
        <v>55</v>
      </c>
      <c r="R28" s="1">
        <f t="shared" si="6"/>
        <v>142</v>
      </c>
      <c r="S28" s="16">
        <f t="shared" si="7"/>
        <v>0.27918781725888325</v>
      </c>
      <c r="T28" s="16">
        <f t="shared" si="8"/>
        <v>0.44162436548223344</v>
      </c>
      <c r="U28" s="1" t="str">
        <f t="shared" si="9"/>
        <v>R</v>
      </c>
      <c r="V28" s="77" t="s">
        <v>19</v>
      </c>
      <c r="W28" s="1" t="str">
        <f t="shared" si="10"/>
        <v>U</v>
      </c>
      <c r="X28" s="1">
        <f>C28-Elect2014!C28</f>
        <v>1</v>
      </c>
      <c r="Y28" s="1">
        <f>J28-Elect2014!J28</f>
        <v>0</v>
      </c>
      <c r="Z28" s="1">
        <f t="shared" si="11"/>
        <v>0</v>
      </c>
    </row>
    <row r="29" spans="1:26" ht="16">
      <c r="A29" s="12" t="s">
        <v>54</v>
      </c>
      <c r="B29" s="13" t="s">
        <v>28</v>
      </c>
      <c r="C29" s="74">
        <v>41</v>
      </c>
      <c r="D29" s="74">
        <v>59</v>
      </c>
      <c r="E29" s="47">
        <v>100</v>
      </c>
      <c r="F29" s="16">
        <f t="shared" si="0"/>
        <v>0.41</v>
      </c>
      <c r="G29" s="16">
        <f t="shared" si="1"/>
        <v>0.1800000000000001</v>
      </c>
      <c r="H29" s="1" t="str">
        <f t="shared" si="2"/>
        <v>R</v>
      </c>
      <c r="I29" s="17" t="str">
        <f>IF(Elect2014!H29=H29,"N","Y")</f>
        <v>N</v>
      </c>
      <c r="J29" s="74">
        <v>18</v>
      </c>
      <c r="K29" s="74">
        <v>32</v>
      </c>
      <c r="L29" s="47">
        <v>50</v>
      </c>
      <c r="M29" s="16">
        <f t="shared" si="3"/>
        <v>0.36</v>
      </c>
      <c r="N29" s="16">
        <f t="shared" si="4"/>
        <v>0.28000000000000003</v>
      </c>
      <c r="O29" s="1" t="str">
        <f t="shared" si="5"/>
        <v>R</v>
      </c>
      <c r="P29" s="17" t="str">
        <f>IF(Elect2014!O29=O29,"N","Y")</f>
        <v>N</v>
      </c>
      <c r="Q29" s="1">
        <f t="shared" si="6"/>
        <v>59</v>
      </c>
      <c r="R29" s="1">
        <f t="shared" si="6"/>
        <v>91</v>
      </c>
      <c r="S29" s="16">
        <f t="shared" si="7"/>
        <v>0.39333333333333331</v>
      </c>
      <c r="T29" s="16">
        <f t="shared" si="8"/>
        <v>0.21333333333333337</v>
      </c>
      <c r="U29" s="1" t="str">
        <f t="shared" si="9"/>
        <v>R</v>
      </c>
      <c r="V29" s="78" t="s">
        <v>18</v>
      </c>
      <c r="W29" s="1" t="str">
        <f t="shared" si="10"/>
        <v>D</v>
      </c>
      <c r="X29" s="1">
        <f>C29-Elect2014!C29</f>
        <v>0</v>
      </c>
      <c r="Y29" s="1">
        <f>J29-Elect2014!J29</f>
        <v>-2</v>
      </c>
      <c r="Z29" s="1">
        <f t="shared" si="11"/>
        <v>0</v>
      </c>
    </row>
    <row r="30" spans="1:26" ht="16">
      <c r="A30" s="12" t="s">
        <v>55</v>
      </c>
      <c r="B30" s="13" t="s">
        <v>41</v>
      </c>
      <c r="C30" s="75"/>
      <c r="D30" s="75"/>
      <c r="E30" s="49" t="s">
        <v>109</v>
      </c>
      <c r="F30" s="16"/>
      <c r="G30" s="16"/>
      <c r="I30" s="17"/>
      <c r="J30" s="76"/>
      <c r="K30" s="74"/>
      <c r="L30" s="43"/>
      <c r="M30" s="16"/>
      <c r="N30" s="16"/>
      <c r="P30" s="17"/>
      <c r="S30" s="16"/>
      <c r="T30" s="16"/>
      <c r="V30" s="72" t="s">
        <v>19</v>
      </c>
      <c r="X30" s="79"/>
    </row>
    <row r="31" spans="1:26" ht="16">
      <c r="A31" s="12" t="s">
        <v>57</v>
      </c>
      <c r="B31" s="13" t="s">
        <v>28</v>
      </c>
      <c r="C31" s="74">
        <v>27</v>
      </c>
      <c r="D31" s="74">
        <v>15</v>
      </c>
      <c r="E31" s="43">
        <v>42</v>
      </c>
      <c r="F31" s="16">
        <f t="shared" ref="F31:F54" si="12">C31/E31</f>
        <v>0.6428571428571429</v>
      </c>
      <c r="G31" s="16">
        <f t="shared" ref="G31:G53" si="13">ABS(F31-(1-F31))</f>
        <v>0.28571428571428581</v>
      </c>
      <c r="H31" s="1" t="str">
        <f t="shared" ref="H31:H53" si="14">IF(F31&gt;0.5,"D",IF(F31=0.5,"T","R"))</f>
        <v>D</v>
      </c>
      <c r="I31" s="17" t="str">
        <f>IF(Elect2014!H31=H31,"N","Y")</f>
        <v>Y</v>
      </c>
      <c r="J31" s="74">
        <v>11</v>
      </c>
      <c r="K31" s="74">
        <v>9</v>
      </c>
      <c r="L31" s="43">
        <v>21</v>
      </c>
      <c r="M31" s="16">
        <f t="shared" ref="M31:M54" si="15">J31/L31</f>
        <v>0.52380952380952384</v>
      </c>
      <c r="N31" s="16">
        <f t="shared" ref="N31:N53" si="16">ABS(M31-(1-M31))</f>
        <v>4.7619047619047672E-2</v>
      </c>
      <c r="O31" s="1" t="str">
        <f t="shared" ref="O31:O53" si="17">IF(M31&gt;0.5,"D",IF(M31=0.5,"T","R"))</f>
        <v>D</v>
      </c>
      <c r="P31" s="17" t="str">
        <f>IF(Elect2014!O31=O31,"N","Y")</f>
        <v>Y</v>
      </c>
      <c r="Q31" s="1">
        <f t="shared" ref="Q31:R53" si="18">C31+J31</f>
        <v>38</v>
      </c>
      <c r="R31" s="1">
        <f t="shared" si="18"/>
        <v>24</v>
      </c>
      <c r="S31" s="16">
        <f t="shared" ref="S31:S54" si="19">Q31/(E31+L31)</f>
        <v>0.60317460317460314</v>
      </c>
      <c r="T31" s="16">
        <f t="shared" ref="T31:T53" si="20">ABS(S31-(1-S31))</f>
        <v>0.20634920634920628</v>
      </c>
      <c r="U31" s="1" t="str">
        <f t="shared" ref="U31:U53" si="21">IF(H31=O31,O31,"S")</f>
        <v>D</v>
      </c>
      <c r="V31" s="72" t="s">
        <v>19</v>
      </c>
      <c r="W31" s="1" t="str">
        <f t="shared" ref="W31:W53" si="22">IF(V31=U31,"U","D")</f>
        <v>D</v>
      </c>
      <c r="X31" s="1">
        <f>C31-Elect2014!C31</f>
        <v>12</v>
      </c>
      <c r="Y31" s="1">
        <f>J31-Elect2014!J31</f>
        <v>1</v>
      </c>
      <c r="Z31" s="1">
        <f t="shared" si="11"/>
        <v>0</v>
      </c>
    </row>
    <row r="32" spans="1:26" ht="16">
      <c r="A32" s="12" t="s">
        <v>58</v>
      </c>
      <c r="B32" s="13" t="s">
        <v>34</v>
      </c>
      <c r="C32" s="74">
        <v>175</v>
      </c>
      <c r="D32" s="74">
        <v>225</v>
      </c>
      <c r="E32" s="43">
        <v>400</v>
      </c>
      <c r="F32" s="16">
        <f t="shared" si="12"/>
        <v>0.4375</v>
      </c>
      <c r="G32" s="16">
        <f t="shared" si="13"/>
        <v>0.125</v>
      </c>
      <c r="H32" s="1" t="str">
        <f t="shared" si="14"/>
        <v>R</v>
      </c>
      <c r="I32" s="17" t="str">
        <f>IF(Elect2014!H32=H32,"N","Y")</f>
        <v>N</v>
      </c>
      <c r="J32" s="74">
        <v>10</v>
      </c>
      <c r="K32" s="74">
        <v>14</v>
      </c>
      <c r="L32" s="43">
        <v>24</v>
      </c>
      <c r="M32" s="16">
        <f t="shared" si="15"/>
        <v>0.41666666666666669</v>
      </c>
      <c r="N32" s="16">
        <f t="shared" si="16"/>
        <v>0.16666666666666657</v>
      </c>
      <c r="O32" s="1" t="str">
        <f t="shared" si="17"/>
        <v>R</v>
      </c>
      <c r="P32" s="17" t="str">
        <f>IF(Elect2014!O32=O32,"N","Y")</f>
        <v>N</v>
      </c>
      <c r="Q32" s="1">
        <f t="shared" si="18"/>
        <v>185</v>
      </c>
      <c r="R32" s="1">
        <f t="shared" si="18"/>
        <v>239</v>
      </c>
      <c r="S32" s="16">
        <f t="shared" si="19"/>
        <v>0.43632075471698112</v>
      </c>
      <c r="T32" s="16">
        <f t="shared" si="20"/>
        <v>0.12735849056603771</v>
      </c>
      <c r="U32" s="1" t="str">
        <f t="shared" si="21"/>
        <v>R</v>
      </c>
      <c r="V32" s="72" t="s">
        <v>19</v>
      </c>
      <c r="W32" s="1" t="str">
        <f t="shared" si="22"/>
        <v>U</v>
      </c>
      <c r="X32" s="1">
        <f>C32-Elect2014!C32</f>
        <v>17</v>
      </c>
      <c r="Y32" s="1">
        <f>J32-Elect2014!J32</f>
        <v>0</v>
      </c>
      <c r="Z32" s="1">
        <f t="shared" si="11"/>
        <v>0</v>
      </c>
    </row>
    <row r="33" spans="1:26" ht="16">
      <c r="A33" s="12" t="s">
        <v>59</v>
      </c>
      <c r="B33" s="13" t="s">
        <v>34</v>
      </c>
      <c r="C33" s="74">
        <v>52</v>
      </c>
      <c r="D33" s="74">
        <v>28</v>
      </c>
      <c r="E33" s="45">
        <v>80</v>
      </c>
      <c r="F33" s="16">
        <f t="shared" si="12"/>
        <v>0.65</v>
      </c>
      <c r="G33" s="16">
        <f t="shared" si="13"/>
        <v>0.30000000000000004</v>
      </c>
      <c r="H33" s="1" t="str">
        <f t="shared" si="14"/>
        <v>D</v>
      </c>
      <c r="I33" s="17" t="str">
        <f>IF(Elect2014!H33=H33,"N","Y")</f>
        <v>N</v>
      </c>
      <c r="J33" s="74">
        <v>24</v>
      </c>
      <c r="K33" s="74">
        <v>16</v>
      </c>
      <c r="L33" s="45">
        <v>40</v>
      </c>
      <c r="M33" s="16">
        <f t="shared" si="15"/>
        <v>0.6</v>
      </c>
      <c r="N33" s="16">
        <f t="shared" si="16"/>
        <v>0.19999999999999996</v>
      </c>
      <c r="O33" s="1" t="str">
        <f t="shared" si="17"/>
        <v>D</v>
      </c>
      <c r="P33" s="17" t="str">
        <f>IF(Elect2014!O33=O33,"N","Y")</f>
        <v>N</v>
      </c>
      <c r="Q33" s="1">
        <f t="shared" si="18"/>
        <v>76</v>
      </c>
      <c r="R33" s="1">
        <f t="shared" si="18"/>
        <v>44</v>
      </c>
      <c r="S33" s="16">
        <f t="shared" si="19"/>
        <v>0.6333333333333333</v>
      </c>
      <c r="T33" s="16">
        <f t="shared" si="20"/>
        <v>0.26666666666666661</v>
      </c>
      <c r="U33" s="1" t="str">
        <f t="shared" si="21"/>
        <v>D</v>
      </c>
      <c r="V33" s="77" t="s">
        <v>19</v>
      </c>
      <c r="W33" s="1" t="str">
        <f t="shared" si="22"/>
        <v>D</v>
      </c>
      <c r="X33" s="1">
        <f>C33-Elect2014!C33</f>
        <v>4</v>
      </c>
      <c r="Y33" s="1">
        <f>J33-Elect2014!J33</f>
        <v>0</v>
      </c>
      <c r="Z33" s="1">
        <f t="shared" si="11"/>
        <v>0</v>
      </c>
    </row>
    <row r="34" spans="1:26" ht="16">
      <c r="A34" s="12" t="s">
        <v>60</v>
      </c>
      <c r="B34" s="13" t="s">
        <v>28</v>
      </c>
      <c r="C34" s="74">
        <v>38</v>
      </c>
      <c r="D34" s="74">
        <v>32</v>
      </c>
      <c r="E34" s="47">
        <v>70</v>
      </c>
      <c r="F34" s="16">
        <f t="shared" si="12"/>
        <v>0.54285714285714282</v>
      </c>
      <c r="G34" s="16">
        <f t="shared" si="13"/>
        <v>8.5714285714285632E-2</v>
      </c>
      <c r="H34" s="1" t="str">
        <f t="shared" si="14"/>
        <v>D</v>
      </c>
      <c r="I34" s="17" t="str">
        <f>IF(Elect2014!H34=H34,"N","Y")</f>
        <v>Y</v>
      </c>
      <c r="J34" s="74">
        <v>26</v>
      </c>
      <c r="K34" s="74">
        <v>16</v>
      </c>
      <c r="L34" s="47">
        <v>42</v>
      </c>
      <c r="M34" s="16">
        <f t="shared" si="15"/>
        <v>0.61904761904761907</v>
      </c>
      <c r="N34" s="16">
        <f t="shared" si="16"/>
        <v>0.23809523809523814</v>
      </c>
      <c r="O34" s="1" t="str">
        <f t="shared" si="17"/>
        <v>D</v>
      </c>
      <c r="P34" s="17" t="str">
        <f>IF(Elect2014!O34=O34,"N","Y")</f>
        <v>N</v>
      </c>
      <c r="Q34" s="1">
        <f t="shared" si="18"/>
        <v>64</v>
      </c>
      <c r="R34" s="1">
        <f t="shared" si="18"/>
        <v>48</v>
      </c>
      <c r="S34" s="16">
        <f t="shared" si="19"/>
        <v>0.5714285714285714</v>
      </c>
      <c r="T34" s="16">
        <f t="shared" si="20"/>
        <v>0.14285714285714279</v>
      </c>
      <c r="U34" s="1" t="str">
        <f t="shared" si="21"/>
        <v>D</v>
      </c>
      <c r="V34" s="78" t="s">
        <v>19</v>
      </c>
      <c r="W34" s="1" t="str">
        <f t="shared" si="22"/>
        <v>D</v>
      </c>
      <c r="X34" s="1">
        <f>C34-Elect2014!C34</f>
        <v>5</v>
      </c>
      <c r="Y34" s="1">
        <f>J34-Elect2014!J34</f>
        <v>1</v>
      </c>
      <c r="Z34" s="1">
        <f t="shared" si="11"/>
        <v>0</v>
      </c>
    </row>
    <row r="35" spans="1:26" ht="16">
      <c r="A35" s="12" t="s">
        <v>61</v>
      </c>
      <c r="B35" s="13" t="s">
        <v>34</v>
      </c>
      <c r="C35" s="74">
        <v>107</v>
      </c>
      <c r="D35" s="74">
        <v>43</v>
      </c>
      <c r="E35" s="43">
        <v>150</v>
      </c>
      <c r="F35" s="16">
        <f t="shared" si="12"/>
        <v>0.71333333333333337</v>
      </c>
      <c r="G35" s="16">
        <f t="shared" si="13"/>
        <v>0.42666666666666675</v>
      </c>
      <c r="H35" s="1" t="str">
        <f t="shared" si="14"/>
        <v>D</v>
      </c>
      <c r="I35" s="17" t="str">
        <f>IF(Elect2014!H35=H35,"N","Y")</f>
        <v>N</v>
      </c>
      <c r="J35" s="74">
        <v>32</v>
      </c>
      <c r="K35" s="74">
        <v>31</v>
      </c>
      <c r="L35" s="43">
        <v>63</v>
      </c>
      <c r="M35" s="16">
        <f t="shared" si="15"/>
        <v>0.50793650793650791</v>
      </c>
      <c r="N35" s="16">
        <f t="shared" si="16"/>
        <v>1.5873015873015817E-2</v>
      </c>
      <c r="O35" s="1" t="str">
        <f t="shared" si="17"/>
        <v>D</v>
      </c>
      <c r="P35" s="17" t="str">
        <f>IF(Elect2014!O35=O35,"N","Y")</f>
        <v>Y</v>
      </c>
      <c r="Q35" s="1">
        <f t="shared" si="18"/>
        <v>139</v>
      </c>
      <c r="R35" s="1">
        <f t="shared" si="18"/>
        <v>74</v>
      </c>
      <c r="S35" s="16">
        <f t="shared" si="19"/>
        <v>0.65258215962441313</v>
      </c>
      <c r="T35" s="16">
        <f t="shared" si="20"/>
        <v>0.30516431924882625</v>
      </c>
      <c r="U35" s="1" t="str">
        <f t="shared" si="21"/>
        <v>D</v>
      </c>
      <c r="V35" s="72" t="s">
        <v>18</v>
      </c>
      <c r="W35" s="1" t="str">
        <f t="shared" si="22"/>
        <v>U</v>
      </c>
      <c r="X35" s="1">
        <f>C35-Elect2014!C35</f>
        <v>1</v>
      </c>
      <c r="Y35" s="1">
        <f>J35-Elect2014!J35</f>
        <v>1</v>
      </c>
      <c r="Z35" s="1">
        <f t="shared" si="11"/>
        <v>0</v>
      </c>
    </row>
    <row r="36" spans="1:26" ht="16">
      <c r="A36" s="12" t="s">
        <v>62</v>
      </c>
      <c r="B36" s="13" t="s">
        <v>26</v>
      </c>
      <c r="C36" s="74">
        <v>46</v>
      </c>
      <c r="D36" s="74">
        <v>74</v>
      </c>
      <c r="E36" s="43">
        <v>120</v>
      </c>
      <c r="F36" s="16">
        <f t="shared" si="12"/>
        <v>0.38333333333333336</v>
      </c>
      <c r="G36" s="16">
        <f t="shared" si="13"/>
        <v>0.23333333333333334</v>
      </c>
      <c r="H36" s="1" t="str">
        <f t="shared" si="14"/>
        <v>R</v>
      </c>
      <c r="I36" s="17" t="str">
        <f>IF(Elect2014!H36=H36,"N","Y")</f>
        <v>N</v>
      </c>
      <c r="J36" s="74">
        <v>15</v>
      </c>
      <c r="K36" s="74">
        <v>35</v>
      </c>
      <c r="L36" s="43">
        <v>50</v>
      </c>
      <c r="M36" s="16">
        <f t="shared" si="15"/>
        <v>0.3</v>
      </c>
      <c r="N36" s="16">
        <f t="shared" si="16"/>
        <v>0.39999999999999997</v>
      </c>
      <c r="O36" s="1" t="str">
        <f t="shared" si="17"/>
        <v>R</v>
      </c>
      <c r="P36" s="17" t="str">
        <f>IF(Elect2014!O36=O36,"N","Y")</f>
        <v>N</v>
      </c>
      <c r="Q36" s="1">
        <f t="shared" si="18"/>
        <v>61</v>
      </c>
      <c r="R36" s="1">
        <f t="shared" si="18"/>
        <v>109</v>
      </c>
      <c r="S36" s="16">
        <f t="shared" si="19"/>
        <v>0.35882352941176471</v>
      </c>
      <c r="T36" s="16">
        <f t="shared" si="20"/>
        <v>0.28235294117647053</v>
      </c>
      <c r="U36" s="1" t="str">
        <f t="shared" si="21"/>
        <v>R</v>
      </c>
      <c r="V36" s="72" t="s">
        <v>18</v>
      </c>
      <c r="W36" s="1" t="str">
        <f t="shared" si="22"/>
        <v>D</v>
      </c>
      <c r="X36" s="1">
        <f>C36-Elect2014!C36</f>
        <v>0</v>
      </c>
      <c r="Y36" s="1">
        <f>J36-Elect2014!J36</f>
        <v>-1</v>
      </c>
      <c r="Z36" s="1">
        <f t="shared" si="11"/>
        <v>0</v>
      </c>
    </row>
    <row r="37" spans="1:26" ht="16">
      <c r="A37" s="12" t="s">
        <v>63</v>
      </c>
      <c r="B37" s="13" t="s">
        <v>41</v>
      </c>
      <c r="C37" s="74">
        <v>13</v>
      </c>
      <c r="D37" s="74">
        <v>81</v>
      </c>
      <c r="E37" s="43">
        <v>94</v>
      </c>
      <c r="F37" s="16">
        <f t="shared" si="12"/>
        <v>0.13829787234042554</v>
      </c>
      <c r="G37" s="16">
        <f t="shared" si="13"/>
        <v>0.72340425531914887</v>
      </c>
      <c r="H37" s="1" t="str">
        <f t="shared" si="14"/>
        <v>R</v>
      </c>
      <c r="I37" s="17" t="str">
        <f>IF(Elect2014!H37=H37,"N","Y")</f>
        <v>N</v>
      </c>
      <c r="J37" s="74">
        <v>9</v>
      </c>
      <c r="K37" s="74">
        <v>38</v>
      </c>
      <c r="L37" s="43">
        <v>47</v>
      </c>
      <c r="M37" s="16">
        <f t="shared" si="15"/>
        <v>0.19148936170212766</v>
      </c>
      <c r="N37" s="16">
        <f t="shared" si="16"/>
        <v>0.61702127659574479</v>
      </c>
      <c r="O37" s="1" t="str">
        <f t="shared" si="17"/>
        <v>R</v>
      </c>
      <c r="P37" s="17" t="str">
        <f>IF(Elect2014!O37=O37,"N","Y")</f>
        <v>N</v>
      </c>
      <c r="Q37" s="1">
        <f t="shared" si="18"/>
        <v>22</v>
      </c>
      <c r="R37" s="1">
        <f t="shared" si="18"/>
        <v>119</v>
      </c>
      <c r="S37" s="16">
        <f t="shared" si="19"/>
        <v>0.15602836879432624</v>
      </c>
      <c r="T37" s="16">
        <f t="shared" si="20"/>
        <v>0.68794326241134751</v>
      </c>
      <c r="U37" s="1" t="str">
        <f t="shared" si="21"/>
        <v>R</v>
      </c>
      <c r="V37" s="72" t="s">
        <v>19</v>
      </c>
      <c r="W37" s="1" t="str">
        <f t="shared" si="22"/>
        <v>U</v>
      </c>
      <c r="X37" s="1">
        <f>C37-Elect2014!C37</f>
        <v>-10</v>
      </c>
      <c r="Y37" s="1">
        <f>J37-Elect2014!J37</f>
        <v>-7</v>
      </c>
      <c r="Z37" s="1">
        <f t="shared" si="11"/>
        <v>0</v>
      </c>
    </row>
    <row r="38" spans="1:26" ht="16">
      <c r="A38" s="12" t="s">
        <v>64</v>
      </c>
      <c r="B38" s="13" t="s">
        <v>41</v>
      </c>
      <c r="C38" s="74">
        <v>33</v>
      </c>
      <c r="D38" s="74">
        <v>66</v>
      </c>
      <c r="E38" s="45">
        <v>99</v>
      </c>
      <c r="F38" s="16">
        <f t="shared" si="12"/>
        <v>0.33333333333333331</v>
      </c>
      <c r="G38" s="16">
        <f t="shared" si="13"/>
        <v>0.33333333333333343</v>
      </c>
      <c r="H38" s="1" t="str">
        <f t="shared" si="14"/>
        <v>R</v>
      </c>
      <c r="I38" s="17" t="str">
        <f>IF(Elect2014!H38=H38,"N","Y")</f>
        <v>N</v>
      </c>
      <c r="J38" s="74">
        <v>9</v>
      </c>
      <c r="K38" s="74">
        <v>24</v>
      </c>
      <c r="L38" s="45">
        <v>33</v>
      </c>
      <c r="M38" s="16">
        <f t="shared" si="15"/>
        <v>0.27272727272727271</v>
      </c>
      <c r="N38" s="16">
        <f t="shared" si="16"/>
        <v>0.45454545454545459</v>
      </c>
      <c r="O38" s="1" t="str">
        <f t="shared" si="17"/>
        <v>R</v>
      </c>
      <c r="P38" s="17" t="str">
        <f>IF(Elect2014!O38=O38,"N","Y")</f>
        <v>N</v>
      </c>
      <c r="Q38" s="1">
        <f t="shared" si="18"/>
        <v>42</v>
      </c>
      <c r="R38" s="1">
        <f t="shared" si="18"/>
        <v>90</v>
      </c>
      <c r="S38" s="16">
        <f t="shared" si="19"/>
        <v>0.31818181818181818</v>
      </c>
      <c r="T38" s="16">
        <f t="shared" si="20"/>
        <v>0.3636363636363637</v>
      </c>
      <c r="U38" s="1" t="str">
        <f t="shared" si="21"/>
        <v>R</v>
      </c>
      <c r="V38" s="77" t="s">
        <v>19</v>
      </c>
      <c r="W38" s="1" t="str">
        <f t="shared" si="22"/>
        <v>U</v>
      </c>
      <c r="X38" s="1">
        <f>C38-Elect2014!C38</f>
        <v>-1</v>
      </c>
      <c r="Y38" s="1">
        <f>J38-Elect2014!J38</f>
        <v>-1</v>
      </c>
      <c r="Z38" s="1">
        <f t="shared" si="11"/>
        <v>0</v>
      </c>
    </row>
    <row r="39" spans="1:26" ht="16">
      <c r="A39" s="12" t="s">
        <v>65</v>
      </c>
      <c r="B39" s="13" t="s">
        <v>26</v>
      </c>
      <c r="C39" s="74">
        <v>26</v>
      </c>
      <c r="D39" s="74">
        <v>75</v>
      </c>
      <c r="E39" s="47">
        <v>101</v>
      </c>
      <c r="F39" s="16">
        <f t="shared" si="12"/>
        <v>0.25742574257425743</v>
      </c>
      <c r="G39" s="16">
        <f t="shared" si="13"/>
        <v>0.48514851485148514</v>
      </c>
      <c r="H39" s="1" t="str">
        <f t="shared" si="14"/>
        <v>R</v>
      </c>
      <c r="I39" s="17" t="str">
        <f>IF(Elect2014!H39=H39,"N","Y")</f>
        <v>N</v>
      </c>
      <c r="J39" s="74">
        <v>6</v>
      </c>
      <c r="K39" s="74">
        <v>42</v>
      </c>
      <c r="L39" s="47">
        <v>48</v>
      </c>
      <c r="M39" s="16">
        <f t="shared" si="15"/>
        <v>0.125</v>
      </c>
      <c r="N39" s="16">
        <f t="shared" si="16"/>
        <v>0.75</v>
      </c>
      <c r="O39" s="1" t="str">
        <f t="shared" si="17"/>
        <v>R</v>
      </c>
      <c r="P39" s="17" t="str">
        <f>IF(Elect2014!O39=O39,"N","Y")</f>
        <v>N</v>
      </c>
      <c r="Q39" s="1">
        <f t="shared" si="18"/>
        <v>32</v>
      </c>
      <c r="R39" s="1">
        <f t="shared" si="18"/>
        <v>117</v>
      </c>
      <c r="S39" s="16">
        <f t="shared" si="19"/>
        <v>0.21476510067114093</v>
      </c>
      <c r="T39" s="16">
        <f t="shared" si="20"/>
        <v>0.57046979865771807</v>
      </c>
      <c r="U39" s="1" t="str">
        <f t="shared" si="21"/>
        <v>R</v>
      </c>
      <c r="V39" s="78" t="s">
        <v>19</v>
      </c>
      <c r="W39" s="1" t="str">
        <f t="shared" si="22"/>
        <v>U</v>
      </c>
      <c r="X39" s="1">
        <f>C39-Elect2014!C39</f>
        <v>-3</v>
      </c>
      <c r="Y39" s="1">
        <f>J39-Elect2014!J39</f>
        <v>-2</v>
      </c>
      <c r="Z39" s="1">
        <f t="shared" si="11"/>
        <v>0</v>
      </c>
    </row>
    <row r="40" spans="1:26" ht="16">
      <c r="A40" s="12" t="s">
        <v>66</v>
      </c>
      <c r="B40" s="13" t="s">
        <v>28</v>
      </c>
      <c r="C40" s="74">
        <v>35</v>
      </c>
      <c r="D40" s="74">
        <v>25</v>
      </c>
      <c r="E40" s="43">
        <v>60</v>
      </c>
      <c r="F40" s="16">
        <f t="shared" si="12"/>
        <v>0.58333333333333337</v>
      </c>
      <c r="G40" s="16">
        <f t="shared" si="13"/>
        <v>0.16666666666666674</v>
      </c>
      <c r="H40" s="1" t="str">
        <f t="shared" si="14"/>
        <v>D</v>
      </c>
      <c r="I40" s="17" t="str">
        <f>IF(Elect2014!H40=H40,"N","Y")</f>
        <v>N</v>
      </c>
      <c r="J40" s="74">
        <v>17</v>
      </c>
      <c r="K40" s="74">
        <v>13</v>
      </c>
      <c r="L40" s="43">
        <v>30</v>
      </c>
      <c r="M40" s="16">
        <f t="shared" si="15"/>
        <v>0.56666666666666665</v>
      </c>
      <c r="N40" s="16">
        <f t="shared" si="16"/>
        <v>0.1333333333333333</v>
      </c>
      <c r="O40" s="1" t="str">
        <f t="shared" si="17"/>
        <v>D</v>
      </c>
      <c r="P40" s="17" t="str">
        <f>IF(Elect2014!O40=O40,"N","Y")</f>
        <v>N</v>
      </c>
      <c r="Q40" s="1">
        <f t="shared" si="18"/>
        <v>52</v>
      </c>
      <c r="R40" s="1">
        <f t="shared" si="18"/>
        <v>38</v>
      </c>
      <c r="S40" s="16">
        <f t="shared" si="19"/>
        <v>0.57777777777777772</v>
      </c>
      <c r="T40" s="16">
        <f t="shared" si="20"/>
        <v>0.15555555555555545</v>
      </c>
      <c r="U40" s="1" t="str">
        <f t="shared" si="21"/>
        <v>D</v>
      </c>
      <c r="V40" s="72" t="s">
        <v>18</v>
      </c>
      <c r="W40" s="1" t="str">
        <f t="shared" si="22"/>
        <v>U</v>
      </c>
      <c r="X40" s="1">
        <f>C40-Elect2014!C40</f>
        <v>0</v>
      </c>
      <c r="Y40" s="1">
        <f>J40-Elect2014!J40</f>
        <v>0</v>
      </c>
      <c r="Z40" s="1">
        <f t="shared" si="11"/>
        <v>0</v>
      </c>
    </row>
    <row r="41" spans="1:26" ht="16">
      <c r="A41" s="12" t="s">
        <v>68</v>
      </c>
      <c r="B41" s="13" t="s">
        <v>34</v>
      </c>
      <c r="C41" s="74">
        <v>81</v>
      </c>
      <c r="D41" s="74">
        <v>122</v>
      </c>
      <c r="E41" s="43">
        <v>203</v>
      </c>
      <c r="F41" s="16">
        <f t="shared" si="12"/>
        <v>0.39901477832512317</v>
      </c>
      <c r="G41" s="16">
        <f t="shared" si="13"/>
        <v>0.20197044334975361</v>
      </c>
      <c r="H41" s="1" t="str">
        <f t="shared" si="14"/>
        <v>R</v>
      </c>
      <c r="I41" s="17" t="str">
        <f>IF(Elect2014!H41=H41,"N","Y")</f>
        <v>N</v>
      </c>
      <c r="J41" s="74">
        <v>16</v>
      </c>
      <c r="K41" s="74">
        <v>34</v>
      </c>
      <c r="L41" s="43">
        <v>50</v>
      </c>
      <c r="M41" s="16">
        <f t="shared" si="15"/>
        <v>0.32</v>
      </c>
      <c r="N41" s="16">
        <f t="shared" si="16"/>
        <v>0.35999999999999993</v>
      </c>
      <c r="O41" s="1" t="str">
        <f t="shared" si="17"/>
        <v>R</v>
      </c>
      <c r="P41" s="17" t="str">
        <f>IF(Elect2014!O41=O41,"N","Y")</f>
        <v>N</v>
      </c>
      <c r="Q41" s="1">
        <f t="shared" si="18"/>
        <v>97</v>
      </c>
      <c r="R41" s="1">
        <f t="shared" si="18"/>
        <v>156</v>
      </c>
      <c r="S41" s="16">
        <f t="shared" si="19"/>
        <v>0.38339920948616601</v>
      </c>
      <c r="T41" s="16">
        <f t="shared" si="20"/>
        <v>0.23320158102766797</v>
      </c>
      <c r="U41" s="1" t="str">
        <f t="shared" si="21"/>
        <v>R</v>
      </c>
      <c r="V41" s="72" t="s">
        <v>18</v>
      </c>
      <c r="W41" s="1" t="str">
        <f t="shared" si="22"/>
        <v>D</v>
      </c>
      <c r="X41" s="1">
        <f>C41-Elect2014!C41</f>
        <v>-3</v>
      </c>
      <c r="Y41" s="1">
        <f>J41-Elect2014!J41</f>
        <v>-4</v>
      </c>
      <c r="Z41" s="1">
        <f t="shared" si="11"/>
        <v>0</v>
      </c>
    </row>
    <row r="42" spans="1:26" ht="16">
      <c r="A42" s="12" t="s">
        <v>69</v>
      </c>
      <c r="B42" s="13" t="s">
        <v>34</v>
      </c>
      <c r="C42" s="74">
        <v>64</v>
      </c>
      <c r="D42" s="74">
        <v>10</v>
      </c>
      <c r="E42" s="43">
        <v>75</v>
      </c>
      <c r="F42" s="16">
        <f t="shared" si="12"/>
        <v>0.85333333333333339</v>
      </c>
      <c r="G42" s="16">
        <f t="shared" si="13"/>
        <v>0.70666666666666678</v>
      </c>
      <c r="H42" s="1" t="str">
        <f t="shared" si="14"/>
        <v>D</v>
      </c>
      <c r="I42" s="17" t="str">
        <f>IF(Elect2014!H42=H42,"N","Y")</f>
        <v>N</v>
      </c>
      <c r="J42" s="74">
        <v>33</v>
      </c>
      <c r="K42" s="74">
        <v>5</v>
      </c>
      <c r="L42" s="43">
        <v>38</v>
      </c>
      <c r="M42" s="16">
        <f t="shared" si="15"/>
        <v>0.86842105263157898</v>
      </c>
      <c r="N42" s="16">
        <f t="shared" si="16"/>
        <v>0.73684210526315796</v>
      </c>
      <c r="O42" s="1" t="str">
        <f t="shared" si="17"/>
        <v>D</v>
      </c>
      <c r="P42" s="17" t="str">
        <f>IF(Elect2014!O42=O42,"N","Y")</f>
        <v>N</v>
      </c>
      <c r="Q42" s="1">
        <f t="shared" si="18"/>
        <v>97</v>
      </c>
      <c r="R42" s="1">
        <f t="shared" si="18"/>
        <v>15</v>
      </c>
      <c r="S42" s="16">
        <f t="shared" si="19"/>
        <v>0.8584070796460177</v>
      </c>
      <c r="T42" s="16">
        <f t="shared" si="20"/>
        <v>0.7168141592920354</v>
      </c>
      <c r="U42" s="1" t="str">
        <f t="shared" si="21"/>
        <v>D</v>
      </c>
      <c r="V42" s="72" t="s">
        <v>18</v>
      </c>
      <c r="W42" s="1" t="str">
        <f t="shared" si="22"/>
        <v>U</v>
      </c>
      <c r="X42" s="1">
        <f>C42-Elect2014!C42</f>
        <v>1</v>
      </c>
      <c r="Y42" s="1">
        <f>J42-Elect2014!J42</f>
        <v>1</v>
      </c>
      <c r="Z42" s="1">
        <f t="shared" si="11"/>
        <v>0</v>
      </c>
    </row>
    <row r="43" spans="1:26" ht="16">
      <c r="A43" s="12" t="s">
        <v>70</v>
      </c>
      <c r="B43" s="13" t="s">
        <v>26</v>
      </c>
      <c r="C43" s="74">
        <v>44</v>
      </c>
      <c r="D43" s="74">
        <v>80</v>
      </c>
      <c r="E43" s="45">
        <v>124</v>
      </c>
      <c r="F43" s="16">
        <f t="shared" si="12"/>
        <v>0.35483870967741937</v>
      </c>
      <c r="G43" s="16">
        <f t="shared" si="13"/>
        <v>0.29032258064516125</v>
      </c>
      <c r="H43" s="1" t="str">
        <f t="shared" si="14"/>
        <v>R</v>
      </c>
      <c r="I43" s="17" t="str">
        <f>IF(Elect2014!H43=H43,"N","Y")</f>
        <v>N</v>
      </c>
      <c r="J43" s="74">
        <v>18</v>
      </c>
      <c r="K43" s="74">
        <v>28</v>
      </c>
      <c r="L43" s="45">
        <v>46</v>
      </c>
      <c r="M43" s="16">
        <f t="shared" si="15"/>
        <v>0.39130434782608697</v>
      </c>
      <c r="N43" s="16">
        <f t="shared" si="16"/>
        <v>0.21739130434782611</v>
      </c>
      <c r="O43" s="1" t="str">
        <f t="shared" si="17"/>
        <v>R</v>
      </c>
      <c r="P43" s="17" t="str">
        <f>IF(Elect2014!O43=O43,"N","Y")</f>
        <v>N</v>
      </c>
      <c r="Q43" s="1">
        <f t="shared" si="18"/>
        <v>62</v>
      </c>
      <c r="R43" s="1">
        <f t="shared" si="18"/>
        <v>108</v>
      </c>
      <c r="S43" s="16">
        <f t="shared" si="19"/>
        <v>0.36470588235294116</v>
      </c>
      <c r="T43" s="16">
        <f t="shared" si="20"/>
        <v>0.27058823529411763</v>
      </c>
      <c r="U43" s="1" t="str">
        <f t="shared" si="21"/>
        <v>R</v>
      </c>
      <c r="V43" s="77" t="s">
        <v>19</v>
      </c>
      <c r="W43" s="1" t="str">
        <f t="shared" si="22"/>
        <v>U</v>
      </c>
      <c r="X43" s="1">
        <f>C43-Elect2014!C43</f>
        <v>-2</v>
      </c>
      <c r="Y43" s="1">
        <f>J43-Elect2014!J43</f>
        <v>0</v>
      </c>
      <c r="Z43" s="1">
        <f t="shared" si="11"/>
        <v>0</v>
      </c>
    </row>
    <row r="44" spans="1:26" ht="16">
      <c r="A44" s="12" t="s">
        <v>71</v>
      </c>
      <c r="B44" s="13" t="s">
        <v>41</v>
      </c>
      <c r="C44" s="74">
        <v>10</v>
      </c>
      <c r="D44" s="74">
        <v>60</v>
      </c>
      <c r="E44" s="47">
        <v>70</v>
      </c>
      <c r="F44" s="16">
        <f t="shared" si="12"/>
        <v>0.14285714285714285</v>
      </c>
      <c r="G44" s="16">
        <f t="shared" si="13"/>
        <v>0.71428571428571441</v>
      </c>
      <c r="H44" s="1" t="str">
        <f t="shared" si="14"/>
        <v>R</v>
      </c>
      <c r="I44" s="17" t="str">
        <f>IF(Elect2014!H44=H44,"N","Y")</f>
        <v>N</v>
      </c>
      <c r="J44" s="74">
        <v>6</v>
      </c>
      <c r="K44" s="74">
        <v>29</v>
      </c>
      <c r="L44" s="47">
        <v>35</v>
      </c>
      <c r="M44" s="16">
        <f t="shared" si="15"/>
        <v>0.17142857142857143</v>
      </c>
      <c r="N44" s="16">
        <f t="shared" si="16"/>
        <v>0.65714285714285703</v>
      </c>
      <c r="O44" s="1" t="str">
        <f t="shared" si="17"/>
        <v>R</v>
      </c>
      <c r="P44" s="17" t="str">
        <f>IF(Elect2014!O44=O44,"N","Y")</f>
        <v>N</v>
      </c>
      <c r="Q44" s="1">
        <f t="shared" si="18"/>
        <v>16</v>
      </c>
      <c r="R44" s="1">
        <f t="shared" si="18"/>
        <v>89</v>
      </c>
      <c r="S44" s="16">
        <f t="shared" si="19"/>
        <v>0.15238095238095239</v>
      </c>
      <c r="T44" s="16">
        <f t="shared" si="20"/>
        <v>0.69523809523809521</v>
      </c>
      <c r="U44" s="1" t="str">
        <f t="shared" si="21"/>
        <v>R</v>
      </c>
      <c r="V44" s="78" t="s">
        <v>19</v>
      </c>
      <c r="W44" s="1" t="str">
        <f t="shared" si="22"/>
        <v>U</v>
      </c>
      <c r="X44" s="1">
        <f>C44-Elect2014!C44</f>
        <v>-2</v>
      </c>
      <c r="Y44" s="1">
        <f>J44-Elect2014!J44</f>
        <v>-2</v>
      </c>
      <c r="Z44" s="1">
        <f t="shared" si="11"/>
        <v>0</v>
      </c>
    </row>
    <row r="45" spans="1:26" ht="16">
      <c r="A45" s="12" t="s">
        <v>72</v>
      </c>
      <c r="B45" s="13" t="s">
        <v>26</v>
      </c>
      <c r="C45" s="74">
        <v>25</v>
      </c>
      <c r="D45" s="74">
        <v>74</v>
      </c>
      <c r="E45" s="43">
        <v>99</v>
      </c>
      <c r="F45" s="16">
        <f t="shared" si="12"/>
        <v>0.25252525252525254</v>
      </c>
      <c r="G45" s="16">
        <f t="shared" si="13"/>
        <v>0.49494949494949486</v>
      </c>
      <c r="H45" s="1" t="str">
        <f t="shared" si="14"/>
        <v>R</v>
      </c>
      <c r="I45" s="17" t="str">
        <f>IF(Elect2014!H45=H45,"N","Y")</f>
        <v>N</v>
      </c>
      <c r="J45" s="74">
        <v>5</v>
      </c>
      <c r="K45" s="74">
        <v>28</v>
      </c>
      <c r="L45" s="43">
        <v>33</v>
      </c>
      <c r="M45" s="16">
        <f t="shared" si="15"/>
        <v>0.15151515151515152</v>
      </c>
      <c r="N45" s="16">
        <f t="shared" si="16"/>
        <v>0.69696969696969702</v>
      </c>
      <c r="O45" s="1" t="str">
        <f t="shared" si="17"/>
        <v>R</v>
      </c>
      <c r="P45" s="17" t="str">
        <f>IF(Elect2014!O45=O45,"N","Y")</f>
        <v>N</v>
      </c>
      <c r="Q45" s="1">
        <f t="shared" si="18"/>
        <v>30</v>
      </c>
      <c r="R45" s="1">
        <f t="shared" si="18"/>
        <v>102</v>
      </c>
      <c r="S45" s="16">
        <f t="shared" si="19"/>
        <v>0.22727272727272727</v>
      </c>
      <c r="T45" s="16">
        <f t="shared" si="20"/>
        <v>0.54545454545454541</v>
      </c>
      <c r="U45" s="1" t="str">
        <f t="shared" si="21"/>
        <v>R</v>
      </c>
      <c r="V45" s="72" t="s">
        <v>19</v>
      </c>
      <c r="W45" s="1" t="str">
        <f t="shared" si="22"/>
        <v>U</v>
      </c>
      <c r="X45" s="1">
        <f>C45-Elect2014!C45</f>
        <v>-1</v>
      </c>
      <c r="Y45" s="1">
        <f>J45-Elect2014!J45</f>
        <v>-1</v>
      </c>
      <c r="Z45" s="1">
        <f t="shared" si="11"/>
        <v>0</v>
      </c>
    </row>
    <row r="46" spans="1:26" ht="16">
      <c r="A46" s="12" t="s">
        <v>73</v>
      </c>
      <c r="B46" s="13" t="s">
        <v>26</v>
      </c>
      <c r="C46" s="74">
        <v>56</v>
      </c>
      <c r="D46" s="74">
        <v>94</v>
      </c>
      <c r="E46" s="43">
        <v>150</v>
      </c>
      <c r="F46" s="16">
        <f t="shared" si="12"/>
        <v>0.37333333333333335</v>
      </c>
      <c r="G46" s="16">
        <f t="shared" si="13"/>
        <v>0.25333333333333335</v>
      </c>
      <c r="H46" s="1" t="str">
        <f t="shared" si="14"/>
        <v>R</v>
      </c>
      <c r="I46" s="17" t="str">
        <f>IF(Elect2014!H46=H46,"N","Y")</f>
        <v>N</v>
      </c>
      <c r="J46" s="74">
        <v>11</v>
      </c>
      <c r="K46" s="74">
        <v>20</v>
      </c>
      <c r="L46" s="43">
        <v>31</v>
      </c>
      <c r="M46" s="16">
        <f t="shared" si="15"/>
        <v>0.35483870967741937</v>
      </c>
      <c r="N46" s="16">
        <f t="shared" si="16"/>
        <v>0.29032258064516125</v>
      </c>
      <c r="O46" s="1" t="str">
        <f t="shared" si="17"/>
        <v>R</v>
      </c>
      <c r="P46" s="17" t="str">
        <f>IF(Elect2014!O46=O46,"N","Y")</f>
        <v>N</v>
      </c>
      <c r="Q46" s="1">
        <f t="shared" si="18"/>
        <v>67</v>
      </c>
      <c r="R46" s="1">
        <f t="shared" si="18"/>
        <v>114</v>
      </c>
      <c r="S46" s="16">
        <f t="shared" si="19"/>
        <v>0.37016574585635359</v>
      </c>
      <c r="T46" s="16">
        <f t="shared" si="20"/>
        <v>0.25966850828729277</v>
      </c>
      <c r="U46" s="1" t="str">
        <f t="shared" si="21"/>
        <v>R</v>
      </c>
      <c r="V46" s="72" t="s">
        <v>19</v>
      </c>
      <c r="W46" s="1" t="str">
        <f t="shared" si="22"/>
        <v>U</v>
      </c>
      <c r="X46" s="1">
        <f>C46-Elect2014!C46</f>
        <v>4</v>
      </c>
      <c r="Y46" s="1">
        <f>J46-Elect2014!J46</f>
        <v>0</v>
      </c>
      <c r="Z46" s="1">
        <f t="shared" si="11"/>
        <v>0</v>
      </c>
    </row>
    <row r="47" spans="1:26" ht="16">
      <c r="A47" s="12" t="s">
        <v>74</v>
      </c>
      <c r="B47" s="13" t="s">
        <v>28</v>
      </c>
      <c r="C47" s="74">
        <v>13</v>
      </c>
      <c r="D47" s="74">
        <v>62</v>
      </c>
      <c r="E47" s="43">
        <v>75</v>
      </c>
      <c r="F47" s="16">
        <f t="shared" si="12"/>
        <v>0.17333333333333334</v>
      </c>
      <c r="G47" s="16">
        <f t="shared" si="13"/>
        <v>0.65333333333333332</v>
      </c>
      <c r="H47" s="1" t="str">
        <f t="shared" si="14"/>
        <v>R</v>
      </c>
      <c r="I47" s="17" t="str">
        <f>IF(Elect2014!H47=H47,"N","Y")</f>
        <v>N</v>
      </c>
      <c r="J47" s="74">
        <v>5</v>
      </c>
      <c r="K47" s="74">
        <v>24</v>
      </c>
      <c r="L47" s="43">
        <v>29</v>
      </c>
      <c r="M47" s="16">
        <f t="shared" si="15"/>
        <v>0.17241379310344829</v>
      </c>
      <c r="N47" s="16">
        <f t="shared" si="16"/>
        <v>0.65517241379310343</v>
      </c>
      <c r="O47" s="1" t="str">
        <f t="shared" si="17"/>
        <v>R</v>
      </c>
      <c r="P47" s="17" t="str">
        <f>IF(Elect2014!O47=O47,"N","Y")</f>
        <v>N</v>
      </c>
      <c r="Q47" s="1">
        <f t="shared" si="18"/>
        <v>18</v>
      </c>
      <c r="R47" s="1">
        <f t="shared" si="18"/>
        <v>86</v>
      </c>
      <c r="S47" s="16">
        <f t="shared" si="19"/>
        <v>0.17307692307692307</v>
      </c>
      <c r="T47" s="16">
        <f t="shared" si="20"/>
        <v>0.65384615384615374</v>
      </c>
      <c r="U47" s="1" t="str">
        <f t="shared" si="21"/>
        <v>R</v>
      </c>
      <c r="V47" s="72" t="s">
        <v>19</v>
      </c>
      <c r="W47" s="1" t="str">
        <f t="shared" si="22"/>
        <v>U</v>
      </c>
      <c r="X47" s="1">
        <f>C47-Elect2014!C47</f>
        <v>-2</v>
      </c>
      <c r="Y47" s="1">
        <f>J47-Elect2014!J47</f>
        <v>1</v>
      </c>
      <c r="Z47" s="1">
        <f t="shared" si="11"/>
        <v>0</v>
      </c>
    </row>
    <row r="48" spans="1:26" ht="16">
      <c r="A48" s="12" t="s">
        <v>75</v>
      </c>
      <c r="B48" s="13" t="s">
        <v>34</v>
      </c>
      <c r="C48" s="74">
        <v>91</v>
      </c>
      <c r="D48" s="74">
        <v>53</v>
      </c>
      <c r="E48" s="45">
        <v>150</v>
      </c>
      <c r="F48" s="16">
        <f t="shared" si="12"/>
        <v>0.60666666666666669</v>
      </c>
      <c r="G48" s="16">
        <f t="shared" si="13"/>
        <v>0.21333333333333337</v>
      </c>
      <c r="H48" s="1" t="str">
        <f t="shared" si="14"/>
        <v>D</v>
      </c>
      <c r="I48" s="17" t="str">
        <f>IF(Elect2014!H48=H48,"N","Y")</f>
        <v>N</v>
      </c>
      <c r="J48" s="74">
        <v>23</v>
      </c>
      <c r="K48" s="74">
        <v>7</v>
      </c>
      <c r="L48" s="45">
        <v>30</v>
      </c>
      <c r="M48" s="16">
        <f t="shared" si="15"/>
        <v>0.76666666666666672</v>
      </c>
      <c r="N48" s="16">
        <f t="shared" si="16"/>
        <v>0.53333333333333344</v>
      </c>
      <c r="O48" s="1" t="str">
        <f t="shared" si="17"/>
        <v>D</v>
      </c>
      <c r="P48" s="17" t="str">
        <f>IF(Elect2014!O48=O48,"N","Y")</f>
        <v>N</v>
      </c>
      <c r="Q48" s="1">
        <f t="shared" si="18"/>
        <v>114</v>
      </c>
      <c r="R48" s="1">
        <f t="shared" si="18"/>
        <v>60</v>
      </c>
      <c r="S48" s="16">
        <f t="shared" si="19"/>
        <v>0.6333333333333333</v>
      </c>
      <c r="T48" s="16">
        <f t="shared" si="20"/>
        <v>0.26666666666666661</v>
      </c>
      <c r="U48" s="1" t="str">
        <f t="shared" si="21"/>
        <v>D</v>
      </c>
      <c r="V48" s="77" t="s">
        <v>19</v>
      </c>
      <c r="W48" s="1" t="str">
        <f t="shared" si="22"/>
        <v>D</v>
      </c>
      <c r="X48" s="1">
        <f>C48-Elect2014!C48</f>
        <v>6</v>
      </c>
      <c r="Y48" s="1">
        <f>J48-Elect2014!J48</f>
        <v>3</v>
      </c>
      <c r="Z48" s="1">
        <f t="shared" si="11"/>
        <v>0</v>
      </c>
    </row>
    <row r="49" spans="1:26" ht="16">
      <c r="A49" s="12" t="s">
        <v>76</v>
      </c>
      <c r="B49" s="13" t="s">
        <v>26</v>
      </c>
      <c r="C49" s="74">
        <v>34</v>
      </c>
      <c r="D49" s="74">
        <v>66</v>
      </c>
      <c r="E49" s="43">
        <v>100</v>
      </c>
      <c r="F49" s="16">
        <f t="shared" si="12"/>
        <v>0.34</v>
      </c>
      <c r="G49" s="16">
        <f t="shared" si="13"/>
        <v>0.3199999999999999</v>
      </c>
      <c r="H49" s="1" t="str">
        <f t="shared" si="14"/>
        <v>R</v>
      </c>
      <c r="I49" s="17" t="str">
        <f>IF(Elect2014!H49=H49,"N","Y")</f>
        <v>N</v>
      </c>
      <c r="J49" s="74">
        <v>19</v>
      </c>
      <c r="K49" s="74">
        <v>21</v>
      </c>
      <c r="L49" s="43">
        <v>40</v>
      </c>
      <c r="M49" s="16">
        <f t="shared" si="15"/>
        <v>0.47499999999999998</v>
      </c>
      <c r="N49" s="16">
        <f t="shared" si="16"/>
        <v>5.0000000000000044E-2</v>
      </c>
      <c r="O49" s="1" t="str">
        <f t="shared" si="17"/>
        <v>R</v>
      </c>
      <c r="P49" s="17" t="str">
        <f>IF(Elect2014!O49=O49,"N","Y")</f>
        <v>N</v>
      </c>
      <c r="Q49" s="1">
        <f t="shared" si="18"/>
        <v>53</v>
      </c>
      <c r="R49" s="1">
        <f t="shared" si="18"/>
        <v>87</v>
      </c>
      <c r="S49" s="16">
        <f t="shared" si="19"/>
        <v>0.37857142857142856</v>
      </c>
      <c r="T49" s="16">
        <f t="shared" si="20"/>
        <v>0.24285714285714288</v>
      </c>
      <c r="U49" s="1" t="str">
        <f t="shared" si="21"/>
        <v>R</v>
      </c>
      <c r="V49" s="72" t="s">
        <v>18</v>
      </c>
      <c r="W49" s="1" t="str">
        <f t="shared" si="22"/>
        <v>D</v>
      </c>
      <c r="X49" s="1">
        <f>C49-Elect2014!C49</f>
        <v>2</v>
      </c>
      <c r="Y49" s="1">
        <f>J49-Elect2014!J49</f>
        <v>0</v>
      </c>
      <c r="Z49" s="1">
        <f t="shared" si="11"/>
        <v>0</v>
      </c>
    </row>
    <row r="50" spans="1:26" ht="16">
      <c r="A50" s="12" t="s">
        <v>77</v>
      </c>
      <c r="B50" s="13" t="s">
        <v>28</v>
      </c>
      <c r="C50" s="74">
        <v>50</v>
      </c>
      <c r="D50" s="74">
        <v>48</v>
      </c>
      <c r="E50" s="43">
        <v>98</v>
      </c>
      <c r="F50" s="16">
        <f t="shared" si="12"/>
        <v>0.51020408163265307</v>
      </c>
      <c r="G50" s="16">
        <f t="shared" si="13"/>
        <v>2.0408163265306145E-2</v>
      </c>
      <c r="H50" s="1" t="str">
        <f t="shared" si="14"/>
        <v>D</v>
      </c>
      <c r="I50" s="17" t="str">
        <f>IF(Elect2014!H50=H50,"N","Y")</f>
        <v>N</v>
      </c>
      <c r="J50" s="74">
        <v>25</v>
      </c>
      <c r="K50" s="74">
        <v>24</v>
      </c>
      <c r="L50" s="43">
        <v>49</v>
      </c>
      <c r="M50" s="16">
        <f t="shared" si="15"/>
        <v>0.51020408163265307</v>
      </c>
      <c r="N50" s="16">
        <f t="shared" si="16"/>
        <v>2.0408163265306145E-2</v>
      </c>
      <c r="O50" s="1" t="str">
        <f t="shared" si="17"/>
        <v>D</v>
      </c>
      <c r="P50" s="17" t="str">
        <f>IF(Elect2014!O50=O50,"N","Y")</f>
        <v>Y</v>
      </c>
      <c r="Q50" s="1">
        <f t="shared" si="18"/>
        <v>75</v>
      </c>
      <c r="R50" s="1">
        <f t="shared" si="18"/>
        <v>72</v>
      </c>
      <c r="S50" s="16">
        <f t="shared" si="19"/>
        <v>0.51020408163265307</v>
      </c>
      <c r="T50" s="16">
        <f t="shared" si="20"/>
        <v>2.0408163265306145E-2</v>
      </c>
      <c r="U50" s="1" t="str">
        <f t="shared" si="21"/>
        <v>D</v>
      </c>
      <c r="V50" s="72" t="s">
        <v>18</v>
      </c>
      <c r="W50" s="1" t="str">
        <f t="shared" si="22"/>
        <v>U</v>
      </c>
      <c r="X50" s="1">
        <f>C50-Elect2014!C50</f>
        <v>0</v>
      </c>
      <c r="Y50" s="1">
        <f>J50-Elect2014!J50</f>
        <v>1</v>
      </c>
      <c r="Z50" s="1">
        <f t="shared" si="11"/>
        <v>0</v>
      </c>
    </row>
    <row r="51" spans="1:26" ht="16">
      <c r="A51" s="12" t="s">
        <v>78</v>
      </c>
      <c r="B51" s="13" t="s">
        <v>26</v>
      </c>
      <c r="C51" s="74">
        <v>37</v>
      </c>
      <c r="D51" s="74">
        <v>63</v>
      </c>
      <c r="E51" s="43">
        <v>100</v>
      </c>
      <c r="F51" s="16">
        <f t="shared" si="12"/>
        <v>0.37</v>
      </c>
      <c r="G51" s="16">
        <f t="shared" si="13"/>
        <v>0.26</v>
      </c>
      <c r="H51" s="1" t="str">
        <f t="shared" si="14"/>
        <v>R</v>
      </c>
      <c r="I51" s="17" t="str">
        <f>IF(Elect2014!H51=H51,"N","Y")</f>
        <v>N</v>
      </c>
      <c r="J51" s="74">
        <v>12</v>
      </c>
      <c r="K51" s="74">
        <v>22</v>
      </c>
      <c r="L51" s="43">
        <v>34</v>
      </c>
      <c r="M51" s="16">
        <f t="shared" si="15"/>
        <v>0.35294117647058826</v>
      </c>
      <c r="N51" s="16">
        <f t="shared" si="16"/>
        <v>0.29411764705882343</v>
      </c>
      <c r="O51" s="1" t="str">
        <f t="shared" si="17"/>
        <v>R</v>
      </c>
      <c r="P51" s="17" t="str">
        <f>IF(Elect2014!O51=O51,"N","Y")</f>
        <v>N</v>
      </c>
      <c r="Q51" s="1">
        <f t="shared" si="18"/>
        <v>49</v>
      </c>
      <c r="R51" s="1">
        <f t="shared" si="18"/>
        <v>85</v>
      </c>
      <c r="S51" s="16">
        <f t="shared" si="19"/>
        <v>0.36567164179104478</v>
      </c>
      <c r="T51" s="16">
        <f t="shared" si="20"/>
        <v>0.26865671641791039</v>
      </c>
      <c r="U51" s="1" t="str">
        <f t="shared" si="21"/>
        <v>R</v>
      </c>
      <c r="V51" s="72" t="s">
        <v>18</v>
      </c>
      <c r="W51" s="1" t="str">
        <f t="shared" si="22"/>
        <v>D</v>
      </c>
      <c r="X51" s="1">
        <f>C51-Elect2014!C51</f>
        <v>4</v>
      </c>
      <c r="Y51" s="1">
        <f>J51-Elect2014!J51</f>
        <v>-4</v>
      </c>
      <c r="Z51" s="1">
        <f t="shared" si="11"/>
        <v>0</v>
      </c>
    </row>
    <row r="52" spans="1:26" ht="16">
      <c r="A52" s="12" t="s">
        <v>79</v>
      </c>
      <c r="B52" s="13" t="s">
        <v>41</v>
      </c>
      <c r="C52" s="74">
        <v>35</v>
      </c>
      <c r="D52" s="74">
        <v>64</v>
      </c>
      <c r="E52" s="43">
        <v>99</v>
      </c>
      <c r="F52" s="16">
        <f t="shared" si="12"/>
        <v>0.35353535353535354</v>
      </c>
      <c r="G52" s="16">
        <f t="shared" si="13"/>
        <v>0.29292929292929287</v>
      </c>
      <c r="H52" s="1" t="str">
        <f t="shared" si="14"/>
        <v>R</v>
      </c>
      <c r="I52" s="17" t="str">
        <f>IF(Elect2014!H52=H52,"N","Y")</f>
        <v>N</v>
      </c>
      <c r="J52" s="74">
        <v>13</v>
      </c>
      <c r="K52" s="74">
        <v>20</v>
      </c>
      <c r="L52" s="43">
        <v>33</v>
      </c>
      <c r="M52" s="16">
        <f t="shared" si="15"/>
        <v>0.39393939393939392</v>
      </c>
      <c r="N52" s="16">
        <f t="shared" si="16"/>
        <v>0.21212121212121215</v>
      </c>
      <c r="O52" s="1" t="str">
        <f t="shared" si="17"/>
        <v>R</v>
      </c>
      <c r="P52" s="17" t="str">
        <f>IF(Elect2014!O52=O52,"N","Y")</f>
        <v>N</v>
      </c>
      <c r="Q52" s="1">
        <f t="shared" si="18"/>
        <v>48</v>
      </c>
      <c r="R52" s="1">
        <f t="shared" si="18"/>
        <v>84</v>
      </c>
      <c r="S52" s="16">
        <f t="shared" si="19"/>
        <v>0.36363636363636365</v>
      </c>
      <c r="T52" s="16">
        <f t="shared" si="20"/>
        <v>0.27272727272727271</v>
      </c>
      <c r="U52" s="1" t="str">
        <f t="shared" si="21"/>
        <v>R</v>
      </c>
      <c r="V52" s="72" t="s">
        <v>19</v>
      </c>
      <c r="W52" s="1" t="str">
        <f t="shared" si="22"/>
        <v>U</v>
      </c>
      <c r="X52" s="1">
        <f>C52-Elect2014!C52</f>
        <v>-1</v>
      </c>
      <c r="Y52" s="1">
        <f>J52-Elect2014!J52</f>
        <v>-1</v>
      </c>
      <c r="Z52" s="1">
        <f t="shared" si="11"/>
        <v>0</v>
      </c>
    </row>
    <row r="53" spans="1:26" ht="16">
      <c r="A53" s="12" t="s">
        <v>80</v>
      </c>
      <c r="B53" s="13" t="s">
        <v>28</v>
      </c>
      <c r="C53" s="74">
        <v>9</v>
      </c>
      <c r="D53" s="74">
        <v>51</v>
      </c>
      <c r="E53" s="1">
        <v>60</v>
      </c>
      <c r="F53" s="16">
        <f t="shared" si="12"/>
        <v>0.15</v>
      </c>
      <c r="G53" s="16">
        <f t="shared" si="13"/>
        <v>0.7</v>
      </c>
      <c r="H53" s="1" t="str">
        <f t="shared" si="14"/>
        <v>R</v>
      </c>
      <c r="I53" s="17" t="str">
        <f>IF(Elect2014!H53=H53,"N","Y")</f>
        <v>N</v>
      </c>
      <c r="J53" s="74">
        <v>3</v>
      </c>
      <c r="K53" s="74">
        <v>27</v>
      </c>
      <c r="L53" s="43">
        <v>30</v>
      </c>
      <c r="M53" s="16">
        <f t="shared" si="15"/>
        <v>0.1</v>
      </c>
      <c r="N53" s="16">
        <f t="shared" si="16"/>
        <v>0.8</v>
      </c>
      <c r="O53" s="1" t="str">
        <f t="shared" si="17"/>
        <v>R</v>
      </c>
      <c r="P53" s="17" t="str">
        <f>IF(Elect2014!O53=O53,"N","Y")</f>
        <v>N</v>
      </c>
      <c r="Q53" s="1">
        <f t="shared" si="18"/>
        <v>12</v>
      </c>
      <c r="R53" s="50">
        <f t="shared" si="18"/>
        <v>78</v>
      </c>
      <c r="S53" s="25">
        <f t="shared" si="19"/>
        <v>0.13333333333333333</v>
      </c>
      <c r="T53" s="26">
        <f t="shared" si="20"/>
        <v>0.73333333333333339</v>
      </c>
      <c r="U53" s="1" t="str">
        <f t="shared" si="21"/>
        <v>R</v>
      </c>
      <c r="V53" s="72" t="s">
        <v>19</v>
      </c>
      <c r="W53" s="1" t="str">
        <f t="shared" si="22"/>
        <v>U</v>
      </c>
      <c r="X53" s="1">
        <f>C53-Elect2014!C53</f>
        <v>0</v>
      </c>
      <c r="Y53" s="1">
        <f>J53-Elect2014!J53</f>
        <v>-1</v>
      </c>
      <c r="Z53" s="1">
        <f t="shared" si="11"/>
        <v>0</v>
      </c>
    </row>
    <row r="54" spans="1:26">
      <c r="A54" s="27" t="s">
        <v>81</v>
      </c>
      <c r="B54" s="28"/>
      <c r="C54" s="29">
        <f>SUM(C4:C53)</f>
        <v>2341</v>
      </c>
      <c r="D54" s="29">
        <f>SUM(D4:D53)</f>
        <v>3052</v>
      </c>
      <c r="E54" s="29">
        <f>SUM(E3:E53)</f>
        <v>5411</v>
      </c>
      <c r="F54" s="30">
        <f t="shared" si="12"/>
        <v>0.43263722047680653</v>
      </c>
      <c r="G54" s="30"/>
      <c r="H54" s="31"/>
      <c r="I54" s="32"/>
      <c r="J54" s="29">
        <f>SUM(J4:J53)</f>
        <v>796</v>
      </c>
      <c r="K54" s="29">
        <f>SUM(K4:K53)</f>
        <v>1124</v>
      </c>
      <c r="L54" s="29">
        <f>SUM(L3:L53)</f>
        <v>1923</v>
      </c>
      <c r="M54" s="30">
        <f t="shared" si="15"/>
        <v>0.41393655746229852</v>
      </c>
      <c r="N54" s="30"/>
      <c r="O54" s="31"/>
      <c r="P54" s="32"/>
      <c r="Q54" s="33">
        <f>SUM(Q4:Q53)</f>
        <v>3137</v>
      </c>
      <c r="R54" s="1">
        <f>D54+K54</f>
        <v>4176</v>
      </c>
      <c r="S54" s="16">
        <f t="shared" si="19"/>
        <v>0.42773384237796563</v>
      </c>
      <c r="T54" s="34">
        <f>AVERAGE(T4:T53)</f>
        <v>0.33201581640889022</v>
      </c>
      <c r="U54" s="31"/>
      <c r="X54" s="33">
        <f>SUM(X4:X53)</f>
        <v>1</v>
      </c>
      <c r="Y54" s="33">
        <f>SUM(Y4:Y53)</f>
        <v>-28</v>
      </c>
      <c r="Z54" s="33">
        <f>SUM(Z4:Z53)</f>
        <v>0</v>
      </c>
    </row>
    <row r="55" spans="1:26" ht="16">
      <c r="A55" s="35"/>
      <c r="B55" s="35"/>
      <c r="C55" s="36"/>
      <c r="D55" s="36"/>
      <c r="E55" s="36"/>
      <c r="F55" s="16"/>
      <c r="G55" s="16"/>
      <c r="J55" s="72"/>
      <c r="K55" s="72"/>
      <c r="L55" s="36"/>
      <c r="M55" s="16"/>
      <c r="Q55" s="37"/>
      <c r="R55" s="37"/>
      <c r="S55" s="16"/>
      <c r="T55" s="16"/>
    </row>
    <row r="56" spans="1:26" ht="16">
      <c r="A56" s="38" t="s">
        <v>113</v>
      </c>
      <c r="J56" s="72"/>
      <c r="K56" s="72"/>
    </row>
    <row r="57" spans="1:26" ht="16">
      <c r="A57" s="1" t="s">
        <v>83</v>
      </c>
      <c r="C57" s="37">
        <f>DSUM(_xlnm.Database,C3,critRGS)</f>
        <v>644</v>
      </c>
      <c r="D57" s="37"/>
      <c r="E57" s="37">
        <f>DSUM(_xlnm.Database,E3,critRGS)</f>
        <v>1767</v>
      </c>
      <c r="F57" s="16">
        <f>C57/E57</f>
        <v>0.36445953593661573</v>
      </c>
      <c r="J57" s="37">
        <f>DSUM(_xlnm.Database,J3,critRGS)</f>
        <v>214</v>
      </c>
      <c r="K57" s="72"/>
      <c r="L57" s="37">
        <f>DSUM(_xlnm.Database,L3,critRGS)</f>
        <v>624</v>
      </c>
      <c r="M57" s="16">
        <f>J57/L57</f>
        <v>0.34294871794871795</v>
      </c>
      <c r="Q57" s="37">
        <f>DSUM(_xlnm.Database,Q3,critRGS)</f>
        <v>858</v>
      </c>
      <c r="R57" s="37"/>
      <c r="S57" s="16">
        <f>Q57/(E57+L57)</f>
        <v>0.3588456712672522</v>
      </c>
      <c r="T57" s="16"/>
    </row>
    <row r="58" spans="1:26" ht="16">
      <c r="A58" s="1" t="s">
        <v>84</v>
      </c>
      <c r="C58" s="37">
        <f>DSUM(_xlnm.Database,C3,CritRGN)</f>
        <v>1697</v>
      </c>
      <c r="D58" s="37"/>
      <c r="E58" s="37">
        <f>DSUM(_xlnm.Database,E3,CritRGN)</f>
        <v>3644</v>
      </c>
      <c r="F58" s="16">
        <f>C58/E58</f>
        <v>0.46569703622392977</v>
      </c>
      <c r="J58" s="37">
        <f>DSUM(_xlnm.Database,J3,CritRGN)</f>
        <v>582</v>
      </c>
      <c r="K58" s="72"/>
      <c r="L58" s="37">
        <f>DSUM(_xlnm.Database,L3,CritRGN)</f>
        <v>1299</v>
      </c>
      <c r="M58" s="16">
        <f>J58/L58</f>
        <v>0.44803695150115475</v>
      </c>
      <c r="Q58" s="37">
        <f>DSUM(_xlnm.Database,Q3,CritRGN)</f>
        <v>2279</v>
      </c>
      <c r="R58" s="37"/>
      <c r="S58" s="16">
        <f>Q58/(E58+L58)</f>
        <v>0.46105603884280799</v>
      </c>
      <c r="T58" s="16"/>
    </row>
    <row r="59" spans="1:26" ht="16">
      <c r="A59" s="1" t="s">
        <v>85</v>
      </c>
      <c r="C59" s="37">
        <f>DSUM(_xlnm.Database,C3,CRITE)</f>
        <v>875</v>
      </c>
      <c r="D59" s="37"/>
      <c r="E59" s="37">
        <f>DSUM(_xlnm.Database,E3,CRITE)</f>
        <v>1561</v>
      </c>
      <c r="F59" s="16">
        <f>C59/E59</f>
        <v>0.5605381165919282</v>
      </c>
      <c r="J59" s="37">
        <f>DSUM(_xlnm.Database,J3,CRITE)</f>
        <v>218</v>
      </c>
      <c r="K59" s="72"/>
      <c r="L59" s="37">
        <f>DSUM(_xlnm.Database,L3,CRITE)</f>
        <v>377</v>
      </c>
      <c r="M59" s="16">
        <f>J59/L59</f>
        <v>0.57824933687002655</v>
      </c>
      <c r="Q59" s="37">
        <f>DSUM(_xlnm.Database,Q3,CRITE)</f>
        <v>1093</v>
      </c>
      <c r="R59" s="37"/>
      <c r="S59" s="16">
        <f>Q59/(E59+L59)</f>
        <v>0.56398348813209498</v>
      </c>
      <c r="T59" s="16"/>
    </row>
    <row r="60" spans="1:26" ht="16">
      <c r="A60" s="1" t="s">
        <v>86</v>
      </c>
      <c r="C60" s="37">
        <f>DSUM(_xlnm.Database,C3,CRITM)</f>
        <v>419</v>
      </c>
      <c r="D60" s="37"/>
      <c r="E60" s="37">
        <f>DSUM(_xlnm.Database,E3,CRITM)</f>
        <v>1212</v>
      </c>
      <c r="F60" s="16">
        <f>C60/E60</f>
        <v>0.3457095709570957</v>
      </c>
      <c r="J60" s="37">
        <f>DSUM(_xlnm.Database,J3,CRITM)</f>
        <v>165</v>
      </c>
      <c r="K60" s="72"/>
      <c r="L60" s="37">
        <f>DSUM(_xlnm.Database,L3,CRITM)</f>
        <v>486</v>
      </c>
      <c r="M60" s="16">
        <f>J60/L60</f>
        <v>0.33950617283950618</v>
      </c>
      <c r="Q60" s="37">
        <f>DSUM(_xlnm.Database,Q3,CRITM)</f>
        <v>584</v>
      </c>
      <c r="R60" s="37"/>
      <c r="S60" s="16">
        <f>Q60/(E60+L60)</f>
        <v>0.34393404004711425</v>
      </c>
      <c r="T60" s="16"/>
    </row>
    <row r="61" spans="1:26" ht="16">
      <c r="A61" s="1" t="s">
        <v>87</v>
      </c>
      <c r="C61" s="37">
        <f>DSUM(_xlnm.Database,C3,CRITW)</f>
        <v>403</v>
      </c>
      <c r="D61" s="37"/>
      <c r="E61" s="37">
        <f>DSUM(_xlnm.Database,E3,CRITW)</f>
        <v>871</v>
      </c>
      <c r="F61" s="16">
        <f>C61/E61</f>
        <v>0.46268656716417911</v>
      </c>
      <c r="J61" s="37">
        <f>DSUM(_xlnm.Database,J3,CRITW)</f>
        <v>199</v>
      </c>
      <c r="K61" s="72"/>
      <c r="L61" s="37">
        <f>DSUM(_xlnm.Database,L3,CRITW)</f>
        <v>436</v>
      </c>
      <c r="M61" s="16">
        <f>J61/L61</f>
        <v>0.45642201834862384</v>
      </c>
      <c r="Q61" s="37">
        <f>DSUM(_xlnm.Database,Q3,CRITW)</f>
        <v>602</v>
      </c>
      <c r="R61" s="37"/>
      <c r="S61" s="16">
        <f>Q61/(E61+L61)</f>
        <v>0.46059678653404745</v>
      </c>
      <c r="T61" s="16"/>
    </row>
    <row r="62" spans="1:26" ht="16">
      <c r="F62" s="16"/>
      <c r="J62" s="72"/>
      <c r="K62" s="72"/>
      <c r="M62" s="16"/>
      <c r="S62" s="16"/>
      <c r="T62" s="16"/>
    </row>
    <row r="63" spans="1:26" ht="16">
      <c r="F63" s="16"/>
      <c r="J63" s="72"/>
      <c r="K63" s="72"/>
      <c r="M63" s="16"/>
      <c r="S63" s="16"/>
      <c r="T63" s="16"/>
    </row>
    <row r="64" spans="1:26" ht="16">
      <c r="A64" s="38" t="s">
        <v>114</v>
      </c>
      <c r="C64" s="51" t="s">
        <v>89</v>
      </c>
      <c r="D64" s="51"/>
      <c r="E64" s="51" t="s">
        <v>26</v>
      </c>
      <c r="F64" s="51" t="s">
        <v>90</v>
      </c>
      <c r="J64" s="72"/>
      <c r="K64" s="72"/>
      <c r="M64" s="16"/>
      <c r="S64" s="16"/>
      <c r="T64" s="16"/>
    </row>
    <row r="65" spans="1:20" ht="16">
      <c r="A65" s="35" t="s">
        <v>81</v>
      </c>
      <c r="C65" s="40">
        <f>C54-Elect2014!C54</f>
        <v>1</v>
      </c>
      <c r="D65" s="40"/>
      <c r="E65" s="40">
        <f>J54-Elect2014!J54</f>
        <v>-28</v>
      </c>
      <c r="F65" s="40">
        <f>Q54-Elect2014!Q54</f>
        <v>-27</v>
      </c>
      <c r="J65" s="72"/>
      <c r="K65" s="72"/>
      <c r="M65" s="16"/>
      <c r="S65" s="16"/>
      <c r="T65" s="16"/>
    </row>
    <row r="66" spans="1:20" ht="16">
      <c r="A66" s="1" t="s">
        <v>83</v>
      </c>
      <c r="C66" s="40">
        <f>C57-Elect2014!C57</f>
        <v>-28</v>
      </c>
      <c r="D66" s="40"/>
      <c r="E66" s="40">
        <f>J57-Elect2014!J57</f>
        <v>-8</v>
      </c>
      <c r="F66" s="40">
        <f t="shared" ref="F66:F69" si="23">SUM(C66:E66)</f>
        <v>-36</v>
      </c>
      <c r="J66" s="72"/>
      <c r="K66" s="72"/>
      <c r="M66" s="16"/>
      <c r="S66" s="16"/>
      <c r="T66" s="16"/>
    </row>
    <row r="67" spans="1:20" ht="16">
      <c r="A67" s="1" t="s">
        <v>85</v>
      </c>
      <c r="C67" s="40">
        <f>C59-Elect2014!C59</f>
        <v>15</v>
      </c>
      <c r="D67" s="40"/>
      <c r="E67" s="40">
        <f>J59-Elect2014!J59</f>
        <v>-1</v>
      </c>
      <c r="F67" s="40">
        <f t="shared" si="23"/>
        <v>14</v>
      </c>
      <c r="J67" s="72"/>
      <c r="K67" s="72"/>
      <c r="M67" s="16"/>
      <c r="S67" s="16"/>
      <c r="T67" s="16"/>
    </row>
    <row r="68" spans="1:20" ht="16">
      <c r="A68" s="1" t="s">
        <v>86</v>
      </c>
      <c r="C68" s="40">
        <f>C60-Elect2014!C60</f>
        <v>-11</v>
      </c>
      <c r="D68" s="40"/>
      <c r="E68" s="40">
        <f>J60-Elect2014!J60</f>
        <v>-25</v>
      </c>
      <c r="F68" s="40">
        <f t="shared" si="23"/>
        <v>-36</v>
      </c>
      <c r="J68" s="72"/>
      <c r="K68" s="72"/>
      <c r="M68" s="16"/>
      <c r="S68" s="16"/>
      <c r="T68" s="16"/>
    </row>
    <row r="69" spans="1:20" ht="16">
      <c r="A69" s="1" t="s">
        <v>87</v>
      </c>
      <c r="C69" s="40">
        <f>C61-Elect2014!C61</f>
        <v>25</v>
      </c>
      <c r="D69" s="40"/>
      <c r="E69" s="40">
        <f>J61-Elect2014!J61</f>
        <v>6</v>
      </c>
      <c r="F69" s="40">
        <f t="shared" si="23"/>
        <v>31</v>
      </c>
      <c r="J69" s="72"/>
      <c r="K69" s="72"/>
      <c r="M69" s="16"/>
      <c r="S69" s="16"/>
      <c r="T69" s="16"/>
    </row>
    <row r="70" spans="1:20" ht="16">
      <c r="F70" s="16"/>
      <c r="J70" s="72"/>
      <c r="K70" s="72"/>
      <c r="M70" s="16"/>
      <c r="S70" s="16"/>
      <c r="T70" s="16"/>
    </row>
    <row r="71" spans="1:20" ht="16">
      <c r="G71" s="8"/>
      <c r="J71" s="72"/>
      <c r="K71" s="72"/>
    </row>
    <row r="72" spans="1:20" ht="16">
      <c r="A72" s="38" t="s">
        <v>91</v>
      </c>
      <c r="F72" s="1">
        <f>DCOUNTA(_xlnm.Database,"Div?",critdiv)</f>
        <v>18</v>
      </c>
      <c r="J72" s="72"/>
      <c r="K72" s="72"/>
    </row>
    <row r="73" spans="1:20" ht="16">
      <c r="A73" s="38"/>
      <c r="J73" s="72"/>
      <c r="K73" s="72"/>
    </row>
    <row r="74" spans="1:20" ht="16">
      <c r="A74" s="38" t="s">
        <v>92</v>
      </c>
      <c r="C74" s="1">
        <f>DCOUNTA(_xlnm.Database,"HSwch",CritHSwch)</f>
        <v>3</v>
      </c>
      <c r="E74" s="1">
        <f>DCOUNTA(_xlnm.Database,"sSwch",CritSSwch)</f>
        <v>6</v>
      </c>
      <c r="F74" s="1">
        <f>SUM(C74:E74)</f>
        <v>9</v>
      </c>
      <c r="J74" s="72"/>
      <c r="K74" s="72"/>
    </row>
    <row r="75" spans="1:20" ht="16">
      <c r="A75" s="38"/>
      <c r="H75" s="1" t="s">
        <v>110</v>
      </c>
      <c r="J75" s="72"/>
      <c r="K75" s="72"/>
    </row>
    <row r="76" spans="1:20" ht="16">
      <c r="A76" s="38" t="s">
        <v>115</v>
      </c>
      <c r="C76" s="1">
        <f>DCOUNTA(_xlnm.Database,"hCntrl",CritHCntrlD)</f>
        <v>17</v>
      </c>
      <c r="E76" s="1">
        <f>DCOUNTA(_xlnm.Database,"sCntrl",CritSCntrlD)</f>
        <v>14</v>
      </c>
      <c r="F76" s="1">
        <f>DCOUNTA(_xlnm.Database,"TCntrl",CritTCntrlD)</f>
        <v>14</v>
      </c>
      <c r="H76" s="1">
        <f>C76+E76</f>
        <v>31</v>
      </c>
      <c r="J76" s="72"/>
      <c r="K76" s="72"/>
    </row>
    <row r="77" spans="1:20" ht="16">
      <c r="A77" s="38" t="s">
        <v>116</v>
      </c>
      <c r="C77" s="1">
        <f>DCOUNTA(_xlnm.Database,"HCntrl",critHCntrlR)</f>
        <v>32</v>
      </c>
      <c r="E77" s="1">
        <f>DCOUNTA(_xlnm.Database,"sCntrl",CritSCntrlR)</f>
        <v>34</v>
      </c>
      <c r="F77" s="1">
        <f>DCOUNTA(_xlnm.Database,"TCntrl",CritTCntrlR)</f>
        <v>32</v>
      </c>
      <c r="H77" s="1">
        <f>C77+E77</f>
        <v>66</v>
      </c>
      <c r="J77" s="72"/>
      <c r="K77" s="72"/>
    </row>
    <row r="78" spans="1:20">
      <c r="A78" s="38" t="s">
        <v>95</v>
      </c>
      <c r="F78" s="1">
        <f>DCOUNTA(_xlnm.Database,"TCntrl",CritTCntrlS)</f>
        <v>3</v>
      </c>
    </row>
    <row r="79" spans="1:20">
      <c r="A79" s="38"/>
    </row>
    <row r="80" spans="1:20">
      <c r="A80" s="38" t="s">
        <v>117</v>
      </c>
      <c r="F80" s="1">
        <f>DCOUNTA(_xlnm.Database,"Gov",CritGovD)</f>
        <v>16</v>
      </c>
    </row>
    <row r="81" spans="1:20">
      <c r="A81" s="38"/>
    </row>
    <row r="82" spans="1:20">
      <c r="A82" s="38"/>
    </row>
    <row r="83" spans="1:20">
      <c r="A83" s="38" t="s">
        <v>97</v>
      </c>
    </row>
    <row r="84" spans="1:20">
      <c r="A84" s="1" t="s">
        <v>83</v>
      </c>
      <c r="C84" s="16">
        <f>DAVERAGE(_xlnm.Database,"HMargin",critRGS)</f>
        <v>0.32167011494306585</v>
      </c>
      <c r="D84" s="16"/>
      <c r="E84" s="16">
        <f>DAVERAGE(_xlnm.Database,"SMargin",critRGS)</f>
        <v>0.37817626521894598</v>
      </c>
      <c r="F84" s="80">
        <f>DAVERAGE(_xlnm.Database,"TMargin",critRGS)</f>
        <v>0.33699425040972991</v>
      </c>
      <c r="G84" s="16"/>
    </row>
    <row r="85" spans="1:20">
      <c r="A85" s="1" t="s">
        <v>84</v>
      </c>
      <c r="C85" s="16">
        <f>DAVERAGE(_xlnm.Database,"HMargin",CritRGN)</f>
        <v>0.3250250429578882</v>
      </c>
      <c r="D85" s="16"/>
      <c r="E85" s="16">
        <f>DAVERAGE(_xlnm.Database,"SMargin",CritRGN)</f>
        <v>0.35365340414789864</v>
      </c>
      <c r="F85" s="80">
        <f>DAVERAGE(_xlnm.Database,"TMargin",CritRGN)</f>
        <v>0.32981944846734318</v>
      </c>
      <c r="G85" s="16"/>
    </row>
    <row r="86" spans="1:20">
      <c r="A86" s="41"/>
      <c r="F86" s="16"/>
      <c r="G86" s="16"/>
    </row>
    <row r="87" spans="1:20">
      <c r="A87" s="41"/>
      <c r="T87" s="16">
        <f>AVERAGE(S4:S53)</f>
        <v>0.42871921768581106</v>
      </c>
    </row>
    <row r="88" spans="1:20">
      <c r="A88" s="41" t="s">
        <v>98</v>
      </c>
      <c r="T88" s="16">
        <f>AVERAGE(T4:T53)</f>
        <v>0.33201581640889022</v>
      </c>
    </row>
    <row r="89" spans="1:20">
      <c r="A89" s="1" t="s">
        <v>99</v>
      </c>
      <c r="C89" s="1">
        <f>DCOUNT(_xlnm.Database,F3,CritHD55)</f>
        <v>4</v>
      </c>
      <c r="E89" s="1">
        <f>DCOUNT(_xlnm.Database,M3,CritSD55)</f>
        <v>9</v>
      </c>
      <c r="F89" s="1">
        <f>SUM(C89:E89)</f>
        <v>13</v>
      </c>
    </row>
    <row r="92" spans="1:20">
      <c r="A92" s="41" t="s">
        <v>118</v>
      </c>
      <c r="C92" s="1">
        <f>DCOUNTA(_xlnm.Database,"Div?",CritUnifD)</f>
        <v>7</v>
      </c>
    </row>
    <row r="93" spans="1:20">
      <c r="A93" s="41" t="s">
        <v>119</v>
      </c>
      <c r="C93" s="1">
        <f>DCOUNTA(_xlnm.Database,"Div?",CritUnifR)</f>
        <v>24</v>
      </c>
    </row>
    <row r="1016" spans="31:50">
      <c r="AE1016" s="1" t="s">
        <v>3</v>
      </c>
      <c r="AF1016" s="1" t="s">
        <v>3</v>
      </c>
      <c r="AG1016" s="10" t="s">
        <v>10</v>
      </c>
      <c r="AH1016" s="1" t="s">
        <v>17</v>
      </c>
      <c r="AI1016" s="11" t="s">
        <v>24</v>
      </c>
      <c r="AJ1016" s="8" t="s">
        <v>9</v>
      </c>
      <c r="AL1016" s="1" t="s">
        <v>9</v>
      </c>
      <c r="AO1016" s="9" t="s">
        <v>7</v>
      </c>
      <c r="AP1016" s="9" t="s">
        <v>7</v>
      </c>
      <c r="AQ1016" s="9" t="s">
        <v>14</v>
      </c>
      <c r="AR1016" s="9" t="s">
        <v>14</v>
      </c>
      <c r="AT1016" s="8" t="s">
        <v>23</v>
      </c>
      <c r="AU1016" s="8" t="s">
        <v>24</v>
      </c>
      <c r="AW1016" s="8" t="s">
        <v>23</v>
      </c>
      <c r="AX1016" s="8" t="s">
        <v>24</v>
      </c>
    </row>
    <row r="1017" spans="31:50">
      <c r="AE1017" s="1" t="s">
        <v>102</v>
      </c>
      <c r="AF1017" s="1" t="s">
        <v>26</v>
      </c>
      <c r="AG1017" s="1" t="s">
        <v>103</v>
      </c>
      <c r="AH1017" s="1" t="s">
        <v>103</v>
      </c>
      <c r="AI1017" s="1" t="s">
        <v>18</v>
      </c>
      <c r="AJ1017" s="1" t="s">
        <v>18</v>
      </c>
      <c r="AL1017" s="1" t="s">
        <v>19</v>
      </c>
      <c r="AO1017" s="1" t="s">
        <v>104</v>
      </c>
      <c r="AP1017" s="1" t="s">
        <v>105</v>
      </c>
      <c r="AQ1017" s="1" t="s">
        <v>104</v>
      </c>
      <c r="AR1017" s="1" t="s">
        <v>105</v>
      </c>
      <c r="AT1017" s="1" t="s">
        <v>18</v>
      </c>
      <c r="AU1017" s="1" t="s">
        <v>111</v>
      </c>
      <c r="AW1017" s="1" t="s">
        <v>19</v>
      </c>
      <c r="AX1017" s="1" t="s">
        <v>111</v>
      </c>
    </row>
    <row r="1019" spans="31:50">
      <c r="AG1019" s="1" t="s">
        <v>23</v>
      </c>
      <c r="AJ1019" s="8" t="s">
        <v>16</v>
      </c>
      <c r="AL1019" s="8" t="s">
        <v>16</v>
      </c>
      <c r="AN1019" s="8"/>
    </row>
    <row r="1020" spans="31:50">
      <c r="AG1020" s="1" t="s">
        <v>18</v>
      </c>
      <c r="AJ1020" s="1" t="s">
        <v>18</v>
      </c>
      <c r="AL1020" s="1" t="s">
        <v>19</v>
      </c>
    </row>
    <row r="1022" spans="31:50">
      <c r="AJ1022" s="8" t="s">
        <v>22</v>
      </c>
      <c r="AL1022" s="8" t="s">
        <v>22</v>
      </c>
      <c r="AN1022" s="8" t="s">
        <v>22</v>
      </c>
    </row>
    <row r="1023" spans="31:50">
      <c r="AJ1023" s="1" t="s">
        <v>18</v>
      </c>
      <c r="AL1023" s="1" t="s">
        <v>19</v>
      </c>
      <c r="AN1023" s="1" t="s">
        <v>26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149</vt:i4>
      </vt:variant>
    </vt:vector>
  </HeadingPairs>
  <TitlesOfParts>
    <vt:vector size="161" baseType="lpstr">
      <vt:lpstr>Elect2000</vt:lpstr>
      <vt:lpstr>Elect2002</vt:lpstr>
      <vt:lpstr>Elect2004</vt:lpstr>
      <vt:lpstr>Elect2006</vt:lpstr>
      <vt:lpstr>Elect2008</vt:lpstr>
      <vt:lpstr>Elect2010</vt:lpstr>
      <vt:lpstr>Elect2012</vt:lpstr>
      <vt:lpstr>Elect2014</vt:lpstr>
      <vt:lpstr>Elect2016</vt:lpstr>
      <vt:lpstr>Elect2018</vt:lpstr>
      <vt:lpstr>Elect2020</vt:lpstr>
      <vt:lpstr>Sheet1</vt:lpstr>
      <vt:lpstr>Elect2000!critdiv</vt:lpstr>
      <vt:lpstr>Elect2002!critdiv</vt:lpstr>
      <vt:lpstr>Elect2004!critdiv</vt:lpstr>
      <vt:lpstr>Elect2006!critdiv</vt:lpstr>
      <vt:lpstr>Elect2008!critdiv</vt:lpstr>
      <vt:lpstr>Elect2010!critdiv</vt:lpstr>
      <vt:lpstr>Elect2012!critdiv</vt:lpstr>
      <vt:lpstr>Elect2014!critdiv</vt:lpstr>
      <vt:lpstr>Elect2016!critdiv</vt:lpstr>
      <vt:lpstr>Elect2000!CritGovD</vt:lpstr>
      <vt:lpstr>Elect2002!CritGovD</vt:lpstr>
      <vt:lpstr>Elect2004!CritGovD</vt:lpstr>
      <vt:lpstr>Elect2006!CritGovD</vt:lpstr>
      <vt:lpstr>Elect2008!CritGovD</vt:lpstr>
      <vt:lpstr>Elect2010!CritGovD</vt:lpstr>
      <vt:lpstr>Elect2012!CritGovD</vt:lpstr>
      <vt:lpstr>Elect2014!CritGovD</vt:lpstr>
      <vt:lpstr>Elect2016!CritGovD</vt:lpstr>
      <vt:lpstr>Elect2000!CritHCntrlD</vt:lpstr>
      <vt:lpstr>Elect2002!CritHCntrlD</vt:lpstr>
      <vt:lpstr>Elect2004!CritHCntrlD</vt:lpstr>
      <vt:lpstr>Elect2006!CritHCntrlD</vt:lpstr>
      <vt:lpstr>Elect2008!CritHCntrlD</vt:lpstr>
      <vt:lpstr>Elect2010!CritHCntrlD</vt:lpstr>
      <vt:lpstr>Elect2012!CritHCntrlD</vt:lpstr>
      <vt:lpstr>Elect2014!CritHCntrlD</vt:lpstr>
      <vt:lpstr>Elect2016!CritHCntrlD</vt:lpstr>
      <vt:lpstr>Elect2000!critHCntrlR</vt:lpstr>
      <vt:lpstr>Elect2002!critHCntrlR</vt:lpstr>
      <vt:lpstr>Elect2004!critHCntrlR</vt:lpstr>
      <vt:lpstr>Elect2006!critHCntrlR</vt:lpstr>
      <vt:lpstr>Elect2008!critHCntrlR</vt:lpstr>
      <vt:lpstr>Elect2010!critHCntrlR</vt:lpstr>
      <vt:lpstr>Elect2012!critHCntrlR</vt:lpstr>
      <vt:lpstr>Elect2014!critHCntrlR</vt:lpstr>
      <vt:lpstr>Elect2016!critHCntrlR</vt:lpstr>
      <vt:lpstr>Elect2000!CritHSwch</vt:lpstr>
      <vt:lpstr>Elect2002!CritHSwch</vt:lpstr>
      <vt:lpstr>Elect2004!CritHSwch</vt:lpstr>
      <vt:lpstr>Elect2006!CritHSwch</vt:lpstr>
      <vt:lpstr>Elect2008!CritHSwch</vt:lpstr>
      <vt:lpstr>Elect2010!CritHSwch</vt:lpstr>
      <vt:lpstr>Elect2012!CritHSwch</vt:lpstr>
      <vt:lpstr>Elect2014!CritHSwch</vt:lpstr>
      <vt:lpstr>Elect2016!CritHSwch</vt:lpstr>
      <vt:lpstr>Elect2000!CritRGN</vt:lpstr>
      <vt:lpstr>Elect2002!CritRGN</vt:lpstr>
      <vt:lpstr>Elect2004!CritRGN</vt:lpstr>
      <vt:lpstr>Elect2006!CritRGN</vt:lpstr>
      <vt:lpstr>Elect2008!CritRGN</vt:lpstr>
      <vt:lpstr>Elect2010!CritRGN</vt:lpstr>
      <vt:lpstr>Elect2012!CritRGN</vt:lpstr>
      <vt:lpstr>Elect2014!CritRGN</vt:lpstr>
      <vt:lpstr>Elect2016!CritRGN</vt:lpstr>
      <vt:lpstr>Elect2000!critRGS</vt:lpstr>
      <vt:lpstr>Elect2002!critRGS</vt:lpstr>
      <vt:lpstr>Elect2004!critRGS</vt:lpstr>
      <vt:lpstr>Elect2006!critRGS</vt:lpstr>
      <vt:lpstr>Elect2008!critRGS</vt:lpstr>
      <vt:lpstr>Elect2010!critRGS</vt:lpstr>
      <vt:lpstr>Elect2012!critRGS</vt:lpstr>
      <vt:lpstr>Elect2014!critRGS</vt:lpstr>
      <vt:lpstr>Elect2016!critRGS</vt:lpstr>
      <vt:lpstr>Elect2000!CritSCntrlD</vt:lpstr>
      <vt:lpstr>Elect2002!CritSCntrlD</vt:lpstr>
      <vt:lpstr>Elect2004!CritSCntrlD</vt:lpstr>
      <vt:lpstr>Elect2006!CritSCntrlD</vt:lpstr>
      <vt:lpstr>Elect2008!CritSCntrlD</vt:lpstr>
      <vt:lpstr>Elect2010!CritSCntrlD</vt:lpstr>
      <vt:lpstr>Elect2012!CritSCntrlD</vt:lpstr>
      <vt:lpstr>Elect2014!CritSCntrlD</vt:lpstr>
      <vt:lpstr>Elect2016!CritSCntrlD</vt:lpstr>
      <vt:lpstr>Elect2000!CritSCntrlR</vt:lpstr>
      <vt:lpstr>Elect2002!CritSCntrlR</vt:lpstr>
      <vt:lpstr>Elect2004!CritSCntrlR</vt:lpstr>
      <vt:lpstr>Elect2006!CritSCntrlR</vt:lpstr>
      <vt:lpstr>Elect2008!CritSCntrlR</vt:lpstr>
      <vt:lpstr>Elect2010!CritSCntrlR</vt:lpstr>
      <vt:lpstr>Elect2012!CritSCntrlR</vt:lpstr>
      <vt:lpstr>Elect2014!CritSCntrlR</vt:lpstr>
      <vt:lpstr>Elect2016!CritSCntrlR</vt:lpstr>
      <vt:lpstr>Elect2000!CritSD55</vt:lpstr>
      <vt:lpstr>Elect2002!CritSD55</vt:lpstr>
      <vt:lpstr>Elect2004!CritSD55</vt:lpstr>
      <vt:lpstr>Elect2006!CritSD55</vt:lpstr>
      <vt:lpstr>Elect2008!CritSD55</vt:lpstr>
      <vt:lpstr>Elect2010!CritSD55</vt:lpstr>
      <vt:lpstr>Elect2012!CritSD55</vt:lpstr>
      <vt:lpstr>Elect2014!CritSD55</vt:lpstr>
      <vt:lpstr>Elect2016!CritSD55</vt:lpstr>
      <vt:lpstr>Elect2000!CritSSwch</vt:lpstr>
      <vt:lpstr>Elect2002!CritSSwch</vt:lpstr>
      <vt:lpstr>Elect2004!CritSSwch</vt:lpstr>
      <vt:lpstr>Elect2006!CritSSwch</vt:lpstr>
      <vt:lpstr>Elect2008!CritSSwch</vt:lpstr>
      <vt:lpstr>Elect2010!CritSSwch</vt:lpstr>
      <vt:lpstr>Elect2012!CritSSwch</vt:lpstr>
      <vt:lpstr>Elect2014!CritSSwch</vt:lpstr>
      <vt:lpstr>Elect2016!CritSSwch</vt:lpstr>
      <vt:lpstr>Elect2000!CritTCntrlD</vt:lpstr>
      <vt:lpstr>Elect2002!CritTCntrlD</vt:lpstr>
      <vt:lpstr>Elect2004!CritTCntrlD</vt:lpstr>
      <vt:lpstr>Elect2006!CritTCntrlD</vt:lpstr>
      <vt:lpstr>Elect2008!CritTCntrlD</vt:lpstr>
      <vt:lpstr>Elect2010!CritTCntrlD</vt:lpstr>
      <vt:lpstr>Elect2012!CritTCntrlD</vt:lpstr>
      <vt:lpstr>Elect2014!CritTCntrlD</vt:lpstr>
      <vt:lpstr>Elect2016!CritTCntrlD</vt:lpstr>
      <vt:lpstr>Elect2000!CritTCntrlR</vt:lpstr>
      <vt:lpstr>Elect2002!CritTCntrlR</vt:lpstr>
      <vt:lpstr>Elect2004!CritTCntrlR</vt:lpstr>
      <vt:lpstr>Elect2006!CritTCntrlR</vt:lpstr>
      <vt:lpstr>Elect2008!CritTCntrlR</vt:lpstr>
      <vt:lpstr>Elect2010!CritTCntrlR</vt:lpstr>
      <vt:lpstr>Elect2012!CritTCntrlR</vt:lpstr>
      <vt:lpstr>Elect2014!CritTCntrlR</vt:lpstr>
      <vt:lpstr>Elect2016!CritTCntrlR</vt:lpstr>
      <vt:lpstr>Elect2000!CritTCntrlS</vt:lpstr>
      <vt:lpstr>Elect2002!CritTCntrlS</vt:lpstr>
      <vt:lpstr>Elect2004!CritTCntrlS</vt:lpstr>
      <vt:lpstr>Elect2006!CritTCntrlS</vt:lpstr>
      <vt:lpstr>Elect2008!CritTCntrlS</vt:lpstr>
      <vt:lpstr>Elect2010!CritTCntrlS</vt:lpstr>
      <vt:lpstr>Elect2012!CritTCntrlS</vt:lpstr>
      <vt:lpstr>Elect2014!CritTCntrlS</vt:lpstr>
      <vt:lpstr>Elect2016!CritTCntrlS</vt:lpstr>
      <vt:lpstr>Elect2006!CritUnifD</vt:lpstr>
      <vt:lpstr>Elect2008!CritUnifD</vt:lpstr>
      <vt:lpstr>Elect2010!CritUnifD</vt:lpstr>
      <vt:lpstr>Elect2012!CritUnifD</vt:lpstr>
      <vt:lpstr>Elect2014!CritUnifD</vt:lpstr>
      <vt:lpstr>Elect2016!CritUnifD</vt:lpstr>
      <vt:lpstr>CritUnifD</vt:lpstr>
      <vt:lpstr>Elect2006!CritUnifR</vt:lpstr>
      <vt:lpstr>Elect2008!CritUnifR</vt:lpstr>
      <vt:lpstr>Elect2010!CritUnifR</vt:lpstr>
      <vt:lpstr>Elect2012!CritUnifR</vt:lpstr>
      <vt:lpstr>Elect2014!CritUnifR</vt:lpstr>
      <vt:lpstr>Elect2016!CritUnifR</vt:lpstr>
      <vt:lpstr>CritUnifR</vt:lpstr>
      <vt:lpstr>Elect2000!Database</vt:lpstr>
      <vt:lpstr>Elect2002!Database</vt:lpstr>
      <vt:lpstr>Elect2004!Database</vt:lpstr>
      <vt:lpstr>Elect2006!Database</vt:lpstr>
      <vt:lpstr>Elect2008!Database</vt:lpstr>
      <vt:lpstr>Elect2010!Database</vt:lpstr>
      <vt:lpstr>Elect2012!Database</vt:lpstr>
      <vt:lpstr>Elect2014!Database</vt:lpstr>
      <vt:lpstr>Elect2016!Database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Williams</dc:creator>
  <cp:lastModifiedBy>Trinity Lakin</cp:lastModifiedBy>
  <dcterms:created xsi:type="dcterms:W3CDTF">2021-11-18T22:11:32Z</dcterms:created>
  <dcterms:modified xsi:type="dcterms:W3CDTF">2024-09-25T17:31:24Z</dcterms:modified>
</cp:coreProperties>
</file>