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GitHub\IBNR\"/>
    </mc:Choice>
  </mc:AlternateContent>
  <xr:revisionPtr revIDLastSave="0" documentId="13_ncr:1_{2BA6C85E-ABB5-4540-89F1-CE68BEFD5FDD}" xr6:coauthVersionLast="34" xr6:coauthVersionMax="34" xr10:uidLastSave="{00000000-0000-0000-0000-000000000000}"/>
  <bookViews>
    <workbookView xWindow="0" yWindow="0" windowWidth="21600" windowHeight="9980" activeTab="6" xr2:uid="{00000000-000D-0000-FFFF-FFFF00000000}"/>
  </bookViews>
  <sheets>
    <sheet name="Sheet1" sheetId="2" r:id="rId1"/>
    <sheet name="Sheet1 (2)" sheetId="3" r:id="rId2"/>
    <sheet name="Sheet1 (3)" sheetId="5" r:id="rId3"/>
    <sheet name="Sheet1 (4)" sheetId="6" r:id="rId4"/>
    <sheet name="Sheet6" sheetId="7" r:id="rId5"/>
    <sheet name="xyz" sheetId="8" r:id="rId6"/>
    <sheet name="xyz (2)" sheetId="11" r:id="rId7"/>
    <sheet name="Sheet8" sheetId="9" r:id="rId8"/>
    <sheet name="Sheet1 (5)" sheetId="10" r:id="rId9"/>
  </sheets>
  <calcPr calcId="179021"/>
</workbook>
</file>

<file path=xl/calcChain.xml><?xml version="1.0" encoding="utf-8"?>
<calcChain xmlns="http://schemas.openxmlformats.org/spreadsheetml/2006/main">
  <c r="E41" i="11" l="1"/>
  <c r="E40" i="11"/>
  <c r="E39" i="11"/>
  <c r="E38" i="11"/>
  <c r="E37" i="11"/>
  <c r="E36" i="11"/>
  <c r="D41" i="11"/>
  <c r="D40" i="11"/>
  <c r="D39" i="11"/>
  <c r="D38" i="11"/>
  <c r="D37" i="11"/>
  <c r="D36" i="11"/>
  <c r="B43" i="11"/>
  <c r="B24" i="9"/>
  <c r="G21" i="11"/>
  <c r="B21" i="11"/>
  <c r="G18" i="10" l="1"/>
  <c r="F18" i="10"/>
  <c r="G17" i="10"/>
  <c r="F17" i="10"/>
  <c r="G16" i="10"/>
  <c r="F16" i="10"/>
  <c r="G15" i="10"/>
  <c r="F15" i="10"/>
  <c r="G14" i="10"/>
  <c r="F14" i="10"/>
  <c r="G13" i="10"/>
  <c r="F13" i="10"/>
  <c r="G12" i="10"/>
  <c r="F12" i="10"/>
  <c r="G11" i="10"/>
  <c r="F11" i="10"/>
  <c r="G10" i="10"/>
  <c r="F10" i="10"/>
  <c r="G9" i="10"/>
  <c r="F9" i="10"/>
  <c r="G8" i="10"/>
  <c r="F8" i="10"/>
  <c r="G7" i="10"/>
  <c r="F7" i="10"/>
  <c r="G6" i="10"/>
  <c r="F6" i="10"/>
  <c r="G5" i="10"/>
  <c r="F5" i="10"/>
  <c r="G4" i="10"/>
  <c r="F4" i="10"/>
  <c r="G3" i="10"/>
  <c r="F3" i="10"/>
  <c r="D41" i="8"/>
  <c r="D40" i="8"/>
  <c r="D39" i="8"/>
  <c r="D38" i="8"/>
  <c r="D37" i="8"/>
  <c r="D36" i="8"/>
  <c r="C43" i="8"/>
  <c r="C41" i="8"/>
  <c r="C40" i="8"/>
  <c r="B43" i="8"/>
  <c r="G21" i="8"/>
  <c r="B21" i="8"/>
  <c r="N17" i="7"/>
  <c r="K4" i="6"/>
  <c r="K3" i="6"/>
  <c r="K5" i="6"/>
  <c r="K6" i="6"/>
  <c r="J6" i="6"/>
  <c r="J5" i="6"/>
  <c r="J4" i="6"/>
  <c r="J3" i="6"/>
  <c r="G15" i="6"/>
  <c r="G11" i="6"/>
  <c r="G7" i="6"/>
  <c r="G3" i="6"/>
  <c r="F15" i="6"/>
  <c r="F11" i="6"/>
  <c r="F7" i="6"/>
  <c r="F3" i="6"/>
  <c r="N30" i="5"/>
  <c r="L30" i="5"/>
  <c r="B33" i="5"/>
  <c r="B29" i="5"/>
  <c r="F18" i="5"/>
  <c r="E17" i="5"/>
  <c r="F17" i="5"/>
  <c r="F16" i="5"/>
  <c r="E16" i="5"/>
  <c r="H15" i="5"/>
  <c r="F15" i="5"/>
  <c r="E15" i="5"/>
  <c r="F13" i="5"/>
  <c r="F12" i="5"/>
  <c r="E12" i="5"/>
  <c r="F11" i="5"/>
  <c r="E11" i="5"/>
  <c r="F9" i="5"/>
  <c r="F8" i="5"/>
  <c r="E8" i="5"/>
  <c r="F7" i="5"/>
  <c r="E7" i="5"/>
  <c r="G7" i="5" s="1"/>
  <c r="F5" i="5"/>
  <c r="F4" i="5"/>
  <c r="E4" i="5"/>
  <c r="F3" i="5"/>
  <c r="E3" i="5"/>
  <c r="G3" i="5" s="1"/>
  <c r="B37" i="3"/>
  <c r="B36" i="3"/>
  <c r="B34" i="3"/>
  <c r="B33" i="3"/>
  <c r="B32" i="3"/>
  <c r="B29" i="3"/>
  <c r="L22" i="3"/>
  <c r="B20" i="3"/>
  <c r="E13" i="3" s="1"/>
  <c r="C20" i="3"/>
  <c r="F17" i="3" s="1"/>
  <c r="E7" i="3"/>
  <c r="E5" i="3"/>
  <c r="E18" i="3"/>
  <c r="J3" i="10" l="1" a="1"/>
  <c r="J3" i="10" s="1"/>
  <c r="G11" i="5"/>
  <c r="G15" i="5"/>
  <c r="H7" i="5"/>
  <c r="H3" i="5"/>
  <c r="H11" i="5"/>
  <c r="H4" i="5"/>
  <c r="G4" i="5"/>
  <c r="H12" i="5"/>
  <c r="G12" i="5"/>
  <c r="H17" i="5"/>
  <c r="G17" i="5"/>
  <c r="H8" i="5"/>
  <c r="G8" i="5"/>
  <c r="H16" i="5"/>
  <c r="G16" i="5"/>
  <c r="E6" i="5"/>
  <c r="E10" i="5"/>
  <c r="E14" i="5"/>
  <c r="E18" i="5"/>
  <c r="E5" i="5"/>
  <c r="F6" i="5"/>
  <c r="E9" i="5"/>
  <c r="F10" i="5"/>
  <c r="E13" i="5"/>
  <c r="F14" i="5"/>
  <c r="E9" i="3"/>
  <c r="E3" i="3"/>
  <c r="E15" i="3"/>
  <c r="G15" i="3" s="1"/>
  <c r="F13" i="3"/>
  <c r="F18" i="3"/>
  <c r="F5" i="3"/>
  <c r="F9" i="3"/>
  <c r="F3" i="3"/>
  <c r="F7" i="3"/>
  <c r="E11" i="3"/>
  <c r="H11" i="3" s="1"/>
  <c r="E17" i="3"/>
  <c r="G17" i="3" s="1"/>
  <c r="F11" i="3"/>
  <c r="F15" i="3"/>
  <c r="G3" i="3"/>
  <c r="G7" i="3"/>
  <c r="G11" i="3"/>
  <c r="G5" i="3"/>
  <c r="G9" i="3"/>
  <c r="G13" i="3"/>
  <c r="G18" i="3"/>
  <c r="H18" i="3"/>
  <c r="H3" i="3"/>
  <c r="E4" i="3"/>
  <c r="E6" i="3"/>
  <c r="E8" i="3"/>
  <c r="E10" i="3"/>
  <c r="E12" i="3"/>
  <c r="E14" i="3"/>
  <c r="E16" i="3"/>
  <c r="H5" i="3"/>
  <c r="H9" i="3"/>
  <c r="H13" i="3"/>
  <c r="H17" i="3"/>
  <c r="H7" i="3"/>
  <c r="H15" i="3"/>
  <c r="F4" i="3"/>
  <c r="F6" i="3"/>
  <c r="F8" i="3"/>
  <c r="F10" i="3"/>
  <c r="F12" i="3"/>
  <c r="F14" i="3"/>
  <c r="F16" i="3"/>
  <c r="Q5" i="2"/>
  <c r="Y6" i="2"/>
  <c r="Y5" i="2"/>
  <c r="Y4" i="2"/>
  <c r="Y3" i="2"/>
  <c r="Q31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4" i="2"/>
  <c r="L4" i="2"/>
  <c r="M3" i="2"/>
  <c r="L3" i="2"/>
  <c r="L20" i="2" s="1" a="1"/>
  <c r="L20" i="2" s="1"/>
  <c r="H18" i="2"/>
  <c r="G18" i="2"/>
  <c r="H17" i="2"/>
  <c r="G17" i="2"/>
  <c r="H16" i="2"/>
  <c r="G16" i="2"/>
  <c r="H15" i="2"/>
  <c r="G15" i="2"/>
  <c r="H14" i="2"/>
  <c r="G14" i="2"/>
  <c r="H13" i="2"/>
  <c r="G13" i="2"/>
  <c r="H12" i="2"/>
  <c r="G12" i="2"/>
  <c r="H11" i="2"/>
  <c r="G11" i="2"/>
  <c r="H10" i="2"/>
  <c r="G10" i="2"/>
  <c r="H9" i="2"/>
  <c r="G9" i="2"/>
  <c r="H8" i="2"/>
  <c r="G8" i="2"/>
  <c r="H7" i="2"/>
  <c r="G7" i="2"/>
  <c r="H6" i="2"/>
  <c r="G6" i="2"/>
  <c r="H5" i="2"/>
  <c r="G5" i="2"/>
  <c r="H4" i="2"/>
  <c r="G20" i="2" s="1" a="1"/>
  <c r="G20" i="2" s="1"/>
  <c r="R3" i="2" s="1"/>
  <c r="G4" i="2"/>
  <c r="H3" i="2"/>
  <c r="G3" i="2"/>
  <c r="C21" i="10" l="1"/>
  <c r="C22" i="10"/>
  <c r="K3" i="10"/>
  <c r="J6" i="10"/>
  <c r="J5" i="10"/>
  <c r="K5" i="10"/>
  <c r="K4" i="10"/>
  <c r="J7" i="10"/>
  <c r="K7" i="10"/>
  <c r="K6" i="10"/>
  <c r="J4" i="10"/>
  <c r="H14" i="5"/>
  <c r="G14" i="5"/>
  <c r="H10" i="5"/>
  <c r="G10" i="5"/>
  <c r="H13" i="5"/>
  <c r="G13" i="5"/>
  <c r="H5" i="5"/>
  <c r="G5" i="5"/>
  <c r="H6" i="5"/>
  <c r="G6" i="5"/>
  <c r="H9" i="5"/>
  <c r="G9" i="5"/>
  <c r="H18" i="5"/>
  <c r="G18" i="5"/>
  <c r="G10" i="3"/>
  <c r="H10" i="3"/>
  <c r="G16" i="3"/>
  <c r="H16" i="3"/>
  <c r="H8" i="3"/>
  <c r="G8" i="3"/>
  <c r="G14" i="3"/>
  <c r="H14" i="3"/>
  <c r="G6" i="3"/>
  <c r="H6" i="3"/>
  <c r="G12" i="3"/>
  <c r="H12" i="3"/>
  <c r="G4" i="3"/>
  <c r="H4" i="3"/>
  <c r="Z4" i="2"/>
  <c r="AC18" i="2"/>
  <c r="AA14" i="2"/>
  <c r="AA18" i="2" s="1"/>
  <c r="AB5" i="2"/>
  <c r="Z3" i="2"/>
  <c r="R5" i="2"/>
  <c r="Y10" i="2" s="1"/>
  <c r="Y8" i="2"/>
  <c r="Z5" i="2"/>
  <c r="AB3" i="2"/>
  <c r="Z6" i="2"/>
  <c r="T5" i="2"/>
  <c r="AC15" i="2"/>
  <c r="AC16" i="2"/>
  <c r="AC17" i="2"/>
  <c r="Q32" i="2"/>
  <c r="R31" i="2"/>
  <c r="R32" i="2" s="1"/>
  <c r="L21" i="2"/>
  <c r="AA13" i="2" s="1"/>
  <c r="AA17" i="2" s="1"/>
  <c r="M23" i="2"/>
  <c r="M24" i="2"/>
  <c r="M20" i="2"/>
  <c r="M21" i="2"/>
  <c r="L23" i="2"/>
  <c r="M22" i="2"/>
  <c r="AB6" i="2" s="1"/>
  <c r="L24" i="2"/>
  <c r="L22" i="2"/>
  <c r="H23" i="2"/>
  <c r="H21" i="2"/>
  <c r="G23" i="2"/>
  <c r="G21" i="2"/>
  <c r="H24" i="2"/>
  <c r="H22" i="2"/>
  <c r="T3" i="2" s="1"/>
  <c r="H20" i="2"/>
  <c r="G24" i="2"/>
  <c r="G22" i="2"/>
  <c r="C24" i="10" l="1"/>
  <c r="C25" i="10"/>
  <c r="C28" i="10"/>
  <c r="C27" i="10"/>
  <c r="AA3" i="2"/>
  <c r="AC3" i="2" s="1"/>
  <c r="AA6" i="2"/>
  <c r="G20" i="5"/>
  <c r="H20" i="5"/>
  <c r="H22" i="5" s="1"/>
  <c r="H23" i="5" s="1"/>
  <c r="H20" i="3"/>
  <c r="G20" i="3"/>
  <c r="H22" i="3" s="1"/>
  <c r="H23" i="3" s="1"/>
  <c r="AC6" i="2"/>
  <c r="AA4" i="2"/>
  <c r="AA12" i="2"/>
  <c r="AA16" i="2" s="1"/>
  <c r="AB11" i="2"/>
  <c r="AB10" i="2" s="1"/>
  <c r="Z10" i="2"/>
  <c r="S3" i="2"/>
  <c r="S5" i="2"/>
  <c r="U5" i="2" s="1"/>
  <c r="Z8" i="2"/>
  <c r="AB8" i="2"/>
  <c r="AA8" i="2"/>
  <c r="AC8" i="2" s="1"/>
  <c r="AB4" i="2"/>
  <c r="AA5" i="2"/>
  <c r="AC5" i="2" s="1"/>
  <c r="C31" i="10" l="1"/>
  <c r="C30" i="10"/>
  <c r="J17" i="5"/>
  <c r="K17" i="5" s="1"/>
  <c r="L17" i="5" s="1"/>
  <c r="J13" i="5"/>
  <c r="K13" i="5" s="1"/>
  <c r="L13" i="5" s="1"/>
  <c r="J9" i="5"/>
  <c r="K9" i="5" s="1"/>
  <c r="L9" i="5" s="1"/>
  <c r="J5" i="5"/>
  <c r="K5" i="5" s="1"/>
  <c r="L5" i="5" s="1"/>
  <c r="J18" i="5"/>
  <c r="K18" i="5" s="1"/>
  <c r="L18" i="5" s="1"/>
  <c r="J14" i="5"/>
  <c r="K14" i="5" s="1"/>
  <c r="L14" i="5" s="1"/>
  <c r="J10" i="5"/>
  <c r="K10" i="5" s="1"/>
  <c r="L10" i="5" s="1"/>
  <c r="J6" i="5"/>
  <c r="K6" i="5" s="1"/>
  <c r="L6" i="5" s="1"/>
  <c r="J15" i="5"/>
  <c r="K15" i="5" s="1"/>
  <c r="L15" i="5" s="1"/>
  <c r="J11" i="5"/>
  <c r="K11" i="5" s="1"/>
  <c r="L11" i="5" s="1"/>
  <c r="J7" i="5"/>
  <c r="K7" i="5" s="1"/>
  <c r="L7" i="5" s="1"/>
  <c r="J3" i="5"/>
  <c r="K3" i="5" s="1"/>
  <c r="L3" i="5" s="1"/>
  <c r="J12" i="5"/>
  <c r="K12" i="5" s="1"/>
  <c r="L12" i="5" s="1"/>
  <c r="J4" i="5"/>
  <c r="K4" i="5" s="1"/>
  <c r="L4" i="5" s="1"/>
  <c r="J16" i="5"/>
  <c r="K16" i="5" s="1"/>
  <c r="L16" i="5" s="1"/>
  <c r="J8" i="5"/>
  <c r="K8" i="5" s="1"/>
  <c r="L8" i="5" s="1"/>
  <c r="J16" i="3"/>
  <c r="K16" i="3" s="1"/>
  <c r="L16" i="3" s="1"/>
  <c r="J12" i="3"/>
  <c r="K12" i="3" s="1"/>
  <c r="L12" i="3" s="1"/>
  <c r="J8" i="3"/>
  <c r="K8" i="3" s="1"/>
  <c r="L8" i="3" s="1"/>
  <c r="J4" i="3"/>
  <c r="K4" i="3" s="1"/>
  <c r="L4" i="3" s="1"/>
  <c r="J18" i="3"/>
  <c r="K18" i="3" s="1"/>
  <c r="L18" i="3" s="1"/>
  <c r="J14" i="3"/>
  <c r="K14" i="3" s="1"/>
  <c r="L14" i="3" s="1"/>
  <c r="J10" i="3"/>
  <c r="K10" i="3" s="1"/>
  <c r="L10" i="3" s="1"/>
  <c r="J6" i="3"/>
  <c r="K6" i="3" s="1"/>
  <c r="L6" i="3" s="1"/>
  <c r="J17" i="3"/>
  <c r="K17" i="3" s="1"/>
  <c r="L17" i="3" s="1"/>
  <c r="J9" i="3"/>
  <c r="K9" i="3" s="1"/>
  <c r="L9" i="3" s="1"/>
  <c r="J15" i="3"/>
  <c r="K15" i="3" s="1"/>
  <c r="L15" i="3" s="1"/>
  <c r="J11" i="3"/>
  <c r="K11" i="3" s="1"/>
  <c r="L11" i="3" s="1"/>
  <c r="J7" i="3"/>
  <c r="K7" i="3" s="1"/>
  <c r="L7" i="3" s="1"/>
  <c r="J3" i="3"/>
  <c r="K3" i="3" s="1"/>
  <c r="L3" i="3" s="1"/>
  <c r="J13" i="3"/>
  <c r="K13" i="3" s="1"/>
  <c r="L13" i="3" s="1"/>
  <c r="J5" i="3"/>
  <c r="K5" i="3" s="1"/>
  <c r="L5" i="3" s="1"/>
  <c r="AA15" i="2"/>
  <c r="AA19" i="2" s="1"/>
  <c r="U3" i="2"/>
  <c r="AC4" i="2"/>
  <c r="AA11" i="2"/>
  <c r="AA10" i="2" s="1"/>
  <c r="AC10" i="2" s="1"/>
  <c r="L20" i="5" l="1"/>
  <c r="L22" i="5" s="1"/>
  <c r="L20" i="3"/>
  <c r="L23" i="3" s="1"/>
  <c r="B32" i="5" l="1"/>
  <c r="L23" i="5"/>
  <c r="B34" i="5"/>
  <c r="B36" i="5" l="1"/>
  <c r="B37" i="5" s="1"/>
</calcChain>
</file>

<file path=xl/sharedStrings.xml><?xml version="1.0" encoding="utf-8"?>
<sst xmlns="http://schemas.openxmlformats.org/spreadsheetml/2006/main" count="368" uniqueCount="102">
  <si>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</si>
  <si>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</si>
  <si>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</si>
  <si>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</si>
  <si>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</si>
  <si>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</si>
  <si>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</si>
  <si>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</si>
  <si>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</si>
  <si>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</si>
  <si>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</si>
  <si>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</si>
  <si>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</si>
  <si>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</si>
  <si>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</si>
  <si>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</si>
  <si>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</si>
  <si>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F</t>
  </si>
  <si>
    <t>const</t>
  </si>
  <si>
    <t>df</t>
  </si>
  <si>
    <r>
      <t>r</t>
    </r>
    <r>
      <rPr>
        <vertAlign val="subscript"/>
        <sz val="11"/>
        <color rgb="FF000000"/>
        <rFont val="Calibri"/>
        <family val="2"/>
        <scheme val="minor"/>
      </rPr>
      <t>2</t>
    </r>
  </si>
  <si>
    <r>
      <t>ss</t>
    </r>
    <r>
      <rPr>
        <vertAlign val="subscript"/>
        <sz val="11"/>
        <color rgb="FF000000"/>
        <rFont val="Calibri"/>
        <family val="2"/>
        <scheme val="minor"/>
      </rPr>
      <t>reg</t>
    </r>
  </si>
  <si>
    <r>
      <t>se</t>
    </r>
    <r>
      <rPr>
        <vertAlign val="subscript"/>
        <sz val="11"/>
        <color rgb="FF000000"/>
        <rFont val="Calibri"/>
        <family val="2"/>
        <scheme val="minor"/>
      </rPr>
      <t>const</t>
    </r>
  </si>
  <si>
    <r>
      <t>ss</t>
    </r>
    <r>
      <rPr>
        <vertAlign val="subscript"/>
        <sz val="11"/>
        <color rgb="FF000000"/>
        <rFont val="Calibri"/>
        <family val="2"/>
        <scheme val="minor"/>
      </rPr>
      <t>resid</t>
    </r>
  </si>
  <si>
    <t>Original Data</t>
  </si>
  <si>
    <t>Equivalent 12-24 month data</t>
  </si>
  <si>
    <t>Equivalent 24-36 month data</t>
  </si>
  <si>
    <t>y (24 mo)</t>
  </si>
  <si>
    <t>x (12 mo)</t>
  </si>
  <si>
    <t>z (36 mo)</t>
  </si>
  <si>
    <t>x'=x/√x</t>
  </si>
  <si>
    <t>y'=y/√x</t>
  </si>
  <si>
    <t>y'=y/√y</t>
  </si>
  <si>
    <t>z'=z/√y</t>
  </si>
  <si>
    <t>σ</t>
  </si>
  <si>
    <t>Tot</t>
  </si>
  <si>
    <t>PROJ</t>
  </si>
  <si>
    <t>12 mo</t>
  </si>
  <si>
    <t>24 mo</t>
  </si>
  <si>
    <t>36 mo</t>
  </si>
  <si>
    <t>param_r</t>
  </si>
  <si>
    <t>proc_r</t>
  </si>
  <si>
    <t>total_r</t>
  </si>
  <si>
    <t>sum</t>
  </si>
  <si>
    <t>b</t>
  </si>
  <si>
    <r>
      <t>se</t>
    </r>
    <r>
      <rPr>
        <vertAlign val="subscript"/>
        <sz val="11"/>
        <color rgb="FF000000"/>
        <rFont val="Calibri"/>
        <family val="2"/>
        <scheme val="minor"/>
      </rPr>
      <t>b</t>
    </r>
  </si>
  <si>
    <t>y10</t>
  </si>
  <si>
    <t>L21</t>
  </si>
  <si>
    <t>L20</t>
  </si>
  <si>
    <t>S3</t>
  </si>
  <si>
    <r>
      <t>y10</t>
    </r>
    <r>
      <rPr>
        <vertAlign val="superscript"/>
        <sz val="11"/>
        <color rgb="FF000000"/>
        <rFont val="Calibri"/>
        <family val="2"/>
        <scheme val="minor"/>
      </rPr>
      <t>2</t>
    </r>
  </si>
  <si>
    <r>
      <t>L21</t>
    </r>
    <r>
      <rPr>
        <vertAlign val="superscript"/>
        <sz val="11"/>
        <color rgb="FF000000"/>
        <rFont val="Calibri"/>
        <family val="2"/>
        <scheme val="minor"/>
      </rPr>
      <t>2</t>
    </r>
  </si>
  <si>
    <r>
      <t>L20</t>
    </r>
    <r>
      <rPr>
        <vertAlign val="superscript"/>
        <sz val="11"/>
        <color rgb="FF000000"/>
        <rFont val="Calibri"/>
        <family val="2"/>
        <scheme val="minor"/>
      </rPr>
      <t>2</t>
    </r>
  </si>
  <si>
    <r>
      <t>S3</t>
    </r>
    <r>
      <rPr>
        <vertAlign val="superscript"/>
        <sz val="11"/>
        <color rgb="FF000000"/>
        <rFont val="Calibri"/>
        <family val="2"/>
        <scheme val="minor"/>
      </rPr>
      <t>2</t>
    </r>
  </si>
  <si>
    <t>mean</t>
  </si>
  <si>
    <t>x-mean(x)</t>
  </si>
  <si>
    <t>y-mean(y)</t>
  </si>
  <si>
    <t>squared</t>
  </si>
  <si>
    <t>x-mean(x) * y-mean(y)</t>
  </si>
  <si>
    <t>x-mean(x) squared</t>
  </si>
  <si>
    <t>b hat =</t>
  </si>
  <si>
    <t>a hat =</t>
  </si>
  <si>
    <t>pred y</t>
  </si>
  <si>
    <t>y - pred y</t>
  </si>
  <si>
    <t>sigma2 hat</t>
  </si>
  <si>
    <t>sigma hat</t>
  </si>
  <si>
    <t>n</t>
  </si>
  <si>
    <t>sigma2</t>
  </si>
  <si>
    <t>sigma2/n</t>
  </si>
  <si>
    <t>term3</t>
  </si>
  <si>
    <t>sqrt</t>
  </si>
  <si>
    <t>&gt; P &lt;- predict(L, data.frame(x=131.5), interval = "prediction")</t>
  </si>
  <si>
    <t>&gt; (P[3]-P[1])/qt(.975, 14)</t>
  </si>
  <si>
    <t>How to get 1-se measurements from R predict.lm method:</t>
  </si>
  <si>
    <t>Agg</t>
  </si>
  <si>
    <t>IBNR</t>
  </si>
  <si>
    <t>Mack.S.E</t>
  </si>
  <si>
    <t>sigma_b</t>
  </si>
  <si>
    <t>sigma</t>
  </si>
  <si>
    <t>Parameter</t>
  </si>
  <si>
    <t>Process</t>
  </si>
  <si>
    <t>Det</t>
  </si>
  <si>
    <t>nobs/AY</t>
  </si>
  <si>
    <t>17</t>
  </si>
  <si>
    <t>18</t>
  </si>
  <si>
    <t>NA</t>
  </si>
  <si>
    <t>Stats for 12-24</t>
  </si>
  <si>
    <r>
      <t>σ</t>
    </r>
    <r>
      <rPr>
        <vertAlign val="subscript"/>
        <sz val="11"/>
        <color rgb="FF000000"/>
        <rFont val="Calibri"/>
        <family val="2"/>
        <scheme val="minor"/>
      </rPr>
      <t>b</t>
    </r>
  </si>
  <si>
    <t>Point Estimate</t>
  </si>
  <si>
    <t>Parameter Risk</t>
  </si>
  <si>
    <t xml:space="preserve"> = 77.33 * 2.074</t>
  </si>
  <si>
    <t>=LINEST(G3:G18,F3:F18,FALSE,TRUE)</t>
  </si>
  <si>
    <t>Process Risk</t>
  </si>
  <si>
    <t>Total Risk = Mack S.E.</t>
  </si>
  <si>
    <t xml:space="preserve"> = 77.33 * 0.11184</t>
  </si>
  <si>
    <t xml:space="preserve"> = sqrt(77.33) * 4.566</t>
  </si>
  <si>
    <t xml:space="preserve"> = sqrt(8.65^2 + 41.07^2)</t>
  </si>
  <si>
    <r>
      <t>se</t>
    </r>
    <r>
      <rPr>
        <vertAlign val="subscript"/>
        <sz val="11"/>
        <color theme="0"/>
        <rFont val="Calibri"/>
        <family val="2"/>
        <scheme val="minor"/>
      </rPr>
      <t>const</t>
    </r>
  </si>
  <si>
    <r>
      <t>r</t>
    </r>
    <r>
      <rPr>
        <vertAlign val="subscript"/>
        <sz val="11"/>
        <color theme="0"/>
        <rFont val="Calibri"/>
        <family val="2"/>
        <scheme val="minor"/>
      </rPr>
      <t>2</t>
    </r>
  </si>
  <si>
    <r>
      <t>ss</t>
    </r>
    <r>
      <rPr>
        <vertAlign val="subscript"/>
        <sz val="11"/>
        <color theme="0"/>
        <rFont val="Calibri"/>
        <family val="2"/>
        <scheme val="minor"/>
      </rPr>
      <t>reg</t>
    </r>
  </si>
  <si>
    <r>
      <t>ss</t>
    </r>
    <r>
      <rPr>
        <vertAlign val="subscript"/>
        <sz val="11"/>
        <color theme="0"/>
        <rFont val="Calibri"/>
        <family val="2"/>
        <scheme val="minor"/>
      </rPr>
      <t>resid</t>
    </r>
  </si>
  <si>
    <r>
      <t>σ</t>
    </r>
    <r>
      <rPr>
        <b/>
        <vertAlign val="subscript"/>
        <sz val="11"/>
        <color theme="5"/>
        <rFont val="Calibri"/>
        <family val="2"/>
        <scheme val="minor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</si>
</sst>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\ hh:mm:ss"/>
    <numFmt numFmtId="165" formatCode="0.00000"/>
    <numFmt numFmtId="166" formatCode="0.0000"/>
    <numFmt numFmtId="167" formatCode="0.000"/>
    <numFmt numFmtId="168" formatCode="0.0"/>
  </numFmts>
  <fonts count="15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sz val="8"/>
      <color rgb="FF333333"/>
      <name val="Arial"/>
      <family val="2"/>
    </font>
    <font>
      <sz val="11"/>
      <color rgb="FF333333"/>
      <name val="Calibri"/>
      <family val="2"/>
      <scheme val="minor"/>
    </font>
    <font>
      <sz val="11"/>
      <color rgb="FF242729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b/>
      <vertAlign val="subscript"/>
      <sz val="11"/>
      <color theme="5"/>
      <name val="Calibri"/>
      <family val="2"/>
      <scheme val="minor"/>
    </font>
    <font>
      <b/>
      <i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104">
    <xf numFmtId="0" fontId="0" fillId="0" borderId="0" xfId="0"/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 applyFill="1">
      <alignment wrapText="1"/>
    </xf>
    <xf numFmtId="2" fontId="1" fillId="0" borderId="0" xfId="3" applyNumberFormat="1">
      <alignment wrapText="1"/>
    </xf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168" fontId="0" fillId="0" borderId="0" xfId="0" applyNumberFormat="1"/>
    <xf numFmtId="0" fontId="0" fillId="2" borderId="0" xfId="1" applyFont="1" applyAlignment="1">
      <alignment horizontal="center" wrapText="1"/>
    </xf>
    <xf numFmtId="0" fontId="3" fillId="0" borderId="0" xfId="0" applyFont="1"/>
    <xf numFmtId="0" fontId="5" fillId="0" borderId="0" xfId="0" applyFont="1"/>
    <xf numFmtId="165" fontId="0" fillId="0" borderId="0" xfId="0" applyNumberFormat="1" applyBorder="1"/>
    <xf numFmtId="167" fontId="0" fillId="0" borderId="0" xfId="0" applyNumberFormat="1" applyBorder="1"/>
    <xf numFmtId="167" fontId="0" fillId="3" borderId="0" xfId="0" applyNumberFormat="1" applyFill="1" applyBorder="1"/>
    <xf numFmtId="168" fontId="0" fillId="3" borderId="0" xfId="0" applyNumberFormat="1" applyFill="1" applyBorder="1"/>
    <xf numFmtId="0" fontId="0" fillId="3" borderId="0" xfId="0" applyFill="1" applyBorder="1"/>
    <xf numFmtId="0" fontId="0" fillId="0" borderId="1" xfId="2" applyFont="1" applyFill="1" applyBorder="1">
      <alignment wrapText="1"/>
    </xf>
    <xf numFmtId="167" fontId="0" fillId="0" borderId="2" xfId="0" applyNumberFormat="1" applyBorder="1"/>
    <xf numFmtId="0" fontId="0" fillId="3" borderId="2" xfId="0" applyFill="1" applyBorder="1"/>
    <xf numFmtId="0" fontId="0" fillId="3" borderId="3" xfId="0" applyFill="1" applyBorder="1"/>
    <xf numFmtId="0" fontId="0" fillId="0" borderId="4" xfId="2" applyFont="1" applyFill="1" applyBorder="1">
      <alignment wrapText="1"/>
    </xf>
    <xf numFmtId="0" fontId="0" fillId="3" borderId="5" xfId="0" applyFill="1" applyBorder="1"/>
    <xf numFmtId="0" fontId="0" fillId="3" borderId="4" xfId="2" applyFont="1" applyFill="1" applyBorder="1">
      <alignment wrapText="1"/>
    </xf>
    <xf numFmtId="0" fontId="4" fillId="0" borderId="5" xfId="0" applyFont="1" applyBorder="1"/>
    <xf numFmtId="0" fontId="1" fillId="3" borderId="4" xfId="2" applyFill="1" applyBorder="1">
      <alignment wrapText="1"/>
    </xf>
    <xf numFmtId="0" fontId="0" fillId="3" borderId="6" xfId="2" applyFont="1" applyFill="1" applyBorder="1">
      <alignment wrapText="1"/>
    </xf>
    <xf numFmtId="168" fontId="0" fillId="3" borderId="7" xfId="0" applyNumberFormat="1" applyFill="1" applyBorder="1"/>
    <xf numFmtId="0" fontId="0" fillId="3" borderId="8" xfId="0" applyFill="1" applyBorder="1"/>
    <xf numFmtId="0" fontId="0" fillId="0" borderId="0" xfId="0" applyAlignment="1">
      <alignment horizontal="center"/>
    </xf>
    <xf numFmtId="0" fontId="0" fillId="0" borderId="9" xfId="0" applyBorder="1"/>
    <xf numFmtId="0" fontId="0" fillId="0" borderId="10" xfId="0" applyBorder="1"/>
    <xf numFmtId="165" fontId="0" fillId="0" borderId="10" xfId="0" applyNumberFormat="1" applyBorder="1"/>
    <xf numFmtId="167" fontId="0" fillId="0" borderId="10" xfId="0" applyNumberFormat="1" applyBorder="1"/>
    <xf numFmtId="166" fontId="0" fillId="0" borderId="10" xfId="0" applyNumberFormat="1" applyBorder="1"/>
    <xf numFmtId="0" fontId="0" fillId="0" borderId="11" xfId="0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quotePrefix="1"/>
    <xf numFmtId="2" fontId="1" fillId="0" borderId="0" xfId="3" applyNumberFormat="1" applyFill="1">
      <alignment wrapText="1"/>
    </xf>
    <xf numFmtId="0" fontId="1" fillId="2" borderId="0" xfId="1" applyAlignment="1">
      <alignment horizontal="center" wrapText="1"/>
    </xf>
    <xf numFmtId="0" fontId="1" fillId="0" borderId="0" xfId="2" applyAlignment="1">
      <alignment horizontal="center" wrapText="1"/>
    </xf>
    <xf numFmtId="0" fontId="0" fillId="0" borderId="0" xfId="0" quotePrefix="1" applyAlignment="1">
      <alignment horizontal="center"/>
    </xf>
    <xf numFmtId="2" fontId="10" fillId="0" borderId="0" xfId="0" applyNumberFormat="1" applyFont="1"/>
    <xf numFmtId="2" fontId="11" fillId="0" borderId="0" xfId="0" applyNumberFormat="1" applyFont="1"/>
    <xf numFmtId="0" fontId="9" fillId="2" borderId="0" xfId="1" applyFont="1" applyAlignment="1">
      <alignment horizontal="center" wrapText="1"/>
    </xf>
    <xf numFmtId="0" fontId="9" fillId="0" borderId="0" xfId="2" applyFont="1" applyAlignment="1">
      <alignment horizontal="center" wrapText="1"/>
    </xf>
    <xf numFmtId="0" fontId="9" fillId="0" borderId="0" xfId="0" quotePrefix="1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168" fontId="1" fillId="0" borderId="0" xfId="3" applyNumberFormat="1" applyFill="1">
      <alignment wrapText="1"/>
    </xf>
    <xf numFmtId="168" fontId="10" fillId="0" borderId="0" xfId="0" applyNumberFormat="1" applyFont="1"/>
    <xf numFmtId="0" fontId="1" fillId="4" borderId="0" xfId="1" applyFill="1">
      <alignment wrapText="1"/>
    </xf>
    <xf numFmtId="0" fontId="0" fillId="4" borderId="0" xfId="1" applyFont="1" applyFill="1" applyAlignment="1">
      <alignment horizontal="center" wrapText="1"/>
    </xf>
    <xf numFmtId="0" fontId="8" fillId="3" borderId="0" xfId="0" applyFont="1" applyFill="1" applyBorder="1"/>
    <xf numFmtId="0" fontId="8" fillId="3" borderId="5" xfId="0" applyFont="1" applyFill="1" applyBorder="1"/>
    <xf numFmtId="0" fontId="8" fillId="3" borderId="4" xfId="2" applyFont="1" applyFill="1" applyBorder="1">
      <alignment wrapText="1"/>
    </xf>
    <xf numFmtId="167" fontId="8" fillId="3" borderId="0" xfId="0" applyNumberFormat="1" applyFont="1" applyFill="1" applyBorder="1"/>
    <xf numFmtId="168" fontId="8" fillId="3" borderId="0" xfId="0" applyNumberFormat="1" applyFont="1" applyFill="1" applyBorder="1"/>
    <xf numFmtId="0" fontId="8" fillId="3" borderId="6" xfId="2" applyFont="1" applyFill="1" applyBorder="1">
      <alignment wrapText="1"/>
    </xf>
    <xf numFmtId="168" fontId="8" fillId="3" borderId="7" xfId="0" applyNumberFormat="1" applyFont="1" applyFill="1" applyBorder="1"/>
    <xf numFmtId="0" fontId="8" fillId="3" borderId="8" xfId="0" applyFont="1" applyFill="1" applyBorder="1"/>
    <xf numFmtId="0" fontId="10" fillId="0" borderId="4" xfId="2" applyFont="1" applyFill="1" applyBorder="1">
      <alignment wrapText="1"/>
    </xf>
    <xf numFmtId="165" fontId="10" fillId="0" borderId="0" xfId="0" applyNumberFormat="1" applyFont="1" applyBorder="1"/>
    <xf numFmtId="167" fontId="10" fillId="0" borderId="0" xfId="0" applyNumberFormat="1" applyFont="1" applyBorder="1"/>
    <xf numFmtId="0" fontId="10" fillId="0" borderId="5" xfId="0" applyFont="1" applyBorder="1"/>
    <xf numFmtId="168" fontId="10" fillId="0" borderId="0" xfId="0" quotePrefix="1" applyNumberFormat="1" applyFont="1"/>
    <xf numFmtId="0" fontId="0" fillId="0" borderId="0" xfId="0" applyAlignment="1">
      <alignment horizontal="center"/>
    </xf>
    <xf numFmtId="0" fontId="7" fillId="4" borderId="0" xfId="0" applyFont="1" applyFill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7" fillId="4" borderId="13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2" fontId="1" fillId="5" borderId="0" xfId="3" applyNumberFormat="1" applyFill="1">
      <alignment wrapText="1"/>
    </xf>
    <xf numFmtId="2" fontId="10" fillId="5" borderId="0" xfId="0" applyNumberFormat="1" applyFont="1" applyFill="1"/>
    <xf numFmtId="167" fontId="10" fillId="0" borderId="0" xfId="0" applyNumberFormat="1" applyFont="1"/>
    <xf numFmtId="0" fontId="14" fillId="0" borderId="0" xfId="0" applyFont="1" applyAlignment="1">
      <alignment horizontal="center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2"/>
  <sheetViews>
    <sheetView zoomScaleNormal="100" workbookViewId="0">
      <selection activeCell="T3" sqref="T3"/>
    </sheetView>
  </sheetViews>
  <sheetFormatPr defaultRowHeight="14.5" x14ac:dyDescent="0.35"/>
  <cols>
    <col min="1" max="4" width="8.6328125" customWidth="1"/>
    <col min="5" max="5" width="2" customWidth="1"/>
    <col min="6" max="9" width="8.6328125" customWidth="1"/>
    <col min="10" max="10" width="2" customWidth="1"/>
    <col min="11" max="14" width="8.6328125" customWidth="1"/>
    <col min="26" max="26" width="10.36328125" bestFit="1" customWidth="1"/>
    <col min="29" max="29" width="9.36328125" bestFit="1" customWidth="1"/>
  </cols>
  <sheetData>
    <row r="1" spans="1:29" x14ac:dyDescent="0.35">
      <c r="A1" s="95" t="s">
        <v>24</v>
      </c>
      <c r="B1" s="95"/>
      <c r="C1" s="95"/>
      <c r="D1" s="95"/>
      <c r="F1" s="95" t="s">
        <v>25</v>
      </c>
      <c r="G1" s="95"/>
      <c r="H1" s="95"/>
      <c r="K1" s="95" t="s">
        <v>26</v>
      </c>
      <c r="L1" s="95"/>
      <c r="M1" s="95"/>
    </row>
    <row r="2" spans="1:29" x14ac:dyDescent="0.35">
      <c r="A2" s="1" t="s">
        <v>0</v>
      </c>
      <c r="B2" s="37" t="s">
        <v>28</v>
      </c>
      <c r="C2" s="37" t="s">
        <v>27</v>
      </c>
      <c r="D2" s="37" t="s">
        <v>29</v>
      </c>
      <c r="F2" s="2" t="s">
        <v>0</v>
      </c>
      <c r="G2" s="37" t="s">
        <v>30</v>
      </c>
      <c r="H2" s="37" t="s">
        <v>31</v>
      </c>
      <c r="K2" s="2" t="s">
        <v>0</v>
      </c>
      <c r="L2" s="37" t="s">
        <v>32</v>
      </c>
      <c r="M2" s="37" t="s">
        <v>33</v>
      </c>
      <c r="Q2" s="37" t="s">
        <v>37</v>
      </c>
      <c r="R2" s="37" t="s">
        <v>38</v>
      </c>
      <c r="S2" t="s">
        <v>40</v>
      </c>
      <c r="T2" t="s">
        <v>41</v>
      </c>
      <c r="U2" t="s">
        <v>42</v>
      </c>
      <c r="Y2" s="37" t="s">
        <v>38</v>
      </c>
      <c r="Z2" s="37" t="s">
        <v>39</v>
      </c>
      <c r="AA2" t="s">
        <v>40</v>
      </c>
      <c r="AB2" t="s">
        <v>41</v>
      </c>
      <c r="AC2" t="s">
        <v>42</v>
      </c>
    </row>
    <row r="3" spans="1:29" x14ac:dyDescent="0.35">
      <c r="A3" s="3" t="s">
        <v>1</v>
      </c>
      <c r="B3">
        <v>129.2764</v>
      </c>
      <c r="C3">
        <v>218.24</v>
      </c>
      <c r="D3" s="19">
        <v>309.7</v>
      </c>
      <c r="F3" s="18" t="s">
        <v>1</v>
      </c>
      <c r="G3" s="32">
        <f>B3/SQRT($B3)</f>
        <v>11.369978012291845</v>
      </c>
      <c r="H3" s="32">
        <f t="shared" ref="H3:H18" si="0">C3/SQRT($B3)</f>
        <v>19.194408270980414</v>
      </c>
      <c r="K3" s="18" t="s">
        <v>1</v>
      </c>
      <c r="L3" s="32">
        <f>C3/SQRT($C3)</f>
        <v>14.772948250095512</v>
      </c>
      <c r="M3" s="32">
        <f t="shared" ref="M3:M14" si="1">D3/SQRT($C3)</f>
        <v>20.963994103072668</v>
      </c>
      <c r="P3">
        <v>17</v>
      </c>
      <c r="Q3">
        <v>90</v>
      </c>
      <c r="R3">
        <f>Q3*G$20</f>
        <v>186.64650474400054</v>
      </c>
      <c r="S3" s="33">
        <f>Q3*G$21</f>
        <v>10.065707294823856</v>
      </c>
      <c r="T3" s="34">
        <f>SQRT(Q3)*H$22</f>
        <v>43.312982678573952</v>
      </c>
      <c r="U3" s="36">
        <f>SQRT(S3^2+T3^2)</f>
        <v>44.467211874138428</v>
      </c>
      <c r="X3" s="18" t="s">
        <v>13</v>
      </c>
      <c r="Y3">
        <f>C15</f>
        <v>263.72000000000003</v>
      </c>
      <c r="Z3" s="35">
        <f>Y3*L$20</f>
        <v>303.56513965738947</v>
      </c>
      <c r="AA3" s="33">
        <f>Y3*L$21</f>
        <v>17.996799426500303</v>
      </c>
      <c r="AB3" s="34">
        <f>SQRT(Y3)*M$22</f>
        <v>54.414336933014148</v>
      </c>
      <c r="AC3" s="36">
        <f>SQRT(AA3^2+AB3^2)</f>
        <v>57.313217092196709</v>
      </c>
    </row>
    <row r="4" spans="1:29" x14ac:dyDescent="0.35">
      <c r="A4" s="4" t="s">
        <v>2</v>
      </c>
      <c r="B4">
        <v>135.47329999999999</v>
      </c>
      <c r="C4">
        <v>255.51</v>
      </c>
      <c r="D4" s="20">
        <v>329.27</v>
      </c>
      <c r="F4" s="18" t="s">
        <v>2</v>
      </c>
      <c r="G4" s="32">
        <f t="shared" ref="G4:G18" si="2">B4/SQRT($B4)</f>
        <v>11.639299807118983</v>
      </c>
      <c r="H4" s="32">
        <f t="shared" si="0"/>
        <v>21.952351450189607</v>
      </c>
      <c r="K4" s="18" t="s">
        <v>2</v>
      </c>
      <c r="L4" s="32">
        <f t="shared" ref="L4:L14" si="3">C4/SQRT($C4)</f>
        <v>15.984680165708664</v>
      </c>
      <c r="M4" s="32">
        <f t="shared" si="1"/>
        <v>20.599098423399834</v>
      </c>
      <c r="X4" s="18" t="s">
        <v>14</v>
      </c>
      <c r="Y4">
        <f t="shared" ref="Y4:Y6" si="4">C16</f>
        <v>244.73</v>
      </c>
      <c r="Z4" s="35">
        <f t="shared" ref="Z4:Z10" si="5">Y4*L$20</f>
        <v>281.70596325023854</v>
      </c>
      <c r="AA4" s="33">
        <f t="shared" ref="AA4:AA6" si="6">Y4*L$21</f>
        <v>16.700882464915129</v>
      </c>
      <c r="AB4" s="34">
        <f t="shared" ref="AB4:AB6" si="7">SQRT(Y4)*M$22</f>
        <v>52.418599445529537</v>
      </c>
      <c r="AC4" s="36">
        <f t="shared" ref="AC4:AC6" si="8">SQRT(AA4^2+AB4^2)</f>
        <v>55.014807487964354</v>
      </c>
    </row>
    <row r="5" spans="1:29" x14ac:dyDescent="0.35">
      <c r="A5" s="5" t="s">
        <v>3</v>
      </c>
      <c r="B5">
        <v>94.534800000000004</v>
      </c>
      <c r="C5">
        <v>232.66</v>
      </c>
      <c r="D5" s="21">
        <v>237.47</v>
      </c>
      <c r="F5" s="18" t="s">
        <v>3</v>
      </c>
      <c r="G5" s="32">
        <f t="shared" si="2"/>
        <v>9.7229008017155056</v>
      </c>
      <c r="H5" s="32">
        <f t="shared" si="0"/>
        <v>23.929072685689601</v>
      </c>
      <c r="K5" s="18" t="s">
        <v>3</v>
      </c>
      <c r="L5" s="32">
        <f t="shared" si="3"/>
        <v>15.25319638633162</v>
      </c>
      <c r="M5" s="32">
        <f t="shared" si="1"/>
        <v>15.568540126631866</v>
      </c>
      <c r="P5" t="s">
        <v>43</v>
      </c>
      <c r="Q5">
        <f>SUM(Q3:Q4)</f>
        <v>90</v>
      </c>
      <c r="R5">
        <f>Q5*G$20</f>
        <v>186.64650474400054</v>
      </c>
      <c r="S5" s="33">
        <f>Q5*G$21</f>
        <v>10.065707294823856</v>
      </c>
      <c r="T5" s="34">
        <f>SQRT(Q5)*H$22</f>
        <v>43.312982678573952</v>
      </c>
      <c r="U5" s="36">
        <f>SQRT(S5^2+T5^2)</f>
        <v>44.467211874138428</v>
      </c>
      <c r="X5" s="18" t="s">
        <v>15</v>
      </c>
      <c r="Y5">
        <f t="shared" si="4"/>
        <v>150.62</v>
      </c>
      <c r="Z5" s="35">
        <f t="shared" si="5"/>
        <v>173.37699581069313</v>
      </c>
      <c r="AA5" s="33">
        <f t="shared" si="6"/>
        <v>10.27862099810206</v>
      </c>
      <c r="AB5" s="34">
        <f t="shared" si="7"/>
        <v>41.122842796624731</v>
      </c>
      <c r="AC5" s="36">
        <f t="shared" si="8"/>
        <v>42.387949340567715</v>
      </c>
    </row>
    <row r="6" spans="1:29" x14ac:dyDescent="0.35">
      <c r="A6" s="6" t="s">
        <v>4</v>
      </c>
      <c r="B6">
        <v>77.325100000000006</v>
      </c>
      <c r="C6">
        <v>165.16</v>
      </c>
      <c r="D6" s="22">
        <v>185.22</v>
      </c>
      <c r="F6" s="18" t="s">
        <v>4</v>
      </c>
      <c r="G6" s="32">
        <f t="shared" si="2"/>
        <v>8.7934691675128995</v>
      </c>
      <c r="H6" s="32">
        <f t="shared" si="0"/>
        <v>18.782120782338858</v>
      </c>
      <c r="K6" s="18" t="s">
        <v>4</v>
      </c>
      <c r="L6" s="32">
        <f t="shared" si="3"/>
        <v>12.851459061133877</v>
      </c>
      <c r="M6" s="32">
        <f t="shared" si="1"/>
        <v>14.412371320557137</v>
      </c>
      <c r="X6" s="18" t="s">
        <v>16</v>
      </c>
      <c r="Y6">
        <f t="shared" si="4"/>
        <v>385.98</v>
      </c>
      <c r="Z6" s="35">
        <f t="shared" si="5"/>
        <v>444.2972569579826</v>
      </c>
      <c r="AA6" s="33">
        <f t="shared" si="6"/>
        <v>26.340075241318768</v>
      </c>
      <c r="AB6" s="34">
        <f t="shared" si="7"/>
        <v>65.830053613653121</v>
      </c>
      <c r="AC6" s="36">
        <f t="shared" si="8"/>
        <v>70.904129093408784</v>
      </c>
    </row>
    <row r="7" spans="1:29" x14ac:dyDescent="0.35">
      <c r="A7" s="7" t="s">
        <v>5</v>
      </c>
      <c r="B7">
        <v>130.2944</v>
      </c>
      <c r="C7">
        <v>296.19</v>
      </c>
      <c r="D7" s="23">
        <v>298.11</v>
      </c>
      <c r="F7" s="18" t="s">
        <v>5</v>
      </c>
      <c r="G7" s="32">
        <f t="shared" si="2"/>
        <v>11.414657244087534</v>
      </c>
      <c r="H7" s="32">
        <f t="shared" si="0"/>
        <v>25.948216724021037</v>
      </c>
      <c r="K7" s="18" t="s">
        <v>5</v>
      </c>
      <c r="L7" s="32">
        <f t="shared" si="3"/>
        <v>17.210171411116161</v>
      </c>
      <c r="M7" s="32">
        <f t="shared" si="1"/>
        <v>17.321733344703869</v>
      </c>
      <c r="Z7" s="35"/>
    </row>
    <row r="8" spans="1:29" x14ac:dyDescent="0.35">
      <c r="A8" s="8" t="s">
        <v>6</v>
      </c>
      <c r="B8">
        <v>9.1021999999999998</v>
      </c>
      <c r="C8">
        <v>35.770000000000003</v>
      </c>
      <c r="D8" s="24">
        <v>16.73</v>
      </c>
      <c r="F8" s="18" t="s">
        <v>6</v>
      </c>
      <c r="G8" s="32">
        <f t="shared" si="2"/>
        <v>3.0169852502125365</v>
      </c>
      <c r="H8" s="32">
        <f t="shared" si="0"/>
        <v>11.856206455593421</v>
      </c>
      <c r="K8" s="18" t="s">
        <v>6</v>
      </c>
      <c r="L8" s="32">
        <f t="shared" si="3"/>
        <v>5.9808026217222716</v>
      </c>
      <c r="M8" s="32">
        <f t="shared" si="1"/>
        <v>2.7972834179875203</v>
      </c>
      <c r="X8" s="31" t="s">
        <v>43</v>
      </c>
      <c r="Y8">
        <f>SUM(Y3:Y7)</f>
        <v>1045.0500000000002</v>
      </c>
      <c r="Z8" s="35">
        <f t="shared" si="5"/>
        <v>1202.945355676304</v>
      </c>
      <c r="AA8" s="33">
        <f t="shared" ref="AA8" si="9">Y8*L$21</f>
        <v>71.31637813083627</v>
      </c>
      <c r="AB8" s="34">
        <f t="shared" ref="AB8" si="10">SQRT(Y8)*M$22</f>
        <v>108.32042185175801</v>
      </c>
      <c r="AC8" s="36">
        <f t="shared" ref="AC8" si="11">SQRT(AA8^2+AB8^2)</f>
        <v>129.68939655902187</v>
      </c>
    </row>
    <row r="9" spans="1:29" x14ac:dyDescent="0.35">
      <c r="A9" s="9" t="s">
        <v>7</v>
      </c>
      <c r="B9">
        <v>131.50489999999999</v>
      </c>
      <c r="C9">
        <v>233.45</v>
      </c>
      <c r="D9" s="25">
        <v>314.82</v>
      </c>
      <c r="F9" s="18" t="s">
        <v>7</v>
      </c>
      <c r="G9" s="32">
        <f t="shared" si="2"/>
        <v>11.467558589342371</v>
      </c>
      <c r="H9" s="32">
        <f t="shared" si="0"/>
        <v>20.357428146646829</v>
      </c>
      <c r="K9" s="18" t="s">
        <v>7</v>
      </c>
      <c r="L9" s="32">
        <f t="shared" si="3"/>
        <v>15.279070652366263</v>
      </c>
      <c r="M9" s="32">
        <f t="shared" si="1"/>
        <v>20.604656340877906</v>
      </c>
    </row>
    <row r="10" spans="1:29" x14ac:dyDescent="0.35">
      <c r="A10" s="10" t="s">
        <v>8</v>
      </c>
      <c r="B10">
        <v>86.190799999999996</v>
      </c>
      <c r="C10">
        <v>114.7</v>
      </c>
      <c r="D10" s="26">
        <v>158.36000000000001</v>
      </c>
      <c r="F10" s="18" t="s">
        <v>8</v>
      </c>
      <c r="G10" s="32">
        <f t="shared" si="2"/>
        <v>9.2839000425467741</v>
      </c>
      <c r="H10" s="32">
        <f t="shared" si="0"/>
        <v>12.354721558218685</v>
      </c>
      <c r="K10" s="18" t="s">
        <v>8</v>
      </c>
      <c r="L10" s="32">
        <f t="shared" si="3"/>
        <v>10.709808588392232</v>
      </c>
      <c r="M10" s="32">
        <f t="shared" si="1"/>
        <v>14.786445405909275</v>
      </c>
      <c r="X10">
        <v>17</v>
      </c>
      <c r="Y10">
        <f>R5</f>
        <v>186.64650474400054</v>
      </c>
      <c r="Z10" s="35">
        <f t="shared" si="5"/>
        <v>214.8467021051726</v>
      </c>
      <c r="AA10">
        <f>SQRT(AA11)</f>
        <v>17.232359073934308</v>
      </c>
      <c r="AB10">
        <f>SQRT(AB11)</f>
        <v>61.127246734572573</v>
      </c>
      <c r="AC10" s="36">
        <f t="shared" ref="AC10" si="12">SQRT(AA10^2+AB10^2)</f>
        <v>63.509798398375658</v>
      </c>
    </row>
    <row r="11" spans="1:29" x14ac:dyDescent="0.35">
      <c r="A11" s="11" t="s">
        <v>9</v>
      </c>
      <c r="B11">
        <v>85.792000000000002</v>
      </c>
      <c r="C11">
        <v>112.39</v>
      </c>
      <c r="D11" s="27">
        <v>176.35</v>
      </c>
      <c r="F11" s="18" t="s">
        <v>9</v>
      </c>
      <c r="G11" s="32">
        <f t="shared" si="2"/>
        <v>9.2623970979439214</v>
      </c>
      <c r="H11" s="32">
        <f t="shared" si="0"/>
        <v>12.134007947569906</v>
      </c>
      <c r="K11" s="18" t="s">
        <v>9</v>
      </c>
      <c r="L11" s="32">
        <f t="shared" si="3"/>
        <v>10.601414999895061</v>
      </c>
      <c r="M11" s="32">
        <f t="shared" si="1"/>
        <v>16.634571894576865</v>
      </c>
      <c r="AA11" s="58">
        <f>Y10^2*L21^2+L20^2*S3^2+L21^2*S3^2</f>
        <v>296.9541992530061</v>
      </c>
      <c r="AB11">
        <f>Y10*M22*2+L20^2*T3^2</f>
        <v>3736.5402933493133</v>
      </c>
    </row>
    <row r="12" spans="1:29" x14ac:dyDescent="0.35">
      <c r="A12" s="12" t="s">
        <v>10</v>
      </c>
      <c r="B12">
        <v>54.033900000000003</v>
      </c>
      <c r="C12">
        <v>161.13999999999999</v>
      </c>
      <c r="D12" s="28">
        <v>106.64</v>
      </c>
      <c r="F12" s="18" t="s">
        <v>10</v>
      </c>
      <c r="G12" s="32">
        <f t="shared" si="2"/>
        <v>7.3507754692957397</v>
      </c>
      <c r="H12" s="32">
        <f t="shared" si="0"/>
        <v>21.921496673797659</v>
      </c>
      <c r="K12" s="18" t="s">
        <v>10</v>
      </c>
      <c r="L12" s="32">
        <f t="shared" si="3"/>
        <v>12.694093114515901</v>
      </c>
      <c r="M12" s="32">
        <f t="shared" si="1"/>
        <v>8.4007576624796805</v>
      </c>
      <c r="Z12" t="s">
        <v>46</v>
      </c>
      <c r="AA12" s="59">
        <f>Y10</f>
        <v>186.64650474400054</v>
      </c>
    </row>
    <row r="13" spans="1:29" x14ac:dyDescent="0.35">
      <c r="A13" s="13" t="s">
        <v>11</v>
      </c>
      <c r="B13">
        <v>94.187600000000003</v>
      </c>
      <c r="C13">
        <v>169.68</v>
      </c>
      <c r="D13" s="29">
        <v>175.65</v>
      </c>
      <c r="F13" s="18" t="s">
        <v>11</v>
      </c>
      <c r="G13" s="32">
        <f t="shared" si="2"/>
        <v>9.7050296238599909</v>
      </c>
      <c r="H13" s="32">
        <f t="shared" si="0"/>
        <v>17.48371788405866</v>
      </c>
      <c r="K13" s="18" t="s">
        <v>11</v>
      </c>
      <c r="L13" s="32">
        <f t="shared" si="3"/>
        <v>13.026127590347025</v>
      </c>
      <c r="M13" s="32">
        <f t="shared" si="1"/>
        <v>13.484437242129037</v>
      </c>
      <c r="Z13" t="s">
        <v>47</v>
      </c>
      <c r="AA13" s="60">
        <f>L21</f>
        <v>6.824207275330009E-2</v>
      </c>
    </row>
    <row r="14" spans="1:29" x14ac:dyDescent="0.35">
      <c r="A14" s="14" t="s">
        <v>12</v>
      </c>
      <c r="B14">
        <v>190.8656</v>
      </c>
      <c r="C14">
        <v>416.01</v>
      </c>
      <c r="D14" s="30">
        <v>466.84</v>
      </c>
      <c r="F14" s="18" t="s">
        <v>12</v>
      </c>
      <c r="G14" s="32">
        <f t="shared" si="2"/>
        <v>13.815411684057773</v>
      </c>
      <c r="H14" s="32">
        <f t="shared" si="0"/>
        <v>30.112023406443456</v>
      </c>
      <c r="K14" s="18" t="s">
        <v>12</v>
      </c>
      <c r="L14" s="32">
        <f t="shared" si="3"/>
        <v>20.396323198066849</v>
      </c>
      <c r="M14" s="32">
        <f t="shared" si="1"/>
        <v>22.888439032200015</v>
      </c>
      <c r="Z14" t="s">
        <v>48</v>
      </c>
      <c r="AA14" s="61">
        <f>L20</f>
        <v>1.1510888050105772</v>
      </c>
    </row>
    <row r="15" spans="1:29" x14ac:dyDescent="0.35">
      <c r="A15" s="15" t="s">
        <v>13</v>
      </c>
      <c r="B15">
        <v>118.5314</v>
      </c>
      <c r="C15">
        <v>263.72000000000003</v>
      </c>
      <c r="F15" s="18" t="s">
        <v>13</v>
      </c>
      <c r="G15" s="32">
        <f t="shared" si="2"/>
        <v>10.887212682776065</v>
      </c>
      <c r="H15" s="32">
        <f t="shared" si="0"/>
        <v>24.222912483120119</v>
      </c>
      <c r="K15" s="18"/>
      <c r="L15" s="30"/>
      <c r="P15">
        <v>13</v>
      </c>
      <c r="Z15" t="s">
        <v>49</v>
      </c>
      <c r="AA15" s="62">
        <f>S3</f>
        <v>10.065707294823856</v>
      </c>
      <c r="AC15">
        <f>C15*$L$20</f>
        <v>303.56513965738947</v>
      </c>
    </row>
    <row r="16" spans="1:29" ht="16.5" x14ac:dyDescent="0.35">
      <c r="A16" s="16" t="s">
        <v>14</v>
      </c>
      <c r="B16">
        <v>126.0108</v>
      </c>
      <c r="C16">
        <v>244.73</v>
      </c>
      <c r="F16" s="18" t="s">
        <v>14</v>
      </c>
      <c r="G16" s="32">
        <f t="shared" si="2"/>
        <v>11.225453220249062</v>
      </c>
      <c r="H16" s="32">
        <f t="shared" si="0"/>
        <v>21.801346920990522</v>
      </c>
      <c r="K16" s="18"/>
      <c r="L16" s="30"/>
      <c r="P16">
        <v>14</v>
      </c>
      <c r="Z16" t="s">
        <v>50</v>
      </c>
      <c r="AA16" s="59">
        <f>AA12^2</f>
        <v>34836.917733152215</v>
      </c>
      <c r="AC16">
        <f>C16*$L$20</f>
        <v>281.70596325023854</v>
      </c>
    </row>
    <row r="17" spans="1:29" ht="16.5" x14ac:dyDescent="0.35">
      <c r="A17" s="17" t="s">
        <v>15</v>
      </c>
      <c r="B17">
        <v>62.473399999999998</v>
      </c>
      <c r="C17">
        <v>150.62</v>
      </c>
      <c r="F17" s="18" t="s">
        <v>15</v>
      </c>
      <c r="G17" s="32">
        <f t="shared" si="2"/>
        <v>7.9040116396675426</v>
      </c>
      <c r="H17" s="32">
        <f t="shared" si="0"/>
        <v>19.05614602641645</v>
      </c>
      <c r="K17" s="18"/>
      <c r="L17" s="30"/>
      <c r="P17">
        <v>15</v>
      </c>
      <c r="Z17" t="s">
        <v>51</v>
      </c>
      <c r="AA17" s="59">
        <f>AA13^2</f>
        <v>4.6569804936667028E-3</v>
      </c>
      <c r="AC17">
        <f>C17*$L$20</f>
        <v>173.37699581069313</v>
      </c>
    </row>
    <row r="18" spans="1:29" ht="16.5" x14ac:dyDescent="0.35">
      <c r="A18" s="18" t="s">
        <v>16</v>
      </c>
      <c r="B18">
        <v>140.845</v>
      </c>
      <c r="C18">
        <v>385.98</v>
      </c>
      <c r="F18" s="18" t="s">
        <v>16</v>
      </c>
      <c r="G18" s="32">
        <f t="shared" si="2"/>
        <v>11.867813614984016</v>
      </c>
      <c r="H18" s="32">
        <f t="shared" si="0"/>
        <v>32.523261025322384</v>
      </c>
      <c r="K18" s="18"/>
      <c r="L18" s="30"/>
      <c r="P18">
        <v>16</v>
      </c>
      <c r="Z18" t="s">
        <v>52</v>
      </c>
      <c r="AA18" s="59">
        <f>AA14^2</f>
        <v>1.3250054370206785</v>
      </c>
      <c r="AC18">
        <f>C18*$L$20</f>
        <v>444.2972569579826</v>
      </c>
    </row>
    <row r="19" spans="1:29" ht="17" thickBot="1" x14ac:dyDescent="0.4">
      <c r="Z19" t="s">
        <v>53</v>
      </c>
      <c r="AA19" s="63">
        <f>AA15^2</f>
        <v>101.31846334507019</v>
      </c>
    </row>
    <row r="20" spans="1:29" x14ac:dyDescent="0.35">
      <c r="F20" s="45" t="s">
        <v>44</v>
      </c>
      <c r="G20" s="46">
        <f t="array" ref="G20:H24">LINEST(H3:H18,G3:G18,FALSE,TRUE)</f>
        <v>2.073850052711117</v>
      </c>
      <c r="H20" s="47">
        <v>0</v>
      </c>
      <c r="I20" s="48" t="s">
        <v>18</v>
      </c>
      <c r="K20" s="45" t="s">
        <v>44</v>
      </c>
      <c r="L20" s="46">
        <f t="array" ref="L20:M24">LINEST(M3:M14,L3:L14,FALSE,TRUE)</f>
        <v>1.1510888050105772</v>
      </c>
      <c r="M20" s="47">
        <v>0</v>
      </c>
      <c r="N20" s="48" t="s">
        <v>18</v>
      </c>
    </row>
    <row r="21" spans="1:29" ht="16.5" x14ac:dyDescent="0.45">
      <c r="F21" s="49" t="s">
        <v>87</v>
      </c>
      <c r="G21" s="40">
        <v>0.11184119216470952</v>
      </c>
      <c r="H21" s="44" t="e">
        <v>#N/A</v>
      </c>
      <c r="I21" s="50" t="s">
        <v>22</v>
      </c>
      <c r="K21" s="49" t="s">
        <v>45</v>
      </c>
      <c r="L21" s="40">
        <v>6.824207275330009E-2</v>
      </c>
      <c r="M21" s="44" t="e">
        <v>#N/A</v>
      </c>
      <c r="N21" s="50" t="s">
        <v>22</v>
      </c>
    </row>
    <row r="22" spans="1:29" ht="16.5" x14ac:dyDescent="0.45">
      <c r="F22" s="51" t="s">
        <v>20</v>
      </c>
      <c r="G22" s="42">
        <v>0.95819815405626063</v>
      </c>
      <c r="H22" s="41">
        <v>4.5655892506571458</v>
      </c>
      <c r="I22" s="52" t="s">
        <v>34</v>
      </c>
      <c r="K22" s="51" t="s">
        <v>20</v>
      </c>
      <c r="L22" s="42">
        <v>0.96277751342059048</v>
      </c>
      <c r="M22" s="41">
        <v>3.3507483152545277</v>
      </c>
      <c r="N22" s="52" t="s">
        <v>34</v>
      </c>
    </row>
    <row r="23" spans="1:29" x14ac:dyDescent="0.35">
      <c r="F23" s="53" t="s">
        <v>17</v>
      </c>
      <c r="G23" s="43">
        <v>343.83582797248636</v>
      </c>
      <c r="H23" s="44">
        <v>15</v>
      </c>
      <c r="I23" s="50" t="s">
        <v>19</v>
      </c>
      <c r="K23" s="53" t="s">
        <v>17</v>
      </c>
      <c r="L23" s="43">
        <v>284.52028923518782</v>
      </c>
      <c r="M23" s="44">
        <v>11</v>
      </c>
      <c r="N23" s="50" t="s">
        <v>19</v>
      </c>
    </row>
    <row r="24" spans="1:29" ht="17" thickBot="1" x14ac:dyDescent="0.5">
      <c r="F24" s="54" t="s">
        <v>21</v>
      </c>
      <c r="G24" s="55">
        <v>7167.1220896669884</v>
      </c>
      <c r="H24" s="55">
        <v>312.66907808574121</v>
      </c>
      <c r="I24" s="56" t="s">
        <v>23</v>
      </c>
      <c r="K24" s="54" t="s">
        <v>21</v>
      </c>
      <c r="L24" s="55">
        <v>3194.4556081131532</v>
      </c>
      <c r="M24" s="55">
        <v>123.50265699399162</v>
      </c>
      <c r="N24" s="56" t="s">
        <v>23</v>
      </c>
    </row>
    <row r="27" spans="1:29" x14ac:dyDescent="0.35">
      <c r="F27" s="39"/>
    </row>
    <row r="28" spans="1:29" x14ac:dyDescent="0.35">
      <c r="F28" s="38"/>
    </row>
    <row r="29" spans="1:29" x14ac:dyDescent="0.35">
      <c r="Q29" t="s">
        <v>37</v>
      </c>
      <c r="R29" t="s">
        <v>38</v>
      </c>
      <c r="AC29" t="s">
        <v>39</v>
      </c>
    </row>
    <row r="31" spans="1:29" x14ac:dyDescent="0.35">
      <c r="P31" t="s">
        <v>35</v>
      </c>
      <c r="Q31">
        <f>Q3</f>
        <v>90</v>
      </c>
      <c r="R31">
        <f>R3+SUM(C15:C18)</f>
        <v>1231.6965047440008</v>
      </c>
    </row>
    <row r="32" spans="1:29" x14ac:dyDescent="0.35">
      <c r="P32" t="s">
        <v>36</v>
      </c>
      <c r="Q32">
        <f>Q31*G20</f>
        <v>186.64650474400054</v>
      </c>
      <c r="R32">
        <f>R31*L20</f>
        <v>1417.7920577814766</v>
      </c>
    </row>
  </sheetData>
  <mergeCells count="3">
    <mergeCell ref="A1:D1"/>
    <mergeCell ref="F1:H1"/>
    <mergeCell ref="K1:M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4C5E3-7B91-458D-92C4-BC235B8B508E}">
  <dimension ref="A1:Q38"/>
  <sheetViews>
    <sheetView zoomScaleNormal="100" workbookViewId="0">
      <selection activeCell="D37" sqref="D37"/>
    </sheetView>
  </sheetViews>
  <sheetFormatPr defaultRowHeight="14.5" x14ac:dyDescent="0.35"/>
  <cols>
    <col min="1" max="3" width="8.6328125" customWidth="1"/>
    <col min="7" max="7" width="19.81640625" bestFit="1" customWidth="1"/>
    <col min="8" max="8" width="16.6328125" bestFit="1" customWidth="1"/>
    <col min="11" max="11" width="12.453125" bestFit="1" customWidth="1"/>
  </cols>
  <sheetData>
    <row r="1" spans="1:17" x14ac:dyDescent="0.35">
      <c r="A1" s="95" t="s">
        <v>24</v>
      </c>
      <c r="B1" s="95"/>
      <c r="C1" s="95"/>
    </row>
    <row r="2" spans="1:17" x14ac:dyDescent="0.35">
      <c r="A2" s="2" t="s">
        <v>0</v>
      </c>
      <c r="B2" s="37" t="s">
        <v>28</v>
      </c>
      <c r="C2" s="37" t="s">
        <v>27</v>
      </c>
      <c r="E2" t="s">
        <v>55</v>
      </c>
      <c r="F2" t="s">
        <v>56</v>
      </c>
      <c r="G2" t="s">
        <v>58</v>
      </c>
      <c r="H2" t="s">
        <v>59</v>
      </c>
      <c r="J2" t="s">
        <v>62</v>
      </c>
      <c r="K2" t="s">
        <v>63</v>
      </c>
      <c r="L2" t="s">
        <v>57</v>
      </c>
    </row>
    <row r="3" spans="1:17" x14ac:dyDescent="0.35">
      <c r="A3" s="18" t="s">
        <v>1</v>
      </c>
      <c r="B3" s="30">
        <v>129.2764</v>
      </c>
      <c r="C3" s="30">
        <v>218.24</v>
      </c>
      <c r="E3">
        <f>B3-B$20</f>
        <v>25.123799999999974</v>
      </c>
      <c r="F3">
        <f>C3-C$20</f>
        <v>2.2431250000000205</v>
      </c>
      <c r="G3">
        <f>E3*F3</f>
        <v>56.355823875000453</v>
      </c>
      <c r="H3">
        <f>E3^2</f>
        <v>631.20532643999866</v>
      </c>
      <c r="J3">
        <f>$H$23+$H$22*B3</f>
        <v>267.94444889986096</v>
      </c>
      <c r="K3">
        <f>C3-J3</f>
        <v>-49.704448899860949</v>
      </c>
      <c r="L3">
        <f>K3^2</f>
        <v>2470.5322404388885</v>
      </c>
    </row>
    <row r="4" spans="1:17" x14ac:dyDescent="0.35">
      <c r="A4" s="18" t="s">
        <v>2</v>
      </c>
      <c r="B4" s="30">
        <v>135.47329999999999</v>
      </c>
      <c r="C4" s="30">
        <v>255.51</v>
      </c>
      <c r="E4">
        <f t="shared" ref="E4:E18" si="0">B4-B$20</f>
        <v>31.320699999999974</v>
      </c>
      <c r="F4">
        <f t="shared" ref="F4:F18" si="1">C4-C$20</f>
        <v>39.513125000000002</v>
      </c>
      <c r="G4">
        <f t="shared" ref="G4:G18" si="2">E4*F4</f>
        <v>1237.5787341874991</v>
      </c>
      <c r="H4">
        <f t="shared" ref="H4:H18" si="3">E4^2</f>
        <v>980.98624848999839</v>
      </c>
      <c r="J4">
        <f t="shared" ref="J4:J18" si="4">$H$23+$H$22*B4</f>
        <v>280.75755522533916</v>
      </c>
      <c r="K4">
        <f t="shared" ref="K4:K18" si="5">C4-J4</f>
        <v>-25.24755522533917</v>
      </c>
      <c r="L4">
        <f t="shared" ref="L4:L18" si="6">K4^2</f>
        <v>637.43904485655116</v>
      </c>
    </row>
    <row r="5" spans="1:17" x14ac:dyDescent="0.35">
      <c r="A5" s="18" t="s">
        <v>3</v>
      </c>
      <c r="B5" s="30">
        <v>94.534800000000004</v>
      </c>
      <c r="C5" s="30">
        <v>232.66</v>
      </c>
      <c r="E5">
        <f t="shared" si="0"/>
        <v>-9.6178000000000168</v>
      </c>
      <c r="F5">
        <f t="shared" si="1"/>
        <v>16.663125000000008</v>
      </c>
      <c r="G5">
        <f t="shared" si="2"/>
        <v>-160.26260362500037</v>
      </c>
      <c r="H5">
        <f t="shared" si="3"/>
        <v>92.502076840000328</v>
      </c>
      <c r="J5">
        <f t="shared" si="4"/>
        <v>196.11049729224544</v>
      </c>
      <c r="K5">
        <f t="shared" si="5"/>
        <v>36.549502707754556</v>
      </c>
      <c r="L5">
        <f t="shared" si="6"/>
        <v>1335.8661481841575</v>
      </c>
    </row>
    <row r="6" spans="1:17" x14ac:dyDescent="0.35">
      <c r="A6" s="18" t="s">
        <v>4</v>
      </c>
      <c r="B6" s="30">
        <v>77.325100000000006</v>
      </c>
      <c r="C6" s="30">
        <v>165.16</v>
      </c>
      <c r="E6">
        <f t="shared" si="0"/>
        <v>-26.827500000000015</v>
      </c>
      <c r="F6">
        <f t="shared" si="1"/>
        <v>-50.836874999999992</v>
      </c>
      <c r="G6">
        <f t="shared" si="2"/>
        <v>1363.8262640625005</v>
      </c>
      <c r="H6">
        <f t="shared" si="3"/>
        <v>719.71475625000085</v>
      </c>
      <c r="J6">
        <f t="shared" si="4"/>
        <v>160.52662214022075</v>
      </c>
      <c r="K6">
        <f t="shared" si="5"/>
        <v>4.6333778597792445</v>
      </c>
      <c r="L6">
        <f t="shared" si="6"/>
        <v>21.468190391492492</v>
      </c>
    </row>
    <row r="7" spans="1:17" x14ac:dyDescent="0.35">
      <c r="A7" s="18" t="s">
        <v>5</v>
      </c>
      <c r="B7" s="30">
        <v>130.2944</v>
      </c>
      <c r="C7" s="30">
        <v>296.19</v>
      </c>
      <c r="E7">
        <f t="shared" si="0"/>
        <v>26.141799999999975</v>
      </c>
      <c r="F7">
        <f t="shared" si="1"/>
        <v>80.193125000000009</v>
      </c>
      <c r="G7">
        <f t="shared" si="2"/>
        <v>2096.3926351249984</v>
      </c>
      <c r="H7">
        <f t="shared" si="3"/>
        <v>683.39370723999866</v>
      </c>
      <c r="J7">
        <f t="shared" si="4"/>
        <v>270.04933073421955</v>
      </c>
      <c r="K7">
        <f t="shared" si="5"/>
        <v>26.140669265780446</v>
      </c>
      <c r="L7">
        <f t="shared" si="6"/>
        <v>683.33458966291835</v>
      </c>
    </row>
    <row r="8" spans="1:17" x14ac:dyDescent="0.35">
      <c r="A8" s="18" t="s">
        <v>6</v>
      </c>
      <c r="B8" s="30">
        <v>9.1021999999999998</v>
      </c>
      <c r="C8" s="30">
        <v>35.770000000000003</v>
      </c>
      <c r="E8">
        <f t="shared" si="0"/>
        <v>-95.050400000000025</v>
      </c>
      <c r="F8">
        <f t="shared" si="1"/>
        <v>-180.22687499999998</v>
      </c>
      <c r="G8">
        <f t="shared" si="2"/>
        <v>17130.636559500002</v>
      </c>
      <c r="H8">
        <f t="shared" si="3"/>
        <v>9034.5785401600042</v>
      </c>
      <c r="J8">
        <f t="shared" si="4"/>
        <v>19.464595718547766</v>
      </c>
      <c r="K8">
        <f t="shared" si="5"/>
        <v>16.305404281452237</v>
      </c>
      <c r="L8">
        <f t="shared" si="6"/>
        <v>265.86620878160096</v>
      </c>
      <c r="Q8">
        <v>218.24</v>
      </c>
    </row>
    <row r="9" spans="1:17" x14ac:dyDescent="0.35">
      <c r="A9" s="18" t="s">
        <v>7</v>
      </c>
      <c r="B9" s="30">
        <v>131.50489999999999</v>
      </c>
      <c r="C9" s="30">
        <v>233.45</v>
      </c>
      <c r="E9">
        <f t="shared" si="0"/>
        <v>27.352299999999971</v>
      </c>
      <c r="F9">
        <f t="shared" si="1"/>
        <v>17.453125</v>
      </c>
      <c r="G9">
        <f t="shared" si="2"/>
        <v>477.38311093749951</v>
      </c>
      <c r="H9">
        <f t="shared" si="3"/>
        <v>748.14831528999844</v>
      </c>
      <c r="J9">
        <f t="shared" si="4"/>
        <v>272.55223786633258</v>
      </c>
      <c r="K9">
        <f t="shared" si="5"/>
        <v>-39.102237866332587</v>
      </c>
      <c r="L9">
        <f t="shared" si="6"/>
        <v>1528.985006155254</v>
      </c>
      <c r="Q9">
        <v>255.51</v>
      </c>
    </row>
    <row r="10" spans="1:17" x14ac:dyDescent="0.35">
      <c r="A10" s="18" t="s">
        <v>8</v>
      </c>
      <c r="B10" s="30">
        <v>86.190799999999996</v>
      </c>
      <c r="C10" s="30">
        <v>114.7</v>
      </c>
      <c r="E10">
        <f t="shared" si="0"/>
        <v>-17.961800000000025</v>
      </c>
      <c r="F10">
        <f t="shared" si="1"/>
        <v>-101.29687499999999</v>
      </c>
      <c r="G10">
        <f t="shared" si="2"/>
        <v>1819.4742093750024</v>
      </c>
      <c r="H10">
        <f t="shared" si="3"/>
        <v>322.62625924000088</v>
      </c>
      <c r="J10">
        <f t="shared" si="4"/>
        <v>178.8579098404889</v>
      </c>
      <c r="K10">
        <f t="shared" si="5"/>
        <v>-64.157909840488898</v>
      </c>
      <c r="L10">
        <f t="shared" si="6"/>
        <v>4116.2373951003019</v>
      </c>
      <c r="Q10">
        <v>232.66</v>
      </c>
    </row>
    <row r="11" spans="1:17" x14ac:dyDescent="0.35">
      <c r="A11" s="18" t="s">
        <v>9</v>
      </c>
      <c r="B11" s="30">
        <v>85.792000000000002</v>
      </c>
      <c r="C11" s="30">
        <v>112.39</v>
      </c>
      <c r="E11">
        <f t="shared" si="0"/>
        <v>-18.360600000000019</v>
      </c>
      <c r="F11">
        <f t="shared" si="1"/>
        <v>-103.60687499999999</v>
      </c>
      <c r="G11">
        <f t="shared" si="2"/>
        <v>1902.2843891250018</v>
      </c>
      <c r="H11">
        <f t="shared" si="3"/>
        <v>337.11163236000073</v>
      </c>
      <c r="J11">
        <f t="shared" si="4"/>
        <v>178.03332548337477</v>
      </c>
      <c r="K11">
        <f t="shared" si="5"/>
        <v>-65.643325483374767</v>
      </c>
      <c r="L11">
        <f t="shared" si="6"/>
        <v>4309.0461805162795</v>
      </c>
      <c r="Q11">
        <v>165.16</v>
      </c>
    </row>
    <row r="12" spans="1:17" x14ac:dyDescent="0.35">
      <c r="A12" s="18" t="s">
        <v>10</v>
      </c>
      <c r="B12" s="30">
        <v>54.033900000000003</v>
      </c>
      <c r="C12" s="30">
        <v>161.13999999999999</v>
      </c>
      <c r="E12">
        <f t="shared" si="0"/>
        <v>-50.118700000000018</v>
      </c>
      <c r="F12">
        <f t="shared" si="1"/>
        <v>-54.856875000000002</v>
      </c>
      <c r="G12">
        <f t="shared" si="2"/>
        <v>2749.3552610625011</v>
      </c>
      <c r="H12">
        <f t="shared" si="3"/>
        <v>2511.8840896900019</v>
      </c>
      <c r="J12">
        <f t="shared" si="4"/>
        <v>112.36824907498209</v>
      </c>
      <c r="K12">
        <f t="shared" si="5"/>
        <v>48.771750925017898</v>
      </c>
      <c r="L12">
        <f t="shared" si="6"/>
        <v>2378.6836882919843</v>
      </c>
      <c r="Q12">
        <v>296.19</v>
      </c>
    </row>
    <row r="13" spans="1:17" x14ac:dyDescent="0.35">
      <c r="A13" s="18" t="s">
        <v>11</v>
      </c>
      <c r="B13" s="30">
        <v>94.187600000000003</v>
      </c>
      <c r="C13" s="30">
        <v>169.68</v>
      </c>
      <c r="E13">
        <f t="shared" si="0"/>
        <v>-9.9650000000000176</v>
      </c>
      <c r="F13">
        <f t="shared" si="1"/>
        <v>-46.316874999999982</v>
      </c>
      <c r="G13">
        <f t="shared" si="2"/>
        <v>461.54765937500065</v>
      </c>
      <c r="H13">
        <f t="shared" si="3"/>
        <v>99.301225000000358</v>
      </c>
      <c r="J13">
        <f t="shared" si="4"/>
        <v>195.39260439156831</v>
      </c>
      <c r="K13">
        <f t="shared" si="5"/>
        <v>-25.712604391568306</v>
      </c>
      <c r="L13">
        <f t="shared" si="6"/>
        <v>661.13802459729766</v>
      </c>
      <c r="Q13">
        <v>35.770000000000003</v>
      </c>
    </row>
    <row r="14" spans="1:17" x14ac:dyDescent="0.35">
      <c r="A14" s="18" t="s">
        <v>12</v>
      </c>
      <c r="B14" s="30">
        <v>190.8656</v>
      </c>
      <c r="C14" s="30">
        <v>416.01</v>
      </c>
      <c r="E14">
        <f t="shared" si="0"/>
        <v>86.71299999999998</v>
      </c>
      <c r="F14">
        <f t="shared" si="1"/>
        <v>200.013125</v>
      </c>
      <c r="G14">
        <f t="shared" si="2"/>
        <v>17343.738108124995</v>
      </c>
      <c r="H14">
        <f t="shared" si="3"/>
        <v>7519.1443689999969</v>
      </c>
      <c r="J14">
        <f t="shared" si="4"/>
        <v>395.29021341133296</v>
      </c>
      <c r="K14">
        <f t="shared" si="5"/>
        <v>20.719786588667034</v>
      </c>
      <c r="L14">
        <f t="shared" si="6"/>
        <v>429.3095562799063</v>
      </c>
      <c r="Q14">
        <v>233.45</v>
      </c>
    </row>
    <row r="15" spans="1:17" x14ac:dyDescent="0.35">
      <c r="A15" s="18" t="s">
        <v>13</v>
      </c>
      <c r="B15" s="30">
        <v>118.5314</v>
      </c>
      <c r="C15" s="30">
        <v>263.72000000000003</v>
      </c>
      <c r="E15">
        <f t="shared" si="0"/>
        <v>14.378799999999984</v>
      </c>
      <c r="F15">
        <f t="shared" si="1"/>
        <v>47.723125000000039</v>
      </c>
      <c r="G15">
        <f t="shared" si="2"/>
        <v>686.20126974999982</v>
      </c>
      <c r="H15">
        <f t="shared" si="3"/>
        <v>206.74988943999955</v>
      </c>
      <c r="J15">
        <f t="shared" si="4"/>
        <v>245.72740046156713</v>
      </c>
      <c r="K15">
        <f t="shared" si="5"/>
        <v>17.992599538432898</v>
      </c>
      <c r="L15">
        <f t="shared" si="6"/>
        <v>323.73363815041574</v>
      </c>
      <c r="Q15">
        <v>114.7</v>
      </c>
    </row>
    <row r="16" spans="1:17" x14ac:dyDescent="0.35">
      <c r="A16" s="18" t="s">
        <v>14</v>
      </c>
      <c r="B16" s="30">
        <v>126.0108</v>
      </c>
      <c r="C16" s="30">
        <v>244.73</v>
      </c>
      <c r="E16">
        <f t="shared" si="0"/>
        <v>21.858199999999982</v>
      </c>
      <c r="F16">
        <f t="shared" si="1"/>
        <v>28.733125000000001</v>
      </c>
      <c r="G16">
        <f t="shared" si="2"/>
        <v>628.05439287499951</v>
      </c>
      <c r="H16">
        <f t="shared" si="3"/>
        <v>477.78090723999924</v>
      </c>
      <c r="J16">
        <f t="shared" si="4"/>
        <v>261.19228571883798</v>
      </c>
      <c r="K16">
        <f t="shared" si="5"/>
        <v>-16.46228571883799</v>
      </c>
      <c r="L16">
        <f t="shared" si="6"/>
        <v>271.00685108865724</v>
      </c>
      <c r="Q16">
        <v>112.39</v>
      </c>
    </row>
    <row r="17" spans="1:17" x14ac:dyDescent="0.35">
      <c r="A17" s="18" t="s">
        <v>15</v>
      </c>
      <c r="B17" s="30">
        <v>62.473399999999998</v>
      </c>
      <c r="C17" s="30">
        <v>150.62</v>
      </c>
      <c r="E17">
        <f t="shared" si="0"/>
        <v>-41.679200000000023</v>
      </c>
      <c r="F17">
        <f t="shared" si="1"/>
        <v>-65.376874999999984</v>
      </c>
      <c r="G17">
        <f t="shared" si="2"/>
        <v>2724.8558485000008</v>
      </c>
      <c r="H17">
        <f t="shared" si="3"/>
        <v>1737.1557126400019</v>
      </c>
      <c r="J17">
        <f t="shared" si="4"/>
        <v>129.8182984277025</v>
      </c>
      <c r="K17">
        <f t="shared" si="5"/>
        <v>20.801701572297503</v>
      </c>
      <c r="L17">
        <f t="shared" si="6"/>
        <v>432.71078830292441</v>
      </c>
      <c r="Q17">
        <v>161.13999999999999</v>
      </c>
    </row>
    <row r="18" spans="1:17" x14ac:dyDescent="0.35">
      <c r="A18" s="18" t="s">
        <v>16</v>
      </c>
      <c r="B18" s="30">
        <v>140.845</v>
      </c>
      <c r="C18" s="30">
        <v>385.98</v>
      </c>
      <c r="E18">
        <f t="shared" si="0"/>
        <v>36.692399999999978</v>
      </c>
      <c r="F18">
        <f t="shared" si="1"/>
        <v>169.98312500000003</v>
      </c>
      <c r="G18">
        <f t="shared" si="2"/>
        <v>6237.0888157499976</v>
      </c>
      <c r="H18">
        <f t="shared" si="3"/>
        <v>1346.3322177599985</v>
      </c>
      <c r="J18">
        <f t="shared" si="4"/>
        <v>291.86442531337843</v>
      </c>
      <c r="K18">
        <f t="shared" si="5"/>
        <v>94.115574686621585</v>
      </c>
      <c r="L18">
        <f t="shared" si="6"/>
        <v>8857.7413985930452</v>
      </c>
      <c r="Q18">
        <v>169.68</v>
      </c>
    </row>
    <row r="19" spans="1:17" x14ac:dyDescent="0.35">
      <c r="Q19">
        <v>416.01</v>
      </c>
    </row>
    <row r="20" spans="1:17" x14ac:dyDescent="0.35">
      <c r="A20" s="31" t="s">
        <v>54</v>
      </c>
      <c r="B20">
        <f>AVERAGE(B3:B18)</f>
        <v>104.15260000000002</v>
      </c>
      <c r="C20">
        <f>AVERAGE(C3:C18)</f>
        <v>215.99687499999999</v>
      </c>
      <c r="G20">
        <f>SUM(G3:G19)</f>
        <v>56754.510477999997</v>
      </c>
      <c r="H20">
        <f>SUM(H3:H19)</f>
        <v>27448.615273079995</v>
      </c>
      <c r="L20">
        <f>SUM(L3:L19)</f>
        <v>28723.098949391671</v>
      </c>
      <c r="Q20">
        <v>263.72000000000003</v>
      </c>
    </row>
    <row r="21" spans="1:17" x14ac:dyDescent="0.35">
      <c r="Q21">
        <v>244.73</v>
      </c>
    </row>
    <row r="22" spans="1:17" x14ac:dyDescent="0.35">
      <c r="G22" s="65" t="s">
        <v>60</v>
      </c>
      <c r="H22">
        <f>G20/H20</f>
        <v>2.0676638844386996</v>
      </c>
      <c r="K22" t="s">
        <v>64</v>
      </c>
      <c r="L22">
        <f>L20/(COUNT(L3:L18)-IF(AND(B20=0,C20=0),1,2))</f>
        <v>2051.6499249565481</v>
      </c>
      <c r="Q22">
        <v>150.62</v>
      </c>
    </row>
    <row r="23" spans="1:17" x14ac:dyDescent="0.35">
      <c r="G23" s="65" t="s">
        <v>61</v>
      </c>
      <c r="H23">
        <f>C20-H22*B20</f>
        <v>0.64430550960983624</v>
      </c>
      <c r="K23" t="s">
        <v>65</v>
      </c>
      <c r="L23">
        <f>SQRT(L22)</f>
        <v>45.295142399119889</v>
      </c>
      <c r="Q23">
        <v>385.98</v>
      </c>
    </row>
    <row r="29" spans="1:17" x14ac:dyDescent="0.35">
      <c r="A29" t="s">
        <v>66</v>
      </c>
      <c r="B29">
        <f>COUNT(B3:B18)</f>
        <v>16</v>
      </c>
    </row>
    <row r="30" spans="1:17" x14ac:dyDescent="0.35">
      <c r="B30">
        <v>131.5</v>
      </c>
    </row>
    <row r="32" spans="1:17" x14ac:dyDescent="0.35">
      <c r="A32" t="s">
        <v>67</v>
      </c>
      <c r="B32">
        <f>L22</f>
        <v>2051.6499249565481</v>
      </c>
    </row>
    <row r="33" spans="1:4" x14ac:dyDescent="0.35">
      <c r="A33" t="s">
        <v>68</v>
      </c>
      <c r="B33">
        <f>L22/B29</f>
        <v>128.22812030978426</v>
      </c>
    </row>
    <row r="34" spans="1:4" x14ac:dyDescent="0.35">
      <c r="A34" t="s">
        <v>69</v>
      </c>
      <c r="B34">
        <f>(B30-B20)^2/H20*L22</f>
        <v>55.900398579030409</v>
      </c>
    </row>
    <row r="36" spans="1:4" x14ac:dyDescent="0.35">
      <c r="B36">
        <f>SUM(B32:B35)</f>
        <v>2235.7784438453627</v>
      </c>
      <c r="D36" t="s">
        <v>73</v>
      </c>
    </row>
    <row r="37" spans="1:4" x14ac:dyDescent="0.35">
      <c r="A37" t="s">
        <v>70</v>
      </c>
      <c r="B37">
        <f>SQRT(B36)</f>
        <v>47.284018905390887</v>
      </c>
      <c r="D37" s="66" t="s">
        <v>71</v>
      </c>
    </row>
    <row r="38" spans="1:4" x14ac:dyDescent="0.35">
      <c r="D38" s="66" t="s">
        <v>72</v>
      </c>
    </row>
  </sheetData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CE730-5419-471D-8AE9-3DD4BB19470E}">
  <dimension ref="A1:Q37"/>
  <sheetViews>
    <sheetView zoomScaleNormal="100" workbookViewId="0">
      <selection activeCell="N31" sqref="N31"/>
    </sheetView>
  </sheetViews>
  <sheetFormatPr defaultRowHeight="14.5" x14ac:dyDescent="0.35"/>
  <cols>
    <col min="1" max="3" width="8.6328125" customWidth="1"/>
    <col min="7" max="7" width="19.81640625" bestFit="1" customWidth="1"/>
    <col min="8" max="8" width="16.6328125" bestFit="1" customWidth="1"/>
    <col min="11" max="11" width="12.453125" bestFit="1" customWidth="1"/>
  </cols>
  <sheetData>
    <row r="1" spans="1:17" x14ac:dyDescent="0.35">
      <c r="A1" s="95" t="s">
        <v>24</v>
      </c>
      <c r="B1" s="95"/>
      <c r="C1" s="95"/>
    </row>
    <row r="2" spans="1:17" x14ac:dyDescent="0.35">
      <c r="A2" s="2" t="s">
        <v>0</v>
      </c>
      <c r="B2" s="37" t="s">
        <v>28</v>
      </c>
      <c r="C2" s="37" t="s">
        <v>27</v>
      </c>
      <c r="E2" t="s">
        <v>55</v>
      </c>
      <c r="F2" t="s">
        <v>56</v>
      </c>
      <c r="G2" t="s">
        <v>58</v>
      </c>
      <c r="H2" t="s">
        <v>59</v>
      </c>
      <c r="J2" t="s">
        <v>62</v>
      </c>
      <c r="K2" t="s">
        <v>63</v>
      </c>
      <c r="L2" t="s">
        <v>57</v>
      </c>
    </row>
    <row r="3" spans="1:17" x14ac:dyDescent="0.35">
      <c r="A3" s="18" t="s">
        <v>1</v>
      </c>
      <c r="B3" s="30">
        <v>129.2764</v>
      </c>
      <c r="C3" s="30">
        <v>218.24</v>
      </c>
      <c r="E3">
        <f>B3-B$20</f>
        <v>129.2764</v>
      </c>
      <c r="F3">
        <f>C3-C$20</f>
        <v>218.24</v>
      </c>
      <c r="G3">
        <f>E3*F3</f>
        <v>28213.281535999999</v>
      </c>
      <c r="H3">
        <f>E3^2</f>
        <v>16712.387596959998</v>
      </c>
      <c r="J3">
        <f>$H$23+$H$22*B3</f>
        <v>267.99066518772071</v>
      </c>
      <c r="K3">
        <f>C3-J3</f>
        <v>-49.750665187720699</v>
      </c>
      <c r="L3">
        <f>K3^2</f>
        <v>2475.1286866206842</v>
      </c>
    </row>
    <row r="4" spans="1:17" x14ac:dyDescent="0.35">
      <c r="A4" s="18" t="s">
        <v>2</v>
      </c>
      <c r="B4" s="30">
        <v>135.47329999999999</v>
      </c>
      <c r="C4" s="30">
        <v>255.51</v>
      </c>
      <c r="E4">
        <f t="shared" ref="E4:F18" si="0">B4-B$20</f>
        <v>135.47329999999999</v>
      </c>
      <c r="F4">
        <f t="shared" si="0"/>
        <v>255.51</v>
      </c>
      <c r="G4">
        <f t="shared" ref="G4:G18" si="1">E4*F4</f>
        <v>34614.782883</v>
      </c>
      <c r="H4">
        <f t="shared" ref="H4:H18" si="2">E4^2</f>
        <v>18353.015012889999</v>
      </c>
      <c r="J4">
        <f t="shared" ref="J4:J18" si="3">$H$23+$H$22*B4</f>
        <v>280.83687186660245</v>
      </c>
      <c r="K4">
        <f t="shared" ref="K4:K18" si="4">C4-J4</f>
        <v>-25.32687186660246</v>
      </c>
      <c r="L4">
        <f t="shared" ref="L4:L18" si="5">K4^2</f>
        <v>641.4504385472992</v>
      </c>
    </row>
    <row r="5" spans="1:17" x14ac:dyDescent="0.35">
      <c r="A5" s="18" t="s">
        <v>3</v>
      </c>
      <c r="B5" s="30">
        <v>94.534800000000004</v>
      </c>
      <c r="C5" s="30">
        <v>232.66</v>
      </c>
      <c r="E5">
        <f t="shared" si="0"/>
        <v>94.534800000000004</v>
      </c>
      <c r="F5">
        <f t="shared" si="0"/>
        <v>232.66</v>
      </c>
      <c r="G5">
        <f t="shared" si="1"/>
        <v>21994.466568</v>
      </c>
      <c r="H5">
        <f t="shared" si="2"/>
        <v>8936.82841104</v>
      </c>
      <c r="J5">
        <f t="shared" si="3"/>
        <v>195.97114349864432</v>
      </c>
      <c r="K5">
        <f t="shared" si="4"/>
        <v>36.688856501355673</v>
      </c>
      <c r="L5">
        <f t="shared" si="5"/>
        <v>1346.0721913770685</v>
      </c>
    </row>
    <row r="6" spans="1:17" x14ac:dyDescent="0.35">
      <c r="A6" s="18" t="s">
        <v>4</v>
      </c>
      <c r="B6" s="30">
        <v>77.325100000000006</v>
      </c>
      <c r="C6" s="30">
        <v>165.16</v>
      </c>
      <c r="E6">
        <f t="shared" si="0"/>
        <v>77.325100000000006</v>
      </c>
      <c r="F6">
        <f t="shared" si="0"/>
        <v>165.16</v>
      </c>
      <c r="G6">
        <f t="shared" si="1"/>
        <v>12771.013516000001</v>
      </c>
      <c r="H6">
        <f t="shared" si="2"/>
        <v>5979.1710900100006</v>
      </c>
      <c r="J6">
        <f t="shared" si="3"/>
        <v>160.29534381145382</v>
      </c>
      <c r="K6">
        <f t="shared" si="4"/>
        <v>4.8646561885461779</v>
      </c>
      <c r="L6">
        <f t="shared" si="5"/>
        <v>23.664879832760626</v>
      </c>
    </row>
    <row r="7" spans="1:17" x14ac:dyDescent="0.35">
      <c r="A7" s="18" t="s">
        <v>5</v>
      </c>
      <c r="B7" s="30">
        <v>130.2944</v>
      </c>
      <c r="C7" s="30">
        <v>296.19</v>
      </c>
      <c r="E7">
        <f t="shared" si="0"/>
        <v>130.2944</v>
      </c>
      <c r="F7">
        <f t="shared" si="0"/>
        <v>296.19</v>
      </c>
      <c r="G7">
        <f t="shared" si="1"/>
        <v>38591.898335999998</v>
      </c>
      <c r="H7">
        <f t="shared" si="2"/>
        <v>16976.630671359999</v>
      </c>
      <c r="J7">
        <f t="shared" si="3"/>
        <v>270.10098460534914</v>
      </c>
      <c r="K7">
        <f t="shared" si="4"/>
        <v>26.089015394650858</v>
      </c>
      <c r="L7">
        <f t="shared" si="5"/>
        <v>680.63672426232949</v>
      </c>
    </row>
    <row r="8" spans="1:17" x14ac:dyDescent="0.35">
      <c r="A8" s="18" t="s">
        <v>6</v>
      </c>
      <c r="B8" s="30">
        <v>9.1021999999999998</v>
      </c>
      <c r="C8" s="30">
        <v>35.770000000000003</v>
      </c>
      <c r="E8">
        <f t="shared" si="0"/>
        <v>9.1021999999999998</v>
      </c>
      <c r="F8">
        <f t="shared" si="0"/>
        <v>35.770000000000003</v>
      </c>
      <c r="G8">
        <f t="shared" si="1"/>
        <v>325.58569400000005</v>
      </c>
      <c r="H8">
        <f t="shared" si="2"/>
        <v>82.850044839999995</v>
      </c>
      <c r="J8">
        <f t="shared" si="3"/>
        <v>18.868909040410095</v>
      </c>
      <c r="K8">
        <f t="shared" si="4"/>
        <v>16.901090959589908</v>
      </c>
      <c r="L8">
        <f t="shared" si="5"/>
        <v>285.6468756243317</v>
      </c>
      <c r="Q8">
        <v>218.24</v>
      </c>
    </row>
    <row r="9" spans="1:17" x14ac:dyDescent="0.35">
      <c r="A9" s="18" t="s">
        <v>7</v>
      </c>
      <c r="B9" s="30">
        <v>131.50489999999999</v>
      </c>
      <c r="C9" s="30">
        <v>233.45</v>
      </c>
      <c r="E9">
        <f t="shared" si="0"/>
        <v>131.50489999999999</v>
      </c>
      <c r="F9">
        <f t="shared" si="0"/>
        <v>233.45</v>
      </c>
      <c r="G9">
        <f t="shared" si="1"/>
        <v>30699.818904999996</v>
      </c>
      <c r="H9">
        <f t="shared" si="2"/>
        <v>17293.538724009999</v>
      </c>
      <c r="J9">
        <f t="shared" si="3"/>
        <v>272.61035754743091</v>
      </c>
      <c r="K9">
        <f t="shared" si="4"/>
        <v>-39.16035754743092</v>
      </c>
      <c r="L9">
        <f t="shared" si="5"/>
        <v>1533.5336032426299</v>
      </c>
      <c r="Q9">
        <v>255.51</v>
      </c>
    </row>
    <row r="10" spans="1:17" x14ac:dyDescent="0.35">
      <c r="A10" s="18" t="s">
        <v>8</v>
      </c>
      <c r="B10" s="30">
        <v>86.190799999999996</v>
      </c>
      <c r="C10" s="30">
        <v>114.7</v>
      </c>
      <c r="E10">
        <f t="shared" si="0"/>
        <v>86.190799999999996</v>
      </c>
      <c r="F10">
        <f t="shared" si="0"/>
        <v>114.7</v>
      </c>
      <c r="G10">
        <f t="shared" si="1"/>
        <v>9886.0847599999997</v>
      </c>
      <c r="H10">
        <f t="shared" si="2"/>
        <v>7428.8540046399994</v>
      </c>
      <c r="J10">
        <f t="shared" si="3"/>
        <v>178.67398709324982</v>
      </c>
      <c r="K10">
        <f t="shared" si="4"/>
        <v>-63.973987093249818</v>
      </c>
      <c r="L10">
        <f t="shared" si="5"/>
        <v>4092.6710246072944</v>
      </c>
      <c r="Q10">
        <v>232.66</v>
      </c>
    </row>
    <row r="11" spans="1:17" x14ac:dyDescent="0.35">
      <c r="A11" s="18" t="s">
        <v>9</v>
      </c>
      <c r="B11" s="30">
        <v>85.792000000000002</v>
      </c>
      <c r="C11" s="30">
        <v>112.39</v>
      </c>
      <c r="E11">
        <f t="shared" si="0"/>
        <v>85.792000000000002</v>
      </c>
      <c r="F11">
        <f t="shared" si="0"/>
        <v>112.39</v>
      </c>
      <c r="G11">
        <f t="shared" si="1"/>
        <v>9642.1628799999999</v>
      </c>
      <c r="H11">
        <f t="shared" si="2"/>
        <v>7360.2672640000001</v>
      </c>
      <c r="J11">
        <f t="shared" si="3"/>
        <v>177.84727257090188</v>
      </c>
      <c r="K11">
        <f t="shared" si="4"/>
        <v>-65.457272570901878</v>
      </c>
      <c r="L11">
        <f t="shared" si="5"/>
        <v>4284.654532421343</v>
      </c>
      <c r="Q11">
        <v>165.16</v>
      </c>
    </row>
    <row r="12" spans="1:17" x14ac:dyDescent="0.35">
      <c r="A12" s="18" t="s">
        <v>10</v>
      </c>
      <c r="B12" s="30">
        <v>54.033900000000003</v>
      </c>
      <c r="C12" s="30">
        <v>161.13999999999999</v>
      </c>
      <c r="E12">
        <f t="shared" si="0"/>
        <v>54.033900000000003</v>
      </c>
      <c r="F12">
        <f t="shared" si="0"/>
        <v>161.13999999999999</v>
      </c>
      <c r="G12">
        <f t="shared" si="1"/>
        <v>8707.0226459999994</v>
      </c>
      <c r="H12">
        <f t="shared" si="2"/>
        <v>2919.6623492100002</v>
      </c>
      <c r="J12">
        <f t="shared" si="3"/>
        <v>112.01256225952135</v>
      </c>
      <c r="K12">
        <f t="shared" si="4"/>
        <v>49.127437740478641</v>
      </c>
      <c r="L12">
        <f t="shared" si="5"/>
        <v>2413.5051389446053</v>
      </c>
      <c r="Q12">
        <v>296.19</v>
      </c>
    </row>
    <row r="13" spans="1:17" x14ac:dyDescent="0.35">
      <c r="A13" s="18" t="s">
        <v>11</v>
      </c>
      <c r="B13" s="30">
        <v>94.187600000000003</v>
      </c>
      <c r="C13" s="30">
        <v>169.68</v>
      </c>
      <c r="E13">
        <f t="shared" si="0"/>
        <v>94.187600000000003</v>
      </c>
      <c r="F13">
        <f t="shared" si="0"/>
        <v>169.68</v>
      </c>
      <c r="G13">
        <f t="shared" si="1"/>
        <v>15981.751968</v>
      </c>
      <c r="H13">
        <f t="shared" si="2"/>
        <v>8871.3039937600006</v>
      </c>
      <c r="J13">
        <f t="shared" si="3"/>
        <v>195.25139605090308</v>
      </c>
      <c r="K13">
        <f t="shared" si="4"/>
        <v>-25.571396050903076</v>
      </c>
      <c r="L13">
        <f t="shared" si="5"/>
        <v>653.8962959921414</v>
      </c>
      <c r="Q13">
        <v>35.770000000000003</v>
      </c>
    </row>
    <row r="14" spans="1:17" x14ac:dyDescent="0.35">
      <c r="A14" s="18" t="s">
        <v>12</v>
      </c>
      <c r="B14" s="30">
        <v>190.8656</v>
      </c>
      <c r="C14" s="30">
        <v>416.01</v>
      </c>
      <c r="E14">
        <f t="shared" si="0"/>
        <v>190.8656</v>
      </c>
      <c r="F14">
        <f t="shared" si="0"/>
        <v>416.01</v>
      </c>
      <c r="G14">
        <f t="shared" si="1"/>
        <v>79401.998255999992</v>
      </c>
      <c r="H14">
        <f t="shared" si="2"/>
        <v>36429.677263359998</v>
      </c>
      <c r="J14">
        <f t="shared" si="3"/>
        <v>395.66540455530503</v>
      </c>
      <c r="K14">
        <f t="shared" si="4"/>
        <v>20.34459544469496</v>
      </c>
      <c r="L14">
        <f t="shared" si="5"/>
        <v>413.90256380830294</v>
      </c>
      <c r="Q14">
        <v>233.45</v>
      </c>
    </row>
    <row r="15" spans="1:17" x14ac:dyDescent="0.35">
      <c r="A15" s="18" t="s">
        <v>13</v>
      </c>
      <c r="B15" s="30">
        <v>118.5314</v>
      </c>
      <c r="C15" s="30">
        <v>263.72000000000003</v>
      </c>
      <c r="E15">
        <f t="shared" si="0"/>
        <v>118.5314</v>
      </c>
      <c r="F15">
        <f t="shared" si="0"/>
        <v>263.72000000000003</v>
      </c>
      <c r="G15">
        <f t="shared" si="1"/>
        <v>31259.100808000003</v>
      </c>
      <c r="H15">
        <f t="shared" si="2"/>
        <v>14049.692785960002</v>
      </c>
      <c r="J15">
        <f t="shared" si="3"/>
        <v>245.71622300459947</v>
      </c>
      <c r="K15">
        <f t="shared" si="4"/>
        <v>18.003776995400557</v>
      </c>
      <c r="L15">
        <f t="shared" si="5"/>
        <v>324.13598610011428</v>
      </c>
      <c r="Q15">
        <v>114.7</v>
      </c>
    </row>
    <row r="16" spans="1:17" x14ac:dyDescent="0.35">
      <c r="A16" s="18" t="s">
        <v>14</v>
      </c>
      <c r="B16" s="30">
        <v>126.0108</v>
      </c>
      <c r="C16" s="30">
        <v>244.73</v>
      </c>
      <c r="E16">
        <f t="shared" si="0"/>
        <v>126.0108</v>
      </c>
      <c r="F16">
        <f t="shared" si="0"/>
        <v>244.73</v>
      </c>
      <c r="G16">
        <f t="shared" si="1"/>
        <v>30838.623083999999</v>
      </c>
      <c r="H16">
        <f t="shared" si="2"/>
        <v>15878.721716640001</v>
      </c>
      <c r="J16">
        <f t="shared" si="3"/>
        <v>261.2210590087351</v>
      </c>
      <c r="K16">
        <f t="shared" si="4"/>
        <v>-16.491059008735107</v>
      </c>
      <c r="L16">
        <f t="shared" si="5"/>
        <v>271.95502722958332</v>
      </c>
      <c r="Q16">
        <v>112.39</v>
      </c>
    </row>
    <row r="17" spans="1:17" x14ac:dyDescent="0.35">
      <c r="A17" s="18" t="s">
        <v>15</v>
      </c>
      <c r="B17" s="30">
        <v>62.473399999999998</v>
      </c>
      <c r="C17" s="30">
        <v>150.62</v>
      </c>
      <c r="E17">
        <f t="shared" si="0"/>
        <v>62.473399999999998</v>
      </c>
      <c r="F17">
        <f t="shared" si="0"/>
        <v>150.62</v>
      </c>
      <c r="G17">
        <f t="shared" si="1"/>
        <v>9409.7435079999996</v>
      </c>
      <c r="H17">
        <f t="shared" si="2"/>
        <v>3902.9257075599999</v>
      </c>
      <c r="J17">
        <f t="shared" si="3"/>
        <v>129.5076906731511</v>
      </c>
      <c r="K17">
        <f t="shared" si="4"/>
        <v>21.112309326848901</v>
      </c>
      <c r="L17">
        <f t="shared" si="5"/>
        <v>445.7296051125511</v>
      </c>
      <c r="Q17">
        <v>161.13999999999999</v>
      </c>
    </row>
    <row r="18" spans="1:17" x14ac:dyDescent="0.35">
      <c r="A18" s="18" t="s">
        <v>16</v>
      </c>
      <c r="B18" s="30">
        <v>140.845</v>
      </c>
      <c r="C18" s="30">
        <v>385.98</v>
      </c>
      <c r="E18">
        <f t="shared" si="0"/>
        <v>140.845</v>
      </c>
      <c r="F18">
        <f t="shared" si="0"/>
        <v>385.98</v>
      </c>
      <c r="G18">
        <f t="shared" si="1"/>
        <v>54363.3531</v>
      </c>
      <c r="H18">
        <f t="shared" si="2"/>
        <v>19837.314025</v>
      </c>
      <c r="J18">
        <f t="shared" si="3"/>
        <v>291.97243455390566</v>
      </c>
      <c r="K18">
        <f t="shared" si="4"/>
        <v>94.007565446094361</v>
      </c>
      <c r="L18">
        <f t="shared" si="5"/>
        <v>8837.4223611017151</v>
      </c>
      <c r="Q18">
        <v>169.68</v>
      </c>
    </row>
    <row r="19" spans="1:17" x14ac:dyDescent="0.35">
      <c r="Q19">
        <v>416.01</v>
      </c>
    </row>
    <row r="20" spans="1:17" x14ac:dyDescent="0.35">
      <c r="A20" s="31" t="s">
        <v>54</v>
      </c>
      <c r="B20">
        <v>0</v>
      </c>
      <c r="C20">
        <v>0</v>
      </c>
      <c r="G20">
        <f>SUM(G3:G19)</f>
        <v>416700.688448</v>
      </c>
      <c r="H20">
        <f>SUM(H3:H19)</f>
        <v>201012.84066123998</v>
      </c>
      <c r="L20">
        <f>SUM(L3:L19)</f>
        <v>28724.005934824756</v>
      </c>
      <c r="Q20">
        <v>263.72000000000003</v>
      </c>
    </row>
    <row r="21" spans="1:17" x14ac:dyDescent="0.35">
      <c r="Q21">
        <v>244.73</v>
      </c>
    </row>
    <row r="22" spans="1:17" x14ac:dyDescent="0.35">
      <c r="G22" s="65" t="s">
        <v>60</v>
      </c>
      <c r="H22">
        <f>G20/H20</f>
        <v>2.073005321835391</v>
      </c>
      <c r="K22" t="s">
        <v>64</v>
      </c>
      <c r="L22">
        <f>L20/(COUNT(L3:L18)-IF(AND(B20=0,C20=0),1,2))</f>
        <v>1914.9337289883172</v>
      </c>
      <c r="Q22">
        <v>150.62</v>
      </c>
    </row>
    <row r="23" spans="1:17" x14ac:dyDescent="0.35">
      <c r="G23" s="65" t="s">
        <v>61</v>
      </c>
      <c r="H23">
        <f>C20-H22*B20</f>
        <v>0</v>
      </c>
      <c r="K23" t="s">
        <v>65</v>
      </c>
      <c r="L23">
        <f>SQRT(L22)</f>
        <v>43.759955769953848</v>
      </c>
      <c r="Q23">
        <v>385.98</v>
      </c>
    </row>
    <row r="29" spans="1:17" x14ac:dyDescent="0.35">
      <c r="A29" t="s">
        <v>66</v>
      </c>
      <c r="B29">
        <f>COUNT(B3:B18)</f>
        <v>16</v>
      </c>
    </row>
    <row r="30" spans="1:17" x14ac:dyDescent="0.35">
      <c r="B30">
        <v>131.5</v>
      </c>
      <c r="J30">
        <v>6.28</v>
      </c>
      <c r="K30">
        <v>7.76</v>
      </c>
      <c r="L30">
        <f>K30/J30</f>
        <v>1.2356687898089171</v>
      </c>
      <c r="M30">
        <v>502</v>
      </c>
      <c r="N30">
        <f>L30*M30</f>
        <v>620.30573248407643</v>
      </c>
    </row>
    <row r="32" spans="1:17" x14ac:dyDescent="0.35">
      <c r="A32" t="s">
        <v>67</v>
      </c>
      <c r="B32">
        <f>L22</f>
        <v>1914.9337289883172</v>
      </c>
    </row>
    <row r="33" spans="1:2" x14ac:dyDescent="0.35">
      <c r="A33" t="s">
        <v>68</v>
      </c>
      <c r="B33">
        <f>IF(AND(B20=0,C20=0),0,L22/B29)</f>
        <v>0</v>
      </c>
    </row>
    <row r="34" spans="1:2" x14ac:dyDescent="0.35">
      <c r="A34" t="s">
        <v>69</v>
      </c>
      <c r="B34">
        <f>(B30-B20)^2/H20*L22</f>
        <v>164.73332084741438</v>
      </c>
    </row>
    <row r="36" spans="1:2" x14ac:dyDescent="0.35">
      <c r="B36">
        <f>SUM(B32:B35)</f>
        <v>2079.6670498357316</v>
      </c>
    </row>
    <row r="37" spans="1:2" x14ac:dyDescent="0.35">
      <c r="A37" t="s">
        <v>70</v>
      </c>
      <c r="B37">
        <f>SQRT(B36)</f>
        <v>45.603366650234626</v>
      </c>
    </row>
  </sheetData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C0886-F544-4757-8B54-147D747FB697}">
  <dimension ref="A1:K18"/>
  <sheetViews>
    <sheetView zoomScaleNormal="100" workbookViewId="0">
      <selection activeCell="J8" sqref="J8"/>
    </sheetView>
  </sheetViews>
  <sheetFormatPr defaultRowHeight="14.5" x14ac:dyDescent="0.35"/>
  <cols>
    <col min="1" max="3" width="8.6328125" customWidth="1"/>
  </cols>
  <sheetData>
    <row r="1" spans="1:11" x14ac:dyDescent="0.35">
      <c r="A1" s="95" t="s">
        <v>24</v>
      </c>
      <c r="B1" s="95"/>
      <c r="C1" s="95"/>
    </row>
    <row r="2" spans="1:11" x14ac:dyDescent="0.35">
      <c r="A2" s="2" t="s">
        <v>0</v>
      </c>
      <c r="B2" s="37" t="s">
        <v>28</v>
      </c>
      <c r="C2" s="37" t="s">
        <v>27</v>
      </c>
    </row>
    <row r="3" spans="1:11" x14ac:dyDescent="0.35">
      <c r="A3" s="18" t="s">
        <v>1</v>
      </c>
      <c r="B3" s="30">
        <v>129.28</v>
      </c>
      <c r="C3" s="30">
        <v>238.4</v>
      </c>
      <c r="E3">
        <v>1</v>
      </c>
      <c r="F3">
        <f>SUM(B3:B6)</f>
        <v>436.60999999999996</v>
      </c>
      <c r="G3">
        <f>SUM(C3:C6)</f>
        <v>872.38</v>
      </c>
      <c r="I3">
        <v>1</v>
      </c>
      <c r="J3">
        <f>SUM(B3:B6)</f>
        <v>436.60999999999996</v>
      </c>
      <c r="K3">
        <f>SUM(C3:C6)</f>
        <v>872.38</v>
      </c>
    </row>
    <row r="4" spans="1:11" x14ac:dyDescent="0.35">
      <c r="A4" s="18" t="s">
        <v>2</v>
      </c>
      <c r="B4" s="30">
        <v>135.47</v>
      </c>
      <c r="C4" s="30">
        <v>263.22000000000003</v>
      </c>
      <c r="I4">
        <v>2</v>
      </c>
      <c r="J4">
        <f>SUM(B7:B10)</f>
        <v>357.08</v>
      </c>
      <c r="K4">
        <f>SUM(C7:C10)</f>
        <v>697.12</v>
      </c>
    </row>
    <row r="5" spans="1:11" x14ac:dyDescent="0.35">
      <c r="A5" s="18" t="s">
        <v>3</v>
      </c>
      <c r="B5" s="30">
        <v>94.53</v>
      </c>
      <c r="C5" s="30">
        <v>210.85</v>
      </c>
      <c r="I5">
        <v>3</v>
      </c>
      <c r="J5">
        <f>SUM(B11:B14)</f>
        <v>424.88</v>
      </c>
      <c r="K5">
        <f>SUM(C11:C14)</f>
        <v>854.49</v>
      </c>
    </row>
    <row r="6" spans="1:11" x14ac:dyDescent="0.35">
      <c r="A6" s="18" t="s">
        <v>4</v>
      </c>
      <c r="B6" s="30">
        <v>77.33</v>
      </c>
      <c r="C6" s="30">
        <v>159.91</v>
      </c>
      <c r="I6">
        <v>4</v>
      </c>
      <c r="J6">
        <f>SUM(B15:B18)</f>
        <v>447.85</v>
      </c>
      <c r="K6">
        <f>SUM(C15:C18)</f>
        <v>970.3599999999999</v>
      </c>
    </row>
    <row r="7" spans="1:11" x14ac:dyDescent="0.35">
      <c r="A7" s="18" t="s">
        <v>5</v>
      </c>
      <c r="B7" s="30">
        <v>130.29</v>
      </c>
      <c r="C7" s="30">
        <v>278.38</v>
      </c>
      <c r="E7">
        <v>2</v>
      </c>
      <c r="F7">
        <f>SUM(B7:B10)</f>
        <v>357.08</v>
      </c>
      <c r="G7">
        <f>SUM(C7:C10)</f>
        <v>697.12</v>
      </c>
      <c r="J7">
        <v>77.3</v>
      </c>
    </row>
    <row r="8" spans="1:11" x14ac:dyDescent="0.35">
      <c r="A8" s="18" t="s">
        <v>6</v>
      </c>
      <c r="B8" s="30">
        <v>9.1</v>
      </c>
      <c r="C8" s="30">
        <v>26.98</v>
      </c>
    </row>
    <row r="9" spans="1:11" x14ac:dyDescent="0.35">
      <c r="A9" s="18" t="s">
        <v>7</v>
      </c>
      <c r="B9" s="30">
        <v>131.5</v>
      </c>
      <c r="C9" s="30">
        <v>248.22</v>
      </c>
    </row>
    <row r="10" spans="1:11" x14ac:dyDescent="0.35">
      <c r="A10" s="18" t="s">
        <v>8</v>
      </c>
      <c r="B10" s="30">
        <v>86.19</v>
      </c>
      <c r="C10" s="30">
        <v>143.54</v>
      </c>
    </row>
    <row r="11" spans="1:11" x14ac:dyDescent="0.35">
      <c r="A11" s="18" t="s">
        <v>9</v>
      </c>
      <c r="B11" s="30">
        <v>85.79</v>
      </c>
      <c r="C11" s="30">
        <v>141.97999999999999</v>
      </c>
      <c r="E11">
        <v>3</v>
      </c>
      <c r="F11">
        <f>SUM(B11:B14)</f>
        <v>424.88</v>
      </c>
      <c r="G11">
        <f>SUM(C11:C14)</f>
        <v>854.49</v>
      </c>
    </row>
    <row r="12" spans="1:11" x14ac:dyDescent="0.35">
      <c r="A12" s="18" t="s">
        <v>10</v>
      </c>
      <c r="B12" s="30">
        <v>54.03</v>
      </c>
      <c r="C12" s="30">
        <v>134.6</v>
      </c>
    </row>
    <row r="13" spans="1:11" x14ac:dyDescent="0.35">
      <c r="A13" s="18" t="s">
        <v>11</v>
      </c>
      <c r="B13" s="30">
        <v>94.19</v>
      </c>
      <c r="C13" s="30">
        <v>179.03</v>
      </c>
    </row>
    <row r="14" spans="1:11" x14ac:dyDescent="0.35">
      <c r="A14" s="18" t="s">
        <v>12</v>
      </c>
      <c r="B14" s="30">
        <v>190.87</v>
      </c>
      <c r="C14" s="30">
        <v>398.88</v>
      </c>
    </row>
    <row r="15" spans="1:11" x14ac:dyDescent="0.35">
      <c r="A15" s="18" t="s">
        <v>13</v>
      </c>
      <c r="B15" s="30">
        <v>118.53</v>
      </c>
      <c r="C15" s="30">
        <v>250.39</v>
      </c>
      <c r="E15">
        <v>4</v>
      </c>
      <c r="F15">
        <f>SUM(B15:B18)</f>
        <v>447.85</v>
      </c>
      <c r="G15">
        <f>SUM(C15:C18)</f>
        <v>970.3599999999999</v>
      </c>
    </row>
    <row r="16" spans="1:11" x14ac:dyDescent="0.35">
      <c r="A16" s="18" t="s">
        <v>14</v>
      </c>
      <c r="B16" s="30">
        <v>126.01</v>
      </c>
      <c r="C16" s="30">
        <v>248.38</v>
      </c>
    </row>
    <row r="17" spans="1:3" x14ac:dyDescent="0.35">
      <c r="A17" s="18" t="s">
        <v>15</v>
      </c>
      <c r="B17" s="30">
        <v>62.47</v>
      </c>
      <c r="C17" s="30">
        <v>137.77000000000001</v>
      </c>
    </row>
    <row r="18" spans="1:3" x14ac:dyDescent="0.35">
      <c r="A18" s="18" t="s">
        <v>16</v>
      </c>
      <c r="B18" s="30">
        <v>140.84</v>
      </c>
      <c r="C18" s="30">
        <v>333.82</v>
      </c>
    </row>
  </sheetData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8D94A-5978-4E8A-8012-94A8E776FFE6}">
  <dimension ref="B4:N19"/>
  <sheetViews>
    <sheetView workbookViewId="0">
      <selection activeCell="N17" sqref="N17"/>
    </sheetView>
  </sheetViews>
  <sheetFormatPr defaultRowHeight="14.5" x14ac:dyDescent="0.35"/>
  <cols>
    <col min="6" max="6" width="9.54296875" bestFit="1" customWidth="1"/>
  </cols>
  <sheetData>
    <row r="4" spans="2:10" x14ac:dyDescent="0.35">
      <c r="D4" s="57" t="s">
        <v>75</v>
      </c>
      <c r="E4" s="57" t="s">
        <v>76</v>
      </c>
      <c r="F4" s="57" t="s">
        <v>79</v>
      </c>
      <c r="G4" s="57" t="s">
        <v>80</v>
      </c>
      <c r="H4" s="57" t="s">
        <v>44</v>
      </c>
      <c r="I4" s="57" t="s">
        <v>77</v>
      </c>
      <c r="J4" s="57" t="s">
        <v>78</v>
      </c>
    </row>
    <row r="5" spans="2:10" x14ac:dyDescent="0.35">
      <c r="B5" t="s">
        <v>74</v>
      </c>
      <c r="C5">
        <v>77.3</v>
      </c>
      <c r="D5">
        <v>83</v>
      </c>
      <c r="E5">
        <v>34.5</v>
      </c>
      <c r="F5">
        <v>7.3</v>
      </c>
      <c r="G5">
        <v>33.700000000000003</v>
      </c>
    </row>
    <row r="6" spans="2:10" x14ac:dyDescent="0.35">
      <c r="C6">
        <v>131.5</v>
      </c>
      <c r="D6">
        <v>141</v>
      </c>
      <c r="E6">
        <v>45.7</v>
      </c>
      <c r="F6">
        <v>12.4</v>
      </c>
      <c r="G6">
        <v>44</v>
      </c>
    </row>
    <row r="7" spans="2:10" x14ac:dyDescent="0.35">
      <c r="C7" t="s">
        <v>35</v>
      </c>
      <c r="D7">
        <v>224.25</v>
      </c>
      <c r="E7">
        <v>58.82</v>
      </c>
      <c r="F7">
        <v>19.600000000000001</v>
      </c>
      <c r="G7">
        <v>55.4</v>
      </c>
      <c r="H7">
        <v>2.0739999999999998</v>
      </c>
      <c r="I7">
        <v>9.4E-2</v>
      </c>
      <c r="J7">
        <v>3.8</v>
      </c>
    </row>
    <row r="9" spans="2:10" x14ac:dyDescent="0.35">
      <c r="B9" t="s">
        <v>81</v>
      </c>
      <c r="C9">
        <v>77.3</v>
      </c>
      <c r="D9">
        <v>83</v>
      </c>
      <c r="E9">
        <v>41.1</v>
      </c>
      <c r="F9">
        <v>23.3</v>
      </c>
    </row>
    <row r="10" spans="2:10" x14ac:dyDescent="0.35">
      <c r="C10">
        <v>131.5</v>
      </c>
      <c r="D10">
        <v>141</v>
      </c>
      <c r="E10">
        <v>54.4</v>
      </c>
    </row>
    <row r="11" spans="2:10" x14ac:dyDescent="0.35">
      <c r="C11" t="s">
        <v>35</v>
      </c>
      <c r="D11">
        <v>224.26</v>
      </c>
      <c r="E11">
        <v>70</v>
      </c>
      <c r="F11">
        <v>23.3</v>
      </c>
      <c r="G11">
        <v>66</v>
      </c>
      <c r="H11">
        <v>2.0739999999999998</v>
      </c>
      <c r="I11">
        <v>0.112</v>
      </c>
      <c r="J11">
        <v>4.5999999999999996</v>
      </c>
    </row>
    <row r="15" spans="2:10" x14ac:dyDescent="0.35">
      <c r="C15" s="57" t="s">
        <v>82</v>
      </c>
      <c r="D15" s="57" t="s">
        <v>75</v>
      </c>
      <c r="E15" s="57" t="s">
        <v>76</v>
      </c>
      <c r="F15" s="57" t="s">
        <v>79</v>
      </c>
      <c r="G15" s="57" t="s">
        <v>80</v>
      </c>
      <c r="H15" s="57" t="s">
        <v>44</v>
      </c>
      <c r="I15" s="57" t="s">
        <v>77</v>
      </c>
      <c r="J15" s="57" t="s">
        <v>78</v>
      </c>
    </row>
    <row r="16" spans="2:10" x14ac:dyDescent="0.35">
      <c r="B16" t="s">
        <v>74</v>
      </c>
      <c r="C16">
        <v>1</v>
      </c>
      <c r="D16">
        <v>224.25</v>
      </c>
      <c r="E16" s="36">
        <v>58.82</v>
      </c>
      <c r="F16" s="36">
        <v>19.600000000000001</v>
      </c>
      <c r="G16" s="36">
        <v>55.4</v>
      </c>
      <c r="H16">
        <v>2.0739999999999998</v>
      </c>
      <c r="I16">
        <v>9.4E-2</v>
      </c>
      <c r="J16">
        <v>3.8</v>
      </c>
    </row>
    <row r="17" spans="2:14" x14ac:dyDescent="0.35">
      <c r="B17" t="s">
        <v>81</v>
      </c>
      <c r="C17">
        <v>16</v>
      </c>
      <c r="D17">
        <v>224.26</v>
      </c>
      <c r="E17" s="36">
        <v>70</v>
      </c>
      <c r="F17" s="36">
        <v>23.3</v>
      </c>
      <c r="G17" s="36">
        <v>66</v>
      </c>
      <c r="H17">
        <v>2.0739999999999998</v>
      </c>
      <c r="I17">
        <v>0.112</v>
      </c>
      <c r="J17">
        <v>4.5999999999999996</v>
      </c>
      <c r="N17">
        <f>SQRT(J17^2/15)</f>
        <v>1.1877148928369412</v>
      </c>
    </row>
    <row r="18" spans="2:14" x14ac:dyDescent="0.35">
      <c r="C18">
        <v>160</v>
      </c>
      <c r="D18">
        <v>224.26</v>
      </c>
      <c r="E18" s="36">
        <v>55.6</v>
      </c>
      <c r="F18" s="36">
        <v>6.1</v>
      </c>
      <c r="G18" s="36">
        <v>55.3</v>
      </c>
      <c r="H18">
        <v>2.024</v>
      </c>
      <c r="I18">
        <v>2.9000000000000001E-2</v>
      </c>
      <c r="J18">
        <v>3.8</v>
      </c>
    </row>
    <row r="19" spans="2:14" x14ac:dyDescent="0.35">
      <c r="C19">
        <v>1600</v>
      </c>
      <c r="D19">
        <v>203.85</v>
      </c>
      <c r="E19" s="36">
        <v>56.1</v>
      </c>
      <c r="F19" s="36">
        <v>2</v>
      </c>
      <c r="G19" s="36">
        <v>56</v>
      </c>
      <c r="H19" s="34">
        <v>1.988</v>
      </c>
      <c r="I19" s="34">
        <v>0.01</v>
      </c>
      <c r="J19" s="36">
        <v>3.9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091D1-C870-44F5-B7A0-FE6381A248F3}">
  <dimension ref="A1:I43"/>
  <sheetViews>
    <sheetView workbookViewId="0"/>
  </sheetViews>
  <sheetFormatPr defaultRowHeight="14.5" x14ac:dyDescent="0.35"/>
  <cols>
    <col min="1" max="1" width="2.81640625" style="57" bestFit="1" customWidth="1"/>
  </cols>
  <sheetData>
    <row r="1" spans="1:9" x14ac:dyDescent="0.35">
      <c r="A1" s="68" t="s">
        <v>0</v>
      </c>
      <c r="B1" s="37" t="s">
        <v>28</v>
      </c>
      <c r="C1" s="37" t="s">
        <v>27</v>
      </c>
      <c r="D1" s="37" t="s">
        <v>29</v>
      </c>
    </row>
    <row r="2" spans="1:9" ht="14.5" customHeight="1" x14ac:dyDescent="0.35">
      <c r="A2" s="69" t="s">
        <v>1</v>
      </c>
      <c r="B2" s="32">
        <v>129.28</v>
      </c>
      <c r="C2" s="32">
        <v>218.24</v>
      </c>
      <c r="D2" s="32">
        <v>330.88</v>
      </c>
      <c r="G2">
        <v>129.28</v>
      </c>
      <c r="H2">
        <v>218.24</v>
      </c>
      <c r="I2">
        <v>330.88</v>
      </c>
    </row>
    <row r="3" spans="1:9" ht="14.5" customHeight="1" x14ac:dyDescent="0.35">
      <c r="A3" s="69" t="s">
        <v>2</v>
      </c>
      <c r="B3" s="32">
        <v>135.47</v>
      </c>
      <c r="C3" s="32">
        <v>255.51</v>
      </c>
      <c r="D3" s="32">
        <v>359.34</v>
      </c>
      <c r="G3">
        <v>135.47</v>
      </c>
      <c r="H3">
        <v>255.51</v>
      </c>
      <c r="I3">
        <v>359.34</v>
      </c>
    </row>
    <row r="4" spans="1:9" ht="14.5" customHeight="1" x14ac:dyDescent="0.35">
      <c r="A4" s="69" t="s">
        <v>3</v>
      </c>
      <c r="B4" s="32">
        <v>94.53</v>
      </c>
      <c r="C4" s="32">
        <v>232.66</v>
      </c>
      <c r="D4" s="32">
        <v>267.56</v>
      </c>
      <c r="G4">
        <v>94.53</v>
      </c>
      <c r="H4">
        <v>232.66</v>
      </c>
      <c r="I4">
        <v>267.56</v>
      </c>
    </row>
    <row r="5" spans="1:9" ht="14.5" customHeight="1" x14ac:dyDescent="0.35">
      <c r="A5" s="69" t="s">
        <v>4</v>
      </c>
      <c r="B5" s="32">
        <v>77.33</v>
      </c>
      <c r="C5" s="32">
        <v>165.16</v>
      </c>
      <c r="D5" s="32">
        <v>200.61</v>
      </c>
      <c r="G5">
        <v>77.33</v>
      </c>
      <c r="H5">
        <v>165.16</v>
      </c>
      <c r="I5">
        <v>200.61</v>
      </c>
    </row>
    <row r="6" spans="1:9" ht="14.5" customHeight="1" x14ac:dyDescent="0.35">
      <c r="A6" s="69" t="s">
        <v>5</v>
      </c>
      <c r="B6" s="32">
        <v>130.29</v>
      </c>
      <c r="C6" s="32">
        <v>296.19</v>
      </c>
      <c r="D6" s="32">
        <v>309.08</v>
      </c>
      <c r="G6">
        <v>130.29</v>
      </c>
      <c r="H6">
        <v>296.19</v>
      </c>
      <c r="I6">
        <v>309.08</v>
      </c>
    </row>
    <row r="7" spans="1:9" ht="14.5" customHeight="1" x14ac:dyDescent="0.35">
      <c r="A7" s="69" t="s">
        <v>6</v>
      </c>
      <c r="B7" s="32">
        <v>9.1</v>
      </c>
      <c r="C7" s="32">
        <v>35.770000000000003</v>
      </c>
      <c r="D7" s="32">
        <v>9.5299999999999994</v>
      </c>
      <c r="G7">
        <v>9.1</v>
      </c>
      <c r="H7">
        <v>35.770000000000003</v>
      </c>
      <c r="I7">
        <v>9.5299999999999994</v>
      </c>
    </row>
    <row r="8" spans="1:9" ht="14.5" customHeight="1" x14ac:dyDescent="0.35">
      <c r="A8" s="69" t="s">
        <v>7</v>
      </c>
      <c r="B8" s="32">
        <v>131.5</v>
      </c>
      <c r="C8" s="32">
        <v>233.45</v>
      </c>
      <c r="D8" s="32">
        <v>337.82</v>
      </c>
      <c r="G8">
        <v>131.5</v>
      </c>
      <c r="H8">
        <v>233.45</v>
      </c>
      <c r="I8">
        <v>337.82</v>
      </c>
    </row>
    <row r="9" spans="1:9" ht="14.5" customHeight="1" x14ac:dyDescent="0.35">
      <c r="A9" s="69" t="s">
        <v>8</v>
      </c>
      <c r="B9" s="32">
        <v>86.19</v>
      </c>
      <c r="C9" s="32">
        <v>114.7</v>
      </c>
      <c r="D9" s="32">
        <v>127</v>
      </c>
      <c r="G9">
        <v>86.19</v>
      </c>
      <c r="H9">
        <v>114.7</v>
      </c>
      <c r="I9">
        <v>127</v>
      </c>
    </row>
    <row r="10" spans="1:9" ht="14.5" customHeight="1" x14ac:dyDescent="0.35">
      <c r="A10" s="69" t="s">
        <v>9</v>
      </c>
      <c r="B10" s="32">
        <v>85.79</v>
      </c>
      <c r="C10" s="32">
        <v>112.39</v>
      </c>
      <c r="D10" s="32">
        <v>159.52000000000001</v>
      </c>
      <c r="G10">
        <v>85.79</v>
      </c>
      <c r="H10">
        <v>112.39</v>
      </c>
      <c r="I10">
        <v>159.52000000000001</v>
      </c>
    </row>
    <row r="11" spans="1:9" ht="14.5" customHeight="1" x14ac:dyDescent="0.35">
      <c r="A11" s="69" t="s">
        <v>10</v>
      </c>
      <c r="B11" s="32">
        <v>54.03</v>
      </c>
      <c r="C11" s="32">
        <v>161.13999999999999</v>
      </c>
      <c r="D11" s="32">
        <v>86.6</v>
      </c>
      <c r="G11">
        <v>54.03</v>
      </c>
      <c r="H11">
        <v>161.13999999999999</v>
      </c>
      <c r="I11">
        <v>86.6</v>
      </c>
    </row>
    <row r="12" spans="1:9" ht="14.5" customHeight="1" x14ac:dyDescent="0.35">
      <c r="A12" s="69" t="s">
        <v>11</v>
      </c>
      <c r="B12" s="32">
        <v>94.19</v>
      </c>
      <c r="C12" s="32">
        <v>169.68</v>
      </c>
      <c r="D12" s="32">
        <v>145.21</v>
      </c>
      <c r="G12">
        <v>94.19</v>
      </c>
      <c r="H12">
        <v>169.68</v>
      </c>
      <c r="I12">
        <v>145.21</v>
      </c>
    </row>
    <row r="13" spans="1:9" ht="14.5" customHeight="1" x14ac:dyDescent="0.35">
      <c r="A13" s="69" t="s">
        <v>12</v>
      </c>
      <c r="B13" s="32">
        <v>190.87</v>
      </c>
      <c r="C13" s="32">
        <v>416.01</v>
      </c>
      <c r="D13" s="32">
        <v>514.95000000000005</v>
      </c>
      <c r="G13">
        <v>190.87</v>
      </c>
      <c r="H13">
        <v>416.01</v>
      </c>
      <c r="I13">
        <v>514.95000000000005</v>
      </c>
    </row>
    <row r="14" spans="1:9" ht="14.5" customHeight="1" x14ac:dyDescent="0.35">
      <c r="A14" s="69" t="s">
        <v>13</v>
      </c>
      <c r="B14" s="32">
        <v>118.53</v>
      </c>
      <c r="C14" s="32">
        <v>263.72000000000003</v>
      </c>
      <c r="D14" s="35"/>
      <c r="G14">
        <v>118.53</v>
      </c>
      <c r="H14">
        <v>263.72000000000003</v>
      </c>
      <c r="I14" t="s">
        <v>85</v>
      </c>
    </row>
    <row r="15" spans="1:9" ht="14.5" customHeight="1" x14ac:dyDescent="0.35">
      <c r="A15" s="69" t="s">
        <v>14</v>
      </c>
      <c r="B15" s="32">
        <v>126.01</v>
      </c>
      <c r="C15" s="32">
        <v>244.73</v>
      </c>
      <c r="D15" s="35"/>
      <c r="G15">
        <v>126.01</v>
      </c>
      <c r="H15">
        <v>244.73</v>
      </c>
      <c r="I15" t="s">
        <v>85</v>
      </c>
    </row>
    <row r="16" spans="1:9" ht="14.5" customHeight="1" x14ac:dyDescent="0.35">
      <c r="A16" s="69" t="s">
        <v>15</v>
      </c>
      <c r="B16" s="32">
        <v>62.47</v>
      </c>
      <c r="C16" s="32">
        <v>150.62</v>
      </c>
      <c r="D16" s="35"/>
      <c r="G16">
        <v>62.47</v>
      </c>
      <c r="H16">
        <v>150.62</v>
      </c>
      <c r="I16" t="s">
        <v>85</v>
      </c>
    </row>
    <row r="17" spans="1:9" ht="14.5" customHeight="1" x14ac:dyDescent="0.35">
      <c r="A17" s="69" t="s">
        <v>16</v>
      </c>
      <c r="B17" s="32">
        <v>140.84</v>
      </c>
      <c r="C17" s="32">
        <v>385.98</v>
      </c>
      <c r="D17" s="35"/>
      <c r="G17">
        <v>140.84</v>
      </c>
      <c r="H17">
        <v>385.98</v>
      </c>
      <c r="I17" t="s">
        <v>85</v>
      </c>
    </row>
    <row r="18" spans="1:9" ht="14.5" customHeight="1" x14ac:dyDescent="0.35">
      <c r="A18" s="70" t="s">
        <v>83</v>
      </c>
      <c r="B18" s="67">
        <v>77.33</v>
      </c>
      <c r="C18" s="35"/>
      <c r="D18" s="35"/>
      <c r="G18">
        <v>77.33</v>
      </c>
      <c r="H18" t="s">
        <v>85</v>
      </c>
      <c r="I18" t="s">
        <v>85</v>
      </c>
    </row>
    <row r="19" spans="1:9" ht="14.5" customHeight="1" x14ac:dyDescent="0.35">
      <c r="A19" s="70" t="s">
        <v>84</v>
      </c>
      <c r="B19" s="67">
        <v>131.5</v>
      </c>
      <c r="C19" s="35"/>
      <c r="D19" s="35"/>
      <c r="G19">
        <v>131.5</v>
      </c>
      <c r="H19" t="s">
        <v>85</v>
      </c>
      <c r="I19" t="s">
        <v>85</v>
      </c>
    </row>
    <row r="21" spans="1:9" x14ac:dyDescent="0.35">
      <c r="B21">
        <f>SUM(C2:C17)/SUM(B2:B17)</f>
        <v>2.0738769337862002</v>
      </c>
      <c r="G21">
        <f>SUM(H2:H17)/SUM(G2:G17)</f>
        <v>2.0738769337862002</v>
      </c>
    </row>
    <row r="23" spans="1:9" x14ac:dyDescent="0.35">
      <c r="A23" s="73" t="s">
        <v>0</v>
      </c>
      <c r="B23" s="73" t="s">
        <v>28</v>
      </c>
      <c r="C23" s="73" t="s">
        <v>27</v>
      </c>
      <c r="D23" s="73" t="s">
        <v>29</v>
      </c>
    </row>
    <row r="24" spans="1:9" x14ac:dyDescent="0.35">
      <c r="A24" s="74" t="s">
        <v>1</v>
      </c>
      <c r="B24" s="32">
        <v>129.28</v>
      </c>
      <c r="C24" s="32">
        <v>218.24</v>
      </c>
      <c r="D24" s="32">
        <v>330.88</v>
      </c>
    </row>
    <row r="25" spans="1:9" x14ac:dyDescent="0.35">
      <c r="A25" s="74" t="s">
        <v>2</v>
      </c>
      <c r="B25" s="32">
        <v>135.47</v>
      </c>
      <c r="C25" s="32">
        <v>255.51</v>
      </c>
      <c r="D25" s="32">
        <v>359.34</v>
      </c>
    </row>
    <row r="26" spans="1:9" x14ac:dyDescent="0.35">
      <c r="A26" s="74" t="s">
        <v>3</v>
      </c>
      <c r="B26" s="32">
        <v>94.53</v>
      </c>
      <c r="C26" s="32">
        <v>232.66</v>
      </c>
      <c r="D26" s="32">
        <v>267.56</v>
      </c>
    </row>
    <row r="27" spans="1:9" x14ac:dyDescent="0.35">
      <c r="A27" s="74" t="s">
        <v>4</v>
      </c>
      <c r="B27" s="32">
        <v>77.33</v>
      </c>
      <c r="C27" s="32">
        <v>165.16</v>
      </c>
      <c r="D27" s="32">
        <v>200.61</v>
      </c>
    </row>
    <row r="28" spans="1:9" x14ac:dyDescent="0.35">
      <c r="A28" s="74" t="s">
        <v>5</v>
      </c>
      <c r="B28" s="32">
        <v>130.29</v>
      </c>
      <c r="C28" s="32">
        <v>296.19</v>
      </c>
      <c r="D28" s="32">
        <v>309.08</v>
      </c>
    </row>
    <row r="29" spans="1:9" x14ac:dyDescent="0.35">
      <c r="A29" s="74" t="s">
        <v>6</v>
      </c>
      <c r="B29" s="32">
        <v>9.1</v>
      </c>
      <c r="C29" s="32">
        <v>35.770000000000003</v>
      </c>
      <c r="D29" s="32">
        <v>9.5299999999999994</v>
      </c>
    </row>
    <row r="30" spans="1:9" x14ac:dyDescent="0.35">
      <c r="A30" s="74" t="s">
        <v>7</v>
      </c>
      <c r="B30" s="32">
        <v>131.5</v>
      </c>
      <c r="C30" s="32">
        <v>233.45</v>
      </c>
      <c r="D30" s="32">
        <v>337.82</v>
      </c>
    </row>
    <row r="31" spans="1:9" x14ac:dyDescent="0.35">
      <c r="A31" s="74" t="s">
        <v>8</v>
      </c>
      <c r="B31" s="32">
        <v>86.19</v>
      </c>
      <c r="C31" s="32">
        <v>114.7</v>
      </c>
      <c r="D31" s="32">
        <v>127</v>
      </c>
    </row>
    <row r="32" spans="1:9" x14ac:dyDescent="0.35">
      <c r="A32" s="74" t="s">
        <v>9</v>
      </c>
      <c r="B32" s="32">
        <v>85.79</v>
      </c>
      <c r="C32" s="32">
        <v>112.39</v>
      </c>
      <c r="D32" s="32">
        <v>159.52000000000001</v>
      </c>
    </row>
    <row r="33" spans="1:4" x14ac:dyDescent="0.35">
      <c r="A33" s="74" t="s">
        <v>10</v>
      </c>
      <c r="B33" s="32">
        <v>54.03</v>
      </c>
      <c r="C33" s="32">
        <v>161.13999999999999</v>
      </c>
      <c r="D33" s="32">
        <v>86.6</v>
      </c>
    </row>
    <row r="34" spans="1:4" x14ac:dyDescent="0.35">
      <c r="A34" s="74" t="s">
        <v>11</v>
      </c>
      <c r="B34" s="32">
        <v>94.19</v>
      </c>
      <c r="C34" s="32">
        <v>169.68</v>
      </c>
      <c r="D34" s="32">
        <v>145.21</v>
      </c>
    </row>
    <row r="35" spans="1:4" x14ac:dyDescent="0.35">
      <c r="A35" s="74" t="s">
        <v>12</v>
      </c>
      <c r="B35" s="32">
        <v>190.87</v>
      </c>
      <c r="C35" s="32">
        <v>416.01</v>
      </c>
      <c r="D35" s="32">
        <v>514.95000000000005</v>
      </c>
    </row>
    <row r="36" spans="1:4" x14ac:dyDescent="0.35">
      <c r="A36" s="74" t="s">
        <v>13</v>
      </c>
      <c r="B36" s="32">
        <v>118.53</v>
      </c>
      <c r="C36" s="32">
        <v>263.72000000000003</v>
      </c>
      <c r="D36" s="71">
        <f t="shared" ref="D36:D41" si="0">C36*C$43</f>
        <v>311.45332000000002</v>
      </c>
    </row>
    <row r="37" spans="1:4" x14ac:dyDescent="0.35">
      <c r="A37" s="74" t="s">
        <v>14</v>
      </c>
      <c r="B37" s="32">
        <v>126.01</v>
      </c>
      <c r="C37" s="32">
        <v>244.73</v>
      </c>
      <c r="D37" s="71">
        <f t="shared" si="0"/>
        <v>289.02613000000002</v>
      </c>
    </row>
    <row r="38" spans="1:4" x14ac:dyDescent="0.35">
      <c r="A38" s="74" t="s">
        <v>15</v>
      </c>
      <c r="B38" s="32">
        <v>62.47</v>
      </c>
      <c r="C38" s="32">
        <v>150.62</v>
      </c>
      <c r="D38" s="71">
        <f t="shared" si="0"/>
        <v>177.88222000000002</v>
      </c>
    </row>
    <row r="39" spans="1:4" x14ac:dyDescent="0.35">
      <c r="A39" s="74" t="s">
        <v>16</v>
      </c>
      <c r="B39" s="32">
        <v>140.84</v>
      </c>
      <c r="C39" s="32">
        <v>385.98</v>
      </c>
      <c r="D39" s="71">
        <f t="shared" si="0"/>
        <v>455.84238000000005</v>
      </c>
    </row>
    <row r="40" spans="1:4" x14ac:dyDescent="0.35">
      <c r="A40" s="75" t="s">
        <v>83</v>
      </c>
      <c r="B40" s="67">
        <v>77.33</v>
      </c>
      <c r="C40" s="71">
        <f>B40*B$43</f>
        <v>160.38242</v>
      </c>
      <c r="D40" s="72">
        <f t="shared" si="0"/>
        <v>189.41163802</v>
      </c>
    </row>
    <row r="41" spans="1:4" x14ac:dyDescent="0.35">
      <c r="A41" s="75" t="s">
        <v>84</v>
      </c>
      <c r="B41" s="67">
        <v>131.5</v>
      </c>
      <c r="C41" s="71">
        <f>B41*B$43</f>
        <v>272.73099999999999</v>
      </c>
      <c r="D41" s="72">
        <f t="shared" si="0"/>
        <v>322.09531099999998</v>
      </c>
    </row>
    <row r="42" spans="1:4" x14ac:dyDescent="0.35">
      <c r="A42" s="76"/>
    </row>
    <row r="43" spans="1:4" x14ac:dyDescent="0.35">
      <c r="A43" s="76" t="s">
        <v>44</v>
      </c>
      <c r="B43" s="77">
        <f>ROUND(SUM(C24:C39)/SUM(B24:B39),3)</f>
        <v>2.0739999999999998</v>
      </c>
      <c r="C43" s="77">
        <f>ROUND(SUM(D24:D35)/SUM(C24:C35),3)</f>
        <v>1.181</v>
      </c>
    </row>
  </sheetData>
  <pageMargins left="0.7" right="0.7" top="0.75" bottom="0.75" header="0.3" footer="0.3"/>
  <pageSetup orientation="portrait" horizontalDpi="0" verticalDpi="0" r:id="rId1"/>
  <ignoredErrors>
    <ignoredError sqref="A24:A41" numberStoredAsText="1"/>
    <ignoredError sqref="B43:C43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EF4E-1219-4B27-BAD6-0520E64F7EE0}">
  <dimension ref="A1:I43"/>
  <sheetViews>
    <sheetView tabSelected="1" topLeftCell="A20" zoomScale="120" zoomScaleNormal="120" workbookViewId="0">
      <selection activeCell="C44" sqref="C44"/>
    </sheetView>
  </sheetViews>
  <sheetFormatPr defaultRowHeight="14.5" x14ac:dyDescent="0.35"/>
  <cols>
    <col min="1" max="1" width="2.81640625" style="64" bestFit="1" customWidth="1"/>
  </cols>
  <sheetData>
    <row r="1" spans="1:9" x14ac:dyDescent="0.35">
      <c r="A1" s="68" t="s">
        <v>0</v>
      </c>
      <c r="B1" s="37" t="s">
        <v>28</v>
      </c>
      <c r="C1" s="37" t="s">
        <v>27</v>
      </c>
      <c r="D1" s="37" t="s">
        <v>29</v>
      </c>
    </row>
    <row r="2" spans="1:9" ht="14.5" customHeight="1" x14ac:dyDescent="0.35">
      <c r="A2" s="69" t="s">
        <v>1</v>
      </c>
      <c r="B2" s="32">
        <v>129.28</v>
      </c>
      <c r="C2" s="32">
        <v>218.24</v>
      </c>
      <c r="D2" s="32">
        <v>330.88</v>
      </c>
      <c r="G2">
        <v>129.28</v>
      </c>
      <c r="H2">
        <v>218.24</v>
      </c>
      <c r="I2">
        <v>330.88</v>
      </c>
    </row>
    <row r="3" spans="1:9" ht="14.5" customHeight="1" x14ac:dyDescent="0.35">
      <c r="A3" s="69" t="s">
        <v>2</v>
      </c>
      <c r="B3" s="32">
        <v>135.47</v>
      </c>
      <c r="C3" s="32">
        <v>255.51</v>
      </c>
      <c r="D3" s="32">
        <v>359.34</v>
      </c>
      <c r="G3">
        <v>135.47</v>
      </c>
      <c r="H3">
        <v>255.51</v>
      </c>
      <c r="I3">
        <v>359.34</v>
      </c>
    </row>
    <row r="4" spans="1:9" ht="14.5" customHeight="1" x14ac:dyDescent="0.35">
      <c r="A4" s="69" t="s">
        <v>3</v>
      </c>
      <c r="B4" s="32">
        <v>94.53</v>
      </c>
      <c r="C4" s="32">
        <v>232.66</v>
      </c>
      <c r="D4" s="32">
        <v>267.56</v>
      </c>
      <c r="G4">
        <v>94.53</v>
      </c>
      <c r="H4">
        <v>232.66</v>
      </c>
      <c r="I4">
        <v>267.56</v>
      </c>
    </row>
    <row r="5" spans="1:9" ht="14.5" customHeight="1" x14ac:dyDescent="0.35">
      <c r="A5" s="69" t="s">
        <v>4</v>
      </c>
      <c r="B5" s="32">
        <v>77.33</v>
      </c>
      <c r="C5" s="32">
        <v>165.16</v>
      </c>
      <c r="D5" s="32">
        <v>200.61</v>
      </c>
      <c r="G5">
        <v>77.33</v>
      </c>
      <c r="H5">
        <v>165.16</v>
      </c>
      <c r="I5">
        <v>200.61</v>
      </c>
    </row>
    <row r="6" spans="1:9" ht="14.5" customHeight="1" x14ac:dyDescent="0.35">
      <c r="A6" s="69" t="s">
        <v>5</v>
      </c>
      <c r="B6" s="32">
        <v>130.29</v>
      </c>
      <c r="C6" s="32">
        <v>296.19</v>
      </c>
      <c r="D6" s="32">
        <v>309.08</v>
      </c>
      <c r="G6">
        <v>130.29</v>
      </c>
      <c r="H6">
        <v>296.19</v>
      </c>
      <c r="I6">
        <v>309.08</v>
      </c>
    </row>
    <row r="7" spans="1:9" ht="14.5" customHeight="1" x14ac:dyDescent="0.35">
      <c r="A7" s="69" t="s">
        <v>6</v>
      </c>
      <c r="B7" s="32">
        <v>9.1</v>
      </c>
      <c r="C7" s="32">
        <v>35.770000000000003</v>
      </c>
      <c r="D7" s="32">
        <v>9.5299999999999994</v>
      </c>
      <c r="G7">
        <v>9.1</v>
      </c>
      <c r="H7">
        <v>35.770000000000003</v>
      </c>
      <c r="I7">
        <v>9.5299999999999994</v>
      </c>
    </row>
    <row r="8" spans="1:9" ht="14.5" customHeight="1" x14ac:dyDescent="0.35">
      <c r="A8" s="69" t="s">
        <v>7</v>
      </c>
      <c r="B8" s="32">
        <v>131.5</v>
      </c>
      <c r="C8" s="32">
        <v>233.45</v>
      </c>
      <c r="D8" s="32">
        <v>337.82</v>
      </c>
      <c r="G8">
        <v>131.5</v>
      </c>
      <c r="H8">
        <v>233.45</v>
      </c>
      <c r="I8">
        <v>337.82</v>
      </c>
    </row>
    <row r="9" spans="1:9" ht="14.5" customHeight="1" x14ac:dyDescent="0.35">
      <c r="A9" s="69" t="s">
        <v>8</v>
      </c>
      <c r="B9" s="32">
        <v>86.19</v>
      </c>
      <c r="C9" s="32">
        <v>114.7</v>
      </c>
      <c r="D9" s="32">
        <v>127</v>
      </c>
      <c r="G9">
        <v>86.19</v>
      </c>
      <c r="H9">
        <v>114.7</v>
      </c>
      <c r="I9">
        <v>127</v>
      </c>
    </row>
    <row r="10" spans="1:9" ht="14.5" customHeight="1" x14ac:dyDescent="0.35">
      <c r="A10" s="69" t="s">
        <v>9</v>
      </c>
      <c r="B10" s="32">
        <v>85.79</v>
      </c>
      <c r="C10" s="32">
        <v>112.39</v>
      </c>
      <c r="D10" s="32">
        <v>159.52000000000001</v>
      </c>
      <c r="G10">
        <v>85.79</v>
      </c>
      <c r="H10">
        <v>112.39</v>
      </c>
      <c r="I10">
        <v>159.52000000000001</v>
      </c>
    </row>
    <row r="11" spans="1:9" ht="14.5" customHeight="1" x14ac:dyDescent="0.35">
      <c r="A11" s="69" t="s">
        <v>10</v>
      </c>
      <c r="B11" s="32">
        <v>54.03</v>
      </c>
      <c r="C11" s="32">
        <v>161.13999999999999</v>
      </c>
      <c r="D11" s="32">
        <v>86.6</v>
      </c>
      <c r="G11">
        <v>54.03</v>
      </c>
      <c r="H11">
        <v>161.13999999999999</v>
      </c>
      <c r="I11">
        <v>86.6</v>
      </c>
    </row>
    <row r="12" spans="1:9" ht="14.5" customHeight="1" x14ac:dyDescent="0.35">
      <c r="A12" s="69" t="s">
        <v>11</v>
      </c>
      <c r="B12" s="32">
        <v>94.19</v>
      </c>
      <c r="C12" s="32">
        <v>169.68</v>
      </c>
      <c r="D12" s="32">
        <v>145.21</v>
      </c>
      <c r="G12">
        <v>94.19</v>
      </c>
      <c r="H12">
        <v>169.68</v>
      </c>
      <c r="I12">
        <v>145.21</v>
      </c>
    </row>
    <row r="13" spans="1:9" ht="14.5" customHeight="1" x14ac:dyDescent="0.35">
      <c r="A13" s="69" t="s">
        <v>12</v>
      </c>
      <c r="B13" s="32">
        <v>190.87</v>
      </c>
      <c r="C13" s="32">
        <v>416.01</v>
      </c>
      <c r="D13" s="32">
        <v>514.95000000000005</v>
      </c>
      <c r="G13">
        <v>190.87</v>
      </c>
      <c r="H13">
        <v>416.01</v>
      </c>
      <c r="I13">
        <v>514.95000000000005</v>
      </c>
    </row>
    <row r="14" spans="1:9" ht="14.5" customHeight="1" x14ac:dyDescent="0.35">
      <c r="A14" s="69" t="s">
        <v>13</v>
      </c>
      <c r="B14" s="32">
        <v>118.53</v>
      </c>
      <c r="C14" s="32">
        <v>263.72000000000003</v>
      </c>
      <c r="D14" s="35"/>
      <c r="G14">
        <v>118.53</v>
      </c>
      <c r="H14">
        <v>263.72000000000003</v>
      </c>
      <c r="I14" t="s">
        <v>85</v>
      </c>
    </row>
    <row r="15" spans="1:9" ht="14.5" customHeight="1" x14ac:dyDescent="0.35">
      <c r="A15" s="69" t="s">
        <v>14</v>
      </c>
      <c r="B15" s="32">
        <v>126.01</v>
      </c>
      <c r="C15" s="32">
        <v>244.73</v>
      </c>
      <c r="D15" s="35"/>
      <c r="G15">
        <v>126.01</v>
      </c>
      <c r="H15">
        <v>244.73</v>
      </c>
      <c r="I15" t="s">
        <v>85</v>
      </c>
    </row>
    <row r="16" spans="1:9" ht="14.5" customHeight="1" x14ac:dyDescent="0.35">
      <c r="A16" s="69" t="s">
        <v>15</v>
      </c>
      <c r="B16" s="32">
        <v>62.47</v>
      </c>
      <c r="C16" s="32">
        <v>150.62</v>
      </c>
      <c r="D16" s="35"/>
      <c r="G16">
        <v>62.47</v>
      </c>
      <c r="H16">
        <v>150.62</v>
      </c>
      <c r="I16" t="s">
        <v>85</v>
      </c>
    </row>
    <row r="17" spans="1:9" ht="14.5" customHeight="1" x14ac:dyDescent="0.35">
      <c r="A17" s="69" t="s">
        <v>16</v>
      </c>
      <c r="B17" s="32">
        <v>140.84</v>
      </c>
      <c r="C17" s="32">
        <v>385.98</v>
      </c>
      <c r="D17" s="35"/>
      <c r="G17">
        <v>140.84</v>
      </c>
      <c r="H17">
        <v>385.98</v>
      </c>
      <c r="I17" t="s">
        <v>85</v>
      </c>
    </row>
    <row r="18" spans="1:9" ht="14.5" customHeight="1" x14ac:dyDescent="0.35">
      <c r="A18" s="70" t="s">
        <v>83</v>
      </c>
      <c r="B18" s="67">
        <v>77.33</v>
      </c>
      <c r="C18" s="35"/>
      <c r="D18" s="35"/>
      <c r="G18">
        <v>77.33</v>
      </c>
      <c r="H18" t="s">
        <v>85</v>
      </c>
      <c r="I18" t="s">
        <v>85</v>
      </c>
    </row>
    <row r="19" spans="1:9" ht="14.5" customHeight="1" x14ac:dyDescent="0.35">
      <c r="A19" s="70" t="s">
        <v>84</v>
      </c>
      <c r="B19" s="67">
        <v>131.5</v>
      </c>
      <c r="C19" s="35"/>
      <c r="D19" s="35"/>
      <c r="G19">
        <v>131.5</v>
      </c>
      <c r="H19" t="s">
        <v>85</v>
      </c>
      <c r="I19" t="s">
        <v>85</v>
      </c>
    </row>
    <row r="21" spans="1:9" x14ac:dyDescent="0.35">
      <c r="B21">
        <f>SUM(C2:C17)/SUM(B2:B17)</f>
        <v>2.0738769337862002</v>
      </c>
      <c r="G21">
        <f>SUM(H2:H17)/SUM(G2:G17)</f>
        <v>2.0738769337862002</v>
      </c>
    </row>
    <row r="23" spans="1:9" x14ac:dyDescent="0.35">
      <c r="A23" s="73" t="s">
        <v>0</v>
      </c>
      <c r="B23" s="73" t="s">
        <v>28</v>
      </c>
      <c r="C23" s="73" t="s">
        <v>27</v>
      </c>
      <c r="D23" s="73" t="s">
        <v>29</v>
      </c>
    </row>
    <row r="24" spans="1:9" x14ac:dyDescent="0.35">
      <c r="A24" s="74" t="s">
        <v>1</v>
      </c>
      <c r="B24" s="32">
        <v>129.28</v>
      </c>
      <c r="C24" s="100">
        <v>218.24</v>
      </c>
      <c r="D24" s="32">
        <v>330.88</v>
      </c>
    </row>
    <row r="25" spans="1:9" x14ac:dyDescent="0.35">
      <c r="A25" s="74" t="s">
        <v>2</v>
      </c>
      <c r="B25" s="32">
        <v>135.47</v>
      </c>
      <c r="C25" s="100">
        <v>255.51</v>
      </c>
      <c r="D25" s="32">
        <v>359.34</v>
      </c>
    </row>
    <row r="26" spans="1:9" x14ac:dyDescent="0.35">
      <c r="A26" s="74" t="s">
        <v>3</v>
      </c>
      <c r="B26" s="32">
        <v>94.53</v>
      </c>
      <c r="C26" s="100">
        <v>232.66</v>
      </c>
      <c r="D26" s="32">
        <v>267.56</v>
      </c>
    </row>
    <row r="27" spans="1:9" x14ac:dyDescent="0.35">
      <c r="A27" s="74" t="s">
        <v>4</v>
      </c>
      <c r="B27" s="32">
        <v>77.33</v>
      </c>
      <c r="C27" s="100">
        <v>165.16</v>
      </c>
      <c r="D27" s="32">
        <v>200.61</v>
      </c>
    </row>
    <row r="28" spans="1:9" x14ac:dyDescent="0.35">
      <c r="A28" s="74" t="s">
        <v>5</v>
      </c>
      <c r="B28" s="32">
        <v>130.29</v>
      </c>
      <c r="C28" s="100">
        <v>296.19</v>
      </c>
      <c r="D28" s="32">
        <v>309.08</v>
      </c>
    </row>
    <row r="29" spans="1:9" x14ac:dyDescent="0.35">
      <c r="A29" s="74" t="s">
        <v>6</v>
      </c>
      <c r="B29" s="32">
        <v>9.1</v>
      </c>
      <c r="C29" s="100">
        <v>35.770000000000003</v>
      </c>
      <c r="D29" s="32">
        <v>9.5299999999999994</v>
      </c>
    </row>
    <row r="30" spans="1:9" x14ac:dyDescent="0.35">
      <c r="A30" s="74" t="s">
        <v>7</v>
      </c>
      <c r="B30" s="32">
        <v>131.5</v>
      </c>
      <c r="C30" s="100">
        <v>233.45</v>
      </c>
      <c r="D30" s="32">
        <v>337.82</v>
      </c>
    </row>
    <row r="31" spans="1:9" x14ac:dyDescent="0.35">
      <c r="A31" s="74" t="s">
        <v>8</v>
      </c>
      <c r="B31" s="32">
        <v>86.19</v>
      </c>
      <c r="C31" s="100">
        <v>114.7</v>
      </c>
      <c r="D31" s="32">
        <v>127</v>
      </c>
    </row>
    <row r="32" spans="1:9" x14ac:dyDescent="0.35">
      <c r="A32" s="74" t="s">
        <v>9</v>
      </c>
      <c r="B32" s="32">
        <v>85.79</v>
      </c>
      <c r="C32" s="100">
        <v>112.39</v>
      </c>
      <c r="D32" s="32">
        <v>159.52000000000001</v>
      </c>
    </row>
    <row r="33" spans="1:5" x14ac:dyDescent="0.35">
      <c r="A33" s="74" t="s">
        <v>10</v>
      </c>
      <c r="B33" s="32">
        <v>54.03</v>
      </c>
      <c r="C33" s="100">
        <v>161.13999999999999</v>
      </c>
      <c r="D33" s="32">
        <v>86.6</v>
      </c>
    </row>
    <row r="34" spans="1:5" x14ac:dyDescent="0.35">
      <c r="A34" s="74" t="s">
        <v>11</v>
      </c>
      <c r="B34" s="32">
        <v>94.19</v>
      </c>
      <c r="C34" s="100">
        <v>169.68</v>
      </c>
      <c r="D34" s="32">
        <v>145.21</v>
      </c>
    </row>
    <row r="35" spans="1:5" x14ac:dyDescent="0.35">
      <c r="A35" s="74" t="s">
        <v>12</v>
      </c>
      <c r="B35" s="32">
        <v>190.87</v>
      </c>
      <c r="C35" s="100">
        <v>416.01</v>
      </c>
      <c r="D35" s="32">
        <v>514.95000000000005</v>
      </c>
      <c r="E35" s="103" t="s">
        <v>75</v>
      </c>
    </row>
    <row r="36" spans="1:5" x14ac:dyDescent="0.35">
      <c r="A36" s="74" t="s">
        <v>13</v>
      </c>
      <c r="B36" s="32">
        <v>118.53</v>
      </c>
      <c r="C36" s="100">
        <v>263.72000000000003</v>
      </c>
      <c r="D36" s="71">
        <f>B36*$B$43</f>
        <v>277.03397671040636</v>
      </c>
      <c r="E36" s="35">
        <f>D36-C36</f>
        <v>13.313976710406337</v>
      </c>
    </row>
    <row r="37" spans="1:5" x14ac:dyDescent="0.35">
      <c r="A37" s="74" t="s">
        <v>14</v>
      </c>
      <c r="B37" s="32">
        <v>126.01</v>
      </c>
      <c r="C37" s="100">
        <v>244.73</v>
      </c>
      <c r="D37" s="71">
        <f t="shared" ref="D37:D41" si="0">B37*$B$43</f>
        <v>294.51658993738556</v>
      </c>
      <c r="E37" s="35">
        <f t="shared" ref="E37:E39" si="1">D37-C37</f>
        <v>49.786589937385571</v>
      </c>
    </row>
    <row r="38" spans="1:5" x14ac:dyDescent="0.35">
      <c r="A38" s="74" t="s">
        <v>15</v>
      </c>
      <c r="B38" s="32">
        <v>62.47</v>
      </c>
      <c r="C38" s="100">
        <v>150.62</v>
      </c>
      <c r="D38" s="71">
        <f t="shared" si="0"/>
        <v>146.00786741836737</v>
      </c>
      <c r="E38" s="35">
        <f t="shared" si="1"/>
        <v>-4.6121325816326362</v>
      </c>
    </row>
    <row r="39" spans="1:5" x14ac:dyDescent="0.35">
      <c r="A39" s="74" t="s">
        <v>16</v>
      </c>
      <c r="B39" s="32">
        <v>140.84</v>
      </c>
      <c r="C39" s="100">
        <v>385.98</v>
      </c>
      <c r="D39" s="71">
        <f t="shared" si="0"/>
        <v>329.17797418285357</v>
      </c>
      <c r="E39" s="35">
        <f t="shared" si="1"/>
        <v>-56.802025817146443</v>
      </c>
    </row>
    <row r="40" spans="1:5" x14ac:dyDescent="0.35">
      <c r="A40" s="75" t="s">
        <v>83</v>
      </c>
      <c r="B40" s="67">
        <v>77.33</v>
      </c>
      <c r="C40" s="101"/>
      <c r="D40" s="71">
        <f t="shared" si="0"/>
        <v>180.73936909656393</v>
      </c>
      <c r="E40" s="35">
        <f>D40-B40</f>
        <v>103.40936909656394</v>
      </c>
    </row>
    <row r="41" spans="1:5" x14ac:dyDescent="0.35">
      <c r="A41" s="75" t="s">
        <v>84</v>
      </c>
      <c r="B41" s="67">
        <v>131.5</v>
      </c>
      <c r="C41" s="101"/>
      <c r="D41" s="71">
        <f t="shared" si="0"/>
        <v>307.34808012670578</v>
      </c>
      <c r="E41" s="35">
        <f>D41-B41</f>
        <v>175.84808012670578</v>
      </c>
    </row>
    <row r="42" spans="1:5" x14ac:dyDescent="0.35">
      <c r="A42" s="76"/>
    </row>
    <row r="43" spans="1:5" x14ac:dyDescent="0.35">
      <c r="A43" s="76" t="s">
        <v>44</v>
      </c>
      <c r="B43" s="102">
        <f>SUM(D24:D35)/SUM(B24:B35)</f>
        <v>2.3372477576175346</v>
      </c>
      <c r="C43" s="77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CF42-DB09-4902-A38A-C5AAA492F8CF}">
  <dimension ref="A1:I30"/>
  <sheetViews>
    <sheetView workbookViewId="0">
      <selection activeCell="A4" sqref="A4"/>
    </sheetView>
  </sheetViews>
  <sheetFormatPr defaultRowHeight="14.5" x14ac:dyDescent="0.35"/>
  <cols>
    <col min="1" max="1" width="3.6328125" customWidth="1"/>
  </cols>
  <sheetData>
    <row r="1" spans="1:9" x14ac:dyDescent="0.35">
      <c r="A1" t="s">
        <v>86</v>
      </c>
    </row>
    <row r="3" spans="1:9" x14ac:dyDescent="0.35">
      <c r="A3" s="73" t="s">
        <v>0</v>
      </c>
      <c r="B3" s="73" t="s">
        <v>28</v>
      </c>
      <c r="C3" s="73" t="s">
        <v>27</v>
      </c>
      <c r="D3" s="73" t="s">
        <v>29</v>
      </c>
    </row>
    <row r="4" spans="1:9" x14ac:dyDescent="0.35">
      <c r="A4" s="74">
        <v>1</v>
      </c>
      <c r="B4" s="32">
        <v>129.28</v>
      </c>
      <c r="C4" s="32">
        <v>218.24</v>
      </c>
      <c r="D4" s="32">
        <v>330.88</v>
      </c>
      <c r="H4">
        <v>129.2764</v>
      </c>
      <c r="I4">
        <v>218.24</v>
      </c>
    </row>
    <row r="5" spans="1:9" x14ac:dyDescent="0.35">
      <c r="A5" s="74">
        <v>2</v>
      </c>
      <c r="B5" s="32">
        <v>135.47</v>
      </c>
      <c r="C5" s="32">
        <v>255.51</v>
      </c>
      <c r="D5" s="32">
        <v>359.34</v>
      </c>
      <c r="H5">
        <v>135.47329999999999</v>
      </c>
      <c r="I5">
        <v>255.51</v>
      </c>
    </row>
    <row r="6" spans="1:9" x14ac:dyDescent="0.35">
      <c r="A6" s="74">
        <v>3</v>
      </c>
      <c r="B6" s="32">
        <v>94.53</v>
      </c>
      <c r="C6" s="32">
        <v>232.66</v>
      </c>
      <c r="D6" s="32">
        <v>267.56</v>
      </c>
      <c r="H6">
        <v>94.534800000000004</v>
      </c>
      <c r="I6">
        <v>232.66</v>
      </c>
    </row>
    <row r="7" spans="1:9" x14ac:dyDescent="0.35">
      <c r="A7" s="74">
        <v>4</v>
      </c>
      <c r="B7" s="32">
        <v>77.33</v>
      </c>
      <c r="C7" s="32">
        <v>165.16</v>
      </c>
      <c r="D7" s="32">
        <v>200.61</v>
      </c>
      <c r="H7">
        <v>77.325100000000006</v>
      </c>
      <c r="I7">
        <v>165.16</v>
      </c>
    </row>
    <row r="8" spans="1:9" x14ac:dyDescent="0.35">
      <c r="A8" s="74">
        <v>5</v>
      </c>
      <c r="B8" s="32">
        <v>130.29</v>
      </c>
      <c r="C8" s="32">
        <v>296.19</v>
      </c>
      <c r="D8" s="32">
        <v>309.08</v>
      </c>
      <c r="H8">
        <v>130.2944</v>
      </c>
      <c r="I8">
        <v>296.19</v>
      </c>
    </row>
    <row r="9" spans="1:9" x14ac:dyDescent="0.35">
      <c r="A9" s="74">
        <v>6</v>
      </c>
      <c r="B9" s="32">
        <v>9.1</v>
      </c>
      <c r="C9" s="32">
        <v>35.770000000000003</v>
      </c>
      <c r="D9" s="32">
        <v>9.5299999999999994</v>
      </c>
      <c r="H9">
        <v>9.1021999999999998</v>
      </c>
      <c r="I9">
        <v>35.770000000000003</v>
      </c>
    </row>
    <row r="10" spans="1:9" x14ac:dyDescent="0.35">
      <c r="A10" s="74">
        <v>7</v>
      </c>
      <c r="B10" s="32">
        <v>131.5</v>
      </c>
      <c r="C10" s="32">
        <v>233.45</v>
      </c>
      <c r="D10" s="32">
        <v>337.82</v>
      </c>
      <c r="H10">
        <v>131.50489999999999</v>
      </c>
      <c r="I10">
        <v>233.45</v>
      </c>
    </row>
    <row r="11" spans="1:9" x14ac:dyDescent="0.35">
      <c r="A11" s="74">
        <v>8</v>
      </c>
      <c r="B11" s="32">
        <v>86.19</v>
      </c>
      <c r="C11" s="32">
        <v>114.7</v>
      </c>
      <c r="D11" s="32">
        <v>127</v>
      </c>
      <c r="H11">
        <v>86.190799999999996</v>
      </c>
      <c r="I11">
        <v>114.7</v>
      </c>
    </row>
    <row r="12" spans="1:9" x14ac:dyDescent="0.35">
      <c r="A12" s="74">
        <v>9</v>
      </c>
      <c r="B12" s="32">
        <v>85.79</v>
      </c>
      <c r="C12" s="32">
        <v>112.39</v>
      </c>
      <c r="D12" s="32">
        <v>159.52000000000001</v>
      </c>
      <c r="H12">
        <v>85.792000000000002</v>
      </c>
      <c r="I12">
        <v>112.39</v>
      </c>
    </row>
    <row r="13" spans="1:9" x14ac:dyDescent="0.35">
      <c r="A13" s="74">
        <v>10</v>
      </c>
      <c r="B13" s="32">
        <v>54.03</v>
      </c>
      <c r="C13" s="32">
        <v>161.13999999999999</v>
      </c>
      <c r="D13" s="32">
        <v>86.6</v>
      </c>
      <c r="H13">
        <v>54.033900000000003</v>
      </c>
      <c r="I13">
        <v>161.13999999999999</v>
      </c>
    </row>
    <row r="14" spans="1:9" x14ac:dyDescent="0.35">
      <c r="A14" s="74">
        <v>11</v>
      </c>
      <c r="B14" s="32">
        <v>94.19</v>
      </c>
      <c r="C14" s="32">
        <v>169.68</v>
      </c>
      <c r="D14" s="32">
        <v>145.21</v>
      </c>
      <c r="H14">
        <v>94.187600000000003</v>
      </c>
      <c r="I14">
        <v>169.68</v>
      </c>
    </row>
    <row r="15" spans="1:9" x14ac:dyDescent="0.35">
      <c r="A15" s="74">
        <v>12</v>
      </c>
      <c r="B15" s="32">
        <v>190.87</v>
      </c>
      <c r="C15" s="32">
        <v>416.01</v>
      </c>
      <c r="D15" s="32">
        <v>514.95000000000005</v>
      </c>
      <c r="H15">
        <v>190.8656</v>
      </c>
      <c r="I15">
        <v>416.01</v>
      </c>
    </row>
    <row r="16" spans="1:9" x14ac:dyDescent="0.35">
      <c r="A16" s="74">
        <v>13</v>
      </c>
      <c r="B16" s="32">
        <v>118.53</v>
      </c>
      <c r="C16" s="32">
        <v>263.72000000000003</v>
      </c>
      <c r="D16" s="71">
        <v>311.45332000000002</v>
      </c>
      <c r="H16">
        <v>118.5314</v>
      </c>
      <c r="I16">
        <v>263.72000000000003</v>
      </c>
    </row>
    <row r="17" spans="1:9" x14ac:dyDescent="0.35">
      <c r="A17" s="74">
        <v>14</v>
      </c>
      <c r="B17" s="32">
        <v>126.01</v>
      </c>
      <c r="C17" s="32">
        <v>244.73</v>
      </c>
      <c r="D17" s="71">
        <v>289.02613000000002</v>
      </c>
      <c r="H17">
        <v>126.0108</v>
      </c>
      <c r="I17">
        <v>244.73</v>
      </c>
    </row>
    <row r="18" spans="1:9" x14ac:dyDescent="0.35">
      <c r="A18" s="74">
        <v>15</v>
      </c>
      <c r="B18" s="32">
        <v>62.47</v>
      </c>
      <c r="C18" s="32">
        <v>150.62</v>
      </c>
      <c r="D18" s="71">
        <v>177.88222000000002</v>
      </c>
      <c r="H18">
        <v>62.473399999999998</v>
      </c>
      <c r="I18">
        <v>150.62</v>
      </c>
    </row>
    <row r="19" spans="1:9" x14ac:dyDescent="0.35">
      <c r="A19" s="74">
        <v>16</v>
      </c>
      <c r="B19" s="32">
        <v>140.84</v>
      </c>
      <c r="C19" s="32">
        <v>385.98</v>
      </c>
      <c r="D19" s="71">
        <v>455.84238000000005</v>
      </c>
      <c r="H19">
        <v>140.845</v>
      </c>
      <c r="I19">
        <v>385.98</v>
      </c>
    </row>
    <row r="20" spans="1:9" x14ac:dyDescent="0.35">
      <c r="A20" s="74">
        <v>17</v>
      </c>
      <c r="B20" s="67">
        <v>77.33</v>
      </c>
      <c r="C20" s="71">
        <v>160.38242</v>
      </c>
      <c r="D20" s="72">
        <v>189.41163802</v>
      </c>
    </row>
    <row r="21" spans="1:9" x14ac:dyDescent="0.35">
      <c r="A21" s="74">
        <v>18</v>
      </c>
      <c r="B21" s="67">
        <v>131.5</v>
      </c>
      <c r="C21" s="71">
        <v>272.73099999999999</v>
      </c>
      <c r="D21" s="72">
        <v>322.09531099999998</v>
      </c>
    </row>
    <row r="22" spans="1:9" x14ac:dyDescent="0.35">
      <c r="A22" s="76"/>
    </row>
    <row r="23" spans="1:9" x14ac:dyDescent="0.35">
      <c r="A23" s="76" t="s">
        <v>44</v>
      </c>
      <c r="B23" s="77">
        <v>2.0739999999999998</v>
      </c>
      <c r="C23" s="77">
        <v>1.181</v>
      </c>
    </row>
    <row r="24" spans="1:9" x14ac:dyDescent="0.35">
      <c r="B24">
        <f>SUM(D4:D15)/SUM(B4:B15)</f>
        <v>2.3372477576175346</v>
      </c>
    </row>
    <row r="26" spans="1:9" x14ac:dyDescent="0.35">
      <c r="A26" s="73" t="s">
        <v>0</v>
      </c>
      <c r="B26" s="73" t="s">
        <v>28</v>
      </c>
      <c r="C26" s="73" t="s">
        <v>27</v>
      </c>
    </row>
    <row r="27" spans="1:9" x14ac:dyDescent="0.35">
      <c r="A27" s="74">
        <v>17</v>
      </c>
      <c r="B27" s="78">
        <v>77.33</v>
      </c>
      <c r="C27" s="79">
        <v>160.38242</v>
      </c>
    </row>
    <row r="28" spans="1:9" x14ac:dyDescent="0.35">
      <c r="A28" s="74">
        <v>18</v>
      </c>
      <c r="B28" s="78">
        <v>131.5</v>
      </c>
      <c r="C28" s="79">
        <v>272.73099999999999</v>
      </c>
    </row>
    <row r="29" spans="1:9" x14ac:dyDescent="0.35">
      <c r="A29" s="76"/>
    </row>
    <row r="30" spans="1:9" x14ac:dyDescent="0.35">
      <c r="A30" s="76" t="s">
        <v>44</v>
      </c>
      <c r="B30" s="77">
        <v>2.0739999999999998</v>
      </c>
      <c r="C30" s="77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E03EF-BA44-4827-B091-EE373B02B23B}">
  <dimension ref="A1:L31"/>
  <sheetViews>
    <sheetView zoomScaleNormal="100" workbookViewId="0">
      <selection activeCell="M37" sqref="M37"/>
    </sheetView>
  </sheetViews>
  <sheetFormatPr defaultRowHeight="14.5" x14ac:dyDescent="0.35"/>
  <cols>
    <col min="1" max="3" width="8.6328125" customWidth="1"/>
    <col min="4" max="4" width="2.6328125" customWidth="1"/>
    <col min="5" max="7" width="8.6328125" customWidth="1"/>
    <col min="8" max="8" width="2.6328125" customWidth="1"/>
  </cols>
  <sheetData>
    <row r="1" spans="1:12" ht="15" thickBot="1" x14ac:dyDescent="0.4">
      <c r="A1" s="96" t="s">
        <v>24</v>
      </c>
      <c r="B1" s="96"/>
      <c r="C1" s="96"/>
      <c r="E1" s="96" t="s">
        <v>25</v>
      </c>
      <c r="F1" s="96"/>
      <c r="G1" s="96"/>
    </row>
    <row r="2" spans="1:12" ht="15" thickBot="1" x14ac:dyDescent="0.4">
      <c r="A2" s="80" t="s">
        <v>0</v>
      </c>
      <c r="B2" s="81" t="s">
        <v>28</v>
      </c>
      <c r="C2" s="81" t="s">
        <v>27</v>
      </c>
      <c r="E2" s="80" t="s">
        <v>0</v>
      </c>
      <c r="F2" s="81" t="s">
        <v>30</v>
      </c>
      <c r="G2" s="81" t="s">
        <v>31</v>
      </c>
      <c r="I2" s="97" t="s">
        <v>91</v>
      </c>
      <c r="J2" s="98"/>
      <c r="K2" s="98"/>
      <c r="L2" s="99"/>
    </row>
    <row r="3" spans="1:12" x14ac:dyDescent="0.35">
      <c r="A3" s="74">
        <v>1</v>
      </c>
      <c r="B3">
        <v>129.2764</v>
      </c>
      <c r="C3">
        <v>218.24</v>
      </c>
      <c r="E3" s="74">
        <v>1</v>
      </c>
      <c r="F3" s="32">
        <f t="shared" ref="F3:F18" si="0">B3/SQRT($B3)</f>
        <v>11.369978012291845</v>
      </c>
      <c r="G3" s="32">
        <f t="shared" ref="G3:G18" si="1">C3/SQRT($B3)</f>
        <v>19.194408270980414</v>
      </c>
      <c r="I3" s="90" t="s">
        <v>44</v>
      </c>
      <c r="J3" s="92">
        <f t="array" ref="J3:K7">LINEST(G3:G18,F3:F18,FALSE,TRUE)</f>
        <v>2.073850052711117</v>
      </c>
      <c r="K3" s="82">
        <v>0</v>
      </c>
      <c r="L3" s="83" t="s">
        <v>18</v>
      </c>
    </row>
    <row r="4" spans="1:12" ht="16.5" x14ac:dyDescent="0.45">
      <c r="A4" s="74">
        <v>2</v>
      </c>
      <c r="B4">
        <v>135.47329999999999</v>
      </c>
      <c r="C4">
        <v>255.51</v>
      </c>
      <c r="E4" s="74">
        <v>2</v>
      </c>
      <c r="F4" s="32">
        <f t="shared" si="0"/>
        <v>11.639299807118983</v>
      </c>
      <c r="G4" s="32">
        <f t="shared" si="1"/>
        <v>21.952351450189607</v>
      </c>
      <c r="I4" s="90" t="s">
        <v>101</v>
      </c>
      <c r="J4" s="91">
        <v>0.11184119216470952</v>
      </c>
      <c r="K4" s="82" t="e">
        <v>#N/A</v>
      </c>
      <c r="L4" s="83" t="s">
        <v>97</v>
      </c>
    </row>
    <row r="5" spans="1:12" ht="16.5" x14ac:dyDescent="0.45">
      <c r="A5" s="74">
        <v>3</v>
      </c>
      <c r="B5">
        <v>94.534800000000004</v>
      </c>
      <c r="C5">
        <v>232.66</v>
      </c>
      <c r="E5" s="74">
        <v>3</v>
      </c>
      <c r="F5" s="32">
        <f t="shared" si="0"/>
        <v>9.7229008017155056</v>
      </c>
      <c r="G5" s="32">
        <f t="shared" si="1"/>
        <v>23.929072685689601</v>
      </c>
      <c r="I5" s="84" t="s">
        <v>98</v>
      </c>
      <c r="J5" s="85">
        <v>0.95819815405626063</v>
      </c>
      <c r="K5" s="92">
        <v>4.5655892506571458</v>
      </c>
      <c r="L5" s="93" t="s">
        <v>34</v>
      </c>
    </row>
    <row r="6" spans="1:12" x14ac:dyDescent="0.35">
      <c r="A6" s="74">
        <v>4</v>
      </c>
      <c r="B6">
        <v>77.325100000000006</v>
      </c>
      <c r="C6">
        <v>165.16</v>
      </c>
      <c r="E6" s="74">
        <v>4</v>
      </c>
      <c r="F6" s="32">
        <f t="shared" si="0"/>
        <v>8.7934691675128995</v>
      </c>
      <c r="G6" s="32">
        <f t="shared" si="1"/>
        <v>18.782120782338858</v>
      </c>
      <c r="I6" s="84" t="s">
        <v>17</v>
      </c>
      <c r="J6" s="86">
        <v>343.83582797248636</v>
      </c>
      <c r="K6" s="82">
        <v>15</v>
      </c>
      <c r="L6" s="83" t="s">
        <v>19</v>
      </c>
    </row>
    <row r="7" spans="1:12" ht="17" thickBot="1" x14ac:dyDescent="0.5">
      <c r="A7" s="74">
        <v>5</v>
      </c>
      <c r="B7">
        <v>130.2944</v>
      </c>
      <c r="C7">
        <v>296.19</v>
      </c>
      <c r="E7" s="74">
        <v>5</v>
      </c>
      <c r="F7" s="32">
        <f t="shared" si="0"/>
        <v>11.414657244087534</v>
      </c>
      <c r="G7" s="32">
        <f t="shared" si="1"/>
        <v>25.948216724021037</v>
      </c>
      <c r="I7" s="87" t="s">
        <v>99</v>
      </c>
      <c r="J7" s="88">
        <v>7167.1220896669884</v>
      </c>
      <c r="K7" s="88">
        <v>312.66907808574121</v>
      </c>
      <c r="L7" s="89" t="s">
        <v>100</v>
      </c>
    </row>
    <row r="8" spans="1:12" hidden="1" x14ac:dyDescent="0.35">
      <c r="A8" s="74">
        <v>6</v>
      </c>
      <c r="B8">
        <v>9.1021999999999998</v>
      </c>
      <c r="C8">
        <v>35.770000000000003</v>
      </c>
      <c r="E8" s="74">
        <v>6</v>
      </c>
      <c r="F8" s="32">
        <f t="shared" si="0"/>
        <v>3.0169852502125365</v>
      </c>
      <c r="G8" s="32">
        <f t="shared" si="1"/>
        <v>11.856206455593421</v>
      </c>
    </row>
    <row r="9" spans="1:12" hidden="1" x14ac:dyDescent="0.35">
      <c r="A9" s="74">
        <v>7</v>
      </c>
      <c r="B9">
        <v>131.50489999999999</v>
      </c>
      <c r="C9">
        <v>233.45</v>
      </c>
      <c r="E9" s="74">
        <v>7</v>
      </c>
      <c r="F9" s="32">
        <f t="shared" si="0"/>
        <v>11.467558589342371</v>
      </c>
      <c r="G9" s="32">
        <f t="shared" si="1"/>
        <v>20.357428146646829</v>
      </c>
    </row>
    <row r="10" spans="1:12" hidden="1" x14ac:dyDescent="0.35">
      <c r="A10" s="74">
        <v>8</v>
      </c>
      <c r="B10">
        <v>86.190799999999996</v>
      </c>
      <c r="C10">
        <v>114.7</v>
      </c>
      <c r="E10" s="74">
        <v>8</v>
      </c>
      <c r="F10" s="32">
        <f t="shared" si="0"/>
        <v>9.2839000425467741</v>
      </c>
      <c r="G10" s="32">
        <f t="shared" si="1"/>
        <v>12.354721558218685</v>
      </c>
    </row>
    <row r="11" spans="1:12" hidden="1" x14ac:dyDescent="0.35">
      <c r="A11" s="74">
        <v>9</v>
      </c>
      <c r="B11">
        <v>85.792000000000002</v>
      </c>
      <c r="C11">
        <v>112.39</v>
      </c>
      <c r="E11" s="74">
        <v>9</v>
      </c>
      <c r="F11" s="32">
        <f t="shared" si="0"/>
        <v>9.2623970979439214</v>
      </c>
      <c r="G11" s="32">
        <f t="shared" si="1"/>
        <v>12.134007947569906</v>
      </c>
    </row>
    <row r="12" spans="1:12" hidden="1" x14ac:dyDescent="0.35">
      <c r="A12" s="74">
        <v>10</v>
      </c>
      <c r="B12">
        <v>54.033900000000003</v>
      </c>
      <c r="C12">
        <v>161.13999999999999</v>
      </c>
      <c r="E12" s="74">
        <v>10</v>
      </c>
      <c r="F12" s="32">
        <f t="shared" si="0"/>
        <v>7.3507754692957397</v>
      </c>
      <c r="G12" s="32">
        <f t="shared" si="1"/>
        <v>21.921496673797659</v>
      </c>
    </row>
    <row r="13" spans="1:12" hidden="1" x14ac:dyDescent="0.35">
      <c r="A13" s="74">
        <v>11</v>
      </c>
      <c r="B13">
        <v>94.187600000000003</v>
      </c>
      <c r="C13">
        <v>169.68</v>
      </c>
      <c r="E13" s="74">
        <v>11</v>
      </c>
      <c r="F13" s="32">
        <f t="shared" si="0"/>
        <v>9.7050296238599909</v>
      </c>
      <c r="G13" s="32">
        <f t="shared" si="1"/>
        <v>17.48371788405866</v>
      </c>
    </row>
    <row r="14" spans="1:12" hidden="1" x14ac:dyDescent="0.35">
      <c r="A14" s="74">
        <v>12</v>
      </c>
      <c r="B14">
        <v>190.8656</v>
      </c>
      <c r="C14">
        <v>416.01</v>
      </c>
      <c r="E14" s="74">
        <v>12</v>
      </c>
      <c r="F14" s="32">
        <f t="shared" si="0"/>
        <v>13.815411684057773</v>
      </c>
      <c r="G14" s="32">
        <f t="shared" si="1"/>
        <v>30.112023406443456</v>
      </c>
    </row>
    <row r="15" spans="1:12" hidden="1" x14ac:dyDescent="0.35">
      <c r="A15" s="74">
        <v>13</v>
      </c>
      <c r="B15">
        <v>118.5314</v>
      </c>
      <c r="C15">
        <v>263.72000000000003</v>
      </c>
      <c r="E15" s="74">
        <v>13</v>
      </c>
      <c r="F15" s="32">
        <f t="shared" si="0"/>
        <v>10.887212682776065</v>
      </c>
      <c r="G15" s="32">
        <f t="shared" si="1"/>
        <v>24.222912483120119</v>
      </c>
    </row>
    <row r="16" spans="1:12" hidden="1" x14ac:dyDescent="0.35">
      <c r="A16" s="74">
        <v>14</v>
      </c>
      <c r="B16">
        <v>126.0108</v>
      </c>
      <c r="C16">
        <v>244.73</v>
      </c>
      <c r="E16" s="74">
        <v>14</v>
      </c>
      <c r="F16" s="32">
        <f t="shared" si="0"/>
        <v>11.225453220249062</v>
      </c>
      <c r="G16" s="32">
        <f t="shared" si="1"/>
        <v>21.801346920990522</v>
      </c>
    </row>
    <row r="17" spans="1:7" hidden="1" x14ac:dyDescent="0.35">
      <c r="A17" s="74">
        <v>15</v>
      </c>
      <c r="B17">
        <v>62.473399999999998</v>
      </c>
      <c r="C17">
        <v>150.62</v>
      </c>
      <c r="E17" s="74">
        <v>15</v>
      </c>
      <c r="F17" s="32">
        <f t="shared" si="0"/>
        <v>7.9040116396675426</v>
      </c>
      <c r="G17" s="32">
        <f t="shared" si="1"/>
        <v>19.05614602641645</v>
      </c>
    </row>
    <row r="18" spans="1:7" x14ac:dyDescent="0.35">
      <c r="A18" s="74">
        <v>16</v>
      </c>
      <c r="B18">
        <v>140.845</v>
      </c>
      <c r="C18">
        <v>385.98</v>
      </c>
      <c r="E18" s="74">
        <v>16</v>
      </c>
      <c r="F18" s="32">
        <f t="shared" si="0"/>
        <v>11.867813614984016</v>
      </c>
      <c r="G18" s="32">
        <f t="shared" si="1"/>
        <v>32.523261025322384</v>
      </c>
    </row>
    <row r="19" spans="1:7" x14ac:dyDescent="0.35">
      <c r="A19" s="74"/>
      <c r="E19" s="74"/>
      <c r="F19" s="32"/>
      <c r="G19" s="32"/>
    </row>
    <row r="20" spans="1:7" x14ac:dyDescent="0.35">
      <c r="A20" s="96" t="s">
        <v>88</v>
      </c>
      <c r="B20" s="96"/>
      <c r="C20" s="96"/>
    </row>
    <row r="21" spans="1:7" x14ac:dyDescent="0.35">
      <c r="A21" s="74">
        <v>17</v>
      </c>
      <c r="B21" s="67">
        <v>77.33</v>
      </c>
      <c r="C21" s="79">
        <f>B21*ROUND(J$3,3)</f>
        <v>160.38242</v>
      </c>
      <c r="E21" s="71" t="s">
        <v>90</v>
      </c>
    </row>
    <row r="22" spans="1:7" x14ac:dyDescent="0.35">
      <c r="A22" s="74">
        <v>18</v>
      </c>
      <c r="B22" s="67">
        <v>131.5</v>
      </c>
      <c r="C22" s="79">
        <f>B22*ROUND(J$3,3)</f>
        <v>272.73099999999999</v>
      </c>
      <c r="E22" s="39"/>
    </row>
    <row r="23" spans="1:7" x14ac:dyDescent="0.35">
      <c r="A23" s="96" t="s">
        <v>89</v>
      </c>
      <c r="B23" s="96"/>
      <c r="C23" s="96"/>
    </row>
    <row r="24" spans="1:7" x14ac:dyDescent="0.35">
      <c r="A24" s="74">
        <v>17</v>
      </c>
      <c r="B24" s="67">
        <v>77.33</v>
      </c>
      <c r="C24" s="94">
        <f>B24*J$4</f>
        <v>8.6486793900969872</v>
      </c>
      <c r="E24" s="71" t="s">
        <v>94</v>
      </c>
    </row>
    <row r="25" spans="1:7" x14ac:dyDescent="0.35">
      <c r="A25" s="74">
        <v>18</v>
      </c>
      <c r="B25" s="67">
        <v>131.5</v>
      </c>
      <c r="C25" s="79">
        <f>B25*J$4</f>
        <v>14.707116769659301</v>
      </c>
    </row>
    <row r="26" spans="1:7" x14ac:dyDescent="0.35">
      <c r="A26" s="96" t="s">
        <v>92</v>
      </c>
      <c r="B26" s="96"/>
      <c r="C26" s="96"/>
    </row>
    <row r="27" spans="1:7" x14ac:dyDescent="0.35">
      <c r="A27" s="74">
        <v>17</v>
      </c>
      <c r="B27" s="67">
        <v>77.33</v>
      </c>
      <c r="C27" s="71">
        <f>SQRT(B27)*K$5</f>
        <v>40.148640332619287</v>
      </c>
      <c r="E27" s="71" t="s">
        <v>95</v>
      </c>
    </row>
    <row r="28" spans="1:7" x14ac:dyDescent="0.35">
      <c r="A28" s="74">
        <v>18</v>
      </c>
      <c r="B28" s="67">
        <v>131.5</v>
      </c>
      <c r="C28" s="71">
        <f>SQRT(B28)*K$5</f>
        <v>52.355186797027706</v>
      </c>
    </row>
    <row r="29" spans="1:7" x14ac:dyDescent="0.35">
      <c r="A29" s="96" t="s">
        <v>93</v>
      </c>
      <c r="B29" s="96"/>
      <c r="C29" s="96"/>
    </row>
    <row r="30" spans="1:7" x14ac:dyDescent="0.35">
      <c r="A30" s="74">
        <v>17</v>
      </c>
      <c r="B30" s="67">
        <v>77.33</v>
      </c>
      <c r="C30" s="79">
        <f>SQRT(C24^2+C27^2)</f>
        <v>41.069611341607711</v>
      </c>
      <c r="E30" s="71" t="s">
        <v>96</v>
      </c>
    </row>
    <row r="31" spans="1:7" x14ac:dyDescent="0.35">
      <c r="A31" s="74">
        <v>18</v>
      </c>
      <c r="B31" s="67">
        <v>131.5</v>
      </c>
      <c r="C31" s="79">
        <f>SQRT(C25^2+C28^2)</f>
        <v>54.381659300062353</v>
      </c>
    </row>
  </sheetData>
  <mergeCells count="7">
    <mergeCell ref="E1:G1"/>
    <mergeCell ref="I2:L2"/>
    <mergeCell ref="A20:C20"/>
    <mergeCell ref="A23:C23"/>
    <mergeCell ref="A26:C26"/>
    <mergeCell ref="A29:C29"/>
    <mergeCell ref="A1:C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Sheet1 (2)</vt:lpstr>
      <vt:lpstr>Sheet1 (3)</vt:lpstr>
      <vt:lpstr>Sheet1 (4)</vt:lpstr>
      <vt:lpstr>Sheet6</vt:lpstr>
      <vt:lpstr>xyz</vt:lpstr>
      <vt:lpstr>xyz (2)</vt:lpstr>
      <vt:lpstr>Sheet8</vt:lpstr>
      <vt:lpstr>Sheet1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 Murphy</cp:lastModifiedBy>
  <dcterms:created xsi:type="dcterms:W3CDTF">2018-07-19T15:22:45Z</dcterms:created>
  <dcterms:modified xsi:type="dcterms:W3CDTF">2018-08-28T17:00:08Z</dcterms:modified>
</cp:coreProperties>
</file>