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총괄" sheetId="1" r:id="rId4"/>
    <sheet state="visible" name="파주당동리" sheetId="2" r:id="rId5"/>
    <sheet state="visible" name="향남에일린의뜰" sheetId="3" r:id="rId6"/>
    <sheet state="visible" name="파주리버팰리스" sheetId="4" r:id="rId7"/>
    <sheet state="visible" name="고척동상가" sheetId="5" r:id="rId8"/>
    <sheet state="visible" name="의정부한양파크뷰1" sheetId="6" r:id="rId9"/>
    <sheet state="visible" name="의정부한양파크뷰2" sheetId="7" r:id="rId10"/>
    <sheet state="visible" name="의정부한양파크뷰" sheetId="8" r:id="rId11"/>
    <sheet state="visible" name="의정부상가" sheetId="9" r:id="rId12"/>
    <sheet state="visible" name="의정부토지" sheetId="10" r:id="rId13"/>
    <sheet state="visible" name="의정부토지1" sheetId="11" r:id="rId14"/>
    <sheet state="visible" name="낙하리" sheetId="12" r:id="rId15"/>
    <sheet state="visible" name="낙하리1" sheetId="13" r:id="rId16"/>
    <sheet state="visible" name="파주상가" sheetId="14" r:id="rId17"/>
    <sheet state="visible" name="보성리" sheetId="15" r:id="rId18"/>
    <sheet state="visible" name="향남 에듀스퀘어" sheetId="16" r:id="rId19"/>
    <sheet state="visible" name="향남 단독부지" sheetId="17" r:id="rId20"/>
    <sheet state="visible" name="향남 단독부지1" sheetId="18" r:id="rId21"/>
  </sheets>
  <externalReferences>
    <externalReference r:id="rId22"/>
  </externalReference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당동 515-19외 24건
종부세 9,587,499원
재산세 5,341,230원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재산세 436,600원
종부세 3,631,800원
취득세등 등기비 
58,828,310원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6">
      <text>
        <t xml:space="preserve">생숙 재산세(건축물) : 4,182,700
도생 재산세(주택)
1분기: 1,950,010
2분기: 1,951,041
총합: 3,901,051
토지 재산세: 미포함
교통유발부담금: 미포함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1호실 1,763,928
2호실 1,284,709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1">
      <text>
        <t xml:space="preserve">재산세(건축물) 2,370,520원
재산세(토지)
5,491,990원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Z4">
      <text>
        <t xml:space="preserve">[선인]
* VAT제외 분양가에서 수수료 계산, 청구는 VAT포함
*수수료율: 할인분양가 - (원분양가*65%)
1. 계약금20: 50% 
    잔금80: 50%
2. 계약금10: 25%
    잔금90: 75%
3. 수수료 잔금
분양잔금 입금+분양률70%달성시 지급
*20240731까지 목표 분양률 70% 미달성 시 수수료지급의무 없음
(단, 계약갱신의사 미 통지시,  1개월 자동연장)
4. 선임대 수수료
환산보증금의 5%
*환산보증금: 보증금 + (월세*100)</t>
      </text>
    </comment>
    <comment authorId="0" ref="T5">
      <text>
        <t xml:space="preserve">일괄 25%</t>
      </text>
    </comment>
    <comment authorId="0" ref="U5">
      <text>
        <t xml:space="preserve">공급계약서 상 첨부서류파일 얼리버드 이벤트 기준</t>
      </text>
    </comment>
    <comment authorId="0" ref="AI5">
      <text>
        <t xml:space="preserve">계약서 날짜 기준
다만 씨유는 정희근전무님 지시사항으로 인테리어 진행중</t>
      </text>
    </comment>
    <comment authorId="0" ref="U47">
      <text>
        <t xml:space="preserve">공급계약서 상 첨부서류파일 얼리버드 이벤트 기준</t>
      </text>
    </comment>
    <comment authorId="0" ref="AK47">
      <text>
        <t xml:space="preserve">계약서 날짜 기준
다만 씨유는 정희근전무님 지시사항으로 인테리어 진행중</t>
      </text>
    </comment>
    <comment authorId="0" ref="BD47">
      <text>
        <t xml:space="preserve">[유성]
수수료율: 18.61%
계약금10: 40%
중도금10: 30% 
잔금80: 30%
*수수료변동계약서 없음, 구두로진행하였음
*유성 최종분양가 기준으로 수수료 작성
[선인]
* VAT제외 분양가에서 수수료 계산, 청구는 VAT포함
*수수료율: 할인분양가 - (원분양가*65%)
1. 계약금20: 50% 
    잔금80: 50%
2. 계약금10: 25%
    잔금90: 75%
3. 수수료 잔금
분양잔금 입금+분양률70%달성시 지급
*20240731까지 목표 분양률 70% 미달성 시 수수료지급의무 없음
(단, 계약갱신의사 미 통지시,  1개월 자동연장)</t>
      </text>
    </comment>
  </commentList>
</comments>
</file>

<file path=xl/sharedStrings.xml><?xml version="1.0" encoding="utf-8"?>
<sst xmlns="http://schemas.openxmlformats.org/spreadsheetml/2006/main" count="1689" uniqueCount="765">
  <si>
    <t>회사</t>
  </si>
  <si>
    <t>NO.</t>
  </si>
  <si>
    <t>구분</t>
  </si>
  <si>
    <t>내용</t>
  </si>
  <si>
    <t>분양가</t>
  </si>
  <si>
    <t>보증금</t>
  </si>
  <si>
    <t>월세</t>
  </si>
  <si>
    <t>상세보기</t>
  </si>
  <si>
    <t>활용방안</t>
  </si>
  <si>
    <t>트리플에이치</t>
  </si>
  <si>
    <t>상가</t>
  </si>
  <si>
    <t>토지</t>
  </si>
  <si>
    <t>향남 단독, 상가주택부지</t>
  </si>
  <si>
    <t>보성리 2538</t>
  </si>
  <si>
    <t>토지및 관련 부대비용 지급완료 합계액</t>
  </si>
  <si>
    <t>파주 리버팰리스 단지 내 상가(교회_1201~1203호)</t>
  </si>
  <si>
    <t>파주 리버팰리스 단지 내 상가(1204~1207호)</t>
  </si>
  <si>
    <t>당동리 515-19외 2필지</t>
  </si>
  <si>
    <t>아파트</t>
  </si>
  <si>
    <t>향남 에일린의뜰 402동 1702호</t>
  </si>
  <si>
    <t>파주 리버팰리스 (114동 1405호_41평)</t>
  </si>
  <si>
    <t>무상임대중</t>
  </si>
  <si>
    <t>합계</t>
  </si>
  <si>
    <t>한양글로벌디앤이</t>
  </si>
  <si>
    <t>생숙</t>
  </si>
  <si>
    <t>의정부역 한양수자인파크뷰 5개 호실</t>
  </si>
  <si>
    <t>26/2/2 용도변경 접수, 숙박업 예비신고 취소</t>
  </si>
  <si>
    <t>도생</t>
  </si>
  <si>
    <t>의정부역 한양수자인파크뷰 40개 호실</t>
  </si>
  <si>
    <t>의정부역 한양수자인파크뷰 B1호</t>
  </si>
  <si>
    <t>의정부역 한양수자인파크뷰 B2호</t>
  </si>
  <si>
    <t>의정부동 240-142(45.37평)</t>
  </si>
  <si>
    <t>앤유</t>
  </si>
  <si>
    <t>낙하리301-7외4필지</t>
  </si>
  <si>
    <t>창고</t>
  </si>
  <si>
    <t>낙하리 301-7 가동</t>
  </si>
  <si>
    <t>낙하리 301-7 나동-1</t>
  </si>
  <si>
    <t>낙하리 301-7 나동-2</t>
  </si>
  <si>
    <t>낙하리 301-7 다, 라동</t>
  </si>
  <si>
    <t>공장</t>
  </si>
  <si>
    <t>낙하리 301-9</t>
  </si>
  <si>
    <t>쓰리아이</t>
  </si>
  <si>
    <t>태양광</t>
  </si>
  <si>
    <t>태양광 매출</t>
  </si>
  <si>
    <t>선엔젤스</t>
  </si>
  <si>
    <t>고척동 지하상가</t>
  </si>
  <si>
    <t>전체합계</t>
  </si>
  <si>
    <t>상세현황</t>
  </si>
  <si>
    <t>순번</t>
  </si>
  <si>
    <t>주소</t>
  </si>
  <si>
    <t>면적(㎡)</t>
  </si>
  <si>
    <t>면적(평)</t>
  </si>
  <si>
    <t>자산가치</t>
  </si>
  <si>
    <t>세금</t>
  </si>
  <si>
    <t>2024년 공시지가</t>
  </si>
  <si>
    <t>매각 계획</t>
  </si>
  <si>
    <t>당동리 515-19</t>
  </si>
  <si>
    <t>당동리 172-18</t>
  </si>
  <si>
    <t>당동리 173-5</t>
  </si>
  <si>
    <t>**공시지가 기준</t>
  </si>
  <si>
    <t>향남 에일린의 뜰 402동 1702호</t>
  </si>
  <si>
    <t>기존 매입가
(분양가)</t>
  </si>
  <si>
    <t>현상태</t>
  </si>
  <si>
    <t>소유권이전등기비용
(취득세 등 포함)</t>
  </si>
  <si>
    <t>2024년재산세</t>
  </si>
  <si>
    <t>매각희망가</t>
  </si>
  <si>
    <r>
      <rPr>
        <rFont val="Malgun Gothic"/>
        <color/>
        <sz val="11.0"/>
      </rPr>
      <t>수익률</t>
    </r>
    <r>
      <rPr>
        <rFont val="맑은 고딕"/>
        <color/>
        <sz val="8.0"/>
      </rPr>
      <t xml:space="preserve">           (매각예정가 세전)</t>
    </r>
  </si>
  <si>
    <r>
      <rPr>
        <rFont val="Malgun Gothic"/>
        <color/>
        <sz val="11.0"/>
      </rPr>
      <t>수익률</t>
    </r>
    <r>
      <rPr>
        <rFont val="맑은 고딕"/>
        <color/>
        <sz val="9.0"/>
      </rPr>
      <t>(세후)</t>
    </r>
  </si>
  <si>
    <t>공시지가</t>
  </si>
  <si>
    <t>계약기간</t>
  </si>
  <si>
    <t>월세임대중</t>
  </si>
  <si>
    <t>25.08.31~27.08.31</t>
  </si>
  <si>
    <t>현재 전세올려받을수 없음 (2.5억 시세) 매매시세가 현저히 떨어진 상황이어서, 기다렸다 매각</t>
  </si>
  <si>
    <t>*매매대+소유권이전등기비용포함</t>
  </si>
  <si>
    <t>파주 리버팰리스 114동 1405호</t>
  </si>
  <si>
    <t>매각예정가</t>
  </si>
  <si>
    <r>
      <rPr>
        <rFont val="Malgun Gothic"/>
        <color/>
        <sz val="11.0"/>
      </rPr>
      <t>수익률</t>
    </r>
    <r>
      <rPr>
        <rFont val="맑은 고딕"/>
        <color/>
        <sz val="8.0"/>
      </rPr>
      <t xml:space="preserve">           (매각예정가 세전)</t>
    </r>
  </si>
  <si>
    <r>
      <rPr>
        <rFont val="Malgun Gothic"/>
        <color/>
        <sz val="11.0"/>
      </rPr>
      <t>수익률</t>
    </r>
    <r>
      <rPr>
        <rFont val="맑은 고딕"/>
        <color/>
        <sz val="9.0"/>
      </rPr>
      <t>(세후)</t>
    </r>
  </si>
  <si>
    <t>공시가격</t>
  </si>
  <si>
    <t>리버팰리스
114동 1405호</t>
  </si>
  <si>
    <t>미분양</t>
  </si>
  <si>
    <t>없음</t>
  </si>
  <si>
    <t>호수</t>
  </si>
  <si>
    <t>수익률</t>
  </si>
  <si>
    <t>지하30호</t>
  </si>
  <si>
    <t>(vat 제외)</t>
  </si>
  <si>
    <t>25.11.10</t>
  </si>
  <si>
    <t>현재 공실 상태</t>
  </si>
  <si>
    <t xml:space="preserve"> </t>
  </si>
  <si>
    <t>공급면적(㎡)</t>
  </si>
  <si>
    <t>2024공시가격</t>
  </si>
  <si>
    <t>월세(vat포함)</t>
  </si>
  <si>
    <t>수익률(세전)</t>
  </si>
  <si>
    <t>수익률(세후)</t>
  </si>
  <si>
    <t>임차기간</t>
  </si>
  <si>
    <t>계약 만료일</t>
  </si>
  <si>
    <t>미납현황</t>
  </si>
  <si>
    <t>계약잔여일수</t>
  </si>
  <si>
    <t>임차인</t>
  </si>
  <si>
    <t>전화번호</t>
  </si>
  <si>
    <t>임차신고</t>
  </si>
  <si>
    <t>비고</t>
  </si>
  <si>
    <t>메모</t>
  </si>
  <si>
    <t>대출 담보액</t>
  </si>
  <si>
    <t>매물 동향</t>
  </si>
  <si>
    <t>최근 실거래</t>
  </si>
  <si>
    <t>물건 종합</t>
  </si>
  <si>
    <t>생활형
숙박시설</t>
  </si>
  <si>
    <t>생숙 1호라인 매물 없음</t>
  </si>
  <si>
    <t>생활형숙박시설 최근 1년간 실거래 없음</t>
  </si>
  <si>
    <t>① 생활형 숙박시시설 규제로 인해 거래가 이뤄지지 않고 있음
② 용도변경 불가, 숙박업으로 전환 후 매매 진행
③ 숙박업 전환시 최소 30세대 이상 동의 후 함께 진행</t>
  </si>
  <si>
    <t>생활형 숙박시설 매물: ① 5층 / 매매가 1억 / 분양가 대비 -3,600만원</t>
  </si>
  <si>
    <t>010-5423-1907(딸: 전예나_실거주자), 명도소송진행중</t>
  </si>
  <si>
    <t>2024.05.08~2026.05.07</t>
  </si>
  <si>
    <t>최보연</t>
  </si>
  <si>
    <t>010-5447-8532</t>
  </si>
  <si>
    <t>O</t>
  </si>
  <si>
    <t>010-4500-8532 (어머니)</t>
  </si>
  <si>
    <t>도시형
생활주택</t>
  </si>
  <si>
    <t>2025.08.16-2026.08.15</t>
  </si>
  <si>
    <t>곽민채</t>
  </si>
  <si>
    <r>
      <rPr>
        <rFont val="Malgun Gothic"/>
        <color/>
        <sz val="11.0"/>
      </rPr>
      <t xml:space="preserve">&lt;매매&gt;
도시형 생활주택 매물:
* 현재 매매 물건 16개 (1호 라인 없음)
① 최저가 매물:  15층 / 매매가 8,000만원 / </t>
    </r>
    <r>
      <rPr>
        <rFont val="맑은 고딕"/>
        <b/>
        <color/>
        <sz val="11.0"/>
      </rPr>
      <t>분양가 대비 약 -2,800만원</t>
    </r>
    <r>
      <rPr>
        <rFont val="맑은 고딕"/>
        <color/>
        <sz val="11.0"/>
      </rPr>
      <t xml:space="preserve">
② 최고가 매물:  21층 / 매매가 1.5억원 / </t>
    </r>
    <r>
      <rPr>
        <rFont val="맑은 고딕"/>
        <b/>
        <color/>
        <sz val="11.0"/>
      </rPr>
      <t>분양가 대비 약 +500만원</t>
    </r>
    <r>
      <rPr>
        <rFont val="맑은 고딕"/>
        <color/>
        <sz val="11.0"/>
      </rPr>
      <t xml:space="preserve">
③ 평균 매물가:  전층 / 매매가 9,000만원 / </t>
    </r>
    <r>
      <rPr>
        <rFont val="맑은 고딕"/>
        <b/>
        <color/>
        <sz val="11.0"/>
      </rPr>
      <t>분양가 대비 약 -1,500만원</t>
    </r>
    <r>
      <rPr>
        <rFont val="맑은 고딕"/>
        <color/>
        <sz val="11.0"/>
      </rPr>
      <t xml:space="preserve">
* 현재 전세 물건 3개 (1호 라인 없음)
① 최저가 매물:  저층 / 전세가 8,500만원 / 전세가율 약 83%
② 최고가 매물:  14층 / 전세가 9,500만원 / 전세가율 약 87%</t>
    </r>
  </si>
  <si>
    <r>
      <rPr>
        <rFont val="Malgun Gothic"/>
        <color/>
        <sz val="11.0"/>
      </rPr>
      <t xml:space="preserve">도시형 생활주택 2023년 매매 실거래
* 2023년 매매 실거래 9건
① 3월: 1건 / 9,000만원 / 24층 / </t>
    </r>
    <r>
      <rPr>
        <rFont val="맑은 고딕"/>
        <b/>
        <color/>
        <sz val="11.0"/>
      </rPr>
      <t>분양가 대비 약 -2,250만원</t>
    </r>
    <r>
      <rPr>
        <rFont val="맑은 고딕"/>
        <color/>
        <sz val="11.0"/>
      </rPr>
      <t xml:space="preserve">
② 4월: 1건 / 8,500만원 / 15층 / </t>
    </r>
    <r>
      <rPr>
        <rFont val="맑은 고딕"/>
        <b/>
        <color/>
        <sz val="11.0"/>
      </rPr>
      <t>분양가 대비 약 -2,300만원</t>
    </r>
    <r>
      <rPr>
        <rFont val="맑은 고딕"/>
        <color/>
        <sz val="11.0"/>
      </rPr>
      <t xml:space="preserve">
③ 5월: 2건 / 1억 1,650만원 / 24층 / 분양가 동일
                   1억 950만원 / 18층 / 분양가 동일
④ 9월: 3건 / 8,000만원 / 15층 / </t>
    </r>
    <r>
      <rPr>
        <rFont val="맑은 고딕"/>
        <b/>
        <color/>
        <sz val="11.0"/>
      </rPr>
      <t>분양가 대비 약 -2,800만원</t>
    </r>
    <r>
      <rPr>
        <rFont val="맑은 고딕"/>
        <color/>
        <sz val="11.0"/>
      </rPr>
      <t xml:space="preserve">
                   9,000만원 / 22층 / </t>
    </r>
    <r>
      <rPr>
        <rFont val="맑은 고딕"/>
        <b/>
        <color/>
        <sz val="11.0"/>
      </rPr>
      <t>분양가 대비 약 -2,100만원</t>
    </r>
    <r>
      <rPr>
        <rFont val="맑은 고딕"/>
        <color/>
        <sz val="11.0"/>
      </rPr>
      <t xml:space="preserve">
                   9,500만원 / 8층 / </t>
    </r>
    <r>
      <rPr>
        <rFont val="맑은 고딕"/>
        <b/>
        <color/>
        <sz val="11.0"/>
      </rPr>
      <t>분양가 대비 약 -700만원</t>
    </r>
    <r>
      <rPr>
        <rFont val="맑은 고딕"/>
        <color/>
        <sz val="11.0"/>
      </rPr>
      <t xml:space="preserve">
⑤ 10월: 1건 / 8,000만원 / 22층 /</t>
    </r>
    <r>
      <rPr>
        <rFont val="맑은 고딕"/>
        <b/>
        <color/>
        <sz val="11.0"/>
      </rPr>
      <t xml:space="preserve"> 분양가 대비 약 -3,100만원</t>
    </r>
    <r>
      <rPr>
        <rFont val="맑은 고딕"/>
        <color/>
        <sz val="11.0"/>
      </rPr>
      <t xml:space="preserve">
② 11월: 1건 / 8,000만원 / 24층 / </t>
    </r>
    <r>
      <rPr>
        <rFont val="맑은 고딕"/>
        <b/>
        <color/>
        <sz val="11.0"/>
      </rPr>
      <t>분양가 대비 약 -3,250만원</t>
    </r>
  </si>
  <si>
    <t xml:space="preserve">① 주택수 산정 / 청약시만 무주택 인정
② 의정부역 주변 비슷한 매물의 시장가격도 동반하락해서 당분간은 현 가격 유지 예상
③ 고금리로 인해 수익률 저하
④ 당현장 수익률 계산
 1) 한양파크뷰 평균 수익률 4.75%
 2) 23억 담보대출 / 5.88%
 3) 이자 제외 수익률 = 2.08%
 4) 연간 수익: 104,880,000
⑤ 인근 비슷한 매물 월세: 40~45만원 사이 / 당현장 월세 올리기 어려움
⑥당현장 평균 매매가 9,000만원으로 분양가 대비 약 -2,000만원 이상 할인 + 수수료 지급해야 매매 가능
⑦ 당장 판매보다, GTX 개통(23년말 착공, 28년말 완공예정) 후 실수요 증가 및 부동산시장 변화시기를 기다려 판매하는 전략이 유리할 것으로 예상
</t>
  </si>
  <si>
    <t>2025.08.26-2026.08.25</t>
  </si>
  <si>
    <t>김효정</t>
  </si>
  <si>
    <t>2025.01.09-2026.01.08</t>
  </si>
  <si>
    <t>홍채민</t>
  </si>
  <si>
    <t>010-4690-1656</t>
  </si>
  <si>
    <t>2023.03.21-2026.03.20</t>
  </si>
  <si>
    <t>박성민</t>
  </si>
  <si>
    <t>010-8959-7072</t>
  </si>
  <si>
    <t>2024.07.08-2026.07.07</t>
  </si>
  <si>
    <t>우효경</t>
  </si>
  <si>
    <t>010-9239-4336</t>
  </si>
  <si>
    <t>2024.04.28-2026.04.27</t>
  </si>
  <si>
    <t>정다영</t>
  </si>
  <si>
    <t>010-2621-1086</t>
  </si>
  <si>
    <t>2025.10.01-2026.09.30</t>
  </si>
  <si>
    <t>이수연</t>
  </si>
  <si>
    <t>실거주자(채원국): 010-9199-3390</t>
  </si>
  <si>
    <t>2025.02.07-2026.02.06</t>
  </si>
  <si>
    <t>박민진</t>
  </si>
  <si>
    <t>010-2751-6451</t>
  </si>
  <si>
    <t>2024.08.15-2026.08.14</t>
  </si>
  <si>
    <t>함지윤</t>
  </si>
  <si>
    <t>010-9452-3505</t>
  </si>
  <si>
    <t>2024.12.02-2025.12.01</t>
  </si>
  <si>
    <t>정서윤</t>
  </si>
  <si>
    <t>010-5653-0906</t>
  </si>
  <si>
    <t>2023.06.24-2026.06.23</t>
  </si>
  <si>
    <t>정시아</t>
  </si>
  <si>
    <t>010-7151-6377</t>
  </si>
  <si>
    <t>2024.04.30-2026.04.29</t>
  </si>
  <si>
    <t>이혜진</t>
  </si>
  <si>
    <t>010-3292-0351</t>
  </si>
  <si>
    <t>전세</t>
  </si>
  <si>
    <t>2023.04.19-2027.04.18</t>
  </si>
  <si>
    <t>경기지방중소벤처기업청</t>
  </si>
  <si>
    <t>031-201-6916</t>
  </si>
  <si>
    <t>X</t>
  </si>
  <si>
    <t>거래신고법 시행 이전 계약건/ 담당자: 010-9616-1148 / 실거주자: 010-9822-8322</t>
  </si>
  <si>
    <t>2025.08.02-2026.08.01</t>
  </si>
  <si>
    <t>정한솔</t>
  </si>
  <si>
    <t>010-7745-2735</t>
  </si>
  <si>
    <t>x</t>
  </si>
  <si>
    <t>특약사항 이행, 만기전 퇴실</t>
  </si>
  <si>
    <t>2025.04.18-2026.04.17</t>
  </si>
  <si>
    <t>전유빈</t>
  </si>
  <si>
    <t>010-9964-1427</t>
  </si>
  <si>
    <t>2023.05.31-2026.05.30</t>
  </si>
  <si>
    <t>이혜민</t>
  </si>
  <si>
    <t>010-3235-1460</t>
  </si>
  <si>
    <t>거래신고법 시행 이전 계약, 연장예정</t>
  </si>
  <si>
    <t>2024.12.27-2025.12.26</t>
  </si>
  <si>
    <t>이경일</t>
  </si>
  <si>
    <t>010-3009-4521</t>
  </si>
  <si>
    <t>2025.11.25-2026.11.24</t>
  </si>
  <si>
    <t>박상희</t>
  </si>
  <si>
    <t>2024.02.23-2026.02.22</t>
  </si>
  <si>
    <t>박현정</t>
  </si>
  <si>
    <t xml:space="preserve"> 010-4536-7420</t>
  </si>
  <si>
    <t>연장의사있음/등기로 계약서 작성예정</t>
  </si>
  <si>
    <t>2025.09.30-2026.09.29</t>
  </si>
  <si>
    <t>김지혜</t>
  </si>
  <si>
    <t>증폭기설치호실(lg)</t>
  </si>
  <si>
    <t>2025.06.16-2026.06.15</t>
  </si>
  <si>
    <t>정왕</t>
  </si>
  <si>
    <t>010-7164-4752</t>
  </si>
  <si>
    <t>이지윤</t>
  </si>
  <si>
    <t>010-3288-2948</t>
  </si>
  <si>
    <t>2023.05.01-2026.04.30</t>
  </si>
  <si>
    <t>신정현</t>
  </si>
  <si>
    <t>010-9200-1910</t>
  </si>
  <si>
    <t>계약연장예정</t>
  </si>
  <si>
    <t>2024.01.01-2026.12.31</t>
  </si>
  <si>
    <t>태흥건설</t>
  </si>
  <si>
    <t>054-473-7834</t>
  </si>
  <si>
    <t xml:space="preserve">실거주자: 010-5042-3118/세금계산서 발행 후 매월15~20일 이내 입금 </t>
  </si>
  <si>
    <t>2025.06.30-2026.06.30</t>
  </si>
  <si>
    <t>고승진</t>
  </si>
  <si>
    <t>010-4201-2686</t>
  </si>
  <si>
    <t>임대거래신고 완료, 신고필증 미발급</t>
  </si>
  <si>
    <t>2024.05.31-2026.05.30</t>
  </si>
  <si>
    <t>이지원</t>
  </si>
  <si>
    <t>010-5872-0877</t>
  </si>
  <si>
    <t>연장예정</t>
  </si>
  <si>
    <t>안의형</t>
  </si>
  <si>
    <t>010-6766-4693</t>
  </si>
  <si>
    <t>무타공 증폭기설치호실(kt)/연장예정(연장계약서발송완료_5월)</t>
  </si>
  <si>
    <t>2024.05.27-2026.05.26</t>
  </si>
  <si>
    <t>서상원</t>
  </si>
  <si>
    <t>010-9422-4717</t>
  </si>
  <si>
    <t>2024.07.04-2026.07.03</t>
  </si>
  <si>
    <t>전미정</t>
  </si>
  <si>
    <t>010-2021-8276</t>
  </si>
  <si>
    <t>2024.04.15-2026.04.14</t>
  </si>
  <si>
    <t>이연주</t>
  </si>
  <si>
    <t>010-7648-4276</t>
  </si>
  <si>
    <t>2025.03.28-2026.03.27</t>
  </si>
  <si>
    <t>이시우</t>
  </si>
  <si>
    <t>010-4447-3524</t>
  </si>
  <si>
    <t>2023.11.10-2025.11.09</t>
  </si>
  <si>
    <t>이승철</t>
  </si>
  <si>
    <t>010-2032-9607</t>
  </si>
  <si>
    <t>2024.12.11-2025-12.10</t>
  </si>
  <si>
    <t>안하령</t>
  </si>
  <si>
    <t>010-3650-5798</t>
  </si>
  <si>
    <t>천장누수/한양에 접수완료/12월 중 현장 실사 후 외벽공사예정</t>
  </si>
  <si>
    <t>천장누수/한양에서 쪽도배/12월 중 현장 실사 후 외벽공사예정</t>
  </si>
  <si>
    <t>2025.03.20-2026.03.19</t>
  </si>
  <si>
    <t>이성덕</t>
  </si>
  <si>
    <t>010-2293-3625</t>
  </si>
  <si>
    <t>화장실 배수구냄새가 심함-해결</t>
  </si>
  <si>
    <t>2023.12.11~2025.12.10</t>
  </si>
  <si>
    <t>박보영</t>
  </si>
  <si>
    <t>010-4104-3116</t>
  </si>
  <si>
    <t>2024.05.13-2026.05.12</t>
  </si>
  <si>
    <t>한상구</t>
  </si>
  <si>
    <t>010-3236-9459</t>
  </si>
  <si>
    <t>2023.05.25-2026.05.24</t>
  </si>
  <si>
    <t>이보영의토킹클럽호원어학원</t>
  </si>
  <si>
    <t>031-874-0585</t>
  </si>
  <si>
    <t>대리인: 010-8111-0585(김경석), 연장예정</t>
  </si>
  <si>
    <t>2024.04.20-2026.04.19</t>
  </si>
  <si>
    <t>이다빈</t>
  </si>
  <si>
    <t>010-5179-0918</t>
  </si>
  <si>
    <t xml:space="preserve">   </t>
  </si>
  <si>
    <t>2024.05.13.-2026.05.12</t>
  </si>
  <si>
    <t>김현지</t>
  </si>
  <si>
    <t>010-6309-5389</t>
  </si>
  <si>
    <t>거래신고법 이전 계약건</t>
  </si>
  <si>
    <t>소 계</t>
  </si>
  <si>
    <t>의정부 한양수자인파크뷰 상가</t>
  </si>
  <si>
    <r>
      <rPr>
        <rFont val="Malgun Gothic"/>
        <color/>
        <sz val="11.0"/>
      </rPr>
      <t xml:space="preserve">수익률 </t>
    </r>
    <r>
      <rPr>
        <rFont val="맑은 고딕"/>
        <color/>
        <sz val="8.0"/>
      </rPr>
      <t>(세전)</t>
    </r>
  </si>
  <si>
    <r>
      <rPr>
        <rFont val="Malgun Gothic"/>
        <color/>
        <sz val="11.0"/>
      </rPr>
      <t xml:space="preserve">수익률 </t>
    </r>
    <r>
      <rPr>
        <rFont val="맑은 고딕"/>
        <color/>
        <sz val="9.0"/>
      </rPr>
      <t>(세후)</t>
    </r>
  </si>
  <si>
    <t>상태</t>
  </si>
  <si>
    <t>지출</t>
  </si>
  <si>
    <t>미수금 / 미지급</t>
  </si>
  <si>
    <t>연락처</t>
  </si>
  <si>
    <t>B1</t>
  </si>
  <si>
    <t>임차</t>
  </si>
  <si>
    <t>2022.09.11-2027.10.30</t>
  </si>
  <si>
    <t>010-5141-0245</t>
  </si>
  <si>
    <t>매년 11월 월세 면제(~27.10.30)
교통유발부담금 임차인부담</t>
  </si>
  <si>
    <t>B2</t>
  </si>
  <si>
    <t>공실</t>
  </si>
  <si>
    <t>의정부동 240-142 토지</t>
  </si>
  <si>
    <t>2025 공시지가</t>
  </si>
  <si>
    <t>미수금 / 미지금</t>
  </si>
  <si>
    <t>의정부동
240-142</t>
  </si>
  <si>
    <t>매각 진행중</t>
  </si>
  <si>
    <t>의정부동 240-142 지출총계</t>
  </si>
  <si>
    <t>지급일</t>
  </si>
  <si>
    <t>금액</t>
  </si>
  <si>
    <t>계약금승계</t>
  </si>
  <si>
    <t>2020.06.01 쓰리아이전기</t>
  </si>
  <si>
    <t>계약금</t>
  </si>
  <si>
    <t>잔금</t>
  </si>
  <si>
    <t>소계</t>
  </si>
  <si>
    <t>부대비용</t>
  </si>
  <si>
    <t>수입증지</t>
  </si>
  <si>
    <t>등본</t>
  </si>
  <si>
    <t>취득세</t>
  </si>
  <si>
    <t>지방교육세</t>
  </si>
  <si>
    <t>농어촌특별세</t>
  </si>
  <si>
    <t>정부수입인지</t>
  </si>
  <si>
    <t>법무사 보수</t>
  </si>
  <si>
    <t>국민주택채권</t>
  </si>
  <si>
    <t>등본등제증명</t>
  </si>
  <si>
    <t>중개수수료</t>
  </si>
  <si>
    <t>200만원 미지급</t>
  </si>
  <si>
    <t>금융</t>
  </si>
  <si>
    <t>담보대출</t>
  </si>
  <si>
    <t>2021.09.06 10억 대출
2023.03.07 상환 완료</t>
  </si>
  <si>
    <t>이자</t>
  </si>
  <si>
    <t>평당 최소 3200만원 이상으로 매도 필요</t>
  </si>
  <si>
    <t>낙하리 공장</t>
  </si>
  <si>
    <t>용도</t>
  </si>
  <si>
    <t>감정가격</t>
  </si>
  <si>
    <t>평당가</t>
  </si>
  <si>
    <t>공시지가
(토지 ㎡당)</t>
  </si>
  <si>
    <t>월세
(vat포함)</t>
  </si>
  <si>
    <t>미수금</t>
  </si>
  <si>
    <r>
      <rPr>
        <rFont val="Malgun Gothic"/>
        <color/>
        <sz val="11.0"/>
      </rPr>
      <t>수익률</t>
    </r>
    <r>
      <rPr>
        <rFont val="맑은 고딕"/>
        <color rgb="FF000000"/>
        <sz val="9.0"/>
      </rPr>
      <t>(세전)</t>
    </r>
  </si>
  <si>
    <r>
      <rPr>
        <rFont val="Malgun Gothic"/>
        <color/>
        <sz val="11.0"/>
      </rPr>
      <t xml:space="preserve">수익률
</t>
    </r>
    <r>
      <rPr>
        <rFont val="맑은 고딕"/>
        <color rgb="FF000000"/>
        <sz val="9.0"/>
      </rPr>
      <t>(세후)</t>
    </r>
  </si>
  <si>
    <t>미납내역</t>
  </si>
  <si>
    <t>매물 현황</t>
  </si>
  <si>
    <t>낙하리 301-7</t>
  </si>
  <si>
    <t>공장용지</t>
  </si>
  <si>
    <t>아래 건물 부분에 기입</t>
  </si>
  <si>
    <t>낙하리 301-10</t>
  </si>
  <si>
    <t>도로</t>
  </si>
  <si>
    <t>낙하리 301-11</t>
  </si>
  <si>
    <t>임야</t>
  </si>
  <si>
    <t>낙하리 301-13</t>
  </si>
  <si>
    <t xml:space="preserve">낙하리 301-7 </t>
  </si>
  <si>
    <t>가동</t>
  </si>
  <si>
    <t>나동</t>
  </si>
  <si>
    <t>나일부, 다,라임차
(야스)</t>
  </si>
  <si>
    <t>18.03.19~현재</t>
  </si>
  <si>
    <t>야스 부분임차
낙하리 301-7 토지 및 건물중 좌측칸 약 694㎡ 묵시적갱신</t>
  </si>
  <si>
    <t>다동</t>
  </si>
  <si>
    <t>라동</t>
  </si>
  <si>
    <t>판넬조지붕단층</t>
  </si>
  <si>
    <t>부분임차
(3I)</t>
  </si>
  <si>
    <t>17.06.09~현재</t>
  </si>
  <si>
    <t>3I 부분임차
공장 지붕 약 792㎡ (태양광 인허가 면적)</t>
  </si>
  <si>
    <t>301-7 창고 소계</t>
  </si>
  <si>
    <t>묵시적갱신 
지피에스 미납내역178,750,000원</t>
  </si>
  <si>
    <t>판넬조 단층</t>
  </si>
  <si>
    <t>301-9 공장 소계</t>
  </si>
  <si>
    <t>토지, 건물 합계</t>
  </si>
  <si>
    <t>미수금 합계</t>
  </si>
  <si>
    <t>파주 리버팰리스 단지 상가</t>
  </si>
  <si>
    <t>2024년 공시가격</t>
  </si>
  <si>
    <t>12월 월세 내역</t>
  </si>
  <si>
    <t>1201~1203</t>
  </si>
  <si>
    <t>무상임차</t>
  </si>
  <si>
    <t>1204~1207</t>
  </si>
  <si>
    <t>임차 구하는중</t>
  </si>
  <si>
    <t>지출예정</t>
  </si>
  <si>
    <t>금액예정</t>
  </si>
  <si>
    <t>토지대</t>
  </si>
  <si>
    <t>이자 등</t>
  </si>
  <si>
    <t>간접공사비</t>
  </si>
  <si>
    <t>판관비</t>
  </si>
  <si>
    <t>기타관리비</t>
  </si>
  <si>
    <t>기타</t>
  </si>
  <si>
    <t>지급금액 합계</t>
  </si>
  <si>
    <t>미지급 합계</t>
  </si>
  <si>
    <t>업데이트일</t>
  </si>
  <si>
    <t>연도</t>
  </si>
  <si>
    <t>날짜</t>
  </si>
  <si>
    <t>코드</t>
  </si>
  <si>
    <t>거래처명</t>
  </si>
  <si>
    <t>지출금액</t>
  </si>
  <si>
    <t>항목</t>
  </si>
  <si>
    <t>가능</t>
  </si>
  <si>
    <t>확인필요</t>
  </si>
  <si>
    <t>세부항목</t>
  </si>
  <si>
    <t>회수 불가능</t>
  </si>
  <si>
    <t>회수가능</t>
  </si>
  <si>
    <t>확인필요/부분회수</t>
  </si>
  <si>
    <t>회수불가능</t>
  </si>
  <si>
    <t>11-05</t>
  </si>
  <si>
    <t>제주도 사업부지 취득세 대여(추후 토지대금 대체)</t>
  </si>
  <si>
    <t>98001</t>
  </si>
  <si>
    <t>기업 216-098709-04-011</t>
  </si>
  <si>
    <t>제주</t>
  </si>
  <si>
    <t>불가능</t>
  </si>
  <si>
    <t>토지매입비</t>
  </si>
  <si>
    <t>03-08</t>
  </si>
  <si>
    <t>제주도 사업부지 취득세 회수(토지대금 대체)</t>
  </si>
  <si>
    <t>서귀포시 대정읍 보성리 2538 계약금</t>
  </si>
  <si>
    <t>98034</t>
  </si>
  <si>
    <t>기업(리파이낸싱)216-098709-04-036</t>
  </si>
  <si>
    <t>2025.05-06월 회수 가능성 있음</t>
  </si>
  <si>
    <t>서귀포시 대정읍 보성리 2538 1차 중도금</t>
  </si>
  <si>
    <t>대출 상환</t>
  </si>
  <si>
    <t>납부일부터 정기예금이자율 적용</t>
  </si>
  <si>
    <t>2024.10-12월 회수 가능성 있음</t>
  </si>
  <si>
    <t>09-07</t>
  </si>
  <si>
    <t>서귀포시 대성읍 보성리 2538 중도2차</t>
  </si>
  <si>
    <t>98039</t>
  </si>
  <si>
    <t>수협 1010-2204-3023</t>
  </si>
  <si>
    <t>03-07</t>
  </si>
  <si>
    <t>제주토지 3차 중도금 일부</t>
  </si>
  <si>
    <t>합계 토지대</t>
  </si>
  <si>
    <t>07-04</t>
  </si>
  <si>
    <t>제주 보성리 2538 토지 계약금, 중도1차 취득세</t>
  </si>
  <si>
    <t>토지 취득세</t>
  </si>
  <si>
    <t>11-07</t>
  </si>
  <si>
    <t>제주 보성리 2538 토지 중도2차 취득세</t>
  </si>
  <si>
    <t>05-08</t>
  </si>
  <si>
    <t>제주토지3차 일부 취득세 68억*4.6%</t>
  </si>
  <si>
    <t>07-25</t>
  </si>
  <si>
    <t>제주 토지 취득세 환급(50%)</t>
  </si>
  <si>
    <t>합계 취득세</t>
  </si>
  <si>
    <t>08-12</t>
  </si>
  <si>
    <t>제주토지이자 139.26억*4.58%*31/365</t>
  </si>
  <si>
    <t>토지대 이자</t>
  </si>
  <si>
    <t>토지담보대출이자</t>
  </si>
  <si>
    <t>09-13</t>
  </si>
  <si>
    <t>제주토지이자 277.15억*4.58%*31(3)/365</t>
  </si>
  <si>
    <t>10-12</t>
  </si>
  <si>
    <t>제주토지이자 277.15억*4.58%*30/365</t>
  </si>
  <si>
    <t>11-14</t>
  </si>
  <si>
    <t>제주토지이자 277.15억*5.05%*31/365</t>
  </si>
  <si>
    <t>12-12</t>
  </si>
  <si>
    <t>01-12</t>
  </si>
  <si>
    <t>제주토지 이자 277.15억*5.05%*31/365</t>
  </si>
  <si>
    <t>02-13</t>
  </si>
  <si>
    <t>제주토지 이자 277.15억*5.86%*31/365</t>
  </si>
  <si>
    <t>03-13</t>
  </si>
  <si>
    <t>제주토지 이자 277.15억*5.86%*28/365</t>
  </si>
  <si>
    <t>04-12</t>
  </si>
  <si>
    <t>05-12</t>
  </si>
  <si>
    <t>제주토지 이자 277.15억*6.64%*30/365</t>
  </si>
  <si>
    <t>06-12</t>
  </si>
  <si>
    <t>제주토지 이자 277.15억*6.64%*31/365</t>
  </si>
  <si>
    <t>07-12</t>
  </si>
  <si>
    <t>제주토지 이자 277.15억*0.5% 선취수수료</t>
  </si>
  <si>
    <t>제주토지 이자 277.15억*5.40%*31/365</t>
  </si>
  <si>
    <t>09-12</t>
  </si>
  <si>
    <t>제주토지 이자 277.15억*5.40%*30/365</t>
  </si>
  <si>
    <t>11-13</t>
  </si>
  <si>
    <t>01-03</t>
  </si>
  <si>
    <t>제주토지 이자 277.15억*5.46%*22/365(366)</t>
  </si>
  <si>
    <t>제주토지 이자 277.15억*5.46%*9/366</t>
  </si>
  <si>
    <t>제주토지 이자 277.15억*5.46%*31/366</t>
  </si>
  <si>
    <t>03-12</t>
  </si>
  <si>
    <t>제주토지 이자 277.15억*5.46%*29/366</t>
  </si>
  <si>
    <t>03-26</t>
  </si>
  <si>
    <t>제주토지 이자 139.26억*5.46%*14/366</t>
  </si>
  <si>
    <t>중도상환수수료 115억*1.3%*108/731*50%</t>
  </si>
  <si>
    <t>제주토지이자 137.89억*5.47%</t>
  </si>
  <si>
    <t>제주토지이자 5.47%</t>
  </si>
  <si>
    <t>04-18</t>
  </si>
  <si>
    <t>중도상환시 이자 60억*5.47%</t>
  </si>
  <si>
    <t>04-19</t>
  </si>
  <si>
    <t>중도상환시 이자 34억*5.47%</t>
  </si>
  <si>
    <t>05-13</t>
  </si>
  <si>
    <t>제주토지이자 68.15억*5.47%</t>
  </si>
  <si>
    <t>05-29</t>
  </si>
  <si>
    <t>06-13</t>
  </si>
  <si>
    <t>제주토지이자 28.15억*5.47%</t>
  </si>
  <si>
    <t>06-21</t>
  </si>
  <si>
    <t>합계 토지대 이자</t>
  </si>
  <si>
    <t>중도금 납부 지연손해금(리파이낸싱 약정제외)</t>
  </si>
  <si>
    <t>토지 기타</t>
  </si>
  <si>
    <t>지연손해금</t>
  </si>
  <si>
    <t>제주사업 담보대출 1차 입금 인지세</t>
  </si>
  <si>
    <t>토지기타</t>
  </si>
  <si>
    <t>합계 토지대 기타</t>
  </si>
  <si>
    <t>설계비</t>
  </si>
  <si>
    <t>합계 토지관련 비용 일체</t>
  </si>
  <si>
    <t>03-16</t>
  </si>
  <si>
    <t>제주영어도시 설계비 계약금 30%</t>
  </si>
  <si>
    <t>03-17</t>
  </si>
  <si>
    <t>05-19</t>
  </si>
  <si>
    <t>제주 계획설계용역</t>
  </si>
  <si>
    <t>02-08</t>
  </si>
  <si>
    <t>제주 인테리어 설계 계약금</t>
  </si>
  <si>
    <t>03-10</t>
  </si>
  <si>
    <t>제주 설계비 중도</t>
  </si>
  <si>
    <t>04-24</t>
  </si>
  <si>
    <t>제주 외부설계디자인 계약금</t>
  </si>
  <si>
    <t>05-02</t>
  </si>
  <si>
    <t>제주 모형제작 계약금</t>
  </si>
  <si>
    <t>06-20</t>
  </si>
  <si>
    <t>제주 설계비 3차</t>
  </si>
  <si>
    <t>합계 설계비</t>
  </si>
  <si>
    <t>04-21</t>
  </si>
  <si>
    <t>제주 현장부지 컨테이너</t>
  </si>
  <si>
    <t>계약기간 일수대비 차액 회수</t>
  </si>
  <si>
    <t>합계 간접 공사비</t>
  </si>
  <si>
    <t>03-31</t>
  </si>
  <si>
    <t>아라일동 6035-2 MH 건물 계약금</t>
  </si>
  <si>
    <t>건물 매매시 예상수익</t>
  </si>
  <si>
    <t>MH 건립비</t>
  </si>
  <si>
    <t>04-03</t>
  </si>
  <si>
    <t>아라일동 6035-2 MH 건물 잔금</t>
  </si>
  <si>
    <t>04-28</t>
  </si>
  <si>
    <t>제주 MH 리모델링 계약금</t>
  </si>
  <si>
    <t>06-01</t>
  </si>
  <si>
    <t>제주 모델하우스 견본주택 취득세 2.2%</t>
  </si>
  <si>
    <t>제주 홍보관 토지 임차계약금</t>
  </si>
  <si>
    <t>임차보증금</t>
  </si>
  <si>
    <t>24.06.08 회수완료</t>
  </si>
  <si>
    <t>제주 홍보관 토지 임차보증금</t>
  </si>
  <si>
    <t>04-07</t>
  </si>
  <si>
    <t>아라일동 6035-2 MH 토지 임차계약금</t>
  </si>
  <si>
    <t>토지 임차보증금 잔금 미지급건</t>
  </si>
  <si>
    <t>제주 MH 컨테이너 임대 및 설치</t>
  </si>
  <si>
    <t>중고매매</t>
  </si>
  <si>
    <t>MH 운영비</t>
  </si>
  <si>
    <t>제주 MH 전력비</t>
  </si>
  <si>
    <t>제주 MH 에어컨</t>
  </si>
  <si>
    <t>05-22</t>
  </si>
  <si>
    <t>제주 MH 통신비</t>
  </si>
  <si>
    <t>05-30</t>
  </si>
  <si>
    <t>제주 분양대행사 체력단련비</t>
  </si>
  <si>
    <t>06-30</t>
  </si>
  <si>
    <t>제주 MH 소방안전</t>
  </si>
  <si>
    <t>제주 MH 4,5,6월 보안</t>
  </si>
  <si>
    <t>07-10</t>
  </si>
  <si>
    <t>제주 MH 보안</t>
  </si>
  <si>
    <t>제주 사무실 집기류 렌탈</t>
  </si>
  <si>
    <t>홍보관 운영비</t>
  </si>
  <si>
    <t>04-04</t>
  </si>
  <si>
    <t>제주 홍보관 인테리어 계약금</t>
  </si>
  <si>
    <t>제주 홍보관 연세</t>
  </si>
  <si>
    <t>제주 홍보관 중개수수료</t>
  </si>
  <si>
    <t>홍보관 복합기, 커피머신,제빙기등</t>
  </si>
  <si>
    <t>복합기 임차보증금</t>
  </si>
  <si>
    <t>04-13</t>
  </si>
  <si>
    <t>제주 홍보관 벽면 tv</t>
  </si>
  <si>
    <t>제주 홍보관 인테리어, 전기공사</t>
  </si>
  <si>
    <t>제주 복합기 임차료</t>
  </si>
  <si>
    <t>05-25</t>
  </si>
  <si>
    <t>제주 홍보관 통신비</t>
  </si>
  <si>
    <t>06-26</t>
  </si>
  <si>
    <t>제주 홍보관 상하수도</t>
  </si>
  <si>
    <t>제주 홍보관 관리비</t>
  </si>
  <si>
    <t>제주 커피</t>
  </si>
  <si>
    <t>07-31</t>
  </si>
  <si>
    <t>08-21</t>
  </si>
  <si>
    <t>08-25</t>
  </si>
  <si>
    <t>09-21</t>
  </si>
  <si>
    <t>09-25</t>
  </si>
  <si>
    <t>제주 MH 리모델링공사</t>
  </si>
  <si>
    <t>09-27</t>
  </si>
  <si>
    <t>제주 MH 보안 7,8,9월</t>
  </si>
  <si>
    <t>10-10</t>
  </si>
  <si>
    <t>제주 MH 복합기렌탈 7,8,9월</t>
  </si>
  <si>
    <t>제주 MH 전력비 7,8,9월</t>
  </si>
  <si>
    <t>제주 커피머신렌탈 7,8,9월</t>
  </si>
  <si>
    <t>11-23</t>
  </si>
  <si>
    <t>제주 현수막 철거</t>
  </si>
  <si>
    <t>12-29</t>
  </si>
  <si>
    <t>제주 분양대행사 인건비</t>
  </si>
  <si>
    <t>04-09</t>
  </si>
  <si>
    <t>제주 홍보관 철거 계약금</t>
  </si>
  <si>
    <t>제주 홍보관 철거 잔금</t>
  </si>
  <si>
    <t>제주 홍보관 관리비 23.10-24.04</t>
  </si>
  <si>
    <t>09-23</t>
  </si>
  <si>
    <t>제주 MH 임차료 등 합의금</t>
  </si>
  <si>
    <t>합계 MH하우스 관련 일체</t>
  </si>
  <si>
    <t>제주 광고대행 계약금</t>
  </si>
  <si>
    <t>광고대행비</t>
  </si>
  <si>
    <t>제주 광고대행 계약2차</t>
  </si>
  <si>
    <t>제주 광고비</t>
  </si>
  <si>
    <t>합계 광고비</t>
  </si>
  <si>
    <t>12-06</t>
  </si>
  <si>
    <t>제주도 사업부지 입간판설치</t>
  </si>
  <si>
    <t>홍보비</t>
  </si>
  <si>
    <t>제주 MH 현수막</t>
  </si>
  <si>
    <t>제주 홈페이지 계약금</t>
  </si>
  <si>
    <t>04-20</t>
  </si>
  <si>
    <t>제주 홍보관 광고용 와인 15,000*75</t>
  </si>
  <si>
    <t>홍보관 홍보용 와인구매 15,000*25</t>
  </si>
  <si>
    <t>제주 광고대(와인2차)</t>
  </si>
  <si>
    <t>05-18</t>
  </si>
  <si>
    <t>제주 홍보관 외부 광고물</t>
  </si>
  <si>
    <t>제주 항공촬영</t>
  </si>
  <si>
    <t>제주 랩핑차량 주차위반 과태료*13</t>
  </si>
  <si>
    <t>판관비 기타 비용</t>
  </si>
  <si>
    <t>합계 판관비</t>
  </si>
  <si>
    <t>제주 에너지절약 평가</t>
  </si>
  <si>
    <t>사업승인용역비</t>
  </si>
  <si>
    <t>04-17</t>
  </si>
  <si>
    <t>제주사업성평가 용역 계약금</t>
  </si>
  <si>
    <t>05-03</t>
  </si>
  <si>
    <t>제주 주택건설사업 등록면허세</t>
  </si>
  <si>
    <t>제주 장기임대사업자 등록면허세</t>
  </si>
  <si>
    <t>06-16</t>
  </si>
  <si>
    <t>제주 등본 열람용역</t>
  </si>
  <si>
    <t>제주 PF 약정서 검토</t>
  </si>
  <si>
    <t>10-27</t>
  </si>
  <si>
    <t>JDC 소송 착수금</t>
  </si>
  <si>
    <t>합계 기타 관리비</t>
  </si>
  <si>
    <t>03-21</t>
  </si>
  <si>
    <t>롯데회원권 계약금 10%</t>
  </si>
  <si>
    <t>04-11</t>
  </si>
  <si>
    <t>롯데회원권 잔금 및 부대비용</t>
  </si>
  <si>
    <t>06-09</t>
  </si>
  <si>
    <t>롯데회원권 매입 취득세 2.2%</t>
  </si>
  <si>
    <t xml:space="preserve">합계 기타 </t>
  </si>
  <si>
    <t>지급합계</t>
  </si>
  <si>
    <t>토지 중도1,2차 차입금 제외</t>
  </si>
  <si>
    <t>미집행금액</t>
  </si>
  <si>
    <t>제주 토지 중도금 3차 잔액</t>
  </si>
  <si>
    <t>제주 토지 중도금 4차</t>
  </si>
  <si>
    <t>제주 토지 중도금 5차</t>
  </si>
  <si>
    <t>제주 토지 잔금</t>
  </si>
  <si>
    <t>제주 토지 중도금 3차 잔액 지연손해금</t>
  </si>
  <si>
    <t>제주 토지 중도금 4차 지연손해금</t>
  </si>
  <si>
    <t>제주 토지 중도금 5차 지연손해금</t>
  </si>
  <si>
    <t>제주 토지 잔금 지연손해금</t>
  </si>
  <si>
    <t>합계 토지 지연손해금</t>
  </si>
  <si>
    <t>제주 토지 중도금 3차 연부취득세</t>
  </si>
  <si>
    <t>공공임대 감면 50% 반영</t>
  </si>
  <si>
    <t>제주 토지 중도금 4차 연부취득세</t>
  </si>
  <si>
    <t>제주 토지 중도금 5차 연부취득세</t>
  </si>
  <si>
    <t>제주 토지 잔금 연부취득세</t>
  </si>
  <si>
    <t>취득세(미납)(50%감면기준)</t>
  </si>
  <si>
    <t>제주 건축설계</t>
  </si>
  <si>
    <t>제주 단위세대 설계</t>
  </si>
  <si>
    <t>제주 모형제작</t>
  </si>
  <si>
    <t>원계약1.5억+도면변경 0.2억</t>
  </si>
  <si>
    <t>* 공정율 85% -기지급금액 0.45억</t>
  </si>
  <si>
    <t>제주 녹색건축 예비인증수수료</t>
  </si>
  <si>
    <t>제주 에너지효율등급 인증 수수료</t>
  </si>
  <si>
    <t>제주 경계복원측량</t>
  </si>
  <si>
    <t>제주 MH 개보수공사</t>
  </si>
  <si>
    <t>기성 32% 기준/ 혜윰 지급요청금액</t>
  </si>
  <si>
    <t>*계약금 기준시 78,870,000원 미지급</t>
  </si>
  <si>
    <t>제주 MH 소방안전관리대행 6,7,8월</t>
  </si>
  <si>
    <t>제주 MH 임시전력임대료(1년)</t>
  </si>
  <si>
    <t xml:space="preserve">제주 멀티비전 </t>
  </si>
  <si>
    <t>제주 주민세</t>
  </si>
  <si>
    <t>미지급합계</t>
  </si>
  <si>
    <t>향남역 에듀스퀘어</t>
  </si>
  <si>
    <t>** 계약시 할인 금액 확인 가능</t>
  </si>
  <si>
    <t>선임대</t>
  </si>
  <si>
    <t>수수료(VAT포함)</t>
  </si>
  <si>
    <t>분양여부</t>
  </si>
  <si>
    <t>호실</t>
  </si>
  <si>
    <t>원가</t>
  </si>
  <si>
    <t>전용면적(평)</t>
  </si>
  <si>
    <t>분양면적(평)</t>
  </si>
  <si>
    <t>기존분양가(VAT제외)</t>
  </si>
  <si>
    <t>기존분양가(유성)</t>
  </si>
  <si>
    <t>기존분양가(VAT포함)</t>
  </si>
  <si>
    <t>할인분양가(VAT제외)</t>
  </si>
  <si>
    <t>할인분양가(선인)</t>
  </si>
  <si>
    <t>최종할인분양가(VAT포함)</t>
  </si>
  <si>
    <t>할인금액</t>
  </si>
  <si>
    <t>할인율</t>
  </si>
  <si>
    <t>이름</t>
  </si>
  <si>
    <t>계약일자</t>
  </si>
  <si>
    <t>중도금</t>
  </si>
  <si>
    <t>잔액</t>
  </si>
  <si>
    <t>입금합계</t>
  </si>
  <si>
    <t>인테리어 시작일</t>
  </si>
  <si>
    <t>임대</t>
  </si>
  <si>
    <t>총 수수료</t>
  </si>
  <si>
    <t>지출예상수수료</t>
  </si>
  <si>
    <t>건물비율</t>
  </si>
  <si>
    <t>토지비율</t>
  </si>
  <si>
    <t>건물</t>
  </si>
  <si>
    <t>부가세</t>
  </si>
  <si>
    <t>입금일</t>
  </si>
  <si>
    <t>입금액</t>
  </si>
  <si>
    <t>비율</t>
  </si>
  <si>
    <t>입금예상일</t>
  </si>
  <si>
    <t>선임대여부</t>
  </si>
  <si>
    <t>업종</t>
  </si>
  <si>
    <t>계약만기일</t>
  </si>
  <si>
    <t>잔여일</t>
  </si>
  <si>
    <t>월세(vat미포함)</t>
  </si>
  <si>
    <t>할인전 수익률</t>
  </si>
  <si>
    <t>할인후 수익률</t>
  </si>
  <si>
    <t>임대료 납부일</t>
  </si>
  <si>
    <t>지출예상 분양수수료</t>
  </si>
  <si>
    <t>지출예상 선임대수수료</t>
  </si>
  <si>
    <t>1종근린생활시설</t>
  </si>
  <si>
    <t>고승권</t>
  </si>
  <si>
    <t>GS마트</t>
  </si>
  <si>
    <t>2024.08.01-2029.07.31</t>
  </si>
  <si>
    <t>매월 15일(후불)</t>
  </si>
  <si>
    <t>중개사무소</t>
  </si>
  <si>
    <t>매월 2일(선불)</t>
  </si>
  <si>
    <t>렌트프리3개월(10/31까지)</t>
  </si>
  <si>
    <t>최수연</t>
  </si>
  <si>
    <t>교습소</t>
  </si>
  <si>
    <t>2024.08.01-2026.07.31</t>
  </si>
  <si>
    <t>2종근린생활시설</t>
  </si>
  <si>
    <t>잉글루(영어학원), 코딩</t>
  </si>
  <si>
    <t>민경준</t>
  </si>
  <si>
    <t>태권도</t>
  </si>
  <si>
    <t>2024.07.10-2026.07.10</t>
  </si>
  <si>
    <t>임대 합계</t>
  </si>
  <si>
    <t>미수임대료</t>
  </si>
  <si>
    <t>수수료 총합</t>
  </si>
  <si>
    <t>분양완료호실</t>
  </si>
  <si>
    <t>*부가세 별도</t>
  </si>
  <si>
    <t>단지명</t>
  </si>
  <si>
    <t>중도1차(유성)</t>
  </si>
  <si>
    <t>관리비</t>
  </si>
  <si>
    <t>분양수수료</t>
  </si>
  <si>
    <t>지급수수료</t>
  </si>
  <si>
    <t>계약금 납부일</t>
  </si>
  <si>
    <t>잔금납부일</t>
  </si>
  <si>
    <t>대행사</t>
  </si>
  <si>
    <t>총 금액</t>
  </si>
  <si>
    <t>계약금 지급시</t>
  </si>
  <si>
    <t>중도금1차 지급시</t>
  </si>
  <si>
    <t>잔금 지급시</t>
  </si>
  <si>
    <t>1차지급 수수료 50%</t>
  </si>
  <si>
    <t>2차지급 수수료 25%</t>
  </si>
  <si>
    <t>유보금 25%</t>
  </si>
  <si>
    <t>향남역
에듀스퀘어</t>
  </si>
  <si>
    <t>변상준</t>
  </si>
  <si>
    <t>010-9155-1489</t>
  </si>
  <si>
    <t>분 양 완 료 (부동산)</t>
  </si>
  <si>
    <t>선인</t>
  </si>
  <si>
    <t>김상희</t>
  </si>
  <si>
    <t>010-9899-8004</t>
  </si>
  <si>
    <t>김도훈</t>
  </si>
  <si>
    <t>010-7777-5210</t>
  </si>
  <si>
    <t>전혜순</t>
  </si>
  <si>
    <t>010-5321-3807</t>
  </si>
  <si>
    <t>지원앤인더스트리</t>
  </si>
  <si>
    <t>010-9185-9177</t>
  </si>
  <si>
    <t>분 양 완 료 (약국/독점 예정)</t>
  </si>
  <si>
    <t>유성</t>
  </si>
  <si>
    <t>주석진,이선자</t>
  </si>
  <si>
    <t>010-2495-6399(주석진)</t>
  </si>
  <si>
    <t>분양완료(CU편의점 독점)</t>
  </si>
  <si>
    <t>010-8870-3930(이선자)</t>
  </si>
  <si>
    <t>김미숙</t>
  </si>
  <si>
    <t>010-8577-1776</t>
  </si>
  <si>
    <t>분양완료(호프집예정)</t>
  </si>
  <si>
    <t>주식회사 위드산업조명</t>
  </si>
  <si>
    <t>010-6396-7122(장선욱)</t>
  </si>
  <si>
    <t>010-9410-1711(김성현)</t>
  </si>
  <si>
    <t>향남역 단독, 상가주택부지</t>
  </si>
  <si>
    <t>위치</t>
  </si>
  <si>
    <t>BL</t>
  </si>
  <si>
    <t>2025년 공시지가</t>
  </si>
  <si>
    <t>분양 예정가</t>
  </si>
  <si>
    <t>원가 계산</t>
  </si>
  <si>
    <t>영업 현황</t>
  </si>
  <si>
    <t>분양대행사 수수료(정찰제)</t>
  </si>
  <si>
    <t>평당분양가</t>
  </si>
  <si>
    <t>장부가액</t>
  </si>
  <si>
    <t>금융비용</t>
  </si>
  <si>
    <t>도시계획시설
+대지조성공사</t>
  </si>
  <si>
    <t>총취득원가</t>
  </si>
  <si>
    <t>평당취득가</t>
  </si>
  <si>
    <t>단독주택부지</t>
  </si>
  <si>
    <t>상신리 664-1 일원</t>
  </si>
  <si>
    <t>C1-1</t>
  </si>
  <si>
    <t>C1-2</t>
  </si>
  <si>
    <t>C1-3</t>
  </si>
  <si>
    <t>C1-4</t>
  </si>
  <si>
    <t>상신리 665-59 일원</t>
  </si>
  <si>
    <t>C1-5</t>
  </si>
  <si>
    <t>C1-6</t>
  </si>
  <si>
    <t>C1-7</t>
  </si>
  <si>
    <t>상가주택부지</t>
  </si>
  <si>
    <t>상신리 663-10 일원</t>
  </si>
  <si>
    <t>C1-8</t>
  </si>
  <si>
    <t>C1-9</t>
  </si>
  <si>
    <t>C1-10</t>
  </si>
  <si>
    <t>상신리 664 일원</t>
  </si>
  <si>
    <t>C1-11</t>
  </si>
  <si>
    <t>상신리 663 일원</t>
  </si>
  <si>
    <t>C1-12</t>
  </si>
  <si>
    <t>C1-13</t>
  </si>
  <si>
    <t>C1-14</t>
  </si>
  <si>
    <t>C1-15</t>
  </si>
  <si>
    <t>* 분양대행사는 수수료범위 이내에서 분양가격 조정판매 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</si>
</sst>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3">
    <numFmt numFmtId="164" formatCode="[$-F800]dddd\,\ mmmm\ dd\,\ yyyy"/>
    <numFmt numFmtId="165" formatCode="&quot;향남 에듀스퀘어 미분양&quot;\ ##&quot;세대&quot;"/>
    <numFmt numFmtId="166" formatCode="#,##0_ "/>
    <numFmt numFmtId="167" formatCode="_-* #,##0_-;\-* #,##0_-;_-* &quot;-&quot;_-;_-@"/>
    <numFmt numFmtId="168" formatCode="&quot;향남 에듀스퀘어 분양계약&quot;\ 0##&quot;세대&quot;"/>
    <numFmt numFmtId="169" formatCode="&quot;향남 에듀스퀘어 임대 &quot;\ ##&quot;세&quot;&quot;대&quot;"/>
    <numFmt numFmtId="170" formatCode="#,##0_);[Red]\(#,##0\)"/>
    <numFmt numFmtId="171" formatCode="#,###.##&quot;㎡&quot;"/>
    <numFmt numFmtId="172" formatCode="#,###.##&quot;평&quot;"/>
    <numFmt numFmtId="173" formatCode="0_ "/>
    <numFmt numFmtId="174" formatCode="#,##0_);\(#,##0\)"/>
    <numFmt numFmtId="175" formatCode="###&quot;일&quot;"/>
    <numFmt numFmtId="176" formatCode="0.0%"/>
    <numFmt numFmtId="177" formatCode="0.0"/>
    <numFmt numFmtId="178" formatCode="_-* #,##0.00_-;\-* #,##0.00_-;_-* &quot;-&quot;??_-;_-@"/>
    <numFmt numFmtId="179" formatCode="#,###&quot;㎡&quot;"/>
    <numFmt numFmtId="180" formatCode="#,###&quot;평&quot;"/>
    <numFmt numFmtId="181" formatCode="#,##0.0_);[Red]\(#,##0.0\)"/>
    <numFmt numFmtId="182" formatCode="yyyy/mm"/>
    <numFmt numFmtId="183" formatCode="_(* #,##0_);_(* \(#,##0\);_(* &quot;-&quot;_);_(@_)"/>
    <numFmt numFmtId="184" formatCode="mm&quot;월&quot;\ &quot;관&quot;&quot;리&quot;&quot;비&quot;"/>
    <numFmt numFmtId="185" formatCode="0.0000%"/>
    <numFmt numFmtId="186" formatCode="0.0_ "/>
    <numFmt numFmtId="187" formatCode="#,##0.0_ "/>
    <numFmt numFmtId="188" formatCode="&quot;전&quot;&quot;체&quot;\ &quot;합&quot;&quot;계&quot;\(##&quot;호&quot;&quot;실&quot;\)"/>
    <numFmt numFmtId="189" formatCode="&quot;시행사보유분 전체합계&quot;\ \(##&quot;개&quot;\ &quot;호&quot;&quot;실&quot;\)"/>
    <numFmt numFmtId="190" formatCode="&quot;분&quot;&quot;양&quot;\ &quot;합&quot;&quot;계&quot;\(0##&quot;호&quot;&quot;실&quot;\)"/>
    <numFmt numFmtId="191" formatCode="&quot;시행사보유분 확정합계&quot;\ \(##&quot;개 호실&quot;\)"/>
    <numFmt numFmtId="192" formatCode="&quot;미&quot;&quot;분&quot;&quot;양&quot;\ &quot;합&quot;&quot;계&quot;\(##&quot;호&quot;&quot;실&quot;\)"/>
    <numFmt numFmtId="193" formatCode="&quot;시행사보유분 예정합계&quot;\ \(##&quot;개 호실&quot;\)"/>
    <numFmt numFmtId="194" formatCode="0_);[Red]\(0\)"/>
    <numFmt numFmtId="195" formatCode="&quot;분&quot;&quot;양&quot;\ &quot;및&quot;\ &quot;잔&quot;&quot;급&quot;\ &quot;완&quot;&quot;납&quot;\ &quot;합&quot;&quot;계&quot;\(##&quot;호&quot;&quot;실&quot;\)"/>
    <numFmt numFmtId="196" formatCode="#,##0.00_ "/>
  </numFmts>
  <fonts count="32">
    <font>
      <sz val="11.0"/>
      <color/>
      <name val="Arial"/>
      <scheme val="minor"/>
    </font>
    <font>
      <b/>
      <sz val="12.0"/>
      <name val="Malgun Gothic"/>
    </font>
    <font>
      <b/>
      <sz val="12.0"/>
      <color/>
      <name val="Malgun Gothic"/>
    </font>
    <font>
      <b/>
      <sz val="11.0"/>
      <color/>
      <name val="Malgun Gothic"/>
    </font>
    <font>
      <sz val="11.0"/>
      <color/>
      <name val="Malgun Gothic"/>
    </font>
    <font>
      <sz val="11.0"/>
      <name val="Malgun Gothic"/>
    </font>
    <font/>
    <font>
      <b/>
      <sz val="18.0"/>
      <color/>
      <name val="Malgun Gothic"/>
    </font>
    <font>
      <b/>
      <sz val="14.0"/>
      <color/>
      <name val="Malgun Gothic"/>
    </font>
    <font>
      <b/>
      <sz val="10.0"/>
      <color/>
      <name val="Malgun Gothic"/>
    </font>
    <font>
      <sz val="11.0"/>
      <color rgb="FFFF0000"/>
      <name val="Malgun Gothic"/>
    </font>
    <font>
      <sz val="10.0"/>
      <color/>
      <name val="Malgun Gothic"/>
    </font>
    <font>
      <sz val="10.0"/>
      <color rgb="FFFF0000"/>
      <name val="Malgun Gothic"/>
    </font>
    <font>
      <sz val="10.0"/>
      <name val="Malgun Gothic"/>
    </font>
    <font>
      <b/>
      <sz val="14.0"/>
      <color rgb="FF000000"/>
      <name val="Malgun Gothic"/>
    </font>
    <font>
      <b/>
      <sz val="11.0"/>
      <color rgb="FF000000"/>
      <name val="Malgun Gothic"/>
    </font>
    <font>
      <sz val="11.0"/>
      <color rgb="FF808080"/>
      <name val="Malgun Gothic"/>
    </font>
    <font>
      <b/>
      <sz val="11.0"/>
      <color rgb="FFFF0000"/>
      <name val="Malgun Gothic"/>
    </font>
    <font>
      <b/>
      <sz val="12.0"/>
      <color rgb="FFFF0000"/>
      <name val="Malgun Gothic"/>
    </font>
    <font>
      <sz val="8.0"/>
      <name val="Malgun Gothic"/>
    </font>
    <font>
      <sz val="6.0"/>
      <color/>
      <name val="Malgun Gothic"/>
    </font>
    <font>
      <sz val="11.0"/>
      <color rgb="FF000000"/>
      <name val="Malgun Gothic"/>
    </font>
    <font>
      <b/>
      <sz val="10.0"/>
      <color rgb="FF000000"/>
      <name val="Malgun Gothic"/>
    </font>
    <font>
      <b/>
      <sz val="11.0"/>
      <color rgb="FF404040"/>
      <name val="Malgun Gothic"/>
    </font>
    <font>
      <b/>
      <sz val="11.0"/>
      <name val="Malgun Gothic"/>
    </font>
    <font>
      <sz val="11.0"/>
      <color rgb="FF404040"/>
      <name val="Malgun Gothic"/>
    </font>
    <font>
      <sz val="8.0"/>
      <color/>
      <name val="Malgun Gothic"/>
    </font>
    <font>
      <sz val="12.0"/>
      <color/>
      <name val="Malgun Gothic"/>
    </font>
    <font>
      <b/>
      <sz val="12.0"/>
      <color rgb="FF000000"/>
      <name val="Malgun Gothic"/>
    </font>
    <font>
      <sz val="8.0"/>
      <color rgb="FF000000"/>
      <name val="Malgun Gothic"/>
    </font>
    <font>
      <sz val="11.0"/>
      <color rgb="FF5B9BD5"/>
      <name val="Malgun Gothic"/>
    </font>
    <font>
      <sz val="11.0"/>
      <color rgb="FF00B0F0"/>
      <name val="Malgun Gothic"/>
    </font>
  </fonts>
  <fills count="29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FE2B7"/>
        <bgColor rgb="FFFFE2B7"/>
      </patternFill>
    </fill>
    <fill>
      <patternFill patternType="solid">
        <fgColor rgb="FFE8E8E8"/>
        <bgColor rgb="FFE8E8E8"/>
      </patternFill>
    </fill>
    <fill>
      <patternFill patternType="solid">
        <fgColor rgb="FFD9F2D0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AE2D5"/>
        <bgColor rgb="FFFAE2D5"/>
      </patternFill>
    </fill>
    <fill>
      <patternFill patternType="solid">
        <fgColor rgb="FFE7E6E6"/>
        <bgColor rgb="FFE7E6E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D0CECE"/>
        <bgColor rgb="FFD0CECE"/>
      </patternFill>
    </fill>
    <fill>
      <patternFill patternType="solid">
        <fgColor rgb="FFF1CEEE"/>
        <bgColor rgb="FFF1CEEE"/>
      </patternFill>
    </fill>
    <fill>
      <patternFill patternType="solid">
        <fgColor rgb="FFB3E5A1"/>
        <bgColor rgb="FFB3E5A1"/>
      </patternFill>
    </fill>
    <fill>
      <patternFill patternType="solid">
        <fgColor rgb="FFFF99FF"/>
        <bgColor rgb="FFFF99FF"/>
      </patternFill>
    </fill>
    <fill>
      <patternFill patternType="solid">
        <fgColor rgb="FF83CAEB"/>
        <bgColor rgb="FF83CAEB"/>
      </patternFill>
    </fill>
    <fill>
      <patternFill patternType="solid">
        <fgColor rgb="FFCC99FF"/>
        <bgColor rgb="FFCC99FF"/>
      </patternFill>
    </fill>
    <fill>
      <patternFill patternType="solid">
        <fgColor rgb="FFB061FF"/>
        <bgColor rgb="FFB061FF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10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top/>
      <bottom/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</border>
    <border>
      <lef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</border>
    <border>
      <left style="medium">
        <color rgb="FFFF0000"/>
      </left>
      <right style="medium">
        <color rgb="FFFF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71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horizontal="left" vertical="center"/>
    </xf>
    <xf borderId="1" fillId="0" fontId="5" numFmtId="166" xfId="0" applyAlignment="1" applyBorder="1" applyFont="1" applyNumberFormat="1">
      <alignment vertical="center"/>
    </xf>
    <xf borderId="1" fillId="0" fontId="5" numFmtId="167" xfId="0" applyAlignment="1" applyBorder="1" applyFont="1" applyNumberFormat="1">
      <alignment horizontal="left" vertical="center"/>
    </xf>
    <xf borderId="3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vertical="center"/>
    </xf>
    <xf borderId="1" fillId="0" fontId="4" numFmtId="168" xfId="0" applyAlignment="1" applyBorder="1" applyFont="1" applyNumberFormat="1">
      <alignment horizontal="left" vertical="center"/>
    </xf>
    <xf borderId="1" fillId="0" fontId="5" numFmtId="166" xfId="0" applyAlignment="1" applyBorder="1" applyFont="1" applyNumberFormat="1">
      <alignment horizontal="right" vertical="center"/>
    </xf>
    <xf borderId="1" fillId="0" fontId="4" numFmtId="169" xfId="0" applyAlignment="1" applyBorder="1" applyFont="1" applyNumberFormat="1">
      <alignment horizontal="left" vertical="center"/>
    </xf>
    <xf borderId="5" fillId="0" fontId="6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5" numFmtId="167" xfId="0" applyAlignment="1" applyBorder="1" applyFont="1" applyNumberFormat="1">
      <alignment vertical="center"/>
    </xf>
    <xf borderId="1" fillId="3" fontId="5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4" numFmtId="166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vertical="center"/>
    </xf>
    <xf borderId="1" fillId="0" fontId="5" numFmtId="170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1" fillId="3" fontId="5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vertical="center"/>
    </xf>
    <xf borderId="1" fillId="0" fontId="4" numFmtId="170" xfId="0" applyAlignment="1" applyBorder="1" applyFont="1" applyNumberFormat="1">
      <alignment horizontal="right" vertical="center"/>
    </xf>
    <xf borderId="1" fillId="0" fontId="4" numFmtId="167" xfId="0" applyAlignment="1" applyBorder="1" applyFont="1" applyNumberFormat="1">
      <alignment vertical="center"/>
    </xf>
    <xf borderId="1" fillId="3" fontId="4" numFmtId="0" xfId="0" applyAlignment="1" applyBorder="1" applyFont="1">
      <alignment shrinkToFit="0" vertical="center" wrapText="1"/>
    </xf>
    <xf borderId="7" fillId="2" fontId="3" numFmtId="0" xfId="0" applyAlignment="1" applyBorder="1" applyFont="1">
      <alignment horizontal="center" vertical="center"/>
    </xf>
    <xf borderId="8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1" fillId="2" fontId="3" numFmtId="167" xfId="0" applyAlignment="1" applyBorder="1" applyFont="1" applyNumberFormat="1">
      <alignment vertical="center"/>
    </xf>
    <xf borderId="1" fillId="2" fontId="3" numFmtId="0" xfId="0" applyAlignment="1" applyBorder="1" applyFont="1">
      <alignment vertical="center"/>
    </xf>
    <xf borderId="1" fillId="0" fontId="4" numFmtId="167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left" shrinkToFit="0" vertical="center" wrapText="1"/>
    </xf>
    <xf borderId="1" fillId="0" fontId="4" numFmtId="167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left" shrinkToFit="0" vertical="center" wrapText="1"/>
    </xf>
    <xf borderId="1" fillId="2" fontId="3" numFmtId="167" xfId="0" applyAlignment="1" applyBorder="1" applyFont="1" applyNumberFormat="1">
      <alignment horizontal="left" vertical="center"/>
    </xf>
    <xf borderId="3" fillId="3" fontId="4" numFmtId="0" xfId="0" applyAlignment="1" applyBorder="1" applyFont="1">
      <alignment horizontal="left" shrinkToFit="0" vertical="center" wrapText="1"/>
    </xf>
    <xf borderId="3" fillId="0" fontId="4" numFmtId="167" xfId="0" applyAlignment="1" applyBorder="1" applyFont="1" applyNumberFormat="1">
      <alignment vertical="center"/>
    </xf>
    <xf borderId="3" fillId="3" fontId="4" numFmtId="0" xfId="0" applyAlignment="1" applyBorder="1" applyFont="1">
      <alignment horizontal="left" vertical="center"/>
    </xf>
    <xf borderId="1" fillId="2" fontId="3" numFmtId="167" xfId="0" applyAlignment="1" applyBorder="1" applyFont="1" applyNumberFormat="1">
      <alignment horizontal="right" vertical="center"/>
    </xf>
    <xf borderId="0" fillId="0" fontId="4" numFmtId="0" xfId="0" applyAlignment="1" applyFont="1">
      <alignment horizontal="center" vertical="center"/>
    </xf>
    <xf borderId="0" fillId="0" fontId="4" numFmtId="167" xfId="0" applyAlignment="1" applyFont="1" applyNumberFormat="1">
      <alignment vertical="center"/>
    </xf>
    <xf borderId="0" fillId="0" fontId="7" numFmtId="0" xfId="0" applyAlignment="1" applyFont="1">
      <alignment horizontal="left" vertical="center"/>
    </xf>
    <xf borderId="10" fillId="4" fontId="8" numFmtId="0" xfId="0" applyAlignment="1" applyBorder="1" applyFill="1" applyFont="1">
      <alignment horizontal="center" vertical="center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13" fillId="4" fontId="3" numFmtId="0" xfId="0" applyAlignment="1" applyBorder="1" applyFont="1">
      <alignment horizontal="center" vertical="center"/>
    </xf>
    <xf borderId="14" fillId="4" fontId="3" numFmtId="0" xfId="0" applyAlignment="1" applyBorder="1" applyFont="1">
      <alignment horizontal="center" vertical="center"/>
    </xf>
    <xf borderId="15" fillId="4" fontId="3" numFmtId="0" xfId="0" applyAlignment="1" applyBorder="1" applyFont="1">
      <alignment horizontal="center" vertical="center"/>
    </xf>
    <xf borderId="16" fillId="4" fontId="3" numFmtId="0" xfId="0" applyAlignment="1" applyBorder="1" applyFont="1">
      <alignment horizontal="center" vertical="center"/>
    </xf>
    <xf borderId="17" fillId="0" fontId="6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4" numFmtId="171" xfId="0" applyAlignment="1" applyBorder="1" applyFont="1" applyNumberFormat="1">
      <alignment horizontal="center" vertical="center"/>
    </xf>
    <xf borderId="1" fillId="0" fontId="4" numFmtId="172" xfId="0" applyAlignment="1" applyBorder="1" applyFont="1" applyNumberFormat="1">
      <alignment horizontal="center" vertical="center"/>
    </xf>
    <xf borderId="7" fillId="0" fontId="10" numFmtId="166" xfId="0" applyAlignment="1" applyBorder="1" applyFont="1" applyNumberFormat="1">
      <alignment vertical="center"/>
    </xf>
    <xf borderId="3" fillId="0" fontId="4" numFmtId="166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0" fillId="0" fontId="4" numFmtId="171" xfId="0" applyAlignment="1" applyFont="1" applyNumberFormat="1">
      <alignment vertical="center"/>
    </xf>
    <xf borderId="0" fillId="0" fontId="4" numFmtId="166" xfId="0" applyAlignment="1" applyFont="1" applyNumberFormat="1">
      <alignment vertical="center"/>
    </xf>
    <xf borderId="19" fillId="4" fontId="8" numFmtId="0" xfId="0" applyAlignment="1" applyBorder="1" applyFont="1">
      <alignment horizontal="center" vertical="center"/>
    </xf>
    <xf borderId="20" fillId="0" fontId="6" numFmtId="0" xfId="0" applyAlignment="1" applyBorder="1" applyFont="1">
      <alignment vertical="center"/>
    </xf>
    <xf borderId="21" fillId="0" fontId="6" numFmtId="0" xfId="0" applyAlignment="1" applyBorder="1" applyFont="1">
      <alignment vertical="center"/>
    </xf>
    <xf borderId="1" fillId="5" fontId="4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vertical="center"/>
    </xf>
    <xf borderId="1" fillId="0" fontId="4" numFmtId="170" xfId="0" applyAlignment="1" applyBorder="1" applyFont="1" applyNumberFormat="1">
      <alignment horizontal="center" vertical="center"/>
    </xf>
    <xf borderId="1" fillId="0" fontId="4" numFmtId="166" xfId="0" applyAlignment="1" applyBorder="1" applyFont="1" applyNumberFormat="1">
      <alignment horizontal="center" vertical="center"/>
    </xf>
    <xf borderId="1" fillId="0" fontId="4" numFmtId="9" xfId="0" applyAlignment="1" applyBorder="1" applyFont="1" applyNumberFormat="1">
      <alignment horizontal="center" vertical="center"/>
    </xf>
    <xf borderId="1" fillId="0" fontId="4" numFmtId="9" xfId="0" applyAlignment="1" applyBorder="1" applyFont="1" applyNumberFormat="1">
      <alignment horizontal="center" shrinkToFit="0" vertical="center" wrapText="1"/>
    </xf>
    <xf borderId="1" fillId="0" fontId="4" numFmtId="167" xfId="0" applyAlignment="1" applyBorder="1" applyFont="1" applyNumberFormat="1">
      <alignment horizontal="center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22" fillId="6" fontId="3" numFmtId="0" xfId="0" applyAlignment="1" applyBorder="1" applyFill="1" applyFont="1">
      <alignment horizontal="center" vertical="center"/>
    </xf>
    <xf borderId="23" fillId="0" fontId="6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  <xf borderId="25" fillId="6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173" xfId="0" applyAlignment="1" applyBorder="1" applyFont="1" applyNumberFormat="1">
      <alignment horizontal="center" shrinkToFit="0" vertical="center" wrapText="1"/>
    </xf>
    <xf borderId="7" fillId="4" fontId="8" numFmtId="0" xfId="0" applyAlignment="1" applyBorder="1" applyFont="1">
      <alignment horizontal="center" vertical="center"/>
    </xf>
    <xf borderId="0" fillId="0" fontId="4" numFmtId="172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27" fillId="7" fontId="4" numFmtId="0" xfId="0" applyAlignment="1" applyBorder="1" applyFill="1" applyFont="1">
      <alignment horizontal="center" vertical="center"/>
    </xf>
    <xf borderId="28" fillId="7" fontId="4" numFmtId="0" xfId="0" applyAlignment="1" applyBorder="1" applyFont="1">
      <alignment horizontal="center" vertical="center"/>
    </xf>
    <xf borderId="28" fillId="7" fontId="4" numFmtId="167" xfId="0" applyAlignment="1" applyBorder="1" applyFont="1" applyNumberFormat="1">
      <alignment horizontal="center" vertical="center"/>
    </xf>
    <xf borderId="28" fillId="7" fontId="4" numFmtId="166" xfId="0" applyAlignment="1" applyBorder="1" applyFont="1" applyNumberFormat="1">
      <alignment horizontal="center" vertical="center"/>
    </xf>
    <xf borderId="28" fillId="7" fontId="4" numFmtId="9" xfId="0" applyAlignment="1" applyBorder="1" applyFont="1" applyNumberFormat="1">
      <alignment horizontal="center" vertical="center"/>
    </xf>
    <xf borderId="29" fillId="4" fontId="8" numFmtId="0" xfId="0" applyAlignment="1" applyBorder="1" applyFont="1">
      <alignment horizontal="center" vertical="center"/>
    </xf>
    <xf borderId="30" fillId="0" fontId="6" numFmtId="0" xfId="0" applyAlignment="1" applyBorder="1" applyFont="1">
      <alignment vertical="center"/>
    </xf>
    <xf borderId="31" fillId="0" fontId="6" numFmtId="0" xfId="0" applyAlignment="1" applyBorder="1" applyFont="1">
      <alignment vertical="center"/>
    </xf>
    <xf borderId="1" fillId="5" fontId="4" numFmtId="10" xfId="0" applyAlignment="1" applyBorder="1" applyFont="1" applyNumberFormat="1">
      <alignment horizontal="center" vertical="center"/>
    </xf>
    <xf borderId="1" fillId="5" fontId="4" numFmtId="167" xfId="0" applyAlignment="1" applyBorder="1" applyFont="1" applyNumberFormat="1">
      <alignment horizontal="center" vertical="center"/>
    </xf>
    <xf borderId="1" fillId="5" fontId="4" numFmtId="10" xfId="0" applyAlignment="1" applyBorder="1" applyFont="1" applyNumberFormat="1">
      <alignment horizontal="center" shrinkToFit="0" vertical="center" wrapText="1"/>
    </xf>
    <xf borderId="1" fillId="5" fontId="4" numFmtId="174" xfId="0" applyAlignment="1" applyBorder="1" applyFont="1" applyNumberFormat="1">
      <alignment horizontal="center" vertical="center"/>
    </xf>
    <xf borderId="1" fillId="7" fontId="4" numFmtId="174" xfId="0" applyAlignment="1" applyBorder="1" applyFont="1" applyNumberFormat="1">
      <alignment horizontal="center" vertical="center"/>
    </xf>
    <xf borderId="1" fillId="5" fontId="4" numFmtId="170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2" xfId="0" applyAlignment="1" applyFont="1" applyNumberFormat="1">
      <alignment horizontal="center" vertical="center"/>
    </xf>
    <xf borderId="0" fillId="0" fontId="4" numFmtId="10" xfId="0" applyAlignment="1" applyFont="1" applyNumberFormat="1">
      <alignment horizontal="center" vertical="center"/>
    </xf>
    <xf borderId="26" fillId="0" fontId="4" numFmtId="167" xfId="0" applyAlignment="1" applyBorder="1" applyFont="1" applyNumberFormat="1">
      <alignment vertical="center"/>
    </xf>
    <xf borderId="0" fillId="0" fontId="4" numFmtId="10" xfId="0" applyAlignment="1" applyFont="1" applyNumberFormat="1">
      <alignment vertical="center"/>
    </xf>
    <xf borderId="0" fillId="0" fontId="4" numFmtId="14" xfId="0" applyAlignment="1" applyFont="1" applyNumberFormat="1">
      <alignment horizontal="right" vertical="center"/>
    </xf>
    <xf borderId="0" fillId="0" fontId="4" numFmtId="174" xfId="0" applyAlignment="1" applyFont="1" applyNumberFormat="1">
      <alignment horizontal="center" vertical="center"/>
    </xf>
    <xf borderId="0" fillId="0" fontId="4" numFmtId="175" xfId="0" applyAlignment="1" applyFont="1" applyNumberFormat="1">
      <alignment horizontal="center" vertical="center"/>
    </xf>
    <xf borderId="26" fillId="0" fontId="11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32" fillId="0" fontId="4" numFmtId="17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33" fillId="0" fontId="6" numFmtId="0" xfId="0" applyAlignment="1" applyBorder="1" applyFont="1">
      <alignment vertical="center"/>
    </xf>
    <xf borderId="0" fillId="0" fontId="12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5" numFmtId="175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27" fillId="8" fontId="4" numFmtId="0" xfId="0" applyAlignment="1" applyBorder="1" applyFill="1" applyFont="1">
      <alignment horizontal="center" vertical="center"/>
    </xf>
    <xf borderId="28" fillId="8" fontId="4" numFmtId="170" xfId="0" applyAlignment="1" applyBorder="1" applyFont="1" applyNumberFormat="1">
      <alignment horizontal="center" vertical="center"/>
    </xf>
    <xf borderId="28" fillId="8" fontId="4" numFmtId="0" xfId="0" applyAlignment="1" applyBorder="1" applyFont="1">
      <alignment vertical="center"/>
    </xf>
    <xf borderId="28" fillId="8" fontId="4" numFmtId="10" xfId="0" applyAlignment="1" applyBorder="1" applyFont="1" applyNumberFormat="1">
      <alignment horizontal="center" vertical="center"/>
    </xf>
    <xf borderId="28" fillId="8" fontId="4" numFmtId="167" xfId="0" applyAlignment="1" applyBorder="1" applyFont="1" applyNumberFormat="1">
      <alignment horizontal="center" vertical="center"/>
    </xf>
    <xf borderId="28" fillId="8" fontId="4" numFmtId="0" xfId="0" applyAlignment="1" applyBorder="1" applyFont="1">
      <alignment horizontal="center" vertical="center"/>
    </xf>
    <xf borderId="28" fillId="8" fontId="4" numFmtId="174" xfId="0" applyAlignment="1" applyBorder="1" applyFont="1" applyNumberFormat="1">
      <alignment horizontal="center" vertical="center"/>
    </xf>
    <xf borderId="0" fillId="0" fontId="4" numFmtId="174" xfId="0" applyAlignment="1" applyFont="1" applyNumberFormat="1">
      <alignment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176" xfId="0" applyAlignment="1" applyBorder="1" applyFont="1" applyNumberFormat="1">
      <alignment vertical="center"/>
    </xf>
    <xf borderId="1" fillId="0" fontId="4" numFmtId="10" xfId="0" applyAlignment="1" applyBorder="1" applyFont="1" applyNumberFormat="1">
      <alignment vertical="center"/>
    </xf>
    <xf borderId="1" fillId="0" fontId="4" numFmtId="0" xfId="0" applyAlignment="1" applyBorder="1" applyFont="1">
      <alignment shrinkToFit="0" vertical="center" wrapText="1"/>
    </xf>
    <xf borderId="1" fillId="0" fontId="4" numFmtId="177" xfId="0" applyAlignment="1" applyBorder="1" applyFont="1" applyNumberFormat="1">
      <alignment horizontal="center" vertical="center"/>
    </xf>
    <xf borderId="7" fillId="9" fontId="14" numFmtId="0" xfId="0" applyAlignment="1" applyBorder="1" applyFill="1" applyFont="1">
      <alignment horizontal="center" vertical="center"/>
    </xf>
    <xf borderId="1" fillId="10" fontId="4" numFmtId="0" xfId="0" applyAlignment="1" applyBorder="1" applyFill="1" applyFont="1">
      <alignment horizontal="center" vertical="center"/>
    </xf>
    <xf borderId="1" fillId="1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1" fillId="11" fontId="4" numFmtId="0" xfId="0" applyAlignment="1" applyBorder="1" applyFill="1" applyFont="1">
      <alignment horizontal="center" vertical="center"/>
    </xf>
    <xf borderId="1" fillId="11" fontId="4" numFmtId="167" xfId="0" applyAlignment="1" applyBorder="1" applyFont="1" applyNumberFormat="1">
      <alignment horizontal="center" vertical="center"/>
    </xf>
    <xf borderId="3" fillId="11" fontId="4" numFmtId="0" xfId="0" applyAlignment="1" applyBorder="1" applyFont="1">
      <alignment horizontal="center" vertical="center"/>
    </xf>
    <xf borderId="1" fillId="0" fontId="4" numFmtId="14" xfId="0" applyAlignment="1" applyBorder="1" applyFont="1" applyNumberFormat="1">
      <alignment vertical="center"/>
    </xf>
    <xf borderId="7" fillId="11" fontId="4" numFmtId="0" xfId="0" applyAlignment="1" applyBorder="1" applyFont="1">
      <alignment horizontal="center" vertical="center"/>
    </xf>
    <xf borderId="1" fillId="11" fontId="4" numFmtId="167" xfId="0" applyAlignment="1" applyBorder="1" applyFont="1" applyNumberFormat="1">
      <alignment vertical="center"/>
    </xf>
    <xf borderId="3" fillId="0" fontId="4" numFmtId="0" xfId="0" applyAlignment="1" applyBorder="1" applyFont="1">
      <alignment horizontal="center" shrinkToFit="0" vertical="center" wrapText="1"/>
    </xf>
    <xf borderId="34" fillId="0" fontId="6" numFmtId="0" xfId="0" applyAlignment="1" applyBorder="1" applyFont="1">
      <alignment vertical="center"/>
    </xf>
    <xf borderId="35" fillId="11" fontId="4" numFmtId="0" xfId="0" applyAlignment="1" applyBorder="1" applyFont="1">
      <alignment horizontal="center" vertical="center"/>
    </xf>
    <xf borderId="36" fillId="0" fontId="6" numFmtId="0" xfId="0" applyAlignment="1" applyBorder="1" applyFont="1">
      <alignment vertical="center"/>
    </xf>
    <xf borderId="37" fillId="11" fontId="4" numFmtId="167" xfId="0" applyAlignment="1" applyBorder="1" applyFont="1" applyNumberFormat="1">
      <alignment vertical="center"/>
    </xf>
    <xf borderId="3" fillId="0" fontId="4" numFmtId="0" xfId="0" applyAlignment="1" applyBorder="1" applyFont="1">
      <alignment vertical="center"/>
    </xf>
    <xf borderId="10" fillId="12" fontId="15" numFmtId="0" xfId="0" applyAlignment="1" applyBorder="1" applyFill="1" applyFont="1">
      <alignment horizontal="center" vertical="center"/>
    </xf>
    <xf borderId="38" fillId="0" fontId="6" numFmtId="0" xfId="0" applyAlignment="1" applyBorder="1" applyFont="1">
      <alignment vertical="center"/>
    </xf>
    <xf borderId="39" fillId="12" fontId="15" numFmtId="167" xfId="0" applyAlignment="1" applyBorder="1" applyFont="1" applyNumberFormat="1">
      <alignment vertical="center"/>
    </xf>
    <xf borderId="40" fillId="12" fontId="15" numFmtId="0" xfId="0" applyAlignment="1" applyBorder="1" applyFont="1">
      <alignment vertical="center"/>
    </xf>
    <xf borderId="0" fillId="0" fontId="4" numFmtId="178" xfId="0" applyAlignment="1" applyFont="1" applyNumberFormat="1">
      <alignment vertical="center"/>
    </xf>
    <xf borderId="41" fillId="10" fontId="4" numFmtId="0" xfId="0" applyAlignment="1" applyBorder="1" applyFont="1">
      <alignment horizontal="center" vertical="center"/>
    </xf>
    <xf borderId="42" fillId="10" fontId="4" numFmtId="0" xfId="0" applyAlignment="1" applyBorder="1" applyFont="1">
      <alignment horizontal="center" vertical="center"/>
    </xf>
    <xf borderId="43" fillId="10" fontId="4" numFmtId="0" xfId="0" applyAlignment="1" applyBorder="1" applyFont="1">
      <alignment horizontal="center" shrinkToFit="0" vertical="center" wrapText="1"/>
    </xf>
    <xf borderId="44" fillId="10" fontId="4" numFmtId="0" xfId="0" applyAlignment="1" applyBorder="1" applyFont="1">
      <alignment horizontal="center" vertical="center"/>
    </xf>
    <xf borderId="45" fillId="10" fontId="4" numFmtId="0" xfId="0" applyAlignment="1" applyBorder="1" applyFont="1">
      <alignment horizontal="center" shrinkToFit="0" vertical="center" wrapText="1"/>
    </xf>
    <xf borderId="46" fillId="1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0" fillId="0" fontId="4" numFmtId="179" xfId="0" applyAlignment="1" applyFont="1" applyNumberFormat="1">
      <alignment horizontal="center" vertical="center"/>
    </xf>
    <xf borderId="0" fillId="0" fontId="4" numFmtId="180" xfId="0" applyAlignment="1" applyFont="1" applyNumberFormat="1">
      <alignment horizontal="center" vertical="center"/>
    </xf>
    <xf borderId="26" fillId="0" fontId="6" numFmtId="0" xfId="0" applyAlignment="1" applyBorder="1" applyFont="1">
      <alignment vertical="center"/>
    </xf>
    <xf borderId="26" fillId="0" fontId="4" numFmtId="0" xfId="0" applyAlignment="1" applyBorder="1" applyFont="1">
      <alignment horizontal="left" vertical="center"/>
    </xf>
    <xf borderId="0" fillId="0" fontId="4" numFmtId="181" xfId="0" applyAlignment="1" applyFont="1" applyNumberForma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170" xfId="0" applyAlignment="1" applyFont="1" applyNumberFormat="1">
      <alignment vertical="center"/>
    </xf>
    <xf borderId="0" fillId="0" fontId="4" numFmtId="167" xfId="0" applyAlignment="1" applyFont="1" applyNumberFormat="1">
      <alignment horizontal="center" vertical="center"/>
    </xf>
    <xf borderId="0" fillId="0" fontId="4" numFmtId="181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right" vertical="center"/>
    </xf>
    <xf borderId="0" fillId="0" fontId="16" numFmtId="0" xfId="0" applyAlignment="1" applyFont="1">
      <alignment horizontal="center" vertical="center"/>
    </xf>
    <xf borderId="0" fillId="0" fontId="16" numFmtId="179" xfId="0" applyAlignment="1" applyFont="1" applyNumberFormat="1">
      <alignment horizontal="center" vertical="center"/>
    </xf>
    <xf borderId="0" fillId="0" fontId="16" numFmtId="180" xfId="0" applyAlignment="1" applyFont="1" applyNumberFormat="1">
      <alignment horizontal="center" vertical="center"/>
    </xf>
    <xf borderId="0" fillId="0" fontId="16" numFmtId="166" xfId="0" applyAlignment="1" applyFont="1" applyNumberFormat="1">
      <alignment horizontal="center" vertical="center"/>
    </xf>
    <xf borderId="0" fillId="0" fontId="16" numFmtId="170" xfId="0" applyAlignment="1" applyFont="1" applyNumberFormat="1">
      <alignment horizontal="center" vertical="center"/>
    </xf>
    <xf borderId="0" fillId="0" fontId="16" numFmtId="181" xfId="0" applyAlignment="1" applyFont="1" applyNumberForma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0" fillId="0" fontId="16" numFmtId="170" xfId="0" applyAlignment="1" applyFont="1" applyNumberFormat="1">
      <alignment horizontal="right" vertical="center"/>
    </xf>
    <xf borderId="0" fillId="0" fontId="16" numFmtId="10" xfId="0" applyAlignment="1" applyFont="1" applyNumberForma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27" fillId="13" fontId="4" numFmtId="0" xfId="0" applyAlignment="1" applyBorder="1" applyFill="1" applyFont="1">
      <alignment horizontal="center" vertical="center"/>
    </xf>
    <xf borderId="28" fillId="13" fontId="4" numFmtId="179" xfId="0" applyAlignment="1" applyBorder="1" applyFont="1" applyNumberFormat="1">
      <alignment horizontal="center" vertical="center"/>
    </xf>
    <xf borderId="28" fillId="13" fontId="4" numFmtId="180" xfId="0" applyAlignment="1" applyBorder="1" applyFont="1" applyNumberFormat="1">
      <alignment horizontal="center" vertical="center"/>
    </xf>
    <xf borderId="28" fillId="13" fontId="4" numFmtId="166" xfId="0" applyAlignment="1" applyBorder="1" applyFont="1" applyNumberFormat="1">
      <alignment horizontal="center" vertical="center"/>
    </xf>
    <xf borderId="28" fillId="13" fontId="4" numFmtId="170" xfId="0" applyAlignment="1" applyBorder="1" applyFont="1" applyNumberFormat="1">
      <alignment horizontal="center" vertical="center"/>
    </xf>
    <xf borderId="28" fillId="13" fontId="4" numFmtId="181" xfId="0" applyAlignment="1" applyBorder="1" applyFont="1" applyNumberFormat="1">
      <alignment horizontal="center" vertical="center"/>
    </xf>
    <xf borderId="28" fillId="13" fontId="4" numFmtId="0" xfId="0" applyAlignment="1" applyBorder="1" applyFont="1">
      <alignment horizontal="center" vertical="center"/>
    </xf>
    <xf borderId="28" fillId="13" fontId="4" numFmtId="0" xfId="0" applyAlignment="1" applyBorder="1" applyFont="1">
      <alignment horizontal="left" vertical="center"/>
    </xf>
    <xf borderId="27" fillId="12" fontId="4" numFmtId="0" xfId="0" applyAlignment="1" applyBorder="1" applyFont="1">
      <alignment horizontal="center" vertical="center"/>
    </xf>
    <xf borderId="28" fillId="12" fontId="4" numFmtId="166" xfId="0" applyAlignment="1" applyBorder="1" applyFont="1" applyNumberFormat="1">
      <alignment horizontal="center" vertical="center"/>
    </xf>
    <xf borderId="28" fillId="12" fontId="4" numFmtId="0" xfId="0" applyAlignment="1" applyBorder="1" applyFont="1">
      <alignment horizontal="center" vertical="center"/>
    </xf>
    <xf borderId="28" fillId="12" fontId="4" numFmtId="170" xfId="0" applyAlignment="1" applyBorder="1" applyFont="1" applyNumberFormat="1">
      <alignment horizontal="center" vertical="center"/>
    </xf>
    <xf borderId="28" fillId="12" fontId="4" numFmtId="0" xfId="0" applyAlignment="1" applyBorder="1" applyFont="1">
      <alignment horizontal="left" vertical="center"/>
    </xf>
    <xf borderId="0" fillId="0" fontId="4" numFmtId="179" xfId="0" applyAlignment="1" applyFont="1" applyNumberFormat="1">
      <alignment vertical="center"/>
    </xf>
    <xf borderId="0" fillId="0" fontId="4" numFmtId="171" xfId="0" applyAlignment="1" applyFont="1" applyNumberFormat="1">
      <alignment horizontal="center" vertical="center"/>
    </xf>
    <xf borderId="27" fillId="14" fontId="4" numFmtId="0" xfId="0" applyAlignment="1" applyBorder="1" applyFill="1" applyFont="1">
      <alignment horizontal="center" vertical="center"/>
    </xf>
    <xf borderId="28" fillId="14" fontId="4" numFmtId="171" xfId="0" applyAlignment="1" applyBorder="1" applyFont="1" applyNumberFormat="1">
      <alignment horizontal="center" vertical="center"/>
    </xf>
    <xf borderId="28" fillId="14" fontId="4" numFmtId="172" xfId="0" applyAlignment="1" applyBorder="1" applyFont="1" applyNumberFormat="1">
      <alignment horizontal="center" vertical="center"/>
    </xf>
    <xf borderId="28" fillId="14" fontId="4" numFmtId="170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182" xfId="0" applyAlignment="1" applyBorder="1" applyFont="1" applyNumberFormat="1">
      <alignment horizontal="center" vertical="center"/>
    </xf>
    <xf borderId="1" fillId="0" fontId="3" numFmtId="167" xfId="0" applyAlignment="1" applyBorder="1" applyFont="1" applyNumberFormat="1">
      <alignment horizontal="center" vertical="center"/>
    </xf>
    <xf borderId="47" fillId="0" fontId="4" numFmtId="0" xfId="0" applyAlignment="1" applyBorder="1" applyFont="1">
      <alignment horizontal="center" vertical="center"/>
    </xf>
    <xf borderId="32" fillId="0" fontId="6" numFmtId="0" xfId="0" applyAlignment="1" applyBorder="1" applyFont="1">
      <alignment vertical="center"/>
    </xf>
    <xf borderId="1" fillId="0" fontId="4" numFmtId="3" xfId="0" applyAlignment="1" applyBorder="1" applyFont="1" applyNumberFormat="1">
      <alignment vertical="center"/>
    </xf>
    <xf borderId="1" fillId="0" fontId="4" numFmtId="182" xfId="0" applyAlignment="1" applyBorder="1" applyFont="1" applyNumberFormat="1">
      <alignment vertical="center"/>
    </xf>
    <xf borderId="48" fillId="0" fontId="6" numFmtId="0" xfId="0" applyAlignment="1" applyBorder="1" applyFont="1">
      <alignment vertical="center"/>
    </xf>
    <xf borderId="49" fillId="0" fontId="6" numFmtId="0" xfId="0" applyAlignment="1" applyBorder="1" applyFont="1">
      <alignment vertical="center"/>
    </xf>
    <xf borderId="7" fillId="2" fontId="8" numFmtId="0" xfId="0" applyAlignment="1" applyBorder="1" applyFont="1">
      <alignment horizontal="center" vertical="center"/>
    </xf>
    <xf borderId="1" fillId="2" fontId="4" numFmtId="0" xfId="0" applyAlignment="1" applyBorder="1" applyFont="1">
      <alignment vertical="center"/>
    </xf>
    <xf borderId="1" fillId="2" fontId="3" numFmtId="3" xfId="0" applyAlignment="1" applyBorder="1" applyFont="1" applyNumberFormat="1">
      <alignment vertical="center"/>
    </xf>
    <xf borderId="0" fillId="0" fontId="4" numFmtId="49" xfId="0" applyAlignment="1" applyFont="1" applyNumberFormat="1">
      <alignment vertical="center"/>
    </xf>
    <xf borderId="0" fillId="0" fontId="4" numFmtId="3" xfId="0" applyAlignment="1" applyFont="1" applyNumberFormat="1">
      <alignment vertical="center"/>
    </xf>
    <xf borderId="0" fillId="0" fontId="4" numFmtId="182" xfId="0" applyAlignment="1" applyFont="1" applyNumberFormat="1">
      <alignment vertical="center"/>
    </xf>
    <xf borderId="27" fillId="2" fontId="3" numFmtId="0" xfId="0" applyAlignment="1" applyBorder="1" applyFont="1">
      <alignment horizontal="center" vertical="center"/>
    </xf>
    <xf borderId="28" fillId="2" fontId="3" numFmtId="0" xfId="0" applyAlignment="1" applyBorder="1" applyFont="1">
      <alignment vertical="center"/>
    </xf>
    <xf borderId="28" fillId="2" fontId="17" numFmtId="167" xfId="0" applyAlignment="1" applyBorder="1" applyFont="1" applyNumberFormat="1">
      <alignment vertical="center"/>
    </xf>
    <xf borderId="1" fillId="0" fontId="3" numFmtId="14" xfId="0" applyAlignment="1" applyBorder="1" applyFont="1" applyNumberFormat="1">
      <alignment horizontal="center" vertical="center"/>
    </xf>
    <xf borderId="1" fillId="13" fontId="4" numFmtId="0" xfId="0" applyAlignment="1" applyBorder="1" applyFont="1">
      <alignment horizontal="center" vertical="bottom"/>
    </xf>
    <xf borderId="1" fillId="13" fontId="4" numFmtId="49" xfId="0" applyAlignment="1" applyBorder="1" applyFont="1" applyNumberFormat="1">
      <alignment horizontal="center" shrinkToFit="0" vertical="center" wrapText="1"/>
    </xf>
    <xf borderId="1" fillId="13" fontId="4" numFmtId="0" xfId="0" applyAlignment="1" applyBorder="1" applyFont="1">
      <alignment horizontal="center" shrinkToFit="0" vertical="center" wrapText="1"/>
    </xf>
    <xf borderId="1" fillId="13" fontId="4" numFmtId="182" xfId="0" applyAlignment="1" applyBorder="1" applyFont="1" applyNumberFormat="1">
      <alignment horizontal="center" vertical="center"/>
    </xf>
    <xf borderId="1" fillId="13" fontId="4" numFmtId="0" xfId="0" applyAlignment="1" applyBorder="1" applyFont="1">
      <alignment horizontal="center" vertical="center"/>
    </xf>
    <xf borderId="1" fillId="13" fontId="4" numFmtId="167" xfId="0" applyAlignment="1" applyBorder="1" applyFont="1" applyNumberFormat="1">
      <alignment horizontal="center" vertical="center"/>
    </xf>
    <xf borderId="50" fillId="0" fontId="4" numFmtId="167" xfId="0" applyAlignment="1" applyBorder="1" applyFont="1" applyNumberFormat="1">
      <alignment vertical="center"/>
    </xf>
    <xf borderId="51" fillId="0" fontId="4" numFmtId="167" xfId="0" applyAlignment="1" applyBorder="1" applyFont="1" applyNumberFormat="1">
      <alignment vertical="center"/>
    </xf>
    <xf borderId="52" fillId="0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bottom"/>
    </xf>
    <xf borderId="1" fillId="15" fontId="4" numFmtId="49" xfId="0" applyAlignment="1" applyBorder="1" applyFill="1" applyFont="1" applyNumberFormat="1">
      <alignment horizontal="center" vertical="center"/>
    </xf>
    <xf borderId="1" fillId="15" fontId="4" numFmtId="0" xfId="0" applyAlignment="1" applyBorder="1" applyFont="1">
      <alignment horizontal="left" vertical="center"/>
    </xf>
    <xf borderId="1" fillId="15" fontId="4" numFmtId="0" xfId="0" applyAlignment="1" applyBorder="1" applyFont="1">
      <alignment horizontal="center" vertical="center"/>
    </xf>
    <xf borderId="1" fillId="0" fontId="4" numFmtId="3" xfId="0" applyAlignment="1" applyBorder="1" applyFont="1" applyNumberFormat="1">
      <alignment horizontal="right" vertical="center"/>
    </xf>
    <xf borderId="1" fillId="0" fontId="4" numFmtId="0" xfId="0" applyAlignment="1" applyBorder="1" applyFont="1">
      <alignment vertical="bottom"/>
    </xf>
    <xf borderId="53" fillId="0" fontId="4" numFmtId="167" xfId="0" applyAlignment="1" applyBorder="1" applyFont="1" applyNumberFormat="1">
      <alignment vertical="center"/>
    </xf>
    <xf borderId="54" fillId="0" fontId="4" numFmtId="167" xfId="0" applyAlignment="1" applyBorder="1" applyFont="1" applyNumberFormat="1">
      <alignment vertical="center"/>
    </xf>
    <xf borderId="55" fillId="0" fontId="4" numFmtId="0" xfId="0" applyAlignment="1" applyBorder="1" applyFont="1">
      <alignment vertical="center"/>
    </xf>
    <xf borderId="56" fillId="0" fontId="4" numFmtId="167" xfId="0" applyAlignment="1" applyBorder="1" applyFont="1" applyNumberFormat="1">
      <alignment vertical="center"/>
    </xf>
    <xf borderId="57" fillId="0" fontId="4" numFmtId="167" xfId="0" applyAlignment="1" applyBorder="1" applyFont="1" applyNumberFormat="1">
      <alignment vertical="center"/>
    </xf>
    <xf borderId="58" fillId="0" fontId="4" numFmtId="0" xfId="0" applyAlignment="1" applyBorder="1" applyFont="1">
      <alignment vertical="center"/>
    </xf>
    <xf borderId="59" fillId="0" fontId="4" numFmtId="167" xfId="0" applyAlignment="1" applyBorder="1" applyFont="1" applyNumberFormat="1">
      <alignment vertical="center"/>
    </xf>
    <xf borderId="60" fillId="0" fontId="4" numFmtId="167" xfId="0" applyAlignment="1" applyBorder="1" applyFont="1" applyNumberFormat="1">
      <alignment vertical="center"/>
    </xf>
    <xf borderId="61" fillId="0" fontId="4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" fillId="15" fontId="2" numFmtId="0" xfId="0" applyAlignment="1" applyBorder="1" applyFont="1">
      <alignment horizontal="center" vertical="center"/>
    </xf>
    <xf borderId="1" fillId="15" fontId="2" numFmtId="0" xfId="0" applyAlignment="1" applyBorder="1" applyFont="1">
      <alignment horizontal="left" vertical="center"/>
    </xf>
    <xf borderId="1" fillId="0" fontId="2" numFmtId="3" xfId="0" applyAlignment="1" applyBorder="1" applyFont="1" applyNumberFormat="1">
      <alignment horizontal="right" vertical="center"/>
    </xf>
    <xf borderId="1" fillId="0" fontId="2" numFmtId="0" xfId="0" applyAlignment="1" applyBorder="1" applyFont="1">
      <alignment vertical="bottom"/>
    </xf>
    <xf borderId="1" fillId="0" fontId="2" numFmtId="182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2" numFmtId="167" xfId="0" applyAlignment="1" applyBorder="1" applyFont="1" applyNumberFormat="1">
      <alignment vertical="center"/>
    </xf>
    <xf borderId="1" fillId="0" fontId="2" numFmtId="14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167" xfId="0" applyAlignment="1" applyBorder="1" applyFont="1" applyNumberFormat="1">
      <alignment horizontal="center" vertical="center"/>
    </xf>
    <xf borderId="62" fillId="0" fontId="4" numFmtId="167" xfId="0" applyAlignment="1" applyBorder="1" applyFont="1" applyNumberFormat="1">
      <alignment vertical="center"/>
    </xf>
    <xf borderId="63" fillId="0" fontId="4" numFmtId="167" xfId="0" applyAlignment="1" applyBorder="1" applyFont="1" applyNumberFormat="1">
      <alignment vertical="center"/>
    </xf>
    <xf borderId="64" fillId="0" fontId="4" numFmtId="0" xfId="0" applyAlignment="1" applyBorder="1" applyFont="1">
      <alignment vertical="center"/>
    </xf>
    <xf borderId="53" fillId="0" fontId="4" numFmtId="3" xfId="0" applyAlignment="1" applyBorder="1" applyFont="1" applyNumberFormat="1">
      <alignment horizontal="right" vertical="center"/>
    </xf>
    <xf borderId="56" fillId="0" fontId="4" numFmtId="3" xfId="0" applyAlignment="1" applyBorder="1" applyFont="1" applyNumberFormat="1">
      <alignment horizontal="right" vertical="center"/>
    </xf>
    <xf borderId="59" fillId="0" fontId="4" numFmtId="3" xfId="0" applyAlignment="1" applyBorder="1" applyFont="1" applyNumberFormat="1">
      <alignment horizontal="right" vertical="center"/>
    </xf>
    <xf borderId="65" fillId="0" fontId="4" numFmtId="0" xfId="0" applyAlignment="1" applyBorder="1" applyFont="1">
      <alignment vertical="center"/>
    </xf>
    <xf borderId="7" fillId="6" fontId="2" numFmtId="0" xfId="0" applyAlignment="1" applyBorder="1" applyFont="1">
      <alignment horizontal="center" vertical="center"/>
    </xf>
    <xf borderId="1" fillId="6" fontId="2" numFmtId="3" xfId="0" applyAlignment="1" applyBorder="1" applyFont="1" applyNumberFormat="1">
      <alignment horizontal="right" vertical="center"/>
    </xf>
    <xf borderId="62" fillId="0" fontId="4" numFmtId="3" xfId="0" applyAlignment="1" applyBorder="1" applyFont="1" applyNumberFormat="1">
      <alignment horizontal="right" vertical="center"/>
    </xf>
    <xf borderId="66" fillId="0" fontId="4" numFmtId="3" xfId="0" applyAlignment="1" applyBorder="1" applyFont="1" applyNumberFormat="1">
      <alignment horizontal="right" vertical="center"/>
    </xf>
    <xf borderId="67" fillId="0" fontId="4" numFmtId="167" xfId="0" applyAlignment="1" applyBorder="1" applyFont="1" applyNumberFormat="1">
      <alignment vertical="center"/>
    </xf>
    <xf borderId="68" fillId="0" fontId="4" numFmtId="0" xfId="0" applyAlignment="1" applyBorder="1" applyFont="1">
      <alignment vertical="center"/>
    </xf>
    <xf borderId="50" fillId="0" fontId="4" numFmtId="3" xfId="0" applyAlignment="1" applyBorder="1" applyFont="1" applyNumberFormat="1">
      <alignment horizontal="right" vertical="center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left" vertical="center"/>
    </xf>
    <xf borderId="1" fillId="6" fontId="2" numFmtId="0" xfId="0" applyAlignment="1" applyBorder="1" applyFont="1">
      <alignment vertical="bottom"/>
    </xf>
    <xf borderId="1" fillId="6" fontId="2" numFmtId="182" xfId="0" applyAlignment="1" applyBorder="1" applyFont="1" applyNumberFormat="1">
      <alignment vertical="center"/>
    </xf>
    <xf borderId="1" fillId="6" fontId="2" numFmtId="0" xfId="0" applyAlignment="1" applyBorder="1" applyFont="1">
      <alignment vertical="center"/>
    </xf>
    <xf borderId="1" fillId="6" fontId="2" numFmtId="167" xfId="0" applyAlignment="1" applyBorder="1" applyFont="1" applyNumberFormat="1">
      <alignment vertical="center"/>
    </xf>
    <xf borderId="1" fillId="6" fontId="2" numFmtId="14" xfId="0" applyAlignment="1" applyBorder="1" applyFont="1" applyNumberFormat="1">
      <alignment vertical="center"/>
    </xf>
    <xf borderId="1" fillId="6" fontId="2" numFmtId="167" xfId="0" applyAlignment="1" applyBorder="1" applyFont="1" applyNumberFormat="1">
      <alignment horizontal="center" vertical="center"/>
    </xf>
    <xf borderId="1" fillId="6" fontId="4" numFmtId="167" xfId="0" applyAlignment="1" applyBorder="1" applyFont="1" applyNumberFormat="1">
      <alignment vertical="center"/>
    </xf>
    <xf borderId="69" fillId="6" fontId="3" numFmtId="0" xfId="0" applyAlignment="1" applyBorder="1" applyFont="1">
      <alignment horizontal="center" vertical="center"/>
    </xf>
    <xf borderId="70" fillId="0" fontId="6" numFmtId="0" xfId="0" applyAlignment="1" applyBorder="1" applyFont="1">
      <alignment vertical="center"/>
    </xf>
    <xf borderId="71" fillId="15" fontId="4" numFmtId="167" xfId="0" applyAlignment="1" applyBorder="1" applyFont="1" applyNumberFormat="1">
      <alignment horizontal="left" vertical="center"/>
    </xf>
    <xf borderId="72" fillId="0" fontId="4" numFmtId="0" xfId="0" applyAlignment="1" applyBorder="1" applyFont="1">
      <alignment vertical="center"/>
    </xf>
    <xf borderId="1" fillId="0" fontId="3" numFmtId="3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right" vertical="center"/>
    </xf>
    <xf borderId="1" fillId="0" fontId="4" numFmtId="4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right" vertical="bottom"/>
    </xf>
    <xf borderId="1" fillId="0" fontId="4" numFmtId="182" xfId="0" applyAlignment="1" applyBorder="1" applyFont="1" applyNumberFormat="1">
      <alignment horizontal="right" vertical="center"/>
    </xf>
    <xf borderId="1" fillId="0" fontId="4" numFmtId="0" xfId="0" applyAlignment="1" applyBorder="1" applyFont="1">
      <alignment horizontal="right" vertical="center"/>
    </xf>
    <xf borderId="1" fillId="0" fontId="4" numFmtId="14" xfId="0" applyAlignment="1" applyBorder="1" applyFont="1" applyNumberFormat="1">
      <alignment horizontal="right" vertical="center"/>
    </xf>
    <xf borderId="3" fillId="0" fontId="4" numFmtId="0" xfId="0" applyAlignment="1" applyBorder="1" applyFont="1">
      <alignment horizontal="right" vertical="center"/>
    </xf>
    <xf borderId="1" fillId="0" fontId="3" numFmtId="182" xfId="0" applyAlignment="1" applyBorder="1" applyFont="1" applyNumberFormat="1">
      <alignment horizontal="right" vertical="center"/>
    </xf>
    <xf borderId="62" fillId="0" fontId="3" numFmtId="167" xfId="0" applyAlignment="1" applyBorder="1" applyFont="1" applyNumberFormat="1">
      <alignment horizontal="center" vertical="center"/>
    </xf>
    <xf borderId="63" fillId="0" fontId="3" numFmtId="167" xfId="0" applyAlignment="1" applyBorder="1" applyFont="1" applyNumberFormat="1">
      <alignment horizontal="center" vertical="center"/>
    </xf>
    <xf borderId="64" fillId="0" fontId="3" numFmtId="0" xfId="0" applyAlignment="1" applyBorder="1" applyFont="1">
      <alignment horizontal="center" vertical="center"/>
    </xf>
    <xf borderId="56" fillId="0" fontId="4" numFmtId="167" xfId="0" applyAlignment="1" applyBorder="1" applyFont="1" applyNumberFormat="1">
      <alignment vertical="bottom"/>
    </xf>
    <xf borderId="1" fillId="15" fontId="3" numFmtId="0" xfId="0" applyAlignment="1" applyBorder="1" applyFont="1">
      <alignment horizontal="center" vertical="center"/>
    </xf>
    <xf borderId="7" fillId="0" fontId="18" numFmtId="0" xfId="0" applyAlignment="1" applyBorder="1" applyFont="1">
      <alignment horizontal="center" vertical="center"/>
    </xf>
    <xf borderId="1" fillId="15" fontId="18" numFmtId="0" xfId="0" applyAlignment="1" applyBorder="1" applyFont="1">
      <alignment horizontal="center" vertical="center"/>
    </xf>
    <xf borderId="1" fillId="15" fontId="18" numFmtId="0" xfId="0" applyAlignment="1" applyBorder="1" applyFont="1">
      <alignment horizontal="left" vertical="center"/>
    </xf>
    <xf borderId="1" fillId="15" fontId="18" numFmtId="3" xfId="0" applyAlignment="1" applyBorder="1" applyFont="1" applyNumberFormat="1">
      <alignment horizontal="right" vertical="center"/>
    </xf>
    <xf borderId="1" fillId="0" fontId="18" numFmtId="0" xfId="0" applyAlignment="1" applyBorder="1" applyFont="1">
      <alignment vertical="center"/>
    </xf>
    <xf borderId="1" fillId="0" fontId="18" numFmtId="182" xfId="0" applyAlignment="1" applyBorder="1" applyFont="1" applyNumberFormat="1">
      <alignment vertical="center"/>
    </xf>
    <xf borderId="1" fillId="0" fontId="18" numFmtId="167" xfId="0" applyAlignment="1" applyBorder="1" applyFont="1" applyNumberFormat="1">
      <alignment vertical="center"/>
    </xf>
    <xf borderId="73" fillId="15" fontId="3" numFmtId="167" xfId="0" applyAlignment="1" applyBorder="1" applyFont="1" applyNumberFormat="1">
      <alignment horizontal="right" vertical="center"/>
    </xf>
    <xf borderId="51" fillId="15" fontId="3" numFmtId="167" xfId="0" applyAlignment="1" applyBorder="1" applyFont="1" applyNumberFormat="1">
      <alignment horizontal="right" vertical="center"/>
    </xf>
    <xf borderId="1" fillId="0" fontId="18" numFmtId="0" xfId="0" applyAlignment="1" applyBorder="1" applyFont="1">
      <alignment vertical="bottom"/>
    </xf>
    <xf borderId="7" fillId="0" fontId="8" numFmtId="0" xfId="0" applyAlignment="1" applyBorder="1" applyFont="1">
      <alignment horizontal="center" vertical="center"/>
    </xf>
    <xf borderId="7" fillId="0" fontId="4" numFmtId="3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vertical="center"/>
    </xf>
    <xf borderId="1" fillId="0" fontId="17" numFmtId="167" xfId="0" applyAlignment="1" applyBorder="1" applyFont="1" applyNumberFormat="1">
      <alignment horizontal="right" vertical="center"/>
    </xf>
    <xf borderId="1" fillId="0" fontId="3" numFmtId="182" xfId="0" applyAlignment="1" applyBorder="1" applyFont="1" applyNumberFormat="1">
      <alignment vertical="center"/>
    </xf>
    <xf borderId="1" fillId="0" fontId="3" numFmtId="167" xfId="0" applyAlignment="1" applyBorder="1" applyFont="1" applyNumberFormat="1">
      <alignment vertical="center"/>
    </xf>
    <xf borderId="1" fillId="0" fontId="3" numFmtId="167" xfId="0" applyAlignment="1" applyBorder="1" applyFont="1" applyNumberFormat="1">
      <alignment horizontal="right" vertical="center"/>
    </xf>
    <xf borderId="0" fillId="0" fontId="4" numFmtId="14" xfId="0" applyAlignment="1" applyFont="1" applyNumberFormat="1">
      <alignment vertical="center"/>
    </xf>
    <xf borderId="8" fillId="0" fontId="3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0" fillId="0" fontId="4" numFmtId="183" xfId="0" applyAlignment="1" applyFont="1" applyNumberFormat="1">
      <alignment vertical="center"/>
    </xf>
    <xf borderId="27" fillId="6" fontId="17" numFmtId="0" xfId="0" applyAlignment="1" applyBorder="1" applyFont="1">
      <alignment horizontal="center" vertical="center"/>
    </xf>
    <xf borderId="74" fillId="9" fontId="14" numFmtId="0" xfId="0" applyAlignment="1" applyBorder="1" applyFont="1">
      <alignment vertical="center"/>
    </xf>
    <xf borderId="75" fillId="16" fontId="14" numFmtId="0" xfId="0" applyAlignment="1" applyBorder="1" applyFill="1" applyFont="1">
      <alignment horizontal="center" vertical="center"/>
    </xf>
    <xf borderId="76" fillId="0" fontId="6" numFmtId="0" xfId="0" applyAlignment="1" applyBorder="1" applyFont="1">
      <alignment vertical="center"/>
    </xf>
    <xf borderId="75" fillId="17" fontId="8" numFmtId="0" xfId="0" applyAlignment="1" applyBorder="1" applyFill="1" applyFont="1">
      <alignment horizontal="center" vertical="center"/>
    </xf>
    <xf borderId="3" fillId="4" fontId="15" numFmtId="0" xfId="0" applyAlignment="1" applyBorder="1" applyFont="1">
      <alignment horizontal="center" vertical="center"/>
    </xf>
    <xf borderId="7" fillId="18" fontId="15" numFmtId="0" xfId="0" applyAlignment="1" applyBorder="1" applyFill="1" applyFont="1">
      <alignment horizontal="center" vertical="center"/>
    </xf>
    <xf borderId="3" fillId="18" fontId="15" numFmtId="0" xfId="0" applyAlignment="1" applyBorder="1" applyFont="1">
      <alignment horizontal="center" vertical="center"/>
    </xf>
    <xf borderId="3" fillId="13" fontId="15" numFmtId="0" xfId="0" applyAlignment="1" applyBorder="1" applyFont="1">
      <alignment horizontal="center" vertical="center"/>
    </xf>
    <xf borderId="7" fillId="4" fontId="15" numFmtId="0" xfId="0" applyAlignment="1" applyBorder="1" applyFont="1">
      <alignment horizontal="center" vertical="center"/>
    </xf>
    <xf borderId="3" fillId="13" fontId="15" numFmtId="167" xfId="0" applyAlignment="1" applyBorder="1" applyFont="1" applyNumberFormat="1">
      <alignment horizontal="center" vertical="center"/>
    </xf>
    <xf borderId="3" fillId="4" fontId="15" numFmtId="167" xfId="0" applyAlignment="1" applyBorder="1" applyFont="1" applyNumberFormat="1">
      <alignment horizontal="center" vertical="center"/>
    </xf>
    <xf borderId="3" fillId="4" fontId="15" numFmtId="9" xfId="0" applyAlignment="1" applyBorder="1" applyFont="1" applyNumberFormat="1">
      <alignment horizontal="center" vertical="center"/>
    </xf>
    <xf borderId="3" fillId="18" fontId="15" numFmtId="9" xfId="0" applyAlignment="1" applyBorder="1" applyFont="1" applyNumberFormat="1">
      <alignment horizontal="center" vertical="center"/>
    </xf>
    <xf borderId="7" fillId="4" fontId="15" numFmtId="9" xfId="0" applyAlignment="1" applyBorder="1" applyFont="1" applyNumberFormat="1">
      <alignment horizontal="center" vertical="center"/>
    </xf>
    <xf borderId="3" fillId="19" fontId="15" numFmtId="9" xfId="0" applyAlignment="1" applyBorder="1" applyFill="1" applyFont="1" applyNumberFormat="1">
      <alignment horizontal="center" vertical="center"/>
    </xf>
    <xf borderId="77" fillId="19" fontId="15" numFmtId="184" xfId="0" applyAlignment="1" applyBorder="1" applyFont="1" applyNumberFormat="1">
      <alignment horizontal="center" vertical="center"/>
    </xf>
    <xf borderId="78" fillId="20" fontId="15" numFmtId="0" xfId="0" applyAlignment="1" applyBorder="1" applyFill="1" applyFont="1">
      <alignment horizontal="center" vertical="center"/>
    </xf>
    <xf borderId="79" fillId="0" fontId="6" numFmtId="0" xfId="0" applyAlignment="1" applyBorder="1" applyFont="1">
      <alignment vertical="center"/>
    </xf>
    <xf borderId="80" fillId="5" fontId="15" numFmtId="0" xfId="0" applyAlignment="1" applyBorder="1" applyFont="1">
      <alignment horizontal="center" vertical="center"/>
    </xf>
    <xf borderId="7" fillId="5" fontId="15" numFmtId="0" xfId="0" applyAlignment="1" applyBorder="1" applyFont="1">
      <alignment horizontal="center" vertical="center"/>
    </xf>
    <xf borderId="81" fillId="0" fontId="6" numFmtId="0" xfId="0" applyAlignment="1" applyBorder="1" applyFont="1">
      <alignment vertical="center"/>
    </xf>
    <xf borderId="1" fillId="18" fontId="15" numFmtId="0" xfId="0" applyAlignment="1" applyBorder="1" applyFont="1">
      <alignment horizontal="center" vertical="center"/>
    </xf>
    <xf borderId="1" fillId="4" fontId="15" numFmtId="167" xfId="0" applyAlignment="1" applyBorder="1" applyFont="1" applyNumberFormat="1">
      <alignment horizontal="center" vertical="center"/>
    </xf>
    <xf borderId="1" fillId="4" fontId="15" numFmtId="9" xfId="0" applyAlignment="1" applyBorder="1" applyFont="1" applyNumberFormat="1">
      <alignment horizontal="center" vertical="center"/>
    </xf>
    <xf borderId="82" fillId="0" fontId="6" numFmtId="0" xfId="0" applyAlignment="1" applyBorder="1" applyFont="1">
      <alignment vertical="center"/>
    </xf>
    <xf borderId="46" fillId="20" fontId="15" numFmtId="0" xfId="0" applyAlignment="1" applyBorder="1" applyFont="1">
      <alignment horizontal="center" vertical="center"/>
    </xf>
    <xf borderId="1" fillId="20" fontId="15" numFmtId="9" xfId="0" applyAlignment="1" applyBorder="1" applyFont="1" applyNumberFormat="1">
      <alignment horizontal="center" vertical="center"/>
    </xf>
    <xf borderId="83" fillId="20" fontId="15" numFmtId="9" xfId="0" applyAlignment="1" applyBorder="1" applyFont="1" applyNumberFormat="1">
      <alignment horizontal="center" vertical="center"/>
    </xf>
    <xf borderId="1" fillId="20" fontId="15" numFmtId="14" xfId="0" applyAlignment="1" applyBorder="1" applyFont="1" applyNumberFormat="1">
      <alignment horizontal="center" vertical="center"/>
    </xf>
    <xf borderId="1" fillId="20" fontId="15" numFmtId="0" xfId="0" applyAlignment="1" applyBorder="1" applyFont="1">
      <alignment horizontal="center" vertical="center"/>
    </xf>
    <xf borderId="83" fillId="20" fontId="15" numFmtId="0" xfId="0" applyAlignment="1" applyBorder="1" applyFont="1">
      <alignment horizontal="center" vertical="center"/>
    </xf>
    <xf borderId="41" fillId="20" fontId="15" numFmtId="0" xfId="0" applyAlignment="1" applyBorder="1" applyFont="1">
      <alignment horizontal="center" vertical="center"/>
    </xf>
    <xf borderId="74" fillId="20" fontId="15" numFmtId="0" xfId="0" applyAlignment="1" applyBorder="1" applyFont="1">
      <alignment horizontal="center" vertical="center"/>
    </xf>
    <xf borderId="84" fillId="0" fontId="6" numFmtId="0" xfId="0" applyAlignment="1" applyBorder="1" applyFont="1">
      <alignment vertical="center"/>
    </xf>
    <xf borderId="1" fillId="5" fontId="1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13" fillId="18" fontId="5" numFmtId="185" xfId="0" applyAlignment="1" applyBorder="1" applyFont="1" applyNumberFormat="1">
      <alignment horizontal="center" vertical="center"/>
    </xf>
    <xf borderId="5" fillId="0" fontId="5" numFmtId="186" xfId="0" applyAlignment="1" applyBorder="1" applyFont="1" applyNumberFormat="1">
      <alignment horizontal="center" vertical="center"/>
    </xf>
    <xf borderId="13" fillId="18" fontId="5" numFmtId="187" xfId="0" applyAlignment="1" applyBorder="1" applyFont="1" applyNumberFormat="1">
      <alignment horizontal="center" vertical="center"/>
    </xf>
    <xf borderId="13" fillId="18" fontId="5" numFmtId="166" xfId="0" applyAlignment="1" applyBorder="1" applyFont="1" applyNumberFormat="1">
      <alignment horizontal="right" vertical="center"/>
    </xf>
    <xf borderId="5" fillId="0" fontId="5" numFmtId="166" xfId="0" applyAlignment="1" applyBorder="1" applyFont="1" applyNumberFormat="1">
      <alignment horizontal="right" vertical="center"/>
    </xf>
    <xf borderId="5" fillId="0" fontId="5" numFmtId="167" xfId="0" applyAlignment="1" applyBorder="1" applyFont="1" applyNumberFormat="1">
      <alignment horizontal="right" vertical="center"/>
    </xf>
    <xf borderId="5" fillId="0" fontId="5" numFmtId="167" xfId="0" applyAlignment="1" applyBorder="1" applyFont="1" applyNumberFormat="1">
      <alignment horizontal="center" vertical="center"/>
    </xf>
    <xf borderId="5" fillId="0" fontId="5" numFmtId="9" xfId="0" applyAlignment="1" applyBorder="1" applyFont="1" applyNumberFormat="1">
      <alignment horizontal="center" vertical="center"/>
    </xf>
    <xf borderId="13" fillId="18" fontId="5" numFmtId="0" xfId="0" applyAlignment="1" applyBorder="1" applyFont="1">
      <alignment horizontal="center" vertical="center"/>
    </xf>
    <xf borderId="13" fillId="18" fontId="5" numFmtId="14" xfId="0" applyAlignment="1" applyBorder="1" applyFont="1" applyNumberFormat="1">
      <alignment horizontal="center" vertical="center"/>
    </xf>
    <xf borderId="5" fillId="0" fontId="5" numFmtId="14" xfId="0" applyAlignment="1" applyBorder="1" applyFont="1" applyNumberFormat="1">
      <alignment horizontal="center" vertical="center"/>
    </xf>
    <xf borderId="5" fillId="0" fontId="5" numFmtId="167" xfId="0" applyAlignment="1" applyBorder="1" applyFont="1" applyNumberFormat="1">
      <alignment vertical="center"/>
    </xf>
    <xf borderId="74" fillId="0" fontId="5" numFmtId="167" xfId="0" applyAlignment="1" applyBorder="1" applyFont="1" applyNumberFormat="1">
      <alignment horizontal="center" vertical="center"/>
    </xf>
    <xf borderId="49" fillId="0" fontId="5" numFmtId="0" xfId="0" applyAlignment="1" applyBorder="1" applyFont="1">
      <alignment horizontal="center" vertical="center"/>
    </xf>
    <xf borderId="1" fillId="0" fontId="5" numFmtId="167" xfId="0" applyAlignment="1" applyBorder="1" applyFont="1" applyNumberFormat="1">
      <alignment horizontal="center" vertical="center"/>
    </xf>
    <xf borderId="1" fillId="0" fontId="5" numFmtId="14" xfId="0" applyAlignment="1" applyBorder="1" applyFont="1" applyNumberFormat="1">
      <alignment horizontal="left" vertical="center"/>
    </xf>
    <xf borderId="1" fillId="0" fontId="5" numFmtId="175" xfId="0" applyAlignment="1" applyBorder="1" applyFont="1" applyNumberFormat="1">
      <alignment horizontal="left" vertical="center"/>
    </xf>
    <xf borderId="1" fillId="0" fontId="5" numFmtId="167" xfId="0" applyAlignment="1" applyBorder="1" applyFont="1" applyNumberFormat="1">
      <alignment horizontal="right" vertical="center"/>
    </xf>
    <xf borderId="1" fillId="0" fontId="5" numFmtId="10" xfId="0" applyAlignment="1" applyBorder="1" applyFont="1" applyNumberFormat="1">
      <alignment horizontal="right" vertical="center"/>
    </xf>
    <xf borderId="7" fillId="0" fontId="5" numFmtId="10" xfId="0" applyAlignment="1" applyBorder="1" applyFont="1" applyNumberFormat="1">
      <alignment horizontal="right" vertical="center"/>
    </xf>
    <xf borderId="1" fillId="0" fontId="13" numFmtId="0" xfId="0" applyAlignment="1" applyBorder="1" applyFont="1">
      <alignment horizontal="left" vertical="center"/>
    </xf>
    <xf borderId="7" fillId="0" fontId="13" numFmtId="167" xfId="0" applyAlignment="1" applyBorder="1" applyFont="1" applyNumberFormat="1">
      <alignment vertical="center"/>
    </xf>
    <xf borderId="74" fillId="0" fontId="19" numFmtId="0" xfId="0" applyAlignment="1" applyBorder="1" applyFont="1">
      <alignment horizontal="left" shrinkToFit="0" vertical="center" wrapText="1"/>
    </xf>
    <xf borderId="8" fillId="0" fontId="4" numFmtId="167" xfId="0" applyAlignment="1" applyBorder="1" applyFont="1" applyNumberFormat="1">
      <alignment vertical="center"/>
    </xf>
    <xf borderId="1" fillId="0" fontId="1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vertical="center"/>
    </xf>
    <xf borderId="1" fillId="18" fontId="5" numFmtId="185" xfId="0" applyAlignment="1" applyBorder="1" applyFont="1" applyNumberFormat="1">
      <alignment horizontal="center" vertical="center"/>
    </xf>
    <xf borderId="1" fillId="0" fontId="5" numFmtId="186" xfId="0" applyAlignment="1" applyBorder="1" applyFont="1" applyNumberFormat="1">
      <alignment horizontal="center" vertical="center"/>
    </xf>
    <xf borderId="1" fillId="18" fontId="5" numFmtId="187" xfId="0" applyAlignment="1" applyBorder="1" applyFont="1" applyNumberFormat="1">
      <alignment horizontal="center" vertical="center"/>
    </xf>
    <xf borderId="1" fillId="18" fontId="5" numFmtId="166" xfId="0" applyAlignment="1" applyBorder="1" applyFont="1" applyNumberFormat="1">
      <alignment horizontal="right" vertical="center"/>
    </xf>
    <xf borderId="1" fillId="0" fontId="5" numFmtId="9" xfId="0" applyAlignment="1" applyBorder="1" applyFont="1" applyNumberFormat="1">
      <alignment horizontal="center" vertical="center"/>
    </xf>
    <xf borderId="1" fillId="18" fontId="5" numFmtId="9" xfId="0" applyAlignment="1" applyBorder="1" applyFont="1" applyNumberFormat="1">
      <alignment horizontal="center" vertical="center"/>
    </xf>
    <xf borderId="1" fillId="0" fontId="4" numFmtId="14" xfId="0" applyAlignment="1" applyBorder="1" applyFont="1" applyNumberFormat="1">
      <alignment horizontal="center" vertical="center"/>
    </xf>
    <xf borderId="74" fillId="0" fontId="4" numFmtId="167" xfId="0" applyAlignment="1" applyBorder="1" applyFont="1" applyNumberFormat="1">
      <alignment horizontal="center" vertical="center"/>
    </xf>
    <xf borderId="49" fillId="0" fontId="4" numFmtId="0" xfId="0" applyAlignment="1" applyBorder="1" applyFont="1">
      <alignment horizontal="center" vertical="center"/>
    </xf>
    <xf borderId="1" fillId="0" fontId="4" numFmtId="14" xfId="0" applyAlignment="1" applyBorder="1" applyFont="1" applyNumberFormat="1">
      <alignment horizontal="left" vertical="center"/>
    </xf>
    <xf borderId="1" fillId="0" fontId="4" numFmtId="167" xfId="0" applyAlignment="1" applyBorder="1" applyFont="1" applyNumberFormat="1">
      <alignment horizontal="left" vertical="center"/>
    </xf>
    <xf borderId="1" fillId="0" fontId="11" numFmtId="166" xfId="0" applyAlignment="1" applyBorder="1" applyFont="1" applyNumberFormat="1">
      <alignment horizontal="left" vertical="center"/>
    </xf>
    <xf borderId="7" fillId="0" fontId="11" numFmtId="166" xfId="0" applyAlignment="1" applyBorder="1" applyFont="1" applyNumberFormat="1">
      <alignment vertical="center"/>
    </xf>
    <xf borderId="74" fillId="0" fontId="4" numFmtId="166" xfId="0" applyAlignment="1" applyBorder="1" applyFont="1" applyNumberFormat="1">
      <alignment horizontal="left" vertical="center"/>
    </xf>
    <xf borderId="9" fillId="0" fontId="4" numFmtId="0" xfId="0" applyAlignment="1" applyBorder="1" applyFont="1">
      <alignment horizontal="center" vertical="center"/>
    </xf>
    <xf borderId="9" fillId="0" fontId="4" numFmtId="167" xfId="0" applyAlignment="1" applyBorder="1" applyFont="1" applyNumberFormat="1">
      <alignment horizontal="left" vertical="center"/>
    </xf>
    <xf borderId="74" fillId="0" fontId="20" numFmtId="166" xfId="0" applyAlignment="1" applyBorder="1" applyFont="1" applyNumberFormat="1">
      <alignment horizontal="left" vertical="center"/>
    </xf>
    <xf borderId="1" fillId="0" fontId="21" numFmtId="166" xfId="0" applyAlignment="1" applyBorder="1" applyFont="1" applyNumberFormat="1">
      <alignment horizontal="right" vertical="center"/>
    </xf>
    <xf borderId="1" fillId="0" fontId="21" numFmtId="167" xfId="0" applyAlignment="1" applyBorder="1" applyFont="1" applyNumberFormat="1">
      <alignment horizontal="left" vertical="center"/>
    </xf>
    <xf borderId="1" fillId="0" fontId="22" numFmtId="166" xfId="0" applyAlignment="1" applyBorder="1" applyFont="1" applyNumberFormat="1">
      <alignment horizontal="left" vertical="center"/>
    </xf>
    <xf borderId="7" fillId="0" fontId="22" numFmtId="166" xfId="0" applyAlignment="1" applyBorder="1" applyFont="1" applyNumberFormat="1">
      <alignment vertical="center"/>
    </xf>
    <xf borderId="74" fillId="0" fontId="15" numFmtId="166" xfId="0" applyAlignment="1" applyBorder="1" applyFont="1" applyNumberFormat="1">
      <alignment horizontal="left" vertical="center"/>
    </xf>
    <xf borderId="1" fillId="6" fontId="15" numFmtId="0" xfId="0" applyAlignment="1" applyBorder="1" applyFont="1">
      <alignment horizontal="center" vertical="center"/>
    </xf>
    <xf borderId="1" fillId="6" fontId="15" numFmtId="0" xfId="0" applyAlignment="1" applyBorder="1" applyFont="1">
      <alignment shrinkToFit="0" vertical="center" wrapText="1"/>
    </xf>
    <xf borderId="1" fillId="6" fontId="23" numFmtId="0" xfId="0" applyAlignment="1" applyBorder="1" applyFont="1">
      <alignment horizontal="center" vertical="center"/>
    </xf>
    <xf borderId="1" fillId="18" fontId="23" numFmtId="0" xfId="0" applyAlignment="1" applyBorder="1" applyFont="1">
      <alignment horizontal="center" vertical="center"/>
    </xf>
    <xf borderId="1" fillId="6" fontId="15" numFmtId="186" xfId="0" applyAlignment="1" applyBorder="1" applyFont="1" applyNumberFormat="1">
      <alignment horizontal="center" vertical="center"/>
    </xf>
    <xf borderId="1" fillId="18" fontId="15" numFmtId="187" xfId="0" applyAlignment="1" applyBorder="1" applyFont="1" applyNumberFormat="1">
      <alignment horizontal="center" vertical="center"/>
    </xf>
    <xf borderId="1" fillId="18" fontId="15" numFmtId="166" xfId="0" applyAlignment="1" applyBorder="1" applyFont="1" applyNumberFormat="1">
      <alignment horizontal="right" vertical="center"/>
    </xf>
    <xf borderId="1" fillId="6" fontId="15" numFmtId="166" xfId="0" applyAlignment="1" applyBorder="1" applyFont="1" applyNumberFormat="1">
      <alignment horizontal="right" vertical="center"/>
    </xf>
    <xf borderId="1" fillId="6" fontId="24" numFmtId="166" xfId="0" applyAlignment="1" applyBorder="1" applyFont="1" applyNumberFormat="1">
      <alignment horizontal="right" vertical="center"/>
    </xf>
    <xf borderId="1" fillId="6" fontId="15" numFmtId="167" xfId="0" applyAlignment="1" applyBorder="1" applyFont="1" applyNumberFormat="1">
      <alignment horizontal="right" vertical="center"/>
    </xf>
    <xf borderId="1" fillId="6" fontId="24" numFmtId="167" xfId="0" applyAlignment="1" applyBorder="1" applyFont="1" applyNumberFormat="1">
      <alignment horizontal="right" vertical="center"/>
    </xf>
    <xf borderId="1" fillId="6" fontId="24" numFmtId="167" xfId="0" applyAlignment="1" applyBorder="1" applyFont="1" applyNumberFormat="1">
      <alignment horizontal="center" vertical="center"/>
    </xf>
    <xf borderId="1" fillId="6" fontId="24" numFmtId="9" xfId="0" applyAlignment="1" applyBorder="1" applyFont="1" applyNumberFormat="1">
      <alignment horizontal="center" vertical="center"/>
    </xf>
    <xf borderId="1" fillId="18" fontId="24" numFmtId="9" xfId="0" applyAlignment="1" applyBorder="1" applyFont="1" applyNumberFormat="1">
      <alignment horizontal="center" vertical="center"/>
    </xf>
    <xf borderId="74" fillId="6" fontId="24" numFmtId="167" xfId="0" applyAlignment="1" applyBorder="1" applyFont="1" applyNumberFormat="1">
      <alignment horizontal="center" vertical="center"/>
    </xf>
    <xf borderId="46" fillId="6" fontId="24" numFmtId="0" xfId="0" applyAlignment="1" applyBorder="1" applyFont="1">
      <alignment horizontal="center" vertical="center"/>
    </xf>
    <xf borderId="46" fillId="6" fontId="24" numFmtId="167" xfId="0" applyAlignment="1" applyBorder="1" applyFont="1" applyNumberFormat="1">
      <alignment horizontal="center" vertical="center"/>
    </xf>
    <xf borderId="1" fillId="6" fontId="24" numFmtId="14" xfId="0" applyAlignment="1" applyBorder="1" applyFont="1" applyNumberFormat="1">
      <alignment horizontal="center" vertical="center"/>
    </xf>
    <xf borderId="1" fillId="6" fontId="15" numFmtId="166" xfId="0" applyAlignment="1" applyBorder="1" applyFont="1" applyNumberFormat="1">
      <alignment vertical="center"/>
    </xf>
    <xf borderId="41" fillId="6" fontId="15" numFmtId="166" xfId="0" applyAlignment="1" applyBorder="1" applyFont="1" applyNumberFormat="1">
      <alignment vertical="center"/>
    </xf>
    <xf borderId="1" fillId="6" fontId="22" numFmtId="166" xfId="0" applyAlignment="1" applyBorder="1" applyFont="1" applyNumberFormat="1">
      <alignment horizontal="left" vertical="center"/>
    </xf>
    <xf borderId="41" fillId="6" fontId="22" numFmtId="166" xfId="0" applyAlignment="1" applyBorder="1" applyFont="1" applyNumberFormat="1">
      <alignment vertical="center"/>
    </xf>
    <xf borderId="74" fillId="6" fontId="15" numFmtId="166" xfId="0" applyAlignment="1" applyBorder="1" applyFont="1" applyNumberFormat="1">
      <alignment vertical="center"/>
    </xf>
    <xf borderId="83" fillId="6" fontId="4" numFmtId="167" xfId="0" applyAlignment="1" applyBorder="1" applyFont="1" applyNumberFormat="1">
      <alignment vertical="center"/>
    </xf>
    <xf borderId="1" fillId="6" fontId="4" numFmtId="0" xfId="0" applyAlignment="1" applyBorder="1" applyFont="1">
      <alignment vertical="center"/>
    </xf>
    <xf borderId="1" fillId="18" fontId="4" numFmtId="0" xfId="0" applyAlignment="1" applyBorder="1" applyFont="1">
      <alignment horizontal="center" vertical="center"/>
    </xf>
    <xf borderId="74" fillId="0" fontId="5" numFmtId="9" xfId="0" applyAlignment="1" applyBorder="1" applyFont="1" applyNumberFormat="1">
      <alignment horizontal="center" vertical="center"/>
    </xf>
    <xf borderId="49" fillId="0" fontId="5" numFmtId="9" xfId="0" applyAlignment="1" applyBorder="1" applyFont="1" applyNumberFormat="1">
      <alignment horizontal="left" vertical="center"/>
    </xf>
    <xf borderId="48" fillId="0" fontId="5" numFmtId="9" xfId="0" applyAlignment="1" applyBorder="1" applyFont="1" applyNumberFormat="1">
      <alignment horizontal="left" vertical="center"/>
    </xf>
    <xf borderId="1" fillId="0" fontId="5" numFmtId="9" xfId="0" applyAlignment="1" applyBorder="1" applyFont="1" applyNumberFormat="1">
      <alignment horizontal="left" vertical="center"/>
    </xf>
    <xf borderId="9" fillId="0" fontId="5" numFmtId="9" xfId="0" applyAlignment="1" applyBorder="1" applyFont="1" applyNumberFormat="1">
      <alignment horizontal="left" vertical="center"/>
    </xf>
    <xf borderId="1" fillId="0" fontId="25" numFmtId="0" xfId="0" applyAlignment="1" applyBorder="1" applyFont="1">
      <alignment horizontal="center" vertical="center"/>
    </xf>
    <xf borderId="1" fillId="18" fontId="25" numFmtId="185" xfId="0" applyAlignment="1" applyBorder="1" applyFont="1" applyNumberFormat="1">
      <alignment horizontal="center" vertical="center"/>
    </xf>
    <xf borderId="1" fillId="0" fontId="4" numFmtId="186" xfId="0" applyAlignment="1" applyBorder="1" applyFont="1" applyNumberFormat="1">
      <alignment horizontal="center" vertical="center"/>
    </xf>
    <xf borderId="1" fillId="18" fontId="4" numFmtId="187" xfId="0" applyAlignment="1" applyBorder="1" applyFont="1" applyNumberFormat="1">
      <alignment horizontal="center" vertical="center"/>
    </xf>
    <xf borderId="1" fillId="18" fontId="4" numFmtId="166" xfId="0" applyAlignment="1" applyBorder="1" applyFont="1" applyNumberFormat="1">
      <alignment horizontal="right" vertical="center"/>
    </xf>
    <xf borderId="9" fillId="0" fontId="5" numFmtId="167" xfId="0" applyAlignment="1" applyBorder="1" applyFont="1" applyNumberFormat="1">
      <alignment horizontal="left" vertical="center"/>
    </xf>
    <xf borderId="1" fillId="0" fontId="13" numFmtId="167" xfId="0" applyAlignment="1" applyBorder="1" applyFont="1" applyNumberFormat="1">
      <alignment horizontal="left" vertical="center"/>
    </xf>
    <xf borderId="74" fillId="0" fontId="19" numFmtId="167" xfId="0" applyAlignment="1" applyBorder="1" applyFont="1" applyNumberFormat="1">
      <alignment horizontal="left" shrinkToFit="0" vertical="center" wrapText="1"/>
    </xf>
    <xf borderId="85" fillId="6" fontId="24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9" fillId="0" fontId="5" numFmtId="9" xfId="0" applyAlignment="1" applyBorder="1" applyFont="1" applyNumberFormat="1">
      <alignment horizontal="center" vertical="center"/>
    </xf>
    <xf borderId="1" fillId="0" fontId="5" numFmtId="14" xfId="0" applyAlignment="1" applyBorder="1" applyFont="1" applyNumberFormat="1">
      <alignment horizontal="center" vertical="center"/>
    </xf>
    <xf borderId="74" fillId="0" fontId="4" numFmtId="166" xfId="0" applyAlignment="1" applyBorder="1" applyFont="1" applyNumberFormat="1">
      <alignment horizontal="center" vertical="center"/>
    </xf>
    <xf borderId="3" fillId="0" fontId="4" numFmtId="186" xfId="0" applyAlignment="1" applyBorder="1" applyFont="1" applyNumberFormat="1">
      <alignment horizontal="center" vertical="center"/>
    </xf>
    <xf borderId="3" fillId="18" fontId="4" numFmtId="187" xfId="0" applyAlignment="1" applyBorder="1" applyFont="1" applyNumberFormat="1">
      <alignment horizontal="center" vertical="center"/>
    </xf>
    <xf borderId="3" fillId="18" fontId="4" numFmtId="166" xfId="0" applyAlignment="1" applyBorder="1" applyFont="1" applyNumberFormat="1">
      <alignment horizontal="right" vertical="center"/>
    </xf>
    <xf borderId="3" fillId="18" fontId="5" numFmtId="166" xfId="0" applyAlignment="1" applyBorder="1" applyFont="1" applyNumberFormat="1">
      <alignment horizontal="center" vertical="center"/>
    </xf>
    <xf borderId="3" fillId="0" fontId="5" numFmtId="166" xfId="0" applyAlignment="1" applyBorder="1" applyFont="1" applyNumberFormat="1">
      <alignment horizontal="right" vertical="center"/>
    </xf>
    <xf borderId="3" fillId="0" fontId="5" numFmtId="167" xfId="0" applyAlignment="1" applyBorder="1" applyFont="1" applyNumberFormat="1">
      <alignment horizontal="center" vertical="center"/>
    </xf>
    <xf borderId="3" fillId="0" fontId="5" numFmtId="9" xfId="0" applyAlignment="1" applyBorder="1" applyFont="1" applyNumberFormat="1">
      <alignment horizontal="center" vertical="center"/>
    </xf>
    <xf borderId="3" fillId="0" fontId="4" numFmtId="9" xfId="0" applyAlignment="1" applyBorder="1" applyFont="1" applyNumberFormat="1">
      <alignment horizontal="center" vertical="center"/>
    </xf>
    <xf borderId="3" fillId="0" fontId="5" numFmtId="14" xfId="0" applyAlignment="1" applyBorder="1" applyFont="1" applyNumberFormat="1">
      <alignment horizontal="center" vertical="center"/>
    </xf>
    <xf borderId="86" fillId="0" fontId="5" numFmtId="9" xfId="0" applyAlignment="1" applyBorder="1" applyFont="1" applyNumberFormat="1">
      <alignment horizontal="center" vertical="center"/>
    </xf>
    <xf borderId="47" fillId="0" fontId="24" numFmtId="9" xfId="0" applyAlignment="1" applyBorder="1" applyFont="1" applyNumberFormat="1">
      <alignment horizontal="center" vertical="center"/>
    </xf>
    <xf borderId="87" fillId="0" fontId="6" numFmtId="0" xfId="0" applyAlignment="1" applyBorder="1" applyFont="1">
      <alignment vertical="center"/>
    </xf>
    <xf borderId="26" fillId="0" fontId="4" numFmtId="167" xfId="0" applyAlignment="1" applyBorder="1" applyFont="1" applyNumberFormat="1">
      <alignment horizontal="center" vertical="center"/>
    </xf>
    <xf borderId="3" fillId="0" fontId="4" numFmtId="167" xfId="0" applyAlignment="1" applyBorder="1" applyFont="1" applyNumberFormat="1">
      <alignment horizontal="center" vertical="center"/>
    </xf>
    <xf borderId="88" fillId="0" fontId="6" numFmtId="0" xfId="0" applyAlignment="1" applyBorder="1" applyFont="1">
      <alignment vertical="center"/>
    </xf>
    <xf borderId="89" fillId="0" fontId="6" numFmtId="0" xfId="0" applyAlignment="1" applyBorder="1" applyFont="1">
      <alignment vertical="center"/>
    </xf>
    <xf borderId="90" fillId="0" fontId="6" numFmtId="0" xfId="0" applyAlignment="1" applyBorder="1" applyFont="1">
      <alignment vertical="center"/>
    </xf>
    <xf borderId="91" fillId="0" fontId="6" numFmtId="0" xfId="0" applyAlignment="1" applyBorder="1" applyFont="1">
      <alignment vertical="center"/>
    </xf>
    <xf borderId="92" fillId="0" fontId="6" numFmtId="0" xfId="0" applyAlignment="1" applyBorder="1" applyFont="1">
      <alignment vertical="center"/>
    </xf>
    <xf borderId="1" fillId="6" fontId="22" numFmtId="166" xfId="0" applyAlignment="1" applyBorder="1" applyFont="1" applyNumberFormat="1">
      <alignment vertical="center"/>
    </xf>
    <xf borderId="3" fillId="0" fontId="15" numFmtId="0" xfId="0" applyAlignment="1" applyBorder="1" applyFont="1">
      <alignment horizontal="left" shrinkToFit="0" vertical="center" wrapText="1"/>
    </xf>
    <xf borderId="3" fillId="0" fontId="25" numFmtId="0" xfId="0" applyAlignment="1" applyBorder="1" applyFont="1">
      <alignment horizontal="center" vertical="center"/>
    </xf>
    <xf borderId="3" fillId="0" fontId="5" numFmtId="166" xfId="0" applyAlignment="1" applyBorder="1" applyFont="1" applyNumberFormat="1">
      <alignment vertical="center"/>
    </xf>
    <xf borderId="3" fillId="18" fontId="5" numFmtId="9" xfId="0" applyAlignment="1" applyBorder="1" applyFont="1" applyNumberFormat="1">
      <alignment horizontal="center" vertical="center"/>
    </xf>
    <xf borderId="3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0" fontId="5" numFmtId="14" xfId="0" applyAlignment="1" applyBorder="1" applyFont="1" applyNumberFormat="1">
      <alignment horizontal="left" vertical="center"/>
    </xf>
    <xf borderId="3" fillId="0" fontId="5" numFmtId="175" xfId="0" applyAlignment="1" applyBorder="1" applyFont="1" applyNumberFormat="1">
      <alignment horizontal="left" vertical="center"/>
    </xf>
    <xf borderId="3" fillId="0" fontId="4" numFmtId="167" xfId="0" applyAlignment="1" applyBorder="1" applyFont="1" applyNumberFormat="1">
      <alignment horizontal="right" vertical="center"/>
    </xf>
    <xf borderId="3" fillId="0" fontId="4" numFmtId="10" xfId="0" applyAlignment="1" applyBorder="1" applyFont="1" applyNumberFormat="1">
      <alignment horizontal="right" vertical="center"/>
    </xf>
    <xf borderId="3" fillId="0" fontId="11" numFmtId="166" xfId="0" applyAlignment="1" applyBorder="1" applyFont="1" applyNumberFormat="1">
      <alignment vertical="center"/>
    </xf>
    <xf borderId="3" fillId="0" fontId="11" numFmtId="166" xfId="0" applyAlignment="1" applyBorder="1" applyFont="1" applyNumberFormat="1">
      <alignment horizontal="center" vertical="center"/>
    </xf>
    <xf borderId="86" fillId="0" fontId="26" numFmtId="166" xfId="0" applyAlignment="1" applyBorder="1" applyFont="1" applyNumberFormat="1">
      <alignment horizontal="left" shrinkToFit="0" vertical="center" wrapText="1"/>
    </xf>
    <xf borderId="9" fillId="0" fontId="5" numFmtId="0" xfId="0" applyAlignment="1" applyBorder="1" applyFont="1">
      <alignment horizontal="center" vertical="center"/>
    </xf>
    <xf borderId="47" fillId="0" fontId="4" numFmtId="0" xfId="0" applyAlignment="1" applyBorder="1" applyFont="1">
      <alignment vertical="center"/>
    </xf>
    <xf borderId="3" fillId="0" fontId="5" numFmtId="9" xfId="0" applyAlignment="1" applyBorder="1" applyFont="1" applyNumberFormat="1">
      <alignment vertical="center"/>
    </xf>
    <xf borderId="3" fillId="0" fontId="5" numFmtId="14" xfId="0" applyAlignment="1" applyBorder="1" applyFont="1" applyNumberFormat="1">
      <alignment vertical="center"/>
    </xf>
    <xf borderId="3" fillId="0" fontId="5" numFmtId="175" xfId="0" applyAlignment="1" applyBorder="1" applyFont="1" applyNumberFormat="1">
      <alignment vertical="center"/>
    </xf>
    <xf borderId="3" fillId="0" fontId="5" numFmtId="10" xfId="0" applyAlignment="1" applyBorder="1" applyFont="1" applyNumberFormat="1">
      <alignment vertical="center"/>
    </xf>
    <xf borderId="3" fillId="0" fontId="5" numFmtId="10" xfId="0" applyAlignment="1" applyBorder="1" applyFont="1" applyNumberFormat="1">
      <alignment horizontal="center" vertical="center"/>
    </xf>
    <xf borderId="86" fillId="0" fontId="4" numFmtId="166" xfId="0" applyAlignment="1" applyBorder="1" applyFont="1" applyNumberFormat="1">
      <alignment shrinkToFit="0" vertical="center" wrapText="1"/>
    </xf>
    <xf borderId="33" fillId="0" fontId="5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4" fillId="0" fontId="5" numFmtId="9" xfId="0" applyAlignment="1" applyBorder="1" applyFont="1" applyNumberFormat="1">
      <alignment vertical="center"/>
    </xf>
    <xf borderId="4" fillId="0" fontId="5" numFmtId="175" xfId="0" applyAlignment="1" applyBorder="1" applyFont="1" applyNumberFormat="1">
      <alignment vertical="center"/>
    </xf>
    <xf borderId="4" fillId="0" fontId="4" numFmtId="167" xfId="0" applyAlignment="1" applyBorder="1" applyFont="1" applyNumberFormat="1">
      <alignment vertical="center"/>
    </xf>
    <xf borderId="4" fillId="0" fontId="5" numFmtId="10" xfId="0" applyAlignment="1" applyBorder="1" applyFont="1" applyNumberFormat="1">
      <alignment vertical="center"/>
    </xf>
    <xf borderId="4" fillId="0" fontId="11" numFmtId="166" xfId="0" applyAlignment="1" applyBorder="1" applyFont="1" applyNumberFormat="1">
      <alignment vertical="center"/>
    </xf>
    <xf borderId="88" fillId="0" fontId="4" numFmtId="166" xfId="0" applyAlignment="1" applyBorder="1" applyFont="1" applyNumberFormat="1">
      <alignment vertical="center"/>
    </xf>
    <xf borderId="48" fillId="0" fontId="4" numFmtId="0" xfId="0" applyAlignment="1" applyBorder="1" applyFont="1">
      <alignment vertical="center"/>
    </xf>
    <xf borderId="5" fillId="0" fontId="5" numFmtId="9" xfId="0" applyAlignment="1" applyBorder="1" applyFont="1" applyNumberFormat="1">
      <alignment vertical="center"/>
    </xf>
    <xf borderId="5" fillId="0" fontId="5" numFmtId="175" xfId="0" applyAlignment="1" applyBorder="1" applyFont="1" applyNumberFormat="1">
      <alignment vertical="center"/>
    </xf>
    <xf borderId="5" fillId="0" fontId="4" numFmtId="167" xfId="0" applyAlignment="1" applyBorder="1" applyFont="1" applyNumberFormat="1">
      <alignment vertical="center"/>
    </xf>
    <xf borderId="5" fillId="0" fontId="5" numFmtId="10" xfId="0" applyAlignment="1" applyBorder="1" applyFont="1" applyNumberFormat="1">
      <alignment vertical="center"/>
    </xf>
    <xf borderId="5" fillId="0" fontId="11" numFmtId="166" xfId="0" applyAlignment="1" applyBorder="1" applyFont="1" applyNumberFormat="1">
      <alignment vertical="center"/>
    </xf>
    <xf borderId="90" fillId="0" fontId="4" numFmtId="166" xfId="0" applyAlignment="1" applyBorder="1" applyFont="1" applyNumberFormat="1">
      <alignment vertical="center"/>
    </xf>
    <xf borderId="1" fillId="6" fontId="15" numFmtId="167" xfId="0" applyAlignment="1" applyBorder="1" applyFont="1" applyNumberFormat="1">
      <alignment horizontal="center" vertical="center"/>
    </xf>
    <xf borderId="1" fillId="6" fontId="15" numFmtId="9" xfId="0" applyAlignment="1" applyBorder="1" applyFont="1" applyNumberFormat="1">
      <alignment horizontal="center" vertical="center"/>
    </xf>
    <xf borderId="1" fillId="18" fontId="15" numFmtId="9" xfId="0" applyAlignment="1" applyBorder="1" applyFont="1" applyNumberFormat="1">
      <alignment horizontal="center" vertical="center"/>
    </xf>
    <xf borderId="74" fillId="6" fontId="15" numFmtId="167" xfId="0" applyAlignment="1" applyBorder="1" applyFont="1" applyNumberFormat="1">
      <alignment horizontal="center" vertical="center"/>
    </xf>
    <xf borderId="85" fillId="6" fontId="15" numFmtId="0" xfId="0" applyAlignment="1" applyBorder="1" applyFont="1">
      <alignment horizontal="center" vertical="center"/>
    </xf>
    <xf borderId="93" fillId="6" fontId="15" numFmtId="167" xfId="0" applyAlignment="1" applyBorder="1" applyFont="1" applyNumberFormat="1">
      <alignment horizontal="center" vertical="center"/>
    </xf>
    <xf borderId="25" fillId="6" fontId="15" numFmtId="167" xfId="0" applyAlignment="1" applyBorder="1" applyFont="1" applyNumberFormat="1">
      <alignment horizontal="center" vertical="center"/>
    </xf>
    <xf borderId="94" fillId="6" fontId="15" numFmtId="167" xfId="0" applyAlignment="1" applyBorder="1" applyFont="1" applyNumberFormat="1">
      <alignment horizontal="center" vertical="center"/>
    </xf>
    <xf borderId="37" fillId="6" fontId="15" numFmtId="167" xfId="0" applyAlignment="1" applyBorder="1" applyFont="1" applyNumberFormat="1">
      <alignment horizontal="center" vertical="center"/>
    </xf>
    <xf borderId="1" fillId="6" fontId="15" numFmtId="14" xfId="0" applyAlignment="1" applyBorder="1" applyFont="1" applyNumberFormat="1">
      <alignment horizontal="center" vertical="center"/>
    </xf>
    <xf borderId="37" fillId="6" fontId="15" numFmtId="166" xfId="0" applyAlignment="1" applyBorder="1" applyFont="1" applyNumberFormat="1">
      <alignment vertical="center"/>
    </xf>
    <xf borderId="28" fillId="6" fontId="4" numFmtId="167" xfId="0" applyAlignment="1" applyBorder="1" applyFont="1" applyNumberFormat="1">
      <alignment vertical="center"/>
    </xf>
    <xf borderId="7" fillId="21" fontId="27" numFmtId="188" xfId="0" applyAlignment="1" applyBorder="1" applyFill="1" applyFont="1" applyNumberFormat="1">
      <alignment horizontal="center" vertical="center"/>
    </xf>
    <xf borderId="1" fillId="21" fontId="27" numFmtId="0" xfId="0" applyAlignment="1" applyBorder="1" applyFont="1">
      <alignment vertical="center"/>
    </xf>
    <xf borderId="1" fillId="21" fontId="28" numFmtId="166" xfId="0" applyAlignment="1" applyBorder="1" applyFont="1" applyNumberFormat="1">
      <alignment vertical="center"/>
    </xf>
    <xf borderId="1" fillId="21" fontId="28" numFmtId="166" xfId="0" applyAlignment="1" applyBorder="1" applyFont="1" applyNumberFormat="1">
      <alignment horizontal="right" vertical="center"/>
    </xf>
    <xf borderId="1" fillId="21" fontId="28" numFmtId="167" xfId="0" applyAlignment="1" applyBorder="1" applyFont="1" applyNumberFormat="1">
      <alignment horizontal="center" vertical="center"/>
    </xf>
    <xf borderId="1" fillId="21" fontId="28" numFmtId="9" xfId="0" applyAlignment="1" applyBorder="1" applyFont="1" applyNumberFormat="1">
      <alignment horizontal="center" vertical="center"/>
    </xf>
    <xf borderId="1" fillId="18" fontId="28" numFmtId="9" xfId="0" applyAlignment="1" applyBorder="1" applyFont="1" applyNumberFormat="1">
      <alignment horizontal="center" vertical="center"/>
    </xf>
    <xf borderId="3" fillId="22" fontId="15" numFmtId="9" xfId="0" applyAlignment="1" applyBorder="1" applyFill="1" applyFont="1" applyNumberFormat="1">
      <alignment horizontal="center" vertical="center"/>
    </xf>
    <xf borderId="1" fillId="22" fontId="15" numFmtId="9" xfId="0" applyAlignment="1" applyBorder="1" applyFont="1" applyNumberFormat="1">
      <alignment horizontal="center" vertical="center"/>
    </xf>
    <xf borderId="7" fillId="22" fontId="15" numFmtId="189" xfId="0" applyAlignment="1" applyBorder="1" applyFont="1" applyNumberFormat="1">
      <alignment horizontal="center" vertical="center"/>
    </xf>
    <xf borderId="1" fillId="22" fontId="15" numFmtId="166" xfId="0" applyAlignment="1" applyBorder="1" applyFont="1" applyNumberFormat="1">
      <alignment horizontal="right" vertical="center"/>
    </xf>
    <xf borderId="0" fillId="0" fontId="15" numFmtId="166" xfId="0" applyAlignment="1" applyFont="1" applyNumberFormat="1">
      <alignment horizontal="right" vertical="center"/>
    </xf>
    <xf borderId="74" fillId="23" fontId="28" numFmtId="166" xfId="0" applyAlignment="1" applyBorder="1" applyFill="1" applyFont="1" applyNumberFormat="1">
      <alignment horizontal="center" vertical="center"/>
    </xf>
    <xf borderId="83" fillId="23" fontId="2" numFmtId="167" xfId="0" applyAlignment="1" applyBorder="1" applyFont="1" applyNumberFormat="1">
      <alignment vertical="center"/>
    </xf>
    <xf borderId="1" fillId="23" fontId="2" numFmtId="0" xfId="0" applyAlignment="1" applyBorder="1" applyFont="1">
      <alignment vertical="center"/>
    </xf>
    <xf borderId="7" fillId="21" fontId="27" numFmtId="190" xfId="0" applyAlignment="1" applyBorder="1" applyFont="1" applyNumberFormat="1">
      <alignment horizontal="center" vertical="center"/>
    </xf>
    <xf borderId="1" fillId="21" fontId="27" numFmtId="167" xfId="0" applyAlignment="1" applyBorder="1" applyFont="1" applyNumberFormat="1">
      <alignment vertical="center"/>
    </xf>
    <xf borderId="1" fillId="18" fontId="27" numFmtId="0" xfId="0" applyAlignment="1" applyBorder="1" applyFont="1">
      <alignment vertical="center"/>
    </xf>
    <xf borderId="1" fillId="22" fontId="4" numFmtId="0" xfId="0" applyAlignment="1" applyBorder="1" applyFont="1">
      <alignment vertical="center"/>
    </xf>
    <xf borderId="7" fillId="22" fontId="15" numFmtId="191" xfId="0" applyAlignment="1" applyBorder="1" applyFont="1" applyNumberFormat="1">
      <alignment horizontal="center" vertical="center"/>
    </xf>
    <xf borderId="1" fillId="22" fontId="4" numFmtId="167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7" fillId="21" fontId="27" numFmtId="192" xfId="0" applyAlignment="1" applyBorder="1" applyFont="1" applyNumberFormat="1">
      <alignment horizontal="center" vertical="center"/>
    </xf>
    <xf borderId="7" fillId="22" fontId="15" numFmtId="193" xfId="0" applyAlignment="1" applyBorder="1" applyFont="1" applyNumberFormat="1">
      <alignment horizontal="center" vertical="center"/>
    </xf>
    <xf borderId="1" fillId="22" fontId="4" numFmtId="183" xfId="0" applyAlignment="1" applyBorder="1" applyFont="1" applyNumberFormat="1">
      <alignment vertical="center"/>
    </xf>
    <xf borderId="0" fillId="0" fontId="4" numFmtId="185" xfId="0" applyAlignment="1" applyFont="1" applyNumberFormat="1">
      <alignment vertical="center"/>
    </xf>
    <xf borderId="0" fillId="0" fontId="4" numFmtId="186" xfId="0" applyAlignment="1" applyFont="1" applyNumberFormat="1">
      <alignment vertical="center"/>
    </xf>
    <xf borderId="95" fillId="9" fontId="14" numFmtId="0" xfId="0" applyAlignment="1" applyBorder="1" applyFont="1">
      <alignment horizontal="center" vertical="center"/>
    </xf>
    <xf borderId="96" fillId="0" fontId="6" numFmtId="0" xfId="0" applyAlignment="1" applyBorder="1" applyFont="1">
      <alignment vertical="center"/>
    </xf>
    <xf borderId="97" fillId="0" fontId="6" numFmtId="0" xfId="0" applyAlignment="1" applyBorder="1" applyFont="1">
      <alignment vertical="center"/>
    </xf>
    <xf borderId="3" fillId="19" fontId="15" numFmtId="0" xfId="0" applyAlignment="1" applyBorder="1" applyFont="1">
      <alignment horizontal="center" vertical="center"/>
    </xf>
    <xf borderId="7" fillId="19" fontId="15" numFmtId="0" xfId="0" applyAlignment="1" applyBorder="1" applyFont="1">
      <alignment horizontal="center" vertical="center"/>
    </xf>
    <xf borderId="3" fillId="17" fontId="15" numFmtId="0" xfId="0" applyAlignment="1" applyBorder="1" applyFont="1">
      <alignment horizontal="center" vertical="center"/>
    </xf>
    <xf borderId="3" fillId="17" fontId="15" numFmtId="167" xfId="0" applyAlignment="1" applyBorder="1" applyFont="1" applyNumberFormat="1">
      <alignment horizontal="center" vertical="center"/>
    </xf>
    <xf borderId="3" fillId="19" fontId="15" numFmtId="167" xfId="0" applyAlignment="1" applyBorder="1" applyFont="1" applyNumberFormat="1">
      <alignment horizontal="center" vertical="center"/>
    </xf>
    <xf borderId="7" fillId="19" fontId="15" numFmtId="9" xfId="0" applyAlignment="1" applyBorder="1" applyFont="1" applyNumberFormat="1">
      <alignment horizontal="center" vertical="center"/>
    </xf>
    <xf borderId="1" fillId="17" fontId="15" numFmtId="0" xfId="0" applyAlignment="1" applyBorder="1" applyFont="1">
      <alignment vertical="center"/>
    </xf>
    <xf borderId="7" fillId="24" fontId="15" numFmtId="9" xfId="0" applyAlignment="1" applyBorder="1" applyFill="1" applyFont="1" applyNumberFormat="1">
      <alignment horizontal="center" vertical="center"/>
    </xf>
    <xf borderId="35" fillId="25" fontId="3" numFmtId="0" xfId="0" applyAlignment="1" applyBorder="1" applyFill="1" applyFont="1">
      <alignment horizontal="center" vertical="center"/>
    </xf>
    <xf borderId="1" fillId="19" fontId="15" numFmtId="0" xfId="0" applyAlignment="1" applyBorder="1" applyFont="1">
      <alignment horizontal="center" vertical="center"/>
    </xf>
    <xf borderId="1" fillId="19" fontId="15" numFmtId="167" xfId="0" applyAlignment="1" applyBorder="1" applyFont="1" applyNumberFormat="1">
      <alignment horizontal="center" vertical="center"/>
    </xf>
    <xf borderId="1" fillId="19" fontId="15" numFmtId="9" xfId="0" applyAlignment="1" applyBorder="1" applyFont="1" applyNumberFormat="1">
      <alignment horizontal="center" vertical="center"/>
    </xf>
    <xf borderId="1" fillId="17" fontId="15" numFmtId="0" xfId="0" applyAlignment="1" applyBorder="1" applyFont="1">
      <alignment horizontal="center" vertical="center"/>
    </xf>
    <xf borderId="1" fillId="17" fontId="15" numFmtId="9" xfId="0" applyAlignment="1" applyBorder="1" applyFont="1" applyNumberFormat="1">
      <alignment horizontal="center" vertical="center"/>
    </xf>
    <xf borderId="1" fillId="17" fontId="15" numFmtId="14" xfId="0" applyAlignment="1" applyBorder="1" applyFont="1" applyNumberFormat="1">
      <alignment horizontal="center" vertical="center"/>
    </xf>
    <xf borderId="1" fillId="24" fontId="15" numFmtId="9" xfId="0" applyAlignment="1" applyBorder="1" applyFont="1" applyNumberFormat="1">
      <alignment horizontal="center" vertical="center"/>
    </xf>
    <xf borderId="1" fillId="24" fontId="15" numFmtId="194" xfId="0" applyAlignment="1" applyBorder="1" applyFont="1" applyNumberFormat="1">
      <alignment horizontal="center" vertical="center"/>
    </xf>
    <xf borderId="41" fillId="24" fontId="15" numFmtId="9" xfId="0" applyAlignment="1" applyBorder="1" applyFont="1" applyNumberFormat="1">
      <alignment horizontal="center" vertical="center"/>
    </xf>
    <xf borderId="98" fillId="24" fontId="15" numFmtId="9" xfId="0" applyAlignment="1" applyBorder="1" applyFont="1" applyNumberFormat="1">
      <alignment horizontal="center" vertical="center"/>
    </xf>
    <xf borderId="7" fillId="5" fontId="2" numFmtId="195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vertical="center"/>
    </xf>
    <xf borderId="1" fillId="5" fontId="2" numFmtId="166" xfId="0" applyAlignment="1" applyBorder="1" applyFont="1" applyNumberFormat="1">
      <alignment vertical="center"/>
    </xf>
    <xf borderId="1" fillId="5" fontId="2" numFmtId="167" xfId="0" applyAlignment="1" applyBorder="1" applyFont="1" applyNumberFormat="1">
      <alignment vertical="center"/>
    </xf>
    <xf borderId="28" fillId="5" fontId="4" numFmtId="0" xfId="0" applyAlignment="1" applyBorder="1" applyFont="1">
      <alignment vertical="center"/>
    </xf>
    <xf borderId="28" fillId="5" fontId="4" numFmtId="0" xfId="0" applyAlignment="1" applyBorder="1" applyFont="1">
      <alignment horizontal="center" vertical="center"/>
    </xf>
    <xf borderId="28" fillId="5" fontId="4" numFmtId="167" xfId="0" applyAlignment="1" applyBorder="1" applyFont="1" applyNumberFormat="1">
      <alignment vertical="center"/>
    </xf>
    <xf borderId="1" fillId="5" fontId="4" numFmtId="183" xfId="0" applyAlignment="1" applyBorder="1" applyFont="1" applyNumberFormat="1">
      <alignment vertical="center"/>
    </xf>
    <xf borderId="41" fillId="5" fontId="4" numFmtId="183" xfId="0" applyAlignment="1" applyBorder="1" applyFont="1" applyNumberFormat="1">
      <alignment vertical="center"/>
    </xf>
    <xf borderId="99" fillId="5" fontId="4" numFmtId="183" xfId="0" applyAlignment="1" applyBorder="1" applyFont="1" applyNumberFormat="1">
      <alignment vertical="center"/>
    </xf>
    <xf borderId="5" fillId="0" fontId="4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shrinkToFit="0" vertical="center" wrapText="1"/>
    </xf>
    <xf borderId="5" fillId="0" fontId="5" numFmtId="185" xfId="0" applyAlignment="1" applyBorder="1" applyFont="1" applyNumberFormat="1">
      <alignment horizontal="center" vertical="center"/>
    </xf>
    <xf borderId="5" fillId="0" fontId="5" numFmtId="187" xfId="0" applyAlignment="1" applyBorder="1" applyFont="1" applyNumberFormat="1">
      <alignment horizontal="center" vertical="center"/>
    </xf>
    <xf borderId="5" fillId="0" fontId="4" numFmtId="14" xfId="0" applyAlignment="1" applyBorder="1" applyFont="1" applyNumberFormat="1">
      <alignment horizontal="center" vertical="center"/>
    </xf>
    <xf borderId="5" fillId="0" fontId="21" numFmtId="14" xfId="0" applyAlignment="1" applyBorder="1" applyFont="1" applyNumberFormat="1">
      <alignment horizontal="center" vertical="center"/>
    </xf>
    <xf borderId="5" fillId="0" fontId="4" numFmtId="9" xfId="0" applyAlignment="1" applyBorder="1" applyFont="1" applyNumberFormat="1">
      <alignment horizontal="center" vertical="center"/>
    </xf>
    <xf borderId="5" fillId="0" fontId="4" numFmtId="167" xfId="0" applyAlignment="1" applyBorder="1" applyFont="1" applyNumberFormat="1">
      <alignment horizontal="center" vertical="center"/>
    </xf>
    <xf borderId="1" fillId="0" fontId="21" numFmtId="166" xfId="0" applyAlignment="1" applyBorder="1" applyFont="1" applyNumberFormat="1">
      <alignment vertical="center"/>
    </xf>
    <xf borderId="7" fillId="0" fontId="4" numFmtId="167" xfId="0" applyAlignment="1" applyBorder="1" applyFont="1" applyNumberFormat="1">
      <alignment horizontal="center" vertical="center"/>
    </xf>
    <xf borderId="7" fillId="0" fontId="4" numFmtId="167" xfId="0" applyAlignment="1" applyBorder="1" applyFont="1" applyNumberFormat="1">
      <alignment vertical="center"/>
    </xf>
    <xf borderId="99" fillId="0" fontId="4" numFmtId="167" xfId="0" applyAlignment="1" applyBorder="1" applyFont="1" applyNumberFormat="1">
      <alignment vertical="center"/>
    </xf>
    <xf borderId="1" fillId="0" fontId="5" numFmtId="185" xfId="0" applyAlignment="1" applyBorder="1" applyFont="1" applyNumberFormat="1">
      <alignment horizontal="center" vertical="center"/>
    </xf>
    <xf borderId="1" fillId="0" fontId="5" numFmtId="187" xfId="0" applyAlignment="1" applyBorder="1" applyFont="1" applyNumberFormat="1">
      <alignment horizontal="center" vertical="center"/>
    </xf>
    <xf borderId="1" fillId="0" fontId="21" numFmtId="14" xfId="0" applyAlignment="1" applyBorder="1" applyFont="1" applyNumberFormat="1">
      <alignment horizontal="center" vertical="center"/>
    </xf>
    <xf borderId="1" fillId="0" fontId="19" numFmtId="167" xfId="0" applyAlignment="1" applyBorder="1" applyFont="1" applyNumberFormat="1">
      <alignment horizontal="left" shrinkToFit="0" vertical="center" wrapText="1"/>
    </xf>
    <xf borderId="1" fillId="0" fontId="29" numFmtId="0" xfId="0" applyAlignment="1" applyBorder="1" applyFont="1">
      <alignment vertical="center"/>
    </xf>
    <xf borderId="100" fillId="0" fontId="4" numFmtId="167" xfId="0" applyAlignment="1" applyBorder="1" applyFont="1" applyNumberFormat="1">
      <alignment vertical="center"/>
    </xf>
    <xf borderId="1" fillId="0" fontId="30" numFmtId="166" xfId="0" applyAlignment="1" applyBorder="1" applyFont="1" applyNumberFormat="1">
      <alignment horizontal="right" vertical="center"/>
    </xf>
    <xf borderId="1" fillId="0" fontId="31" numFmtId="166" xfId="0" applyAlignment="1" applyBorder="1" applyFont="1" applyNumberFormat="1">
      <alignment horizontal="right" vertical="center"/>
    </xf>
    <xf borderId="7" fillId="0" fontId="21" numFmtId="166" xfId="0" applyAlignment="1" applyBorder="1" applyFont="1" applyNumberFormat="1">
      <alignment horizontal="center" vertical="center"/>
    </xf>
    <xf borderId="7" fillId="0" fontId="21" numFmtId="167" xfId="0" applyAlignment="1" applyBorder="1" applyFont="1" applyNumberFormat="1">
      <alignment horizontal="center" vertical="center"/>
    </xf>
    <xf borderId="1" fillId="0" fontId="21" numFmtId="167" xfId="0" applyAlignment="1" applyBorder="1" applyFont="1" applyNumberFormat="1">
      <alignment vertical="center"/>
    </xf>
    <xf borderId="1" fillId="0" fontId="5" numFmtId="0" xfId="0" applyAlignment="1" applyBorder="1" applyFont="1">
      <alignment horizontal="right" vertical="center"/>
    </xf>
    <xf borderId="1" fillId="0" fontId="5" numFmtId="10" xfId="0" applyAlignment="1" applyBorder="1" applyFont="1" applyNumberFormat="1">
      <alignment horizontal="center" vertical="center"/>
    </xf>
    <xf borderId="9" fillId="0" fontId="5" numFmtId="167" xfId="0" applyAlignment="1" applyBorder="1" applyFont="1" applyNumberFormat="1">
      <alignment horizontal="center" vertical="center"/>
    </xf>
    <xf borderId="9" fillId="0" fontId="5" numFmtId="167" xfId="0" applyAlignment="1" applyBorder="1" applyFont="1" applyNumberFormat="1">
      <alignment vertical="center"/>
    </xf>
    <xf borderId="1" fillId="6" fontId="4" numFmtId="0" xfId="0" applyAlignment="1" applyBorder="1" applyFont="1">
      <alignment horizontal="center" vertical="center"/>
    </xf>
    <xf borderId="7" fillId="26" fontId="15" numFmtId="0" xfId="0" applyAlignment="1" applyBorder="1" applyFill="1" applyFont="1">
      <alignment horizontal="center" vertical="center"/>
    </xf>
    <xf borderId="7" fillId="10" fontId="15" numFmtId="0" xfId="0" applyAlignment="1" applyBorder="1" applyFont="1">
      <alignment horizontal="center" vertical="center"/>
    </xf>
    <xf borderId="47" fillId="19" fontId="15" numFmtId="0" xfId="0" applyAlignment="1" applyBorder="1" applyFont="1">
      <alignment horizontal="center" vertical="center"/>
    </xf>
    <xf borderId="1" fillId="26" fontId="15" numFmtId="0" xfId="0" applyAlignment="1" applyBorder="1" applyFont="1">
      <alignment horizontal="center" vertical="center"/>
    </xf>
    <xf borderId="1" fillId="10" fontId="15" numFmtId="0" xfId="0" applyAlignment="1" applyBorder="1" applyFont="1">
      <alignment horizontal="center" vertical="center"/>
    </xf>
    <xf borderId="1" fillId="10" fontId="15" numFmtId="0" xfId="0" applyAlignment="1" applyBorder="1" applyFont="1">
      <alignment horizontal="center" shrinkToFit="0" vertical="center" wrapText="1"/>
    </xf>
    <xf borderId="6" fillId="0" fontId="4" numFmtId="166" xfId="0" applyAlignment="1" applyBorder="1" applyFont="1" applyNumberFormat="1">
      <alignment horizontal="center" vertical="center"/>
    </xf>
    <xf borderId="1" fillId="0" fontId="4" numFmtId="166" xfId="0" applyAlignment="1" applyBorder="1" applyFont="1" applyNumberFormat="1">
      <alignment vertical="center"/>
    </xf>
    <xf borderId="33" fillId="0" fontId="4" numFmtId="166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left" vertical="center"/>
    </xf>
    <xf borderId="0" fillId="0" fontId="15" numFmtId="0" xfId="0" applyAlignment="1" applyFont="1">
      <alignment horizontal="center" vertical="center"/>
    </xf>
    <xf borderId="4" fillId="0" fontId="4" numFmtId="166" xfId="0" applyAlignment="1" applyBorder="1" applyFont="1" applyNumberFormat="1">
      <alignment horizontal="center" vertical="center"/>
    </xf>
    <xf borderId="91" fillId="0" fontId="4" numFmtId="0" xfId="0" applyAlignment="1" applyBorder="1" applyFont="1">
      <alignment horizontal="center" vertical="center"/>
    </xf>
    <xf borderId="91" fillId="0" fontId="15" numFmtId="0" xfId="0" applyAlignment="1" applyBorder="1" applyFont="1">
      <alignment horizontal="center" vertical="center"/>
    </xf>
    <xf borderId="91" fillId="0" fontId="4" numFmtId="179" xfId="0" applyAlignment="1" applyBorder="1" applyFont="1" applyNumberFormat="1">
      <alignment horizontal="center" vertical="center"/>
    </xf>
    <xf borderId="91" fillId="0" fontId="4" numFmtId="172" xfId="0" applyAlignment="1" applyBorder="1" applyFont="1" applyNumberFormat="1">
      <alignment horizontal="center" vertical="center"/>
    </xf>
    <xf borderId="48" fillId="0" fontId="4" numFmtId="166" xfId="0" applyAlignment="1" applyBorder="1" applyFont="1" applyNumberFormat="1">
      <alignment horizontal="center" vertical="center"/>
    </xf>
    <xf borderId="91" fillId="0" fontId="4" numFmtId="166" xfId="0" applyAlignment="1" applyBorder="1" applyFont="1" applyNumberFormat="1">
      <alignment horizontal="center" vertical="center"/>
    </xf>
    <xf borderId="49" fillId="0" fontId="4" numFmtId="166" xfId="0" applyAlignment="1" applyBorder="1" applyFont="1" applyNumberFormat="1">
      <alignment horizontal="center" vertical="center"/>
    </xf>
    <xf borderId="48" fillId="0" fontId="4" numFmtId="0" xfId="0" applyAlignment="1" applyBorder="1" applyFont="1">
      <alignment horizontal="left" vertical="center"/>
    </xf>
    <xf borderId="35" fillId="10" fontId="15" numFmtId="0" xfId="0" applyAlignment="1" applyBorder="1" applyFont="1">
      <alignment horizontal="center" vertical="center"/>
    </xf>
    <xf borderId="101" fillId="10" fontId="15" numFmtId="171" xfId="0" applyAlignment="1" applyBorder="1" applyFont="1" applyNumberFormat="1">
      <alignment horizontal="center" vertical="center"/>
    </xf>
    <xf borderId="101" fillId="10" fontId="15" numFmtId="172" xfId="0" applyAlignment="1" applyBorder="1" applyFont="1" applyNumberFormat="1">
      <alignment horizontal="center" vertical="center"/>
    </xf>
    <xf borderId="1" fillId="10" fontId="15" numFmtId="167" xfId="0" applyAlignment="1" applyBorder="1" applyFont="1" applyNumberFormat="1">
      <alignment horizontal="center" vertical="center"/>
    </xf>
    <xf borderId="1" fillId="10" fontId="15" numFmtId="166" xfId="0" applyAlignment="1" applyBorder="1" applyFont="1" applyNumberFormat="1">
      <alignment horizontal="center" vertical="center"/>
    </xf>
    <xf borderId="1" fillId="10" fontId="4" numFmtId="166" xfId="0" applyAlignment="1" applyBorder="1" applyFont="1" applyNumberFormat="1">
      <alignment vertical="center"/>
    </xf>
    <xf borderId="101" fillId="10" fontId="4" numFmtId="166" xfId="0" applyAlignment="1" applyBorder="1" applyFont="1" applyNumberFormat="1">
      <alignment horizontal="center" vertical="center"/>
    </xf>
    <xf borderId="35" fillId="10" fontId="4" numFmtId="0" xfId="0" applyAlignment="1" applyBorder="1" applyFont="1">
      <alignment horizontal="center" vertical="center"/>
    </xf>
    <xf borderId="26" fillId="0" fontId="4" numFmtId="179" xfId="0" applyAlignment="1" applyBorder="1" applyFont="1" applyNumberFormat="1">
      <alignment horizontal="center" vertical="center"/>
    </xf>
    <xf borderId="26" fillId="0" fontId="4" numFmtId="172" xfId="0" applyAlignment="1" applyBorder="1" applyFont="1" applyNumberFormat="1">
      <alignment horizontal="center" vertical="center"/>
    </xf>
    <xf borderId="47" fillId="0" fontId="4" numFmtId="166" xfId="0" applyAlignment="1" applyBorder="1" applyFont="1" applyNumberFormat="1">
      <alignment horizontal="center" vertical="center"/>
    </xf>
    <xf borderId="26" fillId="0" fontId="4" numFmtId="166" xfId="0" applyAlignment="1" applyBorder="1" applyFont="1" applyNumberFormat="1">
      <alignment horizontal="center" vertical="center"/>
    </xf>
    <xf borderId="32" fillId="0" fontId="4" numFmtId="166" xfId="0" applyAlignment="1" applyBorder="1" applyFont="1" applyNumberFormat="1">
      <alignment horizontal="center" vertical="center"/>
    </xf>
    <xf borderId="47" fillId="0" fontId="4" numFmtId="0" xfId="0" applyAlignment="1" applyBorder="1" applyFont="1">
      <alignment horizontal="left" vertical="center"/>
    </xf>
    <xf borderId="7" fillId="27" fontId="15" numFmtId="0" xfId="0" applyAlignment="1" applyBorder="1" applyFill="1" applyFont="1">
      <alignment horizontal="center" vertical="center"/>
    </xf>
    <xf borderId="1" fillId="27" fontId="15" numFmtId="179" xfId="0" applyAlignment="1" applyBorder="1" applyFont="1" applyNumberFormat="1">
      <alignment horizontal="center" vertical="center"/>
    </xf>
    <xf borderId="1" fillId="27" fontId="15" numFmtId="172" xfId="0" applyAlignment="1" applyBorder="1" applyFont="1" applyNumberFormat="1">
      <alignment horizontal="center" vertical="center"/>
    </xf>
    <xf borderId="41" fillId="27" fontId="15" numFmtId="167" xfId="0" applyAlignment="1" applyBorder="1" applyFont="1" applyNumberFormat="1">
      <alignment horizontal="center" vertical="center"/>
    </xf>
    <xf borderId="41" fillId="27" fontId="15" numFmtId="166" xfId="0" applyAlignment="1" applyBorder="1" applyFont="1" applyNumberFormat="1">
      <alignment horizontal="center" vertical="center"/>
    </xf>
    <xf borderId="1" fillId="27" fontId="15" numFmtId="166" xfId="0" applyAlignment="1" applyBorder="1" applyFont="1" applyNumberFormat="1">
      <alignment horizontal="center" vertical="center"/>
    </xf>
    <xf borderId="1" fillId="27" fontId="4" numFmtId="166" xfId="0" applyAlignment="1" applyBorder="1" applyFont="1" applyNumberFormat="1">
      <alignment vertical="center"/>
    </xf>
    <xf borderId="1" fillId="27" fontId="4" numFmtId="166" xfId="0" applyAlignment="1" applyBorder="1" applyFont="1" applyNumberFormat="1">
      <alignment horizontal="center" vertical="center"/>
    </xf>
    <xf borderId="7" fillId="27" fontId="4" numFmtId="0" xfId="0" applyAlignment="1" applyBorder="1" applyFont="1">
      <alignment horizontal="center" vertical="center"/>
    </xf>
    <xf borderId="7" fillId="28" fontId="15" numFmtId="0" xfId="0" applyAlignment="1" applyBorder="1" applyFill="1" applyFont="1">
      <alignment horizontal="center" vertical="center"/>
    </xf>
    <xf borderId="1" fillId="28" fontId="15" numFmtId="196" xfId="0" applyAlignment="1" applyBorder="1" applyFont="1" applyNumberFormat="1">
      <alignment horizontal="center" vertical="center"/>
    </xf>
    <xf borderId="1" fillId="28" fontId="15" numFmtId="172" xfId="0" applyAlignment="1" applyBorder="1" applyFont="1" applyNumberFormat="1">
      <alignment horizontal="center" vertical="center"/>
    </xf>
    <xf borderId="41" fillId="28" fontId="15" numFmtId="167" xfId="0" applyAlignment="1" applyBorder="1" applyFont="1" applyNumberFormat="1">
      <alignment horizontal="center" vertical="center"/>
    </xf>
    <xf borderId="41" fillId="28" fontId="15" numFmtId="166" xfId="0" applyAlignment="1" applyBorder="1" applyFont="1" applyNumberFormat="1">
      <alignment horizontal="center" vertical="center"/>
    </xf>
    <xf borderId="102" fillId="28" fontId="15" numFmtId="166" xfId="0" applyAlignment="1" applyBorder="1" applyFont="1" applyNumberFormat="1">
      <alignment horizontal="center" vertical="center"/>
    </xf>
    <xf borderId="1" fillId="28" fontId="4" numFmtId="166" xfId="0" applyAlignment="1" applyBorder="1" applyFont="1" applyNumberFormat="1">
      <alignment vertical="center"/>
    </xf>
    <xf borderId="1" fillId="28" fontId="21" numFmtId="166" xfId="0" applyAlignment="1" applyBorder="1" applyFont="1" applyNumberFormat="1">
      <alignment horizontal="center" vertical="center"/>
    </xf>
    <xf borderId="1" fillId="28" fontId="15" numFmtId="166" xfId="0" applyAlignment="1" applyBorder="1" applyFont="1" applyNumberFormat="1">
      <alignment horizontal="center" vertical="center"/>
    </xf>
    <xf borderId="1" fillId="28" fontId="15" numFmtId="0" xfId="0" applyAlignment="1" applyBorder="1" applyFont="1">
      <alignment horizontal="center" vertical="center"/>
    </xf>
    <xf borderId="26" fillId="0" fontId="17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numFmt numFmtId="0" formatCode="General&quot;일&quot;"/>
      <fill>
        <patternFill patternType="solid">
          <fgColor rgb="FF95DCF7"/>
          <bgColor rgb="FF95DCF7"/>
        </patternFill>
      </fill>
      <border/>
    </dxf>
    <dxf>
      <font/>
      <fill>
        <patternFill patternType="solid">
          <fgColor rgb="FF95DCF7"/>
          <bgColor rgb="FF95DC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hyperlink" Target="#&#48372;&#49457;&#47532;!A1"/><Relationship Id="rId10" Type="http://schemas.openxmlformats.org/officeDocument/2006/relationships/hyperlink" Target="#&#44256;&#52377;&#46041;&#49345;&#44032;!A1"/><Relationship Id="rId13" Type="http://schemas.openxmlformats.org/officeDocument/2006/relationships/hyperlink" Target="#'&#54693;&#45224; &#45800;&#46021;&#48512;&#51648;1'!A1"/><Relationship Id="rId12" Type="http://schemas.openxmlformats.org/officeDocument/2006/relationships/hyperlink" Target="#'&#54693;&#45224; &#45800;&#46021;&#48512;&#51648;'!A1"/><Relationship Id="rId1" Type="http://schemas.openxmlformats.org/officeDocument/2006/relationships/hyperlink" Target="#&#54693;&#45224;&#50640;&#51068;&#47536;&#51032;&#46896;!A1"/><Relationship Id="rId2" Type="http://schemas.openxmlformats.org/officeDocument/2006/relationships/hyperlink" Target="#&#54028;&#51452;&#47532;&#48260;&#54064;&#47532;&#49828;!A1"/><Relationship Id="rId3" Type="http://schemas.openxmlformats.org/officeDocument/2006/relationships/hyperlink" Target="#&#54028;&#51452;&#49345;&#44032;!A1"/><Relationship Id="rId4" Type="http://schemas.openxmlformats.org/officeDocument/2006/relationships/hyperlink" Target="#&#54028;&#51452;&#45817;&#46041;&#47532;!A1"/><Relationship Id="rId9" Type="http://schemas.openxmlformats.org/officeDocument/2006/relationships/hyperlink" Target="#&#45209;&#54616;&#47532;!A1"/><Relationship Id="rId15" Type="http://schemas.openxmlformats.org/officeDocument/2006/relationships/image" Target="../media/image2.png"/><Relationship Id="rId14" Type="http://schemas.openxmlformats.org/officeDocument/2006/relationships/image" Target="../media/image1.png"/><Relationship Id="rId17" Type="http://schemas.openxmlformats.org/officeDocument/2006/relationships/image" Target="../media/image4.png"/><Relationship Id="rId16" Type="http://schemas.openxmlformats.org/officeDocument/2006/relationships/image" Target="../media/image3.png"/><Relationship Id="rId5" Type="http://schemas.openxmlformats.org/officeDocument/2006/relationships/hyperlink" Target="#'&#54693;&#45224; &#50640;&#46272;&#49828;&#53272;&#50612;'!A1"/><Relationship Id="rId6" Type="http://schemas.openxmlformats.org/officeDocument/2006/relationships/hyperlink" Target="#&#51032;&#51221;&#48512;&#54620;&#50577;&#54028;&#53356;&#48624;!A1"/><Relationship Id="rId7" Type="http://schemas.openxmlformats.org/officeDocument/2006/relationships/hyperlink" Target="#&#51032;&#51221;&#48512;&#49345;&#44032;!A1"/><Relationship Id="rId8" Type="http://schemas.openxmlformats.org/officeDocument/2006/relationships/hyperlink" Target="#&#51032;&#51221;&#48512;&#53664;&#51648;!A1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3.png"/><Relationship Id="rId6" Type="http://schemas.openxmlformats.org/officeDocument/2006/relationships/image" Target="../media/image14.png"/><Relationship Id="rId7" Type="http://schemas.openxmlformats.org/officeDocument/2006/relationships/image" Target="../media/image15.png"/><Relationship Id="rId8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Relationship Id="rId3" Type="http://schemas.openxmlformats.org/officeDocument/2006/relationships/image" Target="../media/image19.png"/><Relationship Id="rId4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3.png"/><Relationship Id="rId4" Type="http://schemas.openxmlformats.org/officeDocument/2006/relationships/image" Target="../media/image24.png"/><Relationship Id="rId5" Type="http://schemas.openxmlformats.org/officeDocument/2006/relationships/image" Target="../media/image25.png"/><Relationship Id="rId6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2.png"/><Relationship Id="rId4" Type="http://schemas.openxmlformats.org/officeDocument/2006/relationships/image" Target="../media/image33.png"/><Relationship Id="rId5" Type="http://schemas.openxmlformats.org/officeDocument/2006/relationships/image" Target="../media/image34.png"/><Relationship Id="rId6" Type="http://schemas.openxmlformats.org/officeDocument/2006/relationships/image" Target="../media/image35.png"/><Relationship Id="rId7" Type="http://schemas.openxmlformats.org/officeDocument/2006/relationships/image" Target="../media/image36.png"/><Relationship Id="rId8" Type="http://schemas.openxmlformats.org/officeDocument/2006/relationships/image" Target="../media/image3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jpg"/><Relationship Id="rId3" Type="http://schemas.openxmlformats.org/officeDocument/2006/relationships/image" Target="../media/image41.jpg"/><Relationship Id="rId4" Type="http://schemas.openxmlformats.org/officeDocument/2006/relationships/image" Target="../media/image42.jpg"/><Relationship Id="rId5" Type="http://schemas.openxmlformats.org/officeDocument/2006/relationships/image" Target="../media/image2.png"/><Relationship Id="rId6" Type="http://schemas.openxmlformats.org/officeDocument/2006/relationships/image" Target="../media/image44.png"/><Relationship Id="rId7" Type="http://schemas.openxmlformats.org/officeDocument/2006/relationships/image" Target="../media/image4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Relationship Id="rId3" Type="http://schemas.openxmlformats.org/officeDocument/2006/relationships/image" Target="../media/image48.png"/><Relationship Id="rId4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hyperlink" Target="#&#52509;&#44292;!A1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hyperlink" Target="#&#52509;&#44292;!A1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Relationship Id="rId3" Type="http://schemas.openxmlformats.org/officeDocument/2006/relationships/image" Target="../media/image53.png"/><Relationship Id="rId4" Type="http://schemas.openxmlformats.org/officeDocument/2006/relationships/image" Target="../media/image54.png"/><Relationship Id="rId5" Type="http://schemas.openxmlformats.org/officeDocument/2006/relationships/image" Target="../media/image55.png"/><Relationship Id="rId6" Type="http://schemas.openxmlformats.org/officeDocument/2006/relationships/image" Target="../media/image56.png"/><Relationship Id="rId7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11</xdr:row>
      <xdr:rowOff>104775</xdr:rowOff>
    </xdr:from>
    <xdr:ext cx="1076325" cy="447675"/>
    <xdr:sp macro="" textlink="">
      <xdr:nvSpPr>
        <xdr:cNvPr id="3" name="사각형: 빗면 2">
          <a:hlinkClick r:id="rId1"/>
          <a:extLst>
            <a:ext uri="{FF2B5EF4-FFF2-40B4-BE49-F238E27FC236}"/>
          </a:extLst>
        </xdr:cNvPr>
        <xdr:cNvSpPr/>
      </xdr:nvSpPr>
      <xdr:spPr>
        <a:xfrm>
          <a:off x="18126074" y="8001000"/>
          <a:ext cx="1076325" cy="447675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66675</xdr:colOff>
      <xdr:row>12</xdr:row>
      <xdr:rowOff>66675</xdr:rowOff>
    </xdr:from>
    <xdr:ext cx="1047750" cy="419100"/>
    <xdr:sp macro="" textlink="">
      <xdr:nvSpPr>
        <xdr:cNvPr id="4" name="사각형: 빗면 3">
          <a:hlinkClick r:id="rId2"/>
          <a:extLst>
            <a:ext uri="{FF2B5EF4-FFF2-40B4-BE49-F238E27FC236}"/>
          </a:extLst>
        </xdr:cNvPr>
        <xdr:cNvSpPr/>
      </xdr:nvSpPr>
      <xdr:spPr>
        <a:xfrm>
          <a:off x="18107025" y="9220201"/>
          <a:ext cx="1047750" cy="419100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76200</xdr:colOff>
      <xdr:row>8</xdr:row>
      <xdr:rowOff>361950</xdr:rowOff>
    </xdr:from>
    <xdr:ext cx="1047750" cy="495300"/>
    <xdr:sp macro="" textlink="">
      <xdr:nvSpPr>
        <xdr:cNvPr id="5" name="사각형: 빗면 4">
          <a:hlinkClick r:id="rId3"/>
          <a:extLst>
            <a:ext uri="{FF2B5EF4-FFF2-40B4-BE49-F238E27FC236}"/>
          </a:extLst>
        </xdr:cNvPr>
        <xdr:cNvSpPr/>
      </xdr:nvSpPr>
      <xdr:spPr>
        <a:xfrm>
          <a:off x="18116550" y="5591175"/>
          <a:ext cx="1057274" cy="495299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76200</xdr:colOff>
      <xdr:row>10</xdr:row>
      <xdr:rowOff>85725</xdr:rowOff>
    </xdr:from>
    <xdr:ext cx="1047750" cy="371475"/>
    <xdr:sp macro="" textlink="">
      <xdr:nvSpPr>
        <xdr:cNvPr id="6" name="사각형: 빗면 5">
          <a:hlinkClick r:id="rId4"/>
          <a:extLst>
            <a:ext uri="{FF2B5EF4-FFF2-40B4-BE49-F238E27FC236}"/>
          </a:extLst>
        </xdr:cNvPr>
        <xdr:cNvSpPr/>
      </xdr:nvSpPr>
      <xdr:spPr>
        <a:xfrm>
          <a:off x="18116550" y="6648450"/>
          <a:ext cx="1057274" cy="380999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95250</xdr:colOff>
      <xdr:row>3</xdr:row>
      <xdr:rowOff>190500</xdr:rowOff>
    </xdr:from>
    <xdr:ext cx="1104900" cy="600075"/>
    <xdr:sp macro="" textlink="">
      <xdr:nvSpPr>
        <xdr:cNvPr id="8" name="사각형: 빗면 7">
          <a:hlinkClick r:id="rId5"/>
          <a:extLst>
            <a:ext uri="{FF2B5EF4-FFF2-40B4-BE49-F238E27FC236}"/>
          </a:extLst>
        </xdr:cNvPr>
        <xdr:cNvSpPr/>
      </xdr:nvSpPr>
      <xdr:spPr>
        <a:xfrm>
          <a:off x="18136048" y="2629237"/>
          <a:ext cx="1112520" cy="935354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123825</xdr:colOff>
      <xdr:row>14</xdr:row>
      <xdr:rowOff>190500</xdr:rowOff>
    </xdr:from>
    <xdr:ext cx="1047750" cy="209550"/>
    <xdr:sp macro="" textlink="">
      <xdr:nvSpPr>
        <xdr:cNvPr id="9" name="사각형: 빗면 8">
          <a:hlinkClick r:id="rId6"/>
          <a:extLst>
            <a:ext uri="{FF2B5EF4-FFF2-40B4-BE49-F238E27FC236}"/>
          </a:extLst>
        </xdr:cNvPr>
        <xdr:cNvSpPr/>
      </xdr:nvSpPr>
      <xdr:spPr>
        <a:xfrm>
          <a:off x="12168188" y="6862762"/>
          <a:ext cx="1057274" cy="321888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95250</xdr:colOff>
      <xdr:row>16</xdr:row>
      <xdr:rowOff>123825</xdr:rowOff>
    </xdr:from>
    <xdr:ext cx="1076325" cy="381000"/>
    <xdr:sp macro="" textlink="">
      <xdr:nvSpPr>
        <xdr:cNvPr id="10" name="사각형: 빗면 9">
          <a:hlinkClick r:id="rId7"/>
          <a:extLst>
            <a:ext uri="{FF2B5EF4-FFF2-40B4-BE49-F238E27FC236}"/>
          </a:extLst>
        </xdr:cNvPr>
        <xdr:cNvSpPr/>
      </xdr:nvSpPr>
      <xdr:spPr>
        <a:xfrm>
          <a:off x="12141994" y="7534275"/>
          <a:ext cx="1078706" cy="388143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114300</xdr:colOff>
      <xdr:row>18</xdr:row>
      <xdr:rowOff>104775</xdr:rowOff>
    </xdr:from>
    <xdr:ext cx="1047750" cy="371475"/>
    <xdr:sp macro="" textlink="">
      <xdr:nvSpPr>
        <xdr:cNvPr id="11" name="사각형: 빗면 10">
          <a:hlinkClick r:id="rId8"/>
          <a:extLst>
            <a:ext uri="{FF2B5EF4-FFF2-40B4-BE49-F238E27FC236}"/>
          </a:extLst>
        </xdr:cNvPr>
        <xdr:cNvSpPr/>
      </xdr:nvSpPr>
      <xdr:spPr>
        <a:xfrm>
          <a:off x="18157032" y="14177962"/>
          <a:ext cx="1057274" cy="380999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114300</xdr:colOff>
      <xdr:row>22</xdr:row>
      <xdr:rowOff>0</xdr:rowOff>
    </xdr:from>
    <xdr:ext cx="1047750" cy="933450"/>
    <xdr:sp macro="" textlink="">
      <xdr:nvSpPr>
        <xdr:cNvPr id="12" name="사각형: 빗면 11">
          <a:hlinkClick r:id="rId9"/>
          <a:extLst>
            <a:ext uri="{FF2B5EF4-FFF2-40B4-BE49-F238E27FC236}"/>
          </a:extLst>
        </xdr:cNvPr>
        <xdr:cNvSpPr/>
      </xdr:nvSpPr>
      <xdr:spPr>
        <a:xfrm>
          <a:off x="18157031" y="16735425"/>
          <a:ext cx="1057274" cy="1266824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95250</xdr:colOff>
      <xdr:row>29</xdr:row>
      <xdr:rowOff>133350</xdr:rowOff>
    </xdr:from>
    <xdr:ext cx="1047750" cy="371475"/>
    <xdr:sp macro="" textlink="">
      <xdr:nvSpPr>
        <xdr:cNvPr id="13" name="사각형: 빗면 12">
          <a:hlinkClick r:id="rId10"/>
          <a:extLst>
            <a:ext uri="{FF2B5EF4-FFF2-40B4-BE49-F238E27FC236}"/>
          </a:extLst>
        </xdr:cNvPr>
        <xdr:cNvSpPr/>
      </xdr:nvSpPr>
      <xdr:spPr>
        <a:xfrm>
          <a:off x="18142744" y="21497925"/>
          <a:ext cx="1057274" cy="380999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95250</xdr:colOff>
      <xdr:row>7</xdr:row>
      <xdr:rowOff>66675</xdr:rowOff>
    </xdr:from>
    <xdr:ext cx="1009650" cy="400050"/>
    <xdr:sp macro="" textlink="">
      <xdr:nvSpPr>
        <xdr:cNvPr id="14" name="사각형: 빗면 13">
          <a:hlinkClick r:id="rId11"/>
          <a:extLst>
            <a:ext uri="{FF2B5EF4-FFF2-40B4-BE49-F238E27FC236}"/>
          </a:extLst>
        </xdr:cNvPr>
        <xdr:cNvSpPr/>
      </xdr:nvSpPr>
      <xdr:spPr>
        <a:xfrm>
          <a:off x="18135600" y="4629150"/>
          <a:ext cx="1009650" cy="400050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8</xdr:col>
      <xdr:colOff>66675</xdr:colOff>
      <xdr:row>6</xdr:row>
      <xdr:rowOff>85725</xdr:rowOff>
    </xdr:from>
    <xdr:ext cx="1047750" cy="371475"/>
    <xdr:sp macro="" textlink="">
      <xdr:nvSpPr>
        <xdr:cNvPr id="15" name="사각형: 빗면 14">
          <a:hlinkClick r:id="rId12"/>
          <a:extLst>
            <a:ext uri="{FF2B5EF4-FFF2-40B4-BE49-F238E27FC236}"/>
          </a:extLst>
        </xdr:cNvPr>
        <xdr:cNvSpPr/>
      </xdr:nvSpPr>
      <xdr:spPr>
        <a:xfrm>
          <a:off x="18107025" y="3981450"/>
          <a:ext cx="1057274" cy="380999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9</xdr:col>
      <xdr:colOff>57150</xdr:colOff>
      <xdr:row>6</xdr:row>
      <xdr:rowOff>76200</xdr:rowOff>
    </xdr:from>
    <xdr:ext cx="1047750" cy="371475"/>
    <xdr:sp macro="" textlink="">
      <xdr:nvSpPr>
        <xdr:cNvPr id="31" name="사각형: 빗면 30">
          <a:hlinkClick r:id="rId13"/>
          <a:extLst>
            <a:ext uri="{FF2B5EF4-FFF2-40B4-BE49-F238E27FC236}"/>
          </a:extLst>
        </xdr:cNvPr>
        <xdr:cNvSpPr/>
      </xdr:nvSpPr>
      <xdr:spPr>
        <a:xfrm>
          <a:off x="13392150" y="1362075"/>
          <a:ext cx="1057274" cy="380999"/>
        </a:xfrm>
        <a:prstGeom prst="bevel">
          <a:avLst/>
        </a:prstGeom>
        <a:solidFill>
          <a:schemeClr val="accent2">
            <a:lumMod val="60000"/>
            <a:lumOff val="40000"/>
          </a:schemeClr>
        </a:solidFill>
        <a:ln cap="flat" cmpd="sng" w="1905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200"/>
            <a:t>상세현황</a:t>
          </a:r>
          <a:endParaRPr b="1" lang="en-US" altLang="ko-KR" sz="1200"/>
        </a:p>
        <a:p>
          <a:pPr lvl="0" algn="l"/>
          <a:endParaRPr lang="ko-KR" altLang="en-US" sz="1100"/>
        </a:p>
      </xdr:txBody>
    </xdr:sp>
    <xdr:clientData fLocksWithSheet="0"/>
  </xdr:oneCellAnchor>
  <xdr:oneCellAnchor>
    <xdr:from>
      <xdr:col>9</xdr:col>
      <xdr:colOff>47625</xdr:colOff>
      <xdr:row>21</xdr:row>
      <xdr:rowOff>295275</xdr:rowOff>
    </xdr:from>
    <xdr:ext cx="1076325" cy="695325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31</xdr:row>
      <xdr:rowOff>57150</xdr:rowOff>
    </xdr:from>
    <xdr:ext cx="1323975" cy="371475"/>
    <xdr:pic>
      <xdr:nvPicPr>
        <xdr:cNvPr id="0" name="image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18</xdr:row>
      <xdr:rowOff>152400</xdr:rowOff>
    </xdr:from>
    <xdr:ext cx="1076325" cy="37147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1076325" cy="333375"/>
    <xdr:pic>
      <xdr:nvPicPr>
        <xdr:cNvPr id="0" name="image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1019175" cy="314325"/>
    <xdr:pic>
      <xdr:nvPicPr>
        <xdr:cNvPr id="0" name="image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438150</xdr:colOff>
      <xdr:row>0</xdr:row>
      <xdr:rowOff>171450</xdr:rowOff>
    </xdr:from>
    <xdr:ext cx="1323975" cy="3810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0</xdr:row>
      <xdr:rowOff>133350</xdr:rowOff>
    </xdr:from>
    <xdr:ext cx="1323975" cy="3810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504825</xdr:colOff>
      <xdr:row>0</xdr:row>
      <xdr:rowOff>190500</xdr:rowOff>
    </xdr:from>
    <xdr:ext cx="1323975" cy="3810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0</xdr:rowOff>
    </xdr:from>
    <xdr:ext cx="7124700" cy="4524375"/>
    <xdr:sp macro="" textlink="">
      <xdr:nvSpPr>
        <xdr:cNvPr id="6" name="내용 개체 틀 2">
          <a:extLst>
            <a:ext uri="{FF2B5EF4-FFF2-40B4-BE49-F238E27FC236}"/>
          </a:extLst>
        </xdr:cNvPr>
        <xdr:cNvSpPr>
          <a:spLocks noGrp="1"/>
        </xdr:cNvSpPr>
      </xdr:nvSpPr>
      <xdr:spPr>
        <a:xfrm>
          <a:off x="0" y="6753225"/>
          <a:ext cx="8229600" cy="4525963"/>
        </a:xfrm>
        <a:prstGeom prst="rect">
          <a:avLst/>
        </a:prstGeom>
      </xdr:spPr>
      <xdr:txBody>
        <a:bodyPr bIns="45720" rtlCol="0" lIns="91440" rIns="91440" vert="horz" wrap="square" tIns="45720">
          <a:normAutofit/>
        </a:bodyPr>
        <a:lstStyle>
          <a:lvl1pPr defTabSz="914400" eaLnBrk="1" hangingPunct="1" indent="-342900" latinLnBrk="1" lvl="0" marL="342900" rtl="0" algn="l">
            <a:spcBef>
              <a:spcPct val="20000"/>
            </a:spcBef>
            <a:buFont typeface="Arial" pitchFamily="34" charset="0"/>
            <a:buChar char="•"/>
            <a:defRPr kern="1200" sz="3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indent="-285750" latinLnBrk="1" lvl="1" marL="742950" rtl="0" algn="l">
            <a:spcBef>
              <a:spcPct val="20000"/>
            </a:spcBef>
            <a:buFont typeface="Arial" pitchFamily="34" charset="0"/>
            <a:buChar char="–"/>
            <a:defRPr kern="1200" sz="2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indent="-228600" latinLnBrk="1" lvl="2" marL="1143000" rtl="0" algn="l">
            <a:spcBef>
              <a:spcPct val="20000"/>
            </a:spcBef>
            <a:buFont typeface="Arial" pitchFamily="34" charset="0"/>
            <a:buChar char="•"/>
            <a:defRPr kern="1200" sz="24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indent="-228600" latinLnBrk="1" lvl="3" marL="1600200" rtl="0" algn="l">
            <a:spcBef>
              <a:spcPct val="20000"/>
            </a:spcBef>
            <a:buFont typeface="Arial" pitchFamily="34" charset="0"/>
            <a:buChar char="–"/>
            <a:defRPr kern="1200" sz="20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indent="-228600" latinLnBrk="1" lvl="4" marL="2057400" rtl="0" algn="l">
            <a:spcBef>
              <a:spcPct val="20000"/>
            </a:spcBef>
            <a:buFont typeface="Arial" pitchFamily="34" charset="0"/>
            <a:buChar char="»"/>
            <a:defRPr kern="1200" sz="20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indent="-228600" latinLnBrk="1" lvl="5" marL="2514600" rtl="0" algn="l">
            <a:spcBef>
              <a:spcPct val="20000"/>
            </a:spcBef>
            <a:buFont typeface="Arial" pitchFamily="34" charset="0"/>
            <a:buChar char="•"/>
            <a:defRPr kern="1200" sz="20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indent="-228600" latinLnBrk="1" lvl="6" marL="2971800" rtl="0" algn="l">
            <a:spcBef>
              <a:spcPct val="20000"/>
            </a:spcBef>
            <a:buFont typeface="Arial" pitchFamily="34" charset="0"/>
            <a:buChar char="•"/>
            <a:defRPr kern="1200" sz="20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indent="-228600" latinLnBrk="1" lvl="7" marL="3429000" rtl="0" algn="l">
            <a:spcBef>
              <a:spcPct val="20000"/>
            </a:spcBef>
            <a:buFont typeface="Arial" pitchFamily="34" charset="0"/>
            <a:buChar char="•"/>
            <a:defRPr kern="1200" sz="20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indent="-228600" latinLnBrk="1" lvl="8" marL="3886200" rtl="0" algn="l">
            <a:spcBef>
              <a:spcPct val="20000"/>
            </a:spcBef>
            <a:buFont typeface="Arial" pitchFamily="34" charset="0"/>
            <a:buChar char="•"/>
            <a:defRPr kern="1200" sz="20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400"/>
            <a:t>내부 입구 상가</a:t>
          </a:r>
          <a:r>
            <a:rPr lang="en-US" altLang="ko-KR" sz="2400"/>
            <a:t> </a:t>
          </a:r>
          <a:r>
            <a:rPr lang="ko-KR" altLang="en-US" sz="2400"/>
            <a:t>폐업으로 인한 정리필요</a:t>
          </a:r>
          <a:endParaRPr lang="en-US" altLang="ko-KR" sz="2400"/>
        </a:p>
        <a:p>
          <a:endParaRPr lang="en-US" altLang="ko-KR" sz="2400"/>
        </a:p>
        <a:p>
          <a:r>
            <a:rPr lang="ko-KR" altLang="en-US" sz="2400"/>
            <a:t>주차장과 보유 사업지 부지 동선확보필요</a:t>
          </a:r>
          <a:endParaRPr lang="en-US" altLang="ko-KR" sz="2400"/>
        </a:p>
        <a:p>
          <a:endParaRPr lang="en-US" altLang="ko-KR" sz="2400"/>
        </a:p>
        <a:p>
          <a:r>
            <a:rPr lang="ko-KR" altLang="en-US" sz="2400"/>
            <a:t>기본 인테리어 비용, 외부 입간판</a:t>
          </a:r>
          <a:r>
            <a:rPr lang="en-US" altLang="ko-KR" sz="2400"/>
            <a:t>, 1</a:t>
          </a:r>
          <a:r>
            <a:rPr lang="ko-KR" altLang="en-US" sz="2400"/>
            <a:t>층연결통로 확보 등</a:t>
          </a:r>
          <a:endParaRPr lang="en-US" altLang="ko-KR" sz="2400"/>
        </a:p>
        <a:p>
          <a:endParaRPr lang="en-US" altLang="ko-KR" sz="2400"/>
        </a:p>
        <a:p>
          <a:r>
            <a:rPr lang="ko-KR" altLang="en-US" sz="2400"/>
            <a:t>미니창고 다락과 협의진행</a:t>
          </a:r>
          <a:endParaRPr lang="en-US" altLang="ko-KR" sz="2400"/>
        </a:p>
        <a:p>
          <a:pPr indent="0" lvl="0" marL="0">
            <a:buNone/>
          </a:pPr>
          <a:endParaRPr lang="ko-KR" altLang="en-US"/>
        </a:p>
      </xdr:txBody>
    </xdr:sp>
    <xdr:clientData fLocksWithSheet="0"/>
  </xdr:oneCellAnchor>
  <xdr:oneCellAnchor>
    <xdr:from>
      <xdr:col>7</xdr:col>
      <xdr:colOff>857250</xdr:colOff>
      <xdr:row>1</xdr:row>
      <xdr:rowOff>19050</xdr:rowOff>
    </xdr:from>
    <xdr:ext cx="1228725" cy="3714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819400" cy="40005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8</xdr:row>
      <xdr:rowOff>200025</xdr:rowOff>
    </xdr:from>
    <xdr:ext cx="5276850" cy="421005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820025" cy="509587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7934325" cy="5391150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7839075" cy="488632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7934325" cy="3971925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7639050" cy="6048375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11</xdr:row>
      <xdr:rowOff>57150</xdr:rowOff>
    </xdr:from>
    <xdr:ext cx="6838950" cy="914400"/>
    <xdr:sp macro="" textlink="">
      <xdr:nvSpPr>
        <xdr:cNvPr id="3" name="직사각형 2">
          <a:extLst>
            <a:ext uri="{FF2B5EF4-FFF2-40B4-BE49-F238E27FC236}"/>
          </a:extLst>
        </xdr:cNvPr>
        <xdr:cNvSpPr/>
      </xdr:nvSpPr>
      <xdr:spPr>
        <a:xfrm>
          <a:off x="9525" y="2364085"/>
          <a:ext cx="7992888" cy="923330"/>
        </a:xfrm>
        <a:prstGeom prst="rect">
          <a:avLst/>
        </a:prstGeom>
      </xdr:spPr>
      <xdr:txBody>
        <a:bodyPr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① </a:t>
          </a:r>
          <a:r>
            <a:rPr lang="ko-KR" altLang="en-US"/>
            <a:t>생활형 숙박시시설 규제로 인해 </a:t>
          </a:r>
          <a:r>
            <a:rPr lang="ko-KR" altLang="en-US">
              <a:solidFill>
                <a:srgbClr val="FF0000"/>
              </a:solidFill>
            </a:rPr>
            <a:t>거래가 이뤄지지 않고 있음</a:t>
          </a:r>
          <a:endParaRPr lang="en-US" altLang="ko-KR">
            <a:solidFill>
              <a:srgbClr val="FF0000"/>
            </a:solidFill>
          </a:endParaRPr>
        </a:p>
        <a:p>
          <a:r>
            <a:rPr lang="ko-KR" altLang="en-US"/>
            <a:t>② 용도변경 가능</a:t>
          </a:r>
          <a:r>
            <a:rPr lang="en-US" altLang="ko-KR"/>
            <a:t>(</a:t>
          </a:r>
          <a:r>
            <a:rPr lang="en-US" altLang="ko-KR">
              <a:solidFill>
                <a:srgbClr val="FF0000"/>
              </a:solidFill>
            </a:rPr>
            <a:t>400</a:t>
          </a:r>
          <a:r>
            <a:rPr lang="ko-KR" altLang="en-US">
              <a:solidFill>
                <a:srgbClr val="FF0000"/>
              </a:solidFill>
            </a:rPr>
            <a:t>만원</a:t>
          </a:r>
          <a:r>
            <a:rPr lang="en-US" altLang="ko-KR">
              <a:solidFill>
                <a:srgbClr val="FF0000"/>
              </a:solidFill>
            </a:rPr>
            <a:t>/</a:t>
          </a:r>
          <a:r>
            <a:rPr lang="ko-KR" altLang="en-US">
              <a:solidFill>
                <a:srgbClr val="FF0000"/>
              </a:solidFill>
            </a:rPr>
            <a:t>세대</a:t>
          </a:r>
          <a:r>
            <a:rPr lang="en-US" altLang="ko-KR"/>
            <a:t>)</a:t>
          </a:r>
        </a:p>
        <a:p>
          <a:r>
            <a:rPr lang="ko-KR" altLang="en-US"/>
            <a:t>③ 숙박업 전환시 최소 </a:t>
          </a:r>
          <a:r>
            <a:rPr lang="en-US" altLang="ko-KR"/>
            <a:t>20</a:t>
          </a:r>
          <a:r>
            <a:rPr lang="ko-KR" altLang="en-US"/>
            <a:t>세대 이상 동의 후 함께 진행</a:t>
          </a:r>
          <a:r>
            <a:rPr lang="en-US" altLang="ko-KR"/>
            <a:t>(</a:t>
          </a:r>
          <a:r>
            <a:rPr lang="ko-KR" altLang="en-US">
              <a:solidFill>
                <a:srgbClr val="FF0000"/>
              </a:solidFill>
            </a:rPr>
            <a:t>진행중</a:t>
          </a:r>
          <a:r>
            <a:rPr lang="en-US" altLang="ko-KR">
              <a:solidFill>
                <a:srgbClr val="FF0000"/>
              </a:solidFill>
            </a:rPr>
            <a:t>-</a:t>
          </a:r>
          <a:r>
            <a:rPr lang="ko-KR" altLang="en-US">
              <a:solidFill>
                <a:srgbClr val="FF0000"/>
              </a:solidFill>
            </a:rPr>
            <a:t>현재 접수</a:t>
          </a:r>
          <a:r>
            <a:rPr lang="en-US" altLang="ko-KR"/>
            <a:t>)</a:t>
          </a:r>
        </a:p>
      </xdr:txBody>
    </xdr:sp>
    <xdr:clientData fLocksWithSheet="0"/>
  </xdr:oneCellAnchor>
  <xdr:oneCellAnchor>
    <xdr:from>
      <xdr:col>0</xdr:col>
      <xdr:colOff>114300</xdr:colOff>
      <xdr:row>18</xdr:row>
      <xdr:rowOff>152400</xdr:rowOff>
    </xdr:from>
    <xdr:ext cx="4581525" cy="1209675"/>
    <xdr:sp macro="" textlink="">
      <xdr:nvSpPr>
        <xdr:cNvPr id="4" name="TextBox 4">
          <a:extLst>
            <a:ext uri="{FF2B5EF4-FFF2-40B4-BE49-F238E27FC236}"/>
          </a:extLst>
        </xdr:cNvPr>
        <xdr:cNvSpPr txBox="1"/>
      </xdr:nvSpPr>
      <xdr:spPr>
        <a:xfrm>
          <a:off x="115441" y="3926929"/>
          <a:ext cx="5317481" cy="1200329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>
              <a:solidFill>
                <a:srgbClr val="FF0000"/>
              </a:solidFill>
            </a:rPr>
            <a:t>728,000,000</a:t>
          </a:r>
          <a:r>
            <a:rPr lang="ko-KR" altLang="en-US">
              <a:solidFill>
                <a:srgbClr val="FF0000"/>
              </a:solidFill>
            </a:rPr>
            <a:t>원  </a:t>
          </a:r>
          <a:r>
            <a:rPr lang="en-US" altLang="ko-KR">
              <a:solidFill>
                <a:srgbClr val="FF0000"/>
              </a:solidFill>
            </a:rPr>
            <a:t>-&gt; 55% </a:t>
          </a:r>
          <a:r>
            <a:rPr lang="ko-KR" altLang="en-US">
              <a:solidFill>
                <a:srgbClr val="FF0000"/>
              </a:solidFill>
            </a:rPr>
            <a:t>매각 </a:t>
          </a:r>
          <a:r>
            <a:rPr lang="en-US" altLang="ko-KR">
              <a:solidFill>
                <a:srgbClr val="FF0000"/>
              </a:solidFill>
            </a:rPr>
            <a:t>: 400,400,000</a:t>
          </a:r>
          <a:r>
            <a:rPr lang="ko-KR" altLang="en-US">
              <a:solidFill>
                <a:srgbClr val="FF0000"/>
              </a:solidFill>
            </a:rPr>
            <a:t>원</a:t>
          </a:r>
          <a:endParaRPr lang="en-US" altLang="ko-KR">
            <a:solidFill>
              <a:srgbClr val="FF0000"/>
            </a:solidFill>
          </a:endParaRPr>
        </a:p>
        <a:p>
          <a:r>
            <a:rPr lang="ko-KR" altLang="en-US"/>
            <a:t>은행대출 </a:t>
          </a:r>
          <a:r>
            <a:rPr lang="en-US" altLang="ko-KR"/>
            <a:t>40%</a:t>
          </a:r>
          <a:r>
            <a:rPr lang="ko-KR" altLang="en-US"/>
            <a:t>예상 </a:t>
          </a:r>
          <a:r>
            <a:rPr lang="en-US" altLang="ko-KR"/>
            <a:t>291,200,000</a:t>
          </a:r>
          <a:r>
            <a:rPr lang="ko-KR" altLang="en-US"/>
            <a:t>원</a:t>
          </a:r>
          <a:endParaRPr lang="en-US" altLang="ko-KR"/>
        </a:p>
        <a:p>
          <a:r>
            <a:rPr lang="ko-KR" altLang="en-US"/>
            <a:t>자기자본 </a:t>
          </a:r>
          <a:r>
            <a:rPr lang="en-US" altLang="ko-KR"/>
            <a:t>109,200,000</a:t>
          </a:r>
          <a:r>
            <a:rPr lang="ko-KR" altLang="en-US"/>
            <a:t>원</a:t>
          </a:r>
          <a:r>
            <a:rPr lang="en-US" altLang="ko-KR"/>
            <a:t>(+</a:t>
          </a:r>
          <a:r>
            <a:rPr lang="ko-KR" altLang="en-US"/>
            <a:t>취등록세 </a:t>
          </a:r>
          <a:r>
            <a:rPr lang="en-US" altLang="ko-KR"/>
            <a:t>32,076,000</a:t>
          </a:r>
          <a:r>
            <a:rPr lang="ko-KR" altLang="en-US"/>
            <a:t>원</a:t>
          </a:r>
          <a:r>
            <a:rPr lang="en-US" altLang="ko-KR"/>
            <a:t>)</a:t>
          </a:r>
        </a:p>
        <a:p>
          <a:r>
            <a:rPr lang="en-US" altLang="ko-KR"/>
            <a:t>=</a:t>
          </a:r>
          <a:r>
            <a:rPr lang="ko-KR" altLang="en-US"/>
            <a:t>총 </a:t>
          </a:r>
          <a:r>
            <a:rPr lang="en-US" altLang="ko-KR"/>
            <a:t>141,276,000</a:t>
          </a:r>
          <a:r>
            <a:rPr lang="ko-KR" altLang="en-US"/>
            <a:t>원</a:t>
          </a:r>
        </a:p>
      </xdr:txBody>
    </xdr:sp>
    <xdr:clientData fLocksWithSheet="0"/>
  </xdr:oneCellAnchor>
  <xdr:oneCellAnchor>
    <xdr:from>
      <xdr:col>0</xdr:col>
      <xdr:colOff>323850</xdr:colOff>
      <xdr:row>0</xdr:row>
      <xdr:rowOff>0</xdr:rowOff>
    </xdr:from>
    <xdr:ext cx="5048250" cy="714375"/>
    <xdr:sp macro="" textlink="">
      <xdr:nvSpPr>
        <xdr:cNvPr id="8" name="제목 1">
          <a:extLst>
            <a:ext uri="{FF2B5EF4-FFF2-40B4-BE49-F238E27FC236}"/>
          </a:extLst>
        </xdr:cNvPr>
        <xdr:cNvSpPr>
          <a:spLocks noGrp="1"/>
        </xdr:cNvSpPr>
      </xdr:nvSpPr>
      <xdr:spPr>
        <a:xfrm>
          <a:off x="323850" y="0"/>
          <a:ext cx="5991225" cy="720080"/>
        </a:xfrm>
        <a:prstGeom prst="rect">
          <a:avLst/>
        </a:prstGeom>
      </xdr:spPr>
      <xdr:txBody>
        <a:bodyPr anchor="ctr" bIns="45720" rtlCol="0" lIns="91440" rIns="91440" vert="horz" wrap="square" tIns="45720">
          <a:normAutofit/>
        </a:bodyPr>
        <a:lstStyle>
          <a:lvl1pPr defTabSz="914400" eaLnBrk="1" hangingPunct="1" latinLnBrk="1" lvl="0" rtl="0" algn="ctr">
            <a:spcBef>
              <a:spcPct val="0"/>
            </a:spcBef>
            <a:buNone/>
            <a:defRPr kern="1200" sz="44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ko-KR" altLang="en-US" sz="3200"/>
            <a:t>의정부 생활형 숙박시설</a:t>
          </a:r>
        </a:p>
      </xdr:txBody>
    </xdr:sp>
    <xdr:clientData fLocksWithSheet="0"/>
  </xdr:oneCellAnchor>
  <xdr:oneCellAnchor>
    <xdr:from>
      <xdr:col>0</xdr:col>
      <xdr:colOff>0</xdr:colOff>
      <xdr:row>4</xdr:row>
      <xdr:rowOff>38100</xdr:rowOff>
    </xdr:from>
    <xdr:ext cx="6819900" cy="125730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1323975" cy="37147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190500</xdr:rowOff>
    </xdr:from>
    <xdr:ext cx="10848975" cy="64198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142875</xdr:rowOff>
    </xdr:from>
    <xdr:ext cx="8067675" cy="6972300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6972300" cy="657225"/>
    <xdr:sp macro="" textlink="">
      <xdr:nvSpPr>
        <xdr:cNvPr id="3" name="제목 1">
          <a:extLst>
            <a:ext uri="{FF2B5EF4-FFF2-40B4-BE49-F238E27FC236}"/>
          </a:extLst>
        </xdr:cNvPr>
        <xdr:cNvSpPr>
          <a:spLocks noGrp="1"/>
        </xdr:cNvSpPr>
      </xdr:nvSpPr>
      <xdr:spPr>
        <a:xfrm>
          <a:off x="21429" y="419100"/>
          <a:ext cx="8229600" cy="868958"/>
        </a:xfrm>
        <a:prstGeom prst="rect">
          <a:avLst/>
        </a:prstGeom>
      </xdr:spPr>
      <xdr:txBody>
        <a:bodyPr anchor="ctr" bIns="45720" rtlCol="0" lIns="91440" rIns="91440" vert="horz" wrap="square" tIns="45720">
          <a:normAutofit/>
        </a:bodyPr>
        <a:lstStyle>
          <a:lvl1pPr defTabSz="914400" eaLnBrk="1" hangingPunct="1" latinLnBrk="1" lvl="0" rtl="0" algn="ctr">
            <a:spcBef>
              <a:spcPct val="0"/>
            </a:spcBef>
            <a:buNone/>
            <a:defRPr kern="1200" sz="44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ko-KR" altLang="en-US" sz="2400"/>
            <a:t>의정부 도시형 생활주택</a:t>
          </a:r>
        </a:p>
      </xdr:txBody>
    </xdr:sp>
    <xdr:clientData fLocksWithSheet="0"/>
  </xdr:oneCellAnchor>
  <xdr:oneCellAnchor>
    <xdr:from>
      <xdr:col>0</xdr:col>
      <xdr:colOff>0</xdr:colOff>
      <xdr:row>3</xdr:row>
      <xdr:rowOff>95250</xdr:rowOff>
    </xdr:from>
    <xdr:ext cx="6810375" cy="771525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114300</xdr:rowOff>
    </xdr:from>
    <xdr:ext cx="6810375" cy="10763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</xdr:row>
      <xdr:rowOff>9525</xdr:rowOff>
    </xdr:from>
    <xdr:ext cx="9582150" cy="145732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8801100" cy="266700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23</xdr:row>
      <xdr:rowOff>28575</xdr:rowOff>
    </xdr:from>
    <xdr:ext cx="8724900" cy="2257425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257175</xdr:colOff>
      <xdr:row>0</xdr:row>
      <xdr:rowOff>38100</xdr:rowOff>
    </xdr:from>
    <xdr:ext cx="1323975" cy="371475"/>
    <xdr:pic>
      <xdr:nvPicPr>
        <xdr:cNvPr id="0" name="image2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533525" cy="37147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419225" cy="37147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2409825</xdr:colOff>
      <xdr:row>0</xdr:row>
      <xdr:rowOff>66675</xdr:rowOff>
    </xdr:from>
    <xdr:ext cx="1076325" cy="381000"/>
    <xdr:pic>
      <xdr:nvPicPr>
        <xdr:cNvPr id="0" name="image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6972300" cy="1047750"/>
    <xdr:sp macro="" textlink="">
      <xdr:nvSpPr>
        <xdr:cNvPr id="2" name="제목 1">
          <a:extLst>
            <a:ext uri="{FF2B5EF4-FFF2-40B4-BE49-F238E27FC236}"/>
          </a:extLst>
        </xdr:cNvPr>
        <xdr:cNvSpPr>
          <a:spLocks noGrp="1"/>
        </xdr:cNvSpPr>
      </xdr:nvSpPr>
      <xdr:spPr>
        <a:xfrm>
          <a:off x="61664" y="0"/>
          <a:ext cx="8229600" cy="1143000"/>
        </a:xfrm>
        <a:prstGeom prst="rect">
          <a:avLst/>
        </a:prstGeom>
      </xdr:spPr>
      <xdr:txBody>
        <a:bodyPr anchor="ctr" bIns="45720" rtlCol="0" lIns="91440" rIns="91440" vert="horz" wrap="square" tIns="45720">
          <a:normAutofit/>
        </a:bodyPr>
        <a:lstStyle>
          <a:lvl1pPr defTabSz="914400" eaLnBrk="1" hangingPunct="1" latinLnBrk="1" lvl="0" rtl="0" algn="ctr">
            <a:spcBef>
              <a:spcPct val="0"/>
            </a:spcBef>
            <a:buNone/>
            <a:defRPr kern="1200" sz="44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ko-KR" altLang="en-US" sz="3200"/>
            <a:t>의정부 토지활용 </a:t>
          </a:r>
          <a:r>
            <a:rPr lang="en-US" altLang="ko-KR" sz="3200"/>
            <a:t>– </a:t>
          </a:r>
          <a:r>
            <a:rPr lang="ko-KR" altLang="en-US" sz="3200"/>
            <a:t>콘테이너</a:t>
          </a:r>
          <a:endParaRPr lang="ko-KR" altLang="en-US" sz="2400"/>
        </a:p>
      </xdr:txBody>
    </xdr:sp>
    <xdr:clientData fLocksWithSheet="0"/>
  </xdr:oneCellAnchor>
  <xdr:oneCellAnchor>
    <xdr:from>
      <xdr:col>3</xdr:col>
      <xdr:colOff>28575</xdr:colOff>
      <xdr:row>9</xdr:row>
      <xdr:rowOff>152400</xdr:rowOff>
    </xdr:from>
    <xdr:ext cx="428625" cy="1800225"/>
    <xdr:cxnSp macro="">
      <xdr:nvCxnSpPr>
        <xdr:cNvPr id="5" name="직선 화살표 연결선 4">
          <a:extLst>
            <a:ext uri="{FF2B5EF4-FFF2-40B4-BE49-F238E27FC236}"/>
          </a:extLst>
        </xdr:cNvPr>
        <xdr:cNvCxnSpPr/>
      </xdr:nvCxnSpPr>
      <xdr:spPr>
        <a:xfrm>
          <a:off x="2088232" y="3514402"/>
          <a:ext cx="432048" cy="1800200"/>
        </a:xfrm>
        <a:prstGeom prst="straightConnector1">
          <a:avLst/>
        </a:prstGeom>
        <a:ln cap="flat" cmpd="sng" w="12700" algn="ctr">
          <a:solidFill>
            <a:schemeClr val="accent1"/>
          </a:solidFill>
          <a:prstDash val="solid"/>
          <a:miter lim="800000"/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228600</xdr:colOff>
      <xdr:row>12</xdr:row>
      <xdr:rowOff>180975</xdr:rowOff>
    </xdr:from>
    <xdr:ext cx="561975" cy="371475"/>
    <xdr:sp macro="" textlink="">
      <xdr:nvSpPr>
        <xdr:cNvPr id="6" name="TextBox 10">
          <a:extLst>
            <a:ext uri="{FF2B5EF4-FFF2-40B4-BE49-F238E27FC236}"/>
          </a:extLst>
        </xdr:cNvPr>
        <xdr:cNvSpPr txBox="1"/>
      </xdr:nvSpPr>
      <xdr:spPr>
        <a:xfrm>
          <a:off x="2294329" y="4162474"/>
          <a:ext cx="657999" cy="369332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22m</a:t>
          </a:r>
          <a:endParaRPr lang="ko-KR" altLang="en-US"/>
        </a:p>
      </xdr:txBody>
    </xdr:sp>
    <xdr:clientData fLocksWithSheet="0"/>
  </xdr:oneCellAnchor>
  <xdr:oneCellAnchor>
    <xdr:from>
      <xdr:col>1</xdr:col>
      <xdr:colOff>609600</xdr:colOff>
      <xdr:row>9</xdr:row>
      <xdr:rowOff>85725</xdr:rowOff>
    </xdr:from>
    <xdr:ext cx="619125" cy="1876425"/>
    <xdr:cxnSp macro="">
      <xdr:nvCxnSpPr>
        <xdr:cNvPr id="7" name="직선 화살표 연결선 6">
          <a:extLst>
            <a:ext uri="{FF2B5EF4-FFF2-40B4-BE49-F238E27FC236}"/>
          </a:extLst>
        </xdr:cNvPr>
        <xdr:cNvCxnSpPr/>
      </xdr:nvCxnSpPr>
      <xdr:spPr>
        <a:xfrm flipH="1">
          <a:off x="1296144" y="3447040"/>
          <a:ext cx="728464" cy="1867562"/>
        </a:xfrm>
        <a:prstGeom prst="straightConnector1">
          <a:avLst/>
        </a:prstGeom>
        <a:ln cap="flat" cmpd="sng" w="12700" algn="ctr">
          <a:solidFill>
            <a:schemeClr val="accent1"/>
          </a:solidFill>
          <a:prstDash val="solid"/>
          <a:miter lim="800000"/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361950</xdr:colOff>
      <xdr:row>13</xdr:row>
      <xdr:rowOff>38100</xdr:rowOff>
    </xdr:from>
    <xdr:ext cx="800100" cy="361950"/>
    <xdr:sp macro="" textlink="">
      <xdr:nvSpPr>
        <xdr:cNvPr id="8" name="TextBox 15">
          <a:extLst>
            <a:ext uri="{FF2B5EF4-FFF2-40B4-BE49-F238E27FC236}"/>
          </a:extLst>
        </xdr:cNvPr>
        <xdr:cNvSpPr txBox="1"/>
      </xdr:nvSpPr>
      <xdr:spPr>
        <a:xfrm flipH="1">
          <a:off x="1052422" y="4229836"/>
          <a:ext cx="1008113" cy="369332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22m</a:t>
          </a:r>
          <a:endParaRPr lang="ko-KR" altLang="en-US"/>
        </a:p>
      </xdr:txBody>
    </xdr:sp>
    <xdr:clientData fLocksWithSheet="0"/>
  </xdr:oneCellAnchor>
  <xdr:oneCellAnchor>
    <xdr:from>
      <xdr:col>1</xdr:col>
      <xdr:colOff>609600</xdr:colOff>
      <xdr:row>18</xdr:row>
      <xdr:rowOff>66675</xdr:rowOff>
    </xdr:from>
    <xdr:ext cx="1019175" cy="0"/>
    <xdr:cxnSp macro="">
      <xdr:nvCxnSpPr>
        <xdr:cNvPr id="9" name="직선 화살표 연결선 8">
          <a:extLst>
            <a:ext uri="{FF2B5EF4-FFF2-40B4-BE49-F238E27FC236}"/>
          </a:extLst>
        </xdr:cNvPr>
        <xdr:cNvCxnSpPr/>
      </xdr:nvCxnSpPr>
      <xdr:spPr>
        <a:xfrm>
          <a:off x="1296144" y="5314602"/>
          <a:ext cx="1224136" cy="0"/>
        </a:xfrm>
        <a:prstGeom prst="straightConnector1">
          <a:avLst/>
        </a:prstGeom>
        <a:ln cap="flat" cmpd="sng" w="12700" algn="ctr">
          <a:solidFill>
            <a:schemeClr val="accent1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</xdr:col>
      <xdr:colOff>266700</xdr:colOff>
      <xdr:row>19</xdr:row>
      <xdr:rowOff>9525</xdr:rowOff>
    </xdr:from>
    <xdr:ext cx="561975" cy="361950"/>
    <xdr:sp macro="" textlink="">
      <xdr:nvSpPr>
        <xdr:cNvPr id="10" name="TextBox 19">
          <a:extLst>
            <a:ext uri="{FF2B5EF4-FFF2-40B4-BE49-F238E27FC236}"/>
          </a:extLst>
        </xdr:cNvPr>
        <xdr:cNvSpPr txBox="1"/>
      </xdr:nvSpPr>
      <xdr:spPr>
        <a:xfrm>
          <a:off x="1647765" y="5458618"/>
          <a:ext cx="657999" cy="369332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14m</a:t>
          </a:r>
          <a:endParaRPr lang="ko-KR" altLang="en-US"/>
        </a:p>
      </xdr:txBody>
    </xdr:sp>
    <xdr:clientData fLocksWithSheet="0"/>
  </xdr:oneCellAnchor>
  <xdr:oneCellAnchor>
    <xdr:from>
      <xdr:col>3</xdr:col>
      <xdr:colOff>114300</xdr:colOff>
      <xdr:row>12</xdr:row>
      <xdr:rowOff>180975</xdr:rowOff>
    </xdr:from>
    <xdr:ext cx="142875" cy="914400"/>
    <xdr:sp macro="" textlink="">
      <xdr:nvSpPr>
        <xdr:cNvPr id="12" name="직사각형 11">
          <a:extLst>
            <a:ext uri="{FF2B5EF4-FFF2-40B4-BE49-F238E27FC236}"/>
          </a:extLst>
        </xdr:cNvPr>
        <xdr:cNvSpPr/>
      </xdr:nvSpPr>
      <xdr:spPr>
        <a:xfrm>
          <a:off x="2175332" y="4162473"/>
          <a:ext cx="143873" cy="911715"/>
        </a:xfrm>
        <a:prstGeom prst="rect">
          <a:avLst/>
        </a:prstGeom>
        <a:solidFill>
          <a:schemeClr val="accent1"/>
        </a:solidFill>
        <a:ln cap="flat" cmpd="sng" w="19050" algn="ctr">
          <a:solidFill>
            <a:schemeClr val="accent1">
              <a:shade val="50000"/>
            </a:schemeClr>
          </a:solidFill>
          <a:prstDash val="solid"/>
          <a:miter lim="800000"/>
        </a:ln>
        <a:scene3d>
          <a:camera prst="orthographicFront">
            <a:rot lat="0" lon="0" rev="600000"/>
          </a:camera>
          <a:lightRig dir="t" rig="threeP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/>
          <a:endParaRPr lang="ko-KR" altLang="en-US"/>
        </a:p>
      </xdr:txBody>
    </xdr:sp>
    <xdr:clientData fLocksWithSheet="0"/>
  </xdr:oneCellAnchor>
  <xdr:oneCellAnchor>
    <xdr:from>
      <xdr:col>3</xdr:col>
      <xdr:colOff>19050</xdr:colOff>
      <xdr:row>17</xdr:row>
      <xdr:rowOff>66675</xdr:rowOff>
    </xdr:from>
    <xdr:ext cx="342900" cy="152400"/>
    <xdr:sp macro="" textlink="">
      <xdr:nvSpPr>
        <xdr:cNvPr id="13" name="직사각형 12">
          <a:extLst>
            <a:ext uri="{FF2B5EF4-FFF2-40B4-BE49-F238E27FC236}"/>
          </a:extLst>
        </xdr:cNvPr>
        <xdr:cNvSpPr/>
      </xdr:nvSpPr>
      <xdr:spPr>
        <a:xfrm>
          <a:off x="2085322" y="5100534"/>
          <a:ext cx="343470" cy="144016"/>
        </a:xfrm>
        <a:prstGeom prst="rect">
          <a:avLst/>
        </a:prstGeom>
        <a:solidFill>
          <a:schemeClr val="accent1"/>
        </a:solidFill>
        <a:ln cap="flat" cmpd="sng" w="19050" algn="ctr">
          <a:solidFill>
            <a:schemeClr val="accent1">
              <a:shade val="50000"/>
            </a:schemeClr>
          </a:solidFill>
          <a:prstDash val="solid"/>
          <a:miter lim="800000"/>
        </a:ln>
        <a:scene3d>
          <a:camera prst="orthographicFront">
            <a:rot lat="0" lon="0" rev="600000"/>
          </a:camera>
          <a:lightRig dir="t" rig="threeP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/>
          <a:endParaRPr lang="ko-KR" altLang="en-US"/>
        </a:p>
      </xdr:txBody>
    </xdr:sp>
    <xdr:clientData fLocksWithSheet="0"/>
  </xdr:oneCellAnchor>
  <xdr:oneCellAnchor>
    <xdr:from>
      <xdr:col>7</xdr:col>
      <xdr:colOff>381000</xdr:colOff>
      <xdr:row>5</xdr:row>
      <xdr:rowOff>104775</xdr:rowOff>
    </xdr:from>
    <xdr:ext cx="2524125" cy="885825"/>
    <xdr:sp macro="" textlink="">
      <xdr:nvSpPr>
        <xdr:cNvPr id="14" name="직사각형 13">
          <a:extLst>
            <a:ext uri="{FF2B5EF4-FFF2-40B4-BE49-F238E27FC236}"/>
          </a:extLst>
        </xdr:cNvPr>
        <xdr:cNvSpPr/>
      </xdr:nvSpPr>
      <xdr:spPr>
        <a:xfrm>
          <a:off x="5184576" y="2622215"/>
          <a:ext cx="2952328" cy="892187"/>
        </a:xfrm>
        <a:prstGeom prst="rect">
          <a:avLst/>
        </a:prstGeom>
        <a:noFill/>
        <a:ln cap="flat" cmpd="sng" w="19050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/>
          <a:endParaRPr lang="ko-KR" altLang="en-US"/>
        </a:p>
      </xdr:txBody>
    </xdr:sp>
    <xdr:clientData fLocksWithSheet="0"/>
  </xdr:oneCellAnchor>
  <xdr:oneCellAnchor>
    <xdr:from>
      <xdr:col>7</xdr:col>
      <xdr:colOff>381000</xdr:colOff>
      <xdr:row>16</xdr:row>
      <xdr:rowOff>47625</xdr:rowOff>
    </xdr:from>
    <xdr:ext cx="2524125" cy="1171575"/>
    <xdr:sp macro="" textlink="">
      <xdr:nvSpPr>
        <xdr:cNvPr id="15" name="직사각형 14">
          <a:extLst>
            <a:ext uri="{FF2B5EF4-FFF2-40B4-BE49-F238E27FC236}"/>
          </a:extLst>
        </xdr:cNvPr>
        <xdr:cNvSpPr/>
      </xdr:nvSpPr>
      <xdr:spPr>
        <a:xfrm>
          <a:off x="5184576" y="4871010"/>
          <a:ext cx="2952328" cy="1175215"/>
        </a:xfrm>
        <a:prstGeom prst="rect">
          <a:avLst/>
        </a:prstGeom>
        <a:noFill/>
        <a:ln cap="flat" cmpd="sng" w="19050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/>
          <a:endParaRPr lang="ko-KR" altLang="en-US"/>
        </a:p>
      </xdr:txBody>
    </xdr:sp>
    <xdr:clientData fLocksWithSheet="0"/>
  </xdr:oneCellAnchor>
  <xdr:oneCellAnchor>
    <xdr:from>
      <xdr:col>0</xdr:col>
      <xdr:colOff>133350</xdr:colOff>
      <xdr:row>27</xdr:row>
      <xdr:rowOff>0</xdr:rowOff>
    </xdr:from>
    <xdr:ext cx="6972300" cy="1143000"/>
    <xdr:sp macro="" textlink="">
      <xdr:nvSpPr>
        <xdr:cNvPr id="17" name="제목 1">
          <a:extLst>
            <a:ext uri="{FF2B5EF4-FFF2-40B4-BE49-F238E27FC236}"/>
          </a:extLst>
        </xdr:cNvPr>
        <xdr:cNvSpPr>
          <a:spLocks noGrp="1"/>
        </xdr:cNvSpPr>
      </xdr:nvSpPr>
      <xdr:spPr>
        <a:xfrm>
          <a:off x="133672" y="5657850"/>
          <a:ext cx="8229600" cy="1143000"/>
        </a:xfrm>
        <a:prstGeom prst="rect">
          <a:avLst/>
        </a:prstGeom>
      </xdr:spPr>
      <xdr:txBody>
        <a:bodyPr anchor="ctr" bIns="45720" rtlCol="0" lIns="91440" rIns="91440" vert="horz" wrap="square" tIns="45720">
          <a:normAutofit/>
        </a:bodyPr>
        <a:lstStyle>
          <a:lvl1pPr defTabSz="914400" eaLnBrk="1" hangingPunct="1" latinLnBrk="1" lvl="0" rtl="0" algn="ctr">
            <a:spcBef>
              <a:spcPct val="0"/>
            </a:spcBef>
            <a:buNone/>
            <a:defRPr kern="1200" sz="44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ko-KR" altLang="en-US" sz="3200"/>
            <a:t>편의점</a:t>
          </a:r>
          <a:r>
            <a:rPr lang="en-US" altLang="ko-KR" sz="3200"/>
            <a:t>-</a:t>
          </a:r>
          <a:r>
            <a:rPr lang="ko-KR" altLang="en-US" sz="3200"/>
            <a:t>카페</a:t>
          </a:r>
        </a:p>
      </xdr:txBody>
    </xdr:sp>
    <xdr:clientData fLocksWithSheet="0"/>
  </xdr:oneCellAnchor>
  <xdr:oneCellAnchor>
    <xdr:from>
      <xdr:col>3</xdr:col>
      <xdr:colOff>323850</xdr:colOff>
      <xdr:row>38</xdr:row>
      <xdr:rowOff>0</xdr:rowOff>
    </xdr:from>
    <xdr:ext cx="476250" cy="257175"/>
    <xdr:sp macro="" textlink="">
      <xdr:nvSpPr>
        <xdr:cNvPr id="20" name="TextBox 4">
          <a:extLst>
            <a:ext uri="{FF2B5EF4-FFF2-40B4-BE49-F238E27FC236}"/>
          </a:extLst>
        </xdr:cNvPr>
        <xdr:cNvSpPr txBox="1"/>
      </xdr:nvSpPr>
      <xdr:spPr>
        <a:xfrm>
          <a:off x="2389839" y="7969711"/>
          <a:ext cx="576064" cy="261610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b="1" lang="en-US" altLang="ko-KR" sz="1100"/>
            <a:t>GS25</a:t>
          </a:r>
          <a:endParaRPr b="1" lang="ko-KR" altLang="en-US" sz="1100"/>
        </a:p>
      </xdr:txBody>
    </xdr:sp>
    <xdr:clientData fLocksWithSheet="0"/>
  </xdr:oneCellAnchor>
  <xdr:oneCellAnchor>
    <xdr:from>
      <xdr:col>2</xdr:col>
      <xdr:colOff>438150</xdr:colOff>
      <xdr:row>45</xdr:row>
      <xdr:rowOff>171450</xdr:rowOff>
    </xdr:from>
    <xdr:ext cx="333375" cy="581025"/>
    <xdr:sp macro="" textlink="">
      <xdr:nvSpPr>
        <xdr:cNvPr id="21" name="이등변 삼각형 20">
          <a:extLst>
            <a:ext uri="{FF2B5EF4-FFF2-40B4-BE49-F238E27FC236}"/>
          </a:extLst>
        </xdr:cNvPr>
        <xdr:cNvSpPr/>
      </xdr:nvSpPr>
      <xdr:spPr>
        <a:xfrm>
          <a:off x="1816696" y="9604300"/>
          <a:ext cx="433462" cy="576064"/>
        </a:xfrm>
        <a:prstGeom prst="triangle">
          <a:avLst/>
        </a:prstGeom>
        <a:solidFill>
          <a:schemeClr val="accent1"/>
        </a:solidFill>
        <a:ln cap="flat" cmpd="sng" w="19050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/>
          <a:endParaRPr lang="ko-KR" altLang="en-US"/>
        </a:p>
      </xdr:txBody>
    </xdr:sp>
    <xdr:clientData fLocksWithSheet="0"/>
  </xdr:oneCellAnchor>
  <xdr:oneCellAnchor>
    <xdr:from>
      <xdr:col>8</xdr:col>
      <xdr:colOff>485775</xdr:colOff>
      <xdr:row>34</xdr:row>
      <xdr:rowOff>28575</xdr:rowOff>
    </xdr:from>
    <xdr:ext cx="2028825" cy="3971925"/>
    <xdr:sp macro="" textlink="">
      <xdr:nvSpPr>
        <xdr:cNvPr id="22" name="TextBox 6">
          <a:extLst>
            <a:ext uri="{FF2B5EF4-FFF2-40B4-BE49-F238E27FC236}"/>
          </a:extLst>
        </xdr:cNvPr>
        <xdr:cNvSpPr txBox="1"/>
      </xdr:nvSpPr>
      <xdr:spPr>
        <a:xfrm>
          <a:off x="5976663" y="7156028"/>
          <a:ext cx="2446993" cy="3970318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도로쪽 편의점 없음</a:t>
          </a:r>
          <a:endParaRPr lang="en-US" altLang="ko-KR"/>
        </a:p>
        <a:p>
          <a:r>
            <a:rPr lang="en-US" altLang="ko-KR"/>
            <a:t>100</a:t>
          </a:r>
          <a:r>
            <a:rPr lang="ko-KR" altLang="en-US"/>
            <a:t>미터 지점에 </a:t>
          </a:r>
          <a:endParaRPr lang="en-US" altLang="ko-KR"/>
        </a:p>
        <a:p>
          <a:r>
            <a:rPr lang="en-US" altLang="ko-KR"/>
            <a:t>GS25 </a:t>
          </a:r>
          <a:r>
            <a:rPr lang="ko-KR" altLang="en-US"/>
            <a:t>편의점 </a:t>
          </a:r>
          <a:endParaRPr lang="en-US" altLang="ko-KR"/>
        </a:p>
        <a:p>
          <a:endParaRPr lang="en-US" altLang="ko-KR"/>
        </a:p>
        <a:p>
          <a:r>
            <a:rPr lang="ko-KR" altLang="en-US"/>
            <a:t>차량접근이 편하고</a:t>
          </a:r>
          <a:endParaRPr lang="en-US" altLang="ko-KR"/>
        </a:p>
        <a:p>
          <a:r>
            <a:rPr lang="ko-KR" altLang="en-US"/>
            <a:t>도로쪽 가시도가 높은</a:t>
          </a:r>
          <a:endParaRPr lang="en-US" altLang="ko-KR"/>
        </a:p>
        <a:p>
          <a:r>
            <a:rPr lang="ko-KR" altLang="en-US"/>
            <a:t>카페와 편의점</a:t>
          </a:r>
          <a:endParaRPr lang="en-US" altLang="ko-KR"/>
        </a:p>
        <a:p>
          <a:endParaRPr lang="en-US" altLang="ko-KR"/>
        </a:p>
        <a:p>
          <a:r>
            <a:rPr lang="en-US" altLang="ko-KR"/>
            <a:t>24</a:t>
          </a:r>
          <a:r>
            <a:rPr lang="ko-KR" altLang="en-US"/>
            <a:t>시간 </a:t>
          </a:r>
          <a:r>
            <a:rPr lang="ko-KR" altLang="en-US">
              <a:solidFill>
                <a:srgbClr val="FF0000"/>
              </a:solidFill>
            </a:rPr>
            <a:t>인건비</a:t>
          </a:r>
          <a:endParaRPr lang="en-US" altLang="ko-KR">
            <a:solidFill>
              <a:srgbClr val="FF0000"/>
            </a:solidFill>
          </a:endParaRPr>
        </a:p>
        <a:p>
          <a:r>
            <a:rPr lang="ko-KR" altLang="en-US"/>
            <a:t>시급 </a:t>
          </a:r>
          <a:r>
            <a:rPr lang="en-US" altLang="ko-KR"/>
            <a:t>1*24=24</a:t>
          </a:r>
          <a:r>
            <a:rPr lang="ko-KR" altLang="en-US"/>
            <a:t>만원</a:t>
          </a:r>
          <a:r>
            <a:rPr lang="en-US" altLang="ko-KR"/>
            <a:t>/</a:t>
          </a:r>
          <a:r>
            <a:rPr lang="ko-KR" altLang="en-US"/>
            <a:t>일</a:t>
          </a:r>
          <a:endParaRPr lang="en-US" altLang="ko-KR"/>
        </a:p>
        <a:p>
          <a:r>
            <a:rPr lang="ko-KR" altLang="en-US"/>
            <a:t>월 </a:t>
          </a:r>
          <a:r>
            <a:rPr lang="en-US" altLang="ko-KR"/>
            <a:t>720</a:t>
          </a:r>
          <a:r>
            <a:rPr lang="ko-KR" altLang="en-US"/>
            <a:t>만원</a:t>
          </a:r>
          <a:r>
            <a:rPr lang="en-US" altLang="ko-KR"/>
            <a:t>,</a:t>
          </a:r>
          <a:r>
            <a:rPr lang="ko-KR" altLang="en-US"/>
            <a:t>유휴</a:t>
          </a:r>
          <a:r>
            <a:rPr lang="en-US" altLang="ko-KR"/>
            <a:t>/</a:t>
          </a:r>
          <a:r>
            <a:rPr lang="ko-KR" altLang="en-US"/>
            <a:t>주말</a:t>
          </a:r>
          <a:endParaRPr lang="en-US" altLang="ko-KR"/>
        </a:p>
        <a:p>
          <a:r>
            <a:rPr lang="en-US" altLang="ko-KR"/>
            <a:t>= </a:t>
          </a:r>
          <a:r>
            <a:rPr lang="ko-KR" altLang="en-US">
              <a:solidFill>
                <a:srgbClr val="FF0000"/>
              </a:solidFill>
            </a:rPr>
            <a:t>월 </a:t>
          </a:r>
          <a:r>
            <a:rPr lang="en-US" altLang="ko-KR">
              <a:solidFill>
                <a:srgbClr val="FF0000"/>
              </a:solidFill>
            </a:rPr>
            <a:t>1,000</a:t>
          </a:r>
          <a:r>
            <a:rPr lang="ko-KR" altLang="en-US">
              <a:solidFill>
                <a:srgbClr val="FF0000"/>
              </a:solidFill>
            </a:rPr>
            <a:t>만원</a:t>
          </a:r>
          <a:endParaRPr lang="en-US" altLang="ko-KR">
            <a:solidFill>
              <a:srgbClr val="FF0000"/>
            </a:solidFill>
          </a:endParaRPr>
        </a:p>
        <a:p>
          <a:endParaRPr lang="en-US" altLang="ko-KR"/>
        </a:p>
        <a:p>
          <a:r>
            <a:rPr lang="ko-KR" altLang="en-US"/>
            <a:t>월세 </a:t>
          </a:r>
          <a:r>
            <a:rPr lang="en-US" altLang="ko-KR"/>
            <a:t>200</a:t>
          </a:r>
          <a:r>
            <a:rPr lang="ko-KR" altLang="en-US"/>
            <a:t>만원</a:t>
          </a:r>
        </a:p>
      </xdr:txBody>
    </xdr:sp>
    <xdr:clientData fLocksWithSheet="0"/>
  </xdr:oneCellAnchor>
  <xdr:oneCellAnchor>
    <xdr:from>
      <xdr:col>3</xdr:col>
      <xdr:colOff>352425</xdr:colOff>
      <xdr:row>38</xdr:row>
      <xdr:rowOff>133350</xdr:rowOff>
    </xdr:from>
    <xdr:ext cx="781050" cy="914400"/>
    <xdr:cxnSp macro="">
      <xdr:nvCxnSpPr>
        <xdr:cNvPr id="24" name="직선 화살표 연결선 23">
          <a:extLst>
            <a:ext uri="{FF2B5EF4-FFF2-40B4-BE49-F238E27FC236}"/>
          </a:extLst>
        </xdr:cNvPr>
        <xdr:cNvCxnSpPr>
          <a:stCxn id="19" idx="3"/>
        </xdr:cNvCxnSpPr>
      </xdr:nvCxnSpPr>
      <xdr:spPr>
        <a:xfrm>
          <a:off x="2412082" y="8100516"/>
          <a:ext cx="892157" cy="914400"/>
        </a:xfrm>
        <a:prstGeom prst="straightConnector1">
          <a:avLst/>
        </a:prstGeom>
        <a:ln w="31750">
          <a:solidFill>
            <a:schemeClr val="accent2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457200</xdr:colOff>
      <xdr:row>40</xdr:row>
      <xdr:rowOff>133350</xdr:rowOff>
    </xdr:from>
    <xdr:ext cx="514350" cy="2028825"/>
    <xdr:cxnSp macro="">
      <xdr:nvCxnSpPr>
        <xdr:cNvPr id="26" name="직선 화살표 연결선 25">
          <a:extLst>
            <a:ext uri="{FF2B5EF4-FFF2-40B4-BE49-F238E27FC236}"/>
          </a:extLst>
        </xdr:cNvPr>
        <xdr:cNvCxnSpPr/>
      </xdr:nvCxnSpPr>
      <xdr:spPr>
        <a:xfrm flipH="1">
          <a:off x="1152128" y="8520841"/>
          <a:ext cx="611343" cy="2019563"/>
        </a:xfrm>
        <a:prstGeom prst="straightConnector1">
          <a:avLst/>
        </a:prstGeom>
        <a:ln w="31750">
          <a:solidFill>
            <a:schemeClr val="accent2"/>
          </a:solidFill>
          <a:prstDash val="solid"/>
          <a:miter lim="800000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523875</xdr:colOff>
      <xdr:row>6</xdr:row>
      <xdr:rowOff>133350</xdr:rowOff>
    </xdr:from>
    <xdr:ext cx="3048000" cy="3105150"/>
    <xdr:pic>
      <xdr:nvPicPr>
        <xdr:cNvPr id="0" name="image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666750</xdr:colOff>
      <xdr:row>5</xdr:row>
      <xdr:rowOff>104775</xdr:rowOff>
    </xdr:from>
    <xdr:ext cx="2305050" cy="349567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1323975" cy="371475"/>
    <xdr:pic>
      <xdr:nvPicPr>
        <xdr:cNvPr id="0" name="image3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34</xdr:row>
      <xdr:rowOff>28575</xdr:rowOff>
    </xdr:from>
    <xdr:ext cx="4781550" cy="4486275"/>
    <xdr:pic>
      <xdr:nvPicPr>
        <xdr:cNvPr id="0" name="image3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37</xdr:row>
      <xdr:rowOff>190500</xdr:rowOff>
    </xdr:from>
    <xdr:ext cx="323850" cy="304800"/>
    <xdr:pic>
      <xdr:nvPicPr>
        <xdr:cNvPr id="0" name="image3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32</xdr:row>
      <xdr:rowOff>190500</xdr:rowOff>
    </xdr:from>
    <xdr:ext cx="1219200" cy="2857500"/>
    <xdr:pic>
      <xdr:nvPicPr>
        <xdr:cNvPr id="0" name="image3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95250</xdr:rowOff>
    </xdr:from>
    <xdr:ext cx="1228725" cy="2809875"/>
    <xdr:pic>
      <xdr:nvPicPr>
        <xdr:cNvPr id="0" name="image3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6143625" cy="5086350"/>
    <xdr:pic>
      <xdr:nvPicPr>
        <xdr:cNvPr id="0" name="image3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1323975" cy="37147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72300" cy="1143000"/>
    <xdr:sp macro="" textlink="">
      <xdr:nvSpPr>
        <xdr:cNvPr id="2" name="제목 1">
          <a:extLst>
            <a:ext uri="{FF2B5EF4-FFF2-40B4-BE49-F238E27FC236}"/>
          </a:extLst>
        </xdr:cNvPr>
        <xdr:cNvSpPr>
          <a:spLocks noGrp="1"/>
        </xdr:cNvSpPr>
      </xdr:nvSpPr>
      <xdr:spPr>
        <a:xfrm>
          <a:off x="0" y="0"/>
          <a:ext cx="8229600" cy="1143000"/>
        </a:xfrm>
        <a:prstGeom prst="rect">
          <a:avLst/>
        </a:prstGeom>
      </xdr:spPr>
      <xdr:txBody>
        <a:bodyPr anchor="ctr" bIns="45720" rtlCol="0" lIns="91440" rIns="91440" vert="horz" wrap="square" tIns="45720">
          <a:normAutofit/>
        </a:bodyPr>
        <a:lstStyle>
          <a:lvl1pPr defTabSz="914400" eaLnBrk="1" hangingPunct="1" latinLnBrk="1" lvl="0" rtl="0" algn="ctr">
            <a:spcBef>
              <a:spcPct val="0"/>
            </a:spcBef>
            <a:buNone/>
            <a:defRPr kern="1200" sz="44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ko-KR" altLang="en-US" sz="4000"/>
            <a:t>낙하리 개보수 진행계획</a:t>
          </a:r>
        </a:p>
      </xdr:txBody>
    </xdr:sp>
    <xdr:clientData fLocksWithSheet="0"/>
  </xdr:oneCellAnchor>
  <xdr:oneCellAnchor>
    <xdr:from>
      <xdr:col>8</xdr:col>
      <xdr:colOff>571500</xdr:colOff>
      <xdr:row>6</xdr:row>
      <xdr:rowOff>161925</xdr:rowOff>
    </xdr:from>
    <xdr:ext cx="1819275" cy="2038350"/>
    <xdr:sp macro="" textlink="">
      <xdr:nvSpPr>
        <xdr:cNvPr id="7" name="TextBox 3">
          <a:extLst>
            <a:ext uri="{FF2B5EF4-FFF2-40B4-BE49-F238E27FC236}"/>
          </a:extLst>
        </xdr:cNvPr>
        <xdr:cNvSpPr txBox="1"/>
      </xdr:nvSpPr>
      <xdr:spPr>
        <a:xfrm>
          <a:off x="6059016" y="1426170"/>
          <a:ext cx="2232248" cy="2031325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유리창 파손</a:t>
          </a:r>
          <a:endParaRPr lang="en-US" altLang="ko-KR"/>
        </a:p>
        <a:p>
          <a:r>
            <a:rPr lang="ko-KR" altLang="en-US"/>
            <a:t>출입문 파손</a:t>
          </a:r>
          <a:endParaRPr lang="en-US" altLang="ko-KR"/>
        </a:p>
        <a:p>
          <a:r>
            <a:rPr lang="ko-KR" altLang="en-US"/>
            <a:t>지붕</a:t>
          </a:r>
          <a:r>
            <a:rPr lang="en-US" altLang="ko-KR"/>
            <a:t>(</a:t>
          </a:r>
          <a:r>
            <a:rPr lang="ko-KR" altLang="en-US"/>
            <a:t>누수</a:t>
          </a:r>
          <a:r>
            <a:rPr lang="en-US" altLang="ko-KR"/>
            <a:t>)</a:t>
          </a:r>
        </a:p>
        <a:p>
          <a:r>
            <a:rPr lang="ko-KR" altLang="en-US"/>
            <a:t>벽체바닥 누수</a:t>
          </a:r>
          <a:endParaRPr lang="en-US" altLang="ko-KR"/>
        </a:p>
        <a:p>
          <a:r>
            <a:rPr lang="ko-KR" altLang="en-US"/>
            <a:t>벽체 변형</a:t>
          </a:r>
          <a:endParaRPr lang="en-US" altLang="ko-KR"/>
        </a:p>
        <a:p>
          <a:r>
            <a:rPr lang="ko-KR" altLang="en-US"/>
            <a:t>폐기물 처리</a:t>
          </a:r>
          <a:endParaRPr lang="en-US" altLang="ko-KR"/>
        </a:p>
        <a:p>
          <a:r>
            <a:rPr lang="ko-KR" altLang="en-US"/>
            <a:t>외벽페인트</a:t>
          </a:r>
        </a:p>
      </xdr:txBody>
    </xdr:sp>
    <xdr:clientData fLocksWithSheet="0"/>
  </xdr:oneCellAnchor>
  <xdr:oneCellAnchor>
    <xdr:from>
      <xdr:col>0</xdr:col>
      <xdr:colOff>133350</xdr:colOff>
      <xdr:row>31</xdr:row>
      <xdr:rowOff>0</xdr:rowOff>
    </xdr:from>
    <xdr:ext cx="6972300" cy="1143000"/>
    <xdr:sp macro="" textlink="">
      <xdr:nvSpPr>
        <xdr:cNvPr id="8" name="제목 1">
          <a:extLst>
            <a:ext uri="{FF2B5EF4-FFF2-40B4-BE49-F238E27FC236}"/>
          </a:extLst>
        </xdr:cNvPr>
        <xdr:cNvSpPr>
          <a:spLocks noGrp="1"/>
        </xdr:cNvSpPr>
      </xdr:nvSpPr>
      <xdr:spPr>
        <a:xfrm>
          <a:off x="133672" y="6496050"/>
          <a:ext cx="8229600" cy="1143000"/>
        </a:xfrm>
        <a:prstGeom prst="rect">
          <a:avLst/>
        </a:prstGeom>
      </xdr:spPr>
      <xdr:txBody>
        <a:bodyPr anchor="ctr" bIns="45720" rtlCol="0" lIns="91440" rIns="91440" vert="horz" wrap="square" tIns="45720">
          <a:normAutofit/>
        </a:bodyPr>
        <a:lstStyle>
          <a:lvl1pPr defTabSz="914400" eaLnBrk="1" hangingPunct="1" latinLnBrk="1" lvl="0" rtl="0" algn="ctr">
            <a:spcBef>
              <a:spcPct val="0"/>
            </a:spcBef>
            <a:buNone/>
            <a:defRPr kern="1200" sz="44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n-US" altLang="ko-KR" sz="3600"/>
            <a:t>1.3</a:t>
          </a:r>
          <a:r>
            <a:rPr lang="ko-KR" altLang="en-US" sz="3600"/>
            <a:t>억 개보수비용 </a:t>
          </a:r>
          <a:r>
            <a:rPr lang="en-US" altLang="ko-KR" sz="3600"/>
            <a:t>-&gt; </a:t>
          </a:r>
          <a:r>
            <a:rPr lang="ko-KR" altLang="en-US" sz="3600"/>
            <a:t>매각 </a:t>
          </a:r>
          <a:r>
            <a:rPr lang="en-US" altLang="ko-KR" sz="3600"/>
            <a:t>45</a:t>
          </a:r>
          <a:r>
            <a:rPr lang="ko-KR" altLang="en-US" sz="3600"/>
            <a:t>억</a:t>
          </a:r>
        </a:p>
      </xdr:txBody>
    </xdr:sp>
    <xdr:clientData fLocksWithSheet="0"/>
  </xdr:oneCellAnchor>
  <xdr:oneCellAnchor>
    <xdr:from>
      <xdr:col>10</xdr:col>
      <xdr:colOff>180975</xdr:colOff>
      <xdr:row>38</xdr:row>
      <xdr:rowOff>47625</xdr:rowOff>
    </xdr:from>
    <xdr:ext cx="2743200" cy="1200150"/>
    <xdr:sp macro="" textlink="">
      <xdr:nvSpPr>
        <xdr:cNvPr id="11" name="TextBox 6">
          <a:extLst>
            <a:ext uri="{FF2B5EF4-FFF2-40B4-BE49-F238E27FC236}"/>
          </a:extLst>
        </xdr:cNvPr>
        <xdr:cNvSpPr txBox="1"/>
      </xdr:nvSpPr>
      <xdr:spPr>
        <a:xfrm>
          <a:off x="7039297" y="8014419"/>
          <a:ext cx="3168352" cy="1200329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-342900" lvl="0" marL="342900">
            <a:buAutoNum type="arabicPeriod"/>
          </a:pPr>
          <a:r>
            <a:rPr lang="ko-KR" altLang="en-US"/>
            <a:t>판넬교체 </a:t>
          </a:r>
          <a:r>
            <a:rPr lang="en-US" altLang="ko-KR"/>
            <a:t>: 2.2</a:t>
          </a:r>
          <a:r>
            <a:rPr lang="ko-KR" altLang="en-US"/>
            <a:t>억</a:t>
          </a:r>
          <a:endParaRPr lang="en-US" altLang="ko-KR"/>
        </a:p>
        <a:p>
          <a:endParaRPr lang="en-US" altLang="ko-KR"/>
        </a:p>
        <a:p>
          <a:r>
            <a:rPr lang="en-US" altLang="ko-KR"/>
            <a:t>2. </a:t>
          </a:r>
          <a:r>
            <a:rPr lang="ko-KR" altLang="en-US"/>
            <a:t>외벽철판교체 </a:t>
          </a:r>
          <a:r>
            <a:rPr lang="en-US" altLang="ko-KR"/>
            <a:t>: 1.3</a:t>
          </a:r>
          <a:r>
            <a:rPr lang="ko-KR" altLang="en-US"/>
            <a:t>억</a:t>
          </a:r>
          <a:endParaRPr lang="en-US" altLang="ko-KR"/>
        </a:p>
        <a:p>
          <a:r>
            <a:rPr lang="en-US" altLang="ko-KR"/>
            <a:t> (</a:t>
          </a:r>
          <a:r>
            <a:rPr lang="ko-KR" altLang="en-US"/>
            <a:t>외부폐기물처리</a:t>
          </a:r>
          <a:r>
            <a:rPr lang="en-US" altLang="ko-KR"/>
            <a:t>+</a:t>
          </a:r>
          <a:r>
            <a:rPr lang="ko-KR" altLang="en-US"/>
            <a:t>페인트</a:t>
          </a:r>
          <a:r>
            <a:rPr lang="en-US" altLang="ko-KR"/>
            <a:t>)</a:t>
          </a:r>
          <a:endParaRPr lang="ko-KR" altLang="en-US"/>
        </a:p>
      </xdr:txBody>
    </xdr:sp>
    <xdr:clientData fLocksWithSheet="0"/>
  </xdr:oneCellAnchor>
  <xdr:oneCellAnchor>
    <xdr:from>
      <xdr:col>10</xdr:col>
      <xdr:colOff>190500</xdr:colOff>
      <xdr:row>47</xdr:row>
      <xdr:rowOff>85725</xdr:rowOff>
    </xdr:from>
    <xdr:ext cx="3362325" cy="1476375"/>
    <xdr:sp macro="" textlink="">
      <xdr:nvSpPr>
        <xdr:cNvPr id="12" name="TextBox 7">
          <a:extLst>
            <a:ext uri="{FF2B5EF4-FFF2-40B4-BE49-F238E27FC236}"/>
          </a:extLst>
        </xdr:cNvPr>
        <xdr:cNvSpPr txBox="1"/>
      </xdr:nvSpPr>
      <xdr:spPr>
        <a:xfrm>
          <a:off x="7048822" y="9935021"/>
          <a:ext cx="3888432" cy="1477328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현재 상태로 매각 불가능</a:t>
          </a:r>
          <a:r>
            <a:rPr lang="en-US" altLang="ko-KR"/>
            <a:t>, </a:t>
          </a:r>
        </a:p>
        <a:p>
          <a:r>
            <a:rPr lang="ko-KR" altLang="en-US"/>
            <a:t>외관 정비후 임대맞추고 시간을 가지고 매각 진행</a:t>
          </a:r>
          <a:endParaRPr lang="en-US" altLang="ko-KR"/>
        </a:p>
        <a:p>
          <a:r>
            <a:rPr lang="ko-KR" altLang="en-US"/>
            <a:t> </a:t>
          </a:r>
          <a:endParaRPr lang="en-US" altLang="ko-KR"/>
        </a:p>
        <a:p>
          <a:r>
            <a:rPr lang="en-US" altLang="ko-KR"/>
            <a:t>-&gt; 45</a:t>
          </a:r>
          <a:r>
            <a:rPr lang="ko-KR" altLang="en-US"/>
            <a:t>억</a:t>
          </a:r>
          <a:r>
            <a:rPr lang="en-US" altLang="ko-KR"/>
            <a:t>~50</a:t>
          </a:r>
          <a:r>
            <a:rPr lang="ko-KR" altLang="en-US"/>
            <a:t>억</a:t>
          </a:r>
        </a:p>
      </xdr:txBody>
    </xdr:sp>
    <xdr:clientData fLocksWithSheet="0"/>
  </xdr:oneCellAnchor>
  <xdr:oneCellAnchor>
    <xdr:from>
      <xdr:col>0</xdr:col>
      <xdr:colOff>9525</xdr:colOff>
      <xdr:row>6</xdr:row>
      <xdr:rowOff>95250</xdr:rowOff>
    </xdr:from>
    <xdr:ext cx="2381250" cy="2114550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17</xdr:row>
      <xdr:rowOff>161925</xdr:rowOff>
    </xdr:from>
    <xdr:ext cx="2381250" cy="2105025"/>
    <xdr:pic>
      <xdr:nvPicPr>
        <xdr:cNvPr id="0" name="image4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6</xdr:row>
      <xdr:rowOff>95250</xdr:rowOff>
    </xdr:from>
    <xdr:ext cx="2362200" cy="2095500"/>
    <xdr:pic>
      <xdr:nvPicPr>
        <xdr:cNvPr id="0" name="image4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17</xdr:row>
      <xdr:rowOff>161925</xdr:rowOff>
    </xdr:from>
    <xdr:ext cx="2352675" cy="2085975"/>
    <xdr:pic>
      <xdr:nvPicPr>
        <xdr:cNvPr id="0" name="image4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1323975" cy="371475"/>
    <xdr:pic>
      <xdr:nvPicPr>
        <xdr:cNvPr id="0" name="image4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114300</xdr:rowOff>
    </xdr:from>
    <xdr:ext cx="5848350" cy="4381500"/>
    <xdr:pic>
      <xdr:nvPicPr>
        <xdr:cNvPr id="0" name="image4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57</xdr:row>
      <xdr:rowOff>47625</xdr:rowOff>
    </xdr:from>
    <xdr:ext cx="5857875" cy="3971925"/>
    <xdr:pic>
      <xdr:nvPicPr>
        <xdr:cNvPr id="0" name="image4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1000125" cy="361950"/>
    <xdr:sp macro="" textlink="">
      <xdr:nvSpPr>
        <xdr:cNvPr id="3" name="TextBox 3">
          <a:extLst>
            <a:ext uri="{FF2B5EF4-FFF2-40B4-BE49-F238E27FC236}"/>
          </a:extLst>
        </xdr:cNvPr>
        <xdr:cNvSpPr txBox="1"/>
      </xdr:nvSpPr>
      <xdr:spPr>
        <a:xfrm>
          <a:off x="0" y="2146459"/>
          <a:ext cx="1107996" cy="369332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주변거래</a:t>
          </a:r>
        </a:p>
      </xdr:txBody>
    </xdr:sp>
    <xdr:clientData fLocksWithSheet="0"/>
  </xdr:oneCellAnchor>
  <xdr:oneCellAnchor>
    <xdr:from>
      <xdr:col>0</xdr:col>
      <xdr:colOff>209550</xdr:colOff>
      <xdr:row>28</xdr:row>
      <xdr:rowOff>28575</xdr:rowOff>
    </xdr:from>
    <xdr:ext cx="5857875" cy="361950"/>
    <xdr:sp macro="" textlink="">
      <xdr:nvSpPr>
        <xdr:cNvPr id="7" name="TextBox 7">
          <a:extLst>
            <a:ext uri="{FF2B5EF4-FFF2-40B4-BE49-F238E27FC236}"/>
          </a:extLst>
        </xdr:cNvPr>
        <xdr:cNvSpPr txBox="1"/>
      </xdr:nvSpPr>
      <xdr:spPr>
        <a:xfrm>
          <a:off x="216024" y="6367125"/>
          <a:ext cx="6480720" cy="369332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>
              <a:solidFill>
                <a:srgbClr val="FF0000"/>
              </a:solidFill>
            </a:rPr>
            <a:t>할인 매각 진행</a:t>
          </a:r>
        </a:p>
      </xdr:txBody>
    </xdr:sp>
    <xdr:clientData fLocksWithSheet="0"/>
  </xdr:oneCellAnchor>
  <xdr:oneCellAnchor>
    <xdr:from>
      <xdr:col>0</xdr:col>
      <xdr:colOff>0</xdr:colOff>
      <xdr:row>10</xdr:row>
      <xdr:rowOff>9525</xdr:rowOff>
    </xdr:from>
    <xdr:ext cx="4581525" cy="4143375"/>
    <xdr:pic>
      <xdr:nvPicPr>
        <xdr:cNvPr id="0" name="image4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9</xdr:row>
      <xdr:rowOff>190500</xdr:rowOff>
    </xdr:from>
    <xdr:ext cx="3857625" cy="4286250"/>
    <xdr:pic>
      <xdr:nvPicPr>
        <xdr:cNvPr id="0" name="image4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31</xdr:row>
      <xdr:rowOff>161925</xdr:rowOff>
    </xdr:from>
    <xdr:ext cx="7029450" cy="828675"/>
    <xdr:pic>
      <xdr:nvPicPr>
        <xdr:cNvPr id="0" name="image4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533400</xdr:colOff>
      <xdr:row>0</xdr:row>
      <xdr:rowOff>19050</xdr:rowOff>
    </xdr:from>
    <xdr:ext cx="1228725" cy="371475"/>
    <xdr:pic>
      <xdr:nvPicPr>
        <xdr:cNvPr id="0" name="image4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0</xdr:row>
      <xdr:rowOff>0</xdr:rowOff>
    </xdr:from>
    <xdr:ext cx="1514475" cy="352425"/>
    <xdr:sp macro="" textlink="">
      <xdr:nvSpPr>
        <xdr:cNvPr id="2" name="사각형: 빗면 1">
          <a:hlinkClick r:id="rId1"/>
          <a:extLst>
            <a:ext uri="{FF2B5EF4-FFF2-40B4-BE49-F238E27FC236}"/>
          </a:extLst>
        </xdr:cNvPr>
        <xdr:cNvSpPr/>
      </xdr:nvSpPr>
      <xdr:spPr>
        <a:xfrm>
          <a:off x="8886825" y="0"/>
          <a:ext cx="1514475" cy="352425"/>
        </a:xfrm>
        <a:prstGeom prst="bevel">
          <a:avLst/>
        </a:prstGeom>
        <a:solidFill>
          <a:schemeClr val="accent1"/>
        </a:solidFill>
        <a:ln cap="flat" cmpd="sng" w="1905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100"/>
            <a:t>부동산자산관리 수금 시트 이동</a:t>
          </a:r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0</xdr:row>
      <xdr:rowOff>47625</xdr:rowOff>
    </xdr:from>
    <xdr:ext cx="6838950" cy="352425"/>
    <xdr:sp macro="" textlink="">
      <xdr:nvSpPr>
        <xdr:cNvPr id="2" name="사각형: 빗면 1">
          <a:hlinkClick r:id="rId1"/>
          <a:extLst>
            <a:ext uri="{FF2B5EF4-FFF2-40B4-BE49-F238E27FC236}"/>
          </a:extLst>
        </xdr:cNvPr>
        <xdr:cNvSpPr/>
      </xdr:nvSpPr>
      <xdr:spPr>
        <a:xfrm>
          <a:off x="3629025" y="47625"/>
          <a:ext cx="1514475" cy="352425"/>
        </a:xfrm>
        <a:prstGeom prst="bevel">
          <a:avLst/>
        </a:prstGeom>
        <a:solidFill>
          <a:schemeClr val="accent1"/>
        </a:solidFill>
        <a:ln cap="flat" cmpd="sng" w="1905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ko-KR" altLang="en-US" sz="1100"/>
            <a:t>부동산자산관리 수금 시트 이동</a:t>
          </a: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0</xdr:rowOff>
    </xdr:from>
    <xdr:ext cx="1419225" cy="371475"/>
    <xdr:pic>
      <xdr:nvPicPr>
        <xdr:cNvPr id="0" name="image5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72300" cy="1143000"/>
    <xdr:sp macro="" textlink="">
      <xdr:nvSpPr>
        <xdr:cNvPr id="3" name="제목 1">
          <a:extLst>
            <a:ext uri="{FF2B5EF4-FFF2-40B4-BE49-F238E27FC236}"/>
          </a:extLst>
        </xdr:cNvPr>
        <xdr:cNvSpPr>
          <a:spLocks noGrp="1"/>
        </xdr:cNvSpPr>
      </xdr:nvSpPr>
      <xdr:spPr>
        <a:xfrm>
          <a:off x="0" y="0"/>
          <a:ext cx="8229600" cy="1143000"/>
        </a:xfrm>
        <a:prstGeom prst="rect">
          <a:avLst/>
        </a:prstGeom>
      </xdr:spPr>
      <xdr:txBody>
        <a:bodyPr anchor="ctr" bIns="45720" rtlCol="0" lIns="91440" rIns="91440" vert="horz" wrap="square" tIns="45720">
          <a:normAutofit/>
        </a:bodyPr>
        <a:lstStyle>
          <a:lvl1pPr defTabSz="914400" eaLnBrk="1" hangingPunct="1" latinLnBrk="1" lvl="0" rtl="0" algn="ctr">
            <a:spcBef>
              <a:spcPct val="0"/>
            </a:spcBef>
            <a:buNone/>
            <a:defRPr kern="1200" sz="44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ko-KR" altLang="en-US" sz="3600"/>
            <a:t>향남 단독</a:t>
          </a:r>
          <a:r>
            <a:rPr lang="en-US" altLang="ko-KR" sz="3600"/>
            <a:t>,</a:t>
          </a:r>
          <a:r>
            <a:rPr lang="ko-KR" altLang="en-US" sz="3600"/>
            <a:t>상가주택부지</a:t>
          </a:r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6972300" cy="1143000"/>
    <xdr:sp macro="" textlink="">
      <xdr:nvSpPr>
        <xdr:cNvPr id="5" name="제목 1">
          <a:extLst>
            <a:ext uri="{FF2B5EF4-FFF2-40B4-BE49-F238E27FC236}"/>
          </a:extLst>
        </xdr:cNvPr>
        <xdr:cNvSpPr>
          <a:spLocks noGrp="1"/>
        </xdr:cNvSpPr>
      </xdr:nvSpPr>
      <xdr:spPr>
        <a:xfrm>
          <a:off x="0" y="6496050"/>
          <a:ext cx="8229600" cy="1143000"/>
        </a:xfrm>
        <a:prstGeom prst="rect">
          <a:avLst/>
        </a:prstGeom>
      </xdr:spPr>
      <xdr:txBody>
        <a:bodyPr anchor="ctr" bIns="45720" rtlCol="0" lIns="91440" rIns="91440" vert="horz" wrap="square" tIns="45720">
          <a:normAutofit/>
        </a:bodyPr>
        <a:lstStyle>
          <a:lvl1pPr defTabSz="914400" eaLnBrk="1" hangingPunct="1" latinLnBrk="1" lvl="0" rtl="0" algn="ctr">
            <a:spcBef>
              <a:spcPct val="0"/>
            </a:spcBef>
            <a:buNone/>
            <a:defRPr kern="1200" sz="44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n-US" altLang="ko-KR" sz="3200"/>
            <a:t>1. </a:t>
          </a:r>
          <a:r>
            <a:rPr lang="ko-KR" altLang="en-US" sz="3200"/>
            <a:t>컨테이너 상가 임대</a:t>
          </a:r>
          <a:r>
            <a:rPr lang="en-US" altLang="ko-KR" sz="3200"/>
            <a:t>(</a:t>
          </a:r>
          <a:r>
            <a:rPr lang="ko-KR" altLang="en-US" sz="3200"/>
            <a:t>상가주택 부지</a:t>
          </a:r>
          <a:r>
            <a:rPr lang="en-US" altLang="ko-KR" sz="3200"/>
            <a:t>)</a:t>
          </a:r>
          <a:br>
            <a:rPr lang="en-US" altLang="ko-KR" sz="3200"/>
          </a:br>
          <a:r>
            <a:rPr lang="en-US" altLang="ko-KR" sz="2000"/>
            <a:t>80</a:t>
          </a:r>
          <a:r>
            <a:rPr lang="ko-KR" altLang="en-US" sz="2000"/>
            <a:t>평 활용</a:t>
          </a:r>
          <a:r>
            <a:rPr lang="en-US" altLang="ko-KR" sz="2000"/>
            <a:t>(</a:t>
          </a:r>
          <a:r>
            <a:rPr lang="ko-KR" altLang="en-US" sz="2000"/>
            <a:t>월 </a:t>
          </a:r>
          <a:r>
            <a:rPr lang="en-US" altLang="ko-KR" sz="2000"/>
            <a:t>100</a:t>
          </a:r>
          <a:r>
            <a:rPr lang="ko-KR" altLang="en-US" sz="2000"/>
            <a:t>만원</a:t>
          </a:r>
          <a:r>
            <a:rPr lang="en-US" altLang="ko-KR" sz="2000"/>
            <a:t>)</a:t>
          </a:r>
          <a:endParaRPr lang="ko-KR" altLang="en-US" sz="2000"/>
        </a:p>
      </xdr:txBody>
    </xdr:sp>
    <xdr:clientData fLocksWithSheet="0"/>
  </xdr:oneCellAnchor>
  <xdr:oneCellAnchor>
    <xdr:from>
      <xdr:col>0</xdr:col>
      <xdr:colOff>0</xdr:colOff>
      <xdr:row>63</xdr:row>
      <xdr:rowOff>0</xdr:rowOff>
    </xdr:from>
    <xdr:ext cx="6972300" cy="1143000"/>
    <xdr:sp macro="" textlink="">
      <xdr:nvSpPr>
        <xdr:cNvPr id="10" name="제목 1">
          <a:extLst>
            <a:ext uri="{FF2B5EF4-FFF2-40B4-BE49-F238E27FC236}"/>
          </a:extLst>
        </xdr:cNvPr>
        <xdr:cNvSpPr>
          <a:spLocks noGrp="1"/>
        </xdr:cNvSpPr>
      </xdr:nvSpPr>
      <xdr:spPr>
        <a:xfrm>
          <a:off x="0" y="13201650"/>
          <a:ext cx="8229600" cy="1143000"/>
        </a:xfrm>
        <a:prstGeom prst="rect">
          <a:avLst/>
        </a:prstGeom>
      </xdr:spPr>
      <xdr:txBody>
        <a:bodyPr anchor="ctr" bIns="45720" rtlCol="0" lIns="91440" rIns="91440" vert="horz" wrap="square" tIns="45720">
          <a:normAutofit/>
        </a:bodyPr>
        <a:lstStyle>
          <a:lvl1pPr defTabSz="914400" eaLnBrk="1" hangingPunct="1" latinLnBrk="1" lvl="0" rtl="0" algn="ctr">
            <a:spcBef>
              <a:spcPct val="0"/>
            </a:spcBef>
            <a:buNone/>
            <a:defRPr kern="1200" sz="44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n-US" altLang="ko-KR" sz="3200"/>
            <a:t>2. </a:t>
          </a:r>
          <a:r>
            <a:rPr lang="ko-KR" altLang="en-US" sz="3200"/>
            <a:t>주차장 활용</a:t>
          </a:r>
          <a:r>
            <a:rPr lang="en-US" altLang="ko-KR" sz="3200"/>
            <a:t>(</a:t>
          </a:r>
          <a:r>
            <a:rPr lang="ko-KR" altLang="en-US" sz="3200"/>
            <a:t>단독주택부지</a:t>
          </a:r>
          <a:r>
            <a:rPr lang="en-US" altLang="ko-KR" sz="3200"/>
            <a:t>)</a:t>
          </a:r>
          <a:endParaRPr lang="ko-KR" altLang="en-US" sz="3200"/>
        </a:p>
      </xdr:txBody>
    </xdr:sp>
    <xdr:clientData fLocksWithSheet="0"/>
  </xdr:oneCellAnchor>
  <xdr:oneCellAnchor>
    <xdr:from>
      <xdr:col>6</xdr:col>
      <xdr:colOff>571500</xdr:colOff>
      <xdr:row>69</xdr:row>
      <xdr:rowOff>95250</xdr:rowOff>
    </xdr:from>
    <xdr:ext cx="3048000" cy="2038350"/>
    <xdr:sp macro="" textlink="">
      <xdr:nvSpPr>
        <xdr:cNvPr id="12" name="TextBox 4">
          <a:extLst>
            <a:ext uri="{FF2B5EF4-FFF2-40B4-BE49-F238E27FC236}"/>
          </a:extLst>
        </xdr:cNvPr>
        <xdr:cNvSpPr txBox="1"/>
      </xdr:nvSpPr>
      <xdr:spPr>
        <a:xfrm>
          <a:off x="4690864" y="14555812"/>
          <a:ext cx="3672408" cy="2031325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 lvl="0">
            <a:defRPr lang="ko-KR"/>
          </a:defPPr>
          <a:lvl1pPr defTabSz="914400" eaLnBrk="1" hangingPunct="1" latinLnBrk="1" lvl="0" marL="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1" lvl="1" marL="457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1" lvl="2" marL="914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1" lvl="3" marL="1371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1" lvl="4" marL="18288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1" lvl="5" marL="22860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1" lvl="6" marL="27432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1" lvl="7" marL="32004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1" lvl="8" marL="3657600" rtl="0" algn="l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700</a:t>
          </a:r>
          <a:r>
            <a:rPr lang="ko-KR" altLang="en-US"/>
            <a:t>평</a:t>
          </a:r>
          <a:r>
            <a:rPr lang="en-US" altLang="ko-KR"/>
            <a:t>(</a:t>
          </a:r>
          <a:r>
            <a:rPr lang="ko-KR" altLang="en-US"/>
            <a:t>단독주택부지</a:t>
          </a:r>
          <a:r>
            <a:rPr lang="en-US" altLang="ko-KR"/>
            <a:t>)</a:t>
          </a:r>
          <a:r>
            <a:rPr lang="ko-KR" altLang="en-US"/>
            <a:t> 기준으로</a:t>
          </a:r>
          <a:endParaRPr lang="en-US" altLang="ko-KR"/>
        </a:p>
        <a:p>
          <a:r>
            <a:rPr lang="ko-KR" altLang="en-US"/>
            <a:t>월 </a:t>
          </a:r>
          <a:r>
            <a:rPr lang="en-US" altLang="ko-KR"/>
            <a:t>1,000</a:t>
          </a:r>
          <a:r>
            <a:rPr lang="ko-KR" altLang="en-US"/>
            <a:t>만원  수입</a:t>
          </a:r>
          <a:endParaRPr lang="en-US" altLang="ko-KR"/>
        </a:p>
        <a:p>
          <a:endParaRPr lang="en-US" altLang="ko-KR"/>
        </a:p>
        <a:p>
          <a:r>
            <a:rPr lang="ko-KR" altLang="en-US"/>
            <a:t>주민들 주차장 활용요청</a:t>
          </a:r>
          <a:endParaRPr lang="en-US" altLang="ko-KR"/>
        </a:p>
        <a:p>
          <a:r>
            <a:rPr lang="ko-KR" altLang="en-US"/>
            <a:t>월이용료 </a:t>
          </a:r>
          <a:r>
            <a:rPr lang="en-US" altLang="ko-KR"/>
            <a:t>5</a:t>
          </a:r>
          <a:r>
            <a:rPr lang="ko-KR" altLang="en-US"/>
            <a:t>만원</a:t>
          </a:r>
          <a:r>
            <a:rPr lang="en-US" altLang="ko-KR"/>
            <a:t>* 100</a:t>
          </a:r>
          <a:r>
            <a:rPr lang="ko-KR" altLang="en-US"/>
            <a:t>명 </a:t>
          </a:r>
          <a:r>
            <a:rPr lang="en-US" altLang="ko-KR"/>
            <a:t>=500</a:t>
          </a:r>
          <a:r>
            <a:rPr lang="ko-KR" altLang="en-US"/>
            <a:t>만원</a:t>
          </a:r>
          <a:endParaRPr lang="en-US" altLang="ko-KR"/>
        </a:p>
        <a:p>
          <a:endParaRPr lang="en-US" altLang="ko-KR"/>
        </a:p>
        <a:p>
          <a:endParaRPr lang="ko-KR" altLang="en-US"/>
        </a:p>
      </xdr:txBody>
    </xdr:sp>
    <xdr:clientData fLocksWithSheet="0"/>
  </xdr:oneCellAnchor>
  <xdr:oneCellAnchor>
    <xdr:from>
      <xdr:col>0</xdr:col>
      <xdr:colOff>152400</xdr:colOff>
      <xdr:row>6</xdr:row>
      <xdr:rowOff>19050</xdr:rowOff>
    </xdr:from>
    <xdr:ext cx="7524750" cy="5143500"/>
    <xdr:pic>
      <xdr:nvPicPr>
        <xdr:cNvPr id="0" name="image5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36</xdr:row>
      <xdr:rowOff>161925</xdr:rowOff>
    </xdr:from>
    <xdr:ext cx="2438400" cy="1600200"/>
    <xdr:pic>
      <xdr:nvPicPr>
        <xdr:cNvPr id="0" name="image5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36</xdr:row>
      <xdr:rowOff>85725</xdr:rowOff>
    </xdr:from>
    <xdr:ext cx="3476625" cy="3076575"/>
    <xdr:pic>
      <xdr:nvPicPr>
        <xdr:cNvPr id="0" name="image5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523875</xdr:colOff>
      <xdr:row>51</xdr:row>
      <xdr:rowOff>180975</xdr:rowOff>
    </xdr:from>
    <xdr:ext cx="1819275" cy="1257300"/>
    <xdr:pic>
      <xdr:nvPicPr>
        <xdr:cNvPr id="0" name="image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46</xdr:row>
      <xdr:rowOff>38100</xdr:rowOff>
    </xdr:from>
    <xdr:ext cx="3543300" cy="3019425"/>
    <xdr:pic>
      <xdr:nvPicPr>
        <xdr:cNvPr id="0" name="image5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69</xdr:row>
      <xdr:rowOff>95250</xdr:rowOff>
    </xdr:from>
    <xdr:ext cx="3905250" cy="4543425"/>
    <xdr:pic>
      <xdr:nvPicPr>
        <xdr:cNvPr id="0" name="image5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1323975" cy="371475"/>
    <xdr:pic>
      <xdr:nvPicPr>
        <xdr:cNvPr id="0" name="image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&#49340;&#49457;&#46041;PC/Documents/&#52852;&#52852;&#50724;&#53665;%20&#48155;&#51008;%20&#54028;&#51068;/&#52509;&#44292;%20&#51088;&#44552;&#44228;&#54925;%2020260120%20&#44592;&#51456;-&#48372;&#50504;&#54869;&#51064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총괄"/>
      <sheetName val="압류현황"/>
      <sheetName val="향남근생 월세수금"/>
      <sheetName val="의정부 월세수금"/>
      <sheetName val="낙하리 수금"/>
      <sheetName val="부동산자산관리 수금"/>
      <sheetName val="트리플에이치"/>
      <sheetName val="제주"/>
      <sheetName val="향남상가"/>
      <sheetName val="향남"/>
      <sheetName val="한양글로벌디앤이"/>
      <sheetName val="쓰리아이"/>
      <sheetName val="앤유"/>
      <sheetName val="서울카멜"/>
      <sheetName val="자산 및 부채"/>
      <sheetName val="차입금현황"/>
      <sheetName val="계열사 거래내역"/>
      <sheetName val="계열사 외 거래내역"/>
      <sheetName val="신규분양"/>
      <sheetName val="향남 분양금"/>
      <sheetName val="유토션"/>
      <sheetName val="선엔젤스"/>
      <sheetName val="와이즈앤트"/>
      <sheetName val="대신피플앤피플"/>
      <sheetName val="제주 더이튼 모델하우스"/>
      <sheetName val="보성리 2538"/>
      <sheetName val="향남 에일린의 뜰"/>
      <sheetName val="파주 리버팰리스"/>
      <sheetName val="파주 리버팰리스 상가"/>
      <sheetName val="파주 당동리 515-19외 2필지"/>
      <sheetName val="향남역 한양수자인 디에스티지"/>
      <sheetName val="(향남 한양수자인 디에스티지 수금요약)"/>
      <sheetName val="향남 에듀스퀘어 "/>
      <sheetName val="향남역 단독, 상가주택부지"/>
      <sheetName val="의정부역 한양수자인파크뷰"/>
      <sheetName val="의정부역 한양수자인파크뷰 상가"/>
      <sheetName val="의정부동 240-142 토지"/>
      <sheetName val="낙하리 공장"/>
      <sheetName val="고척동 지하상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8.29"/>
    <col customWidth="1" min="2" max="2" width="4.86"/>
    <col customWidth="1" min="3" max="3" width="9.0"/>
    <col customWidth="1" min="4" max="4" width="44.43"/>
    <col customWidth="1" min="5" max="5" width="17.86"/>
    <col customWidth="1" min="6" max="6" width="14.86"/>
    <col customWidth="1" min="7" max="7" width="13.57"/>
    <col customWidth="1" min="8" max="8" width="35.0"/>
    <col customWidth="1" min="9" max="9" width="17.0"/>
    <col customWidth="1" min="10" max="10" width="15.29"/>
    <col customWidth="1" min="11" max="18" width="8.71"/>
  </cols>
  <sheetData>
    <row r="1" ht="16.5" customHeight="1">
      <c r="A1" s="1">
        <v>46043.0</v>
      </c>
      <c r="E1" s="2"/>
      <c r="F1" s="2"/>
      <c r="G1" s="2"/>
      <c r="H1" s="2"/>
    </row>
    <row r="2" ht="16.5" customHeight="1">
      <c r="E2" s="2"/>
      <c r="F2" s="2"/>
      <c r="G2" s="2"/>
      <c r="H2" s="2"/>
    </row>
    <row r="3" ht="35.2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/>
      <c r="I3" s="3" t="s">
        <v>7</v>
      </c>
      <c r="J3" s="4" t="s">
        <v>8</v>
      </c>
    </row>
    <row r="4" ht="23.25" customHeight="1">
      <c r="A4" s="5" t="s">
        <v>9</v>
      </c>
      <c r="B4" s="6">
        <v>1.0</v>
      </c>
      <c r="C4" s="6" t="s">
        <v>10</v>
      </c>
      <c r="D4" s="7" t="str">
        <f>COUNTA('향남 에듀스퀘어'!A7:A12,'향남 에듀스퀘어'!A14:A19,'향남 에듀스퀘어'!A21:A28,'향남 에듀스퀘어'!A30:A36)-COUNTIF('향남 에듀스퀘어'!B7:B36,"분양")</f>
        <v>향남 에듀스퀘어 미분양 26세대</v>
      </c>
      <c r="E4" s="8" t="str">
        <f>+'향남 에듀스퀘어'!T38</f>
        <v>7,240,956,040 </v>
      </c>
      <c r="F4" s="9"/>
      <c r="G4" s="9"/>
      <c r="H4" s="10"/>
      <c r="I4" s="6"/>
    </row>
    <row r="5" ht="23.25" customHeight="1">
      <c r="A5" s="11"/>
      <c r="B5" s="11"/>
      <c r="C5" s="11"/>
      <c r="D5" s="12" t="str">
        <f>COUNTIF('향남 에듀스퀘어'!B7:B36,"분양")</f>
        <v>향남 에듀스퀘어 분양계약 0세대</v>
      </c>
      <c r="E5" s="13" t="str">
        <f>+'향남 에듀스퀘어'!T39</f>
        <v>0 </v>
      </c>
      <c r="F5" s="9"/>
      <c r="G5" s="9"/>
      <c r="H5" s="11"/>
      <c r="I5" s="11"/>
    </row>
    <row r="6" ht="23.25" customHeight="1">
      <c r="A6" s="11"/>
      <c r="B6" s="11"/>
      <c r="C6" s="11"/>
      <c r="D6" s="14" t="str">
        <f>+COUNTIF('향남 에듀스퀘어'!AL7:AL36,"선임대")</f>
        <v>향남 에듀스퀘어 임대  5세대</v>
      </c>
      <c r="E6" s="8"/>
      <c r="F6" s="9" t="str">
        <f>+'향남 에듀스퀘어'!AS38</f>
        <v>  145,000,000 </v>
      </c>
      <c r="G6" s="9" t="str">
        <f>+'향남 에듀스퀘어'!AT38</f>
        <v>  9,100,000 </v>
      </c>
      <c r="H6" s="15"/>
      <c r="I6" s="11"/>
    </row>
    <row r="7" ht="52.5" customHeight="1">
      <c r="A7" s="11"/>
      <c r="B7" s="16" t="str">
        <f>B4+1</f>
        <v>2</v>
      </c>
      <c r="C7" s="16" t="s">
        <v>11</v>
      </c>
      <c r="D7" s="17" t="s">
        <v>12</v>
      </c>
      <c r="E7" s="13" t="str">
        <f>+'향남 단독부지'!H24</f>
        <v>6,516,576,925 </v>
      </c>
      <c r="F7" s="18"/>
      <c r="G7" s="18"/>
      <c r="H7" s="19"/>
      <c r="I7" s="20"/>
    </row>
    <row r="8" ht="52.5" customHeight="1">
      <c r="A8" s="11"/>
      <c r="B8" s="16" t="str">
        <f t="shared" ref="B8:B13" si="1">B7+1</f>
        <v>3</v>
      </c>
      <c r="C8" s="16" t="s">
        <v>11</v>
      </c>
      <c r="D8" s="17" t="s">
        <v>13</v>
      </c>
      <c r="E8" s="21" t="str">
        <f>+'보성리'!F9</f>
        <v>49,696,837,786 </v>
      </c>
      <c r="F8" s="20"/>
      <c r="G8" s="20"/>
      <c r="H8" s="22" t="s">
        <v>14</v>
      </c>
      <c r="I8" s="20"/>
    </row>
    <row r="9" ht="52.5" customHeight="1">
      <c r="A9" s="11"/>
      <c r="B9" s="16" t="str">
        <f t="shared" si="1"/>
        <v>4</v>
      </c>
      <c r="C9" s="16" t="s">
        <v>10</v>
      </c>
      <c r="D9" s="17" t="s">
        <v>15</v>
      </c>
      <c r="E9" s="23" t="str">
        <f>+'파주상가'!F6</f>
        <v>462,000,000 </v>
      </c>
      <c r="F9" s="24"/>
      <c r="G9" s="24"/>
      <c r="H9" s="19"/>
      <c r="I9" s="6"/>
      <c r="J9" s="25"/>
    </row>
    <row r="10" ht="30.75" customHeight="1">
      <c r="A10" s="11"/>
      <c r="B10" s="16" t="str">
        <f t="shared" si="1"/>
        <v>5</v>
      </c>
      <c r="C10" s="16" t="s">
        <v>10</v>
      </c>
      <c r="D10" s="17" t="s">
        <v>16</v>
      </c>
      <c r="E10" s="23" t="str">
        <f>+'파주상가'!F7</f>
        <v>314,036,361 </v>
      </c>
      <c r="F10" s="24"/>
      <c r="G10" s="24"/>
      <c r="H10" s="26"/>
      <c r="I10" s="15"/>
      <c r="J10" s="27"/>
    </row>
    <row r="11" ht="30.75" customHeight="1">
      <c r="A11" s="11"/>
      <c r="B11" s="16" t="str">
        <f t="shared" si="1"/>
        <v>6</v>
      </c>
      <c r="C11" s="16" t="s">
        <v>11</v>
      </c>
      <c r="D11" s="17" t="s">
        <v>17</v>
      </c>
      <c r="E11" s="13" t="str">
        <f>+'파주당동리'!F9</f>
        <v>526,382,800 </v>
      </c>
      <c r="F11" s="24"/>
      <c r="G11" s="24"/>
      <c r="H11" s="26"/>
      <c r="I11" s="20"/>
    </row>
    <row r="12" ht="30.75" customHeight="1">
      <c r="A12" s="11"/>
      <c r="B12" s="16" t="str">
        <f t="shared" si="1"/>
        <v>7</v>
      </c>
      <c r="C12" s="16" t="s">
        <v>18</v>
      </c>
      <c r="D12" s="17" t="s">
        <v>19</v>
      </c>
      <c r="E12" s="28" t="str">
        <f>'[1]향남 에일린의 뜰'!E6</f>
        <v>#REF!</v>
      </c>
      <c r="F12" s="29" t="str">
        <f>+'향남에일린의뜰'!G6</f>
        <v>  20,000,000 </v>
      </c>
      <c r="G12" s="29" t="str">
        <f>+'향남에일린의뜰'!H6</f>
        <v>  1,200,000 </v>
      </c>
      <c r="H12" s="30"/>
      <c r="I12" s="20"/>
    </row>
    <row r="13" ht="52.5" customHeight="1">
      <c r="A13" s="11"/>
      <c r="B13" s="16" t="str">
        <f t="shared" si="1"/>
        <v>8</v>
      </c>
      <c r="C13" s="16" t="s">
        <v>18</v>
      </c>
      <c r="D13" s="17" t="s">
        <v>20</v>
      </c>
      <c r="E13" s="23" t="str">
        <f>+'파주리버팰리스'!E6</f>
        <v>286,150,000 </v>
      </c>
      <c r="F13" s="18"/>
      <c r="G13" s="24"/>
      <c r="H13" s="19" t="s">
        <v>21</v>
      </c>
      <c r="I13" s="20"/>
    </row>
    <row r="14" ht="52.5" customHeight="1">
      <c r="A14" s="15"/>
      <c r="B14" s="31" t="s">
        <v>22</v>
      </c>
      <c r="C14" s="32"/>
      <c r="D14" s="33"/>
      <c r="E14" s="34" t="str">
        <f t="shared" ref="E14:G14" si="2">SUM(E4:E13)</f>
        <v>#REF!</v>
      </c>
      <c r="F14" s="34" t="str">
        <f t="shared" si="2"/>
        <v>  165,000,000 </v>
      </c>
      <c r="G14" s="34" t="str">
        <f t="shared" si="2"/>
        <v>  10,300,000 </v>
      </c>
      <c r="H14" s="35"/>
      <c r="I14" s="20"/>
    </row>
    <row r="15" ht="16.5" customHeight="1">
      <c r="A15" s="5" t="s">
        <v>23</v>
      </c>
      <c r="B15" s="16">
        <v>1.0</v>
      </c>
      <c r="C15" s="16" t="s">
        <v>24</v>
      </c>
      <c r="D15" s="17" t="s">
        <v>25</v>
      </c>
      <c r="E15" s="21" t="str">
        <f>+'의정부한양파크뷰'!F53</f>
        <v>728,000,000 </v>
      </c>
      <c r="F15" s="36"/>
      <c r="G15" s="36"/>
      <c r="H15" s="37" t="s">
        <v>26</v>
      </c>
      <c r="I15" s="6"/>
    </row>
    <row r="16" ht="25.5" customHeight="1">
      <c r="A16" s="11"/>
      <c r="B16" s="6" t="str">
        <f>B15+1</f>
        <v>2</v>
      </c>
      <c r="C16" s="6" t="s">
        <v>27</v>
      </c>
      <c r="D16" s="17" t="s">
        <v>28</v>
      </c>
      <c r="E16" s="21" t="str">
        <f>+'의정부한양파크뷰'!F54</f>
        <v>4,837,000,000 </v>
      </c>
      <c r="F16" s="36" t="str">
        <f>+'의정부한양파크뷰'!J56</f>
        <v>  405,000,000 </v>
      </c>
      <c r="G16" s="36" t="str">
        <f>+'의정부한양파크뷰'!J54</f>
        <v>  17,630,000 </v>
      </c>
      <c r="H16" s="30"/>
      <c r="I16" s="11"/>
    </row>
    <row r="17" ht="25.5" customHeight="1">
      <c r="A17" s="11"/>
      <c r="B17" s="16">
        <v>3.0</v>
      </c>
      <c r="C17" s="16" t="s">
        <v>10</v>
      </c>
      <c r="D17" s="17" t="s">
        <v>29</v>
      </c>
      <c r="E17" s="38" t="str">
        <f>+'의정부상가'!F5</f>
        <v>  1,500,000,000 </v>
      </c>
      <c r="F17" s="29" t="str">
        <f>+'의정부상가'!G5</f>
        <v>  50,000,000 </v>
      </c>
      <c r="G17" s="29" t="str">
        <f>+'의정부상가'!H5</f>
        <v>  5,500,000 </v>
      </c>
      <c r="H17" s="39"/>
      <c r="I17" s="6"/>
    </row>
    <row r="18" ht="25.5" customHeight="1">
      <c r="A18" s="11"/>
      <c r="B18" s="16">
        <v>4.0</v>
      </c>
      <c r="C18" s="16" t="s">
        <v>10</v>
      </c>
      <c r="D18" s="17" t="s">
        <v>30</v>
      </c>
      <c r="E18" s="38" t="str">
        <f>+'의정부상가'!F6</f>
        <v>  300,000,000 </v>
      </c>
      <c r="F18" s="20"/>
      <c r="G18" s="20"/>
      <c r="H18" s="30"/>
      <c r="I18" s="15"/>
    </row>
    <row r="19" ht="53.25" customHeight="1">
      <c r="A19" s="11"/>
      <c r="B19" s="16">
        <v>5.0</v>
      </c>
      <c r="C19" s="16" t="s">
        <v>11</v>
      </c>
      <c r="D19" s="17" t="s">
        <v>31</v>
      </c>
      <c r="E19" s="38" t="str">
        <f>+'의정부토지'!F6</f>
        <v>  1,437,175,541 </v>
      </c>
      <c r="F19" s="20"/>
      <c r="G19" s="20"/>
      <c r="H19" s="30"/>
      <c r="I19" s="20"/>
    </row>
    <row r="20" ht="52.5" customHeight="1">
      <c r="A20" s="15"/>
      <c r="B20" s="31" t="s">
        <v>22</v>
      </c>
      <c r="C20" s="32"/>
      <c r="D20" s="33"/>
      <c r="E20" s="40" t="str">
        <f t="shared" ref="E20:G20" si="3">SUM(E15:E19)</f>
        <v>  8,802,175,541 </v>
      </c>
      <c r="F20" s="40" t="str">
        <f t="shared" si="3"/>
        <v>  455,000,000 </v>
      </c>
      <c r="G20" s="40" t="str">
        <f t="shared" si="3"/>
        <v>  23,130,000 </v>
      </c>
      <c r="H20" s="35"/>
      <c r="I20" s="20"/>
    </row>
    <row r="21" ht="27.0" customHeight="1">
      <c r="A21" s="5" t="s">
        <v>32</v>
      </c>
      <c r="B21" s="16">
        <v>1.0</v>
      </c>
      <c r="C21" s="16" t="s">
        <v>11</v>
      </c>
      <c r="D21" s="17" t="s">
        <v>33</v>
      </c>
      <c r="E21" s="38" t="str">
        <f>+'낙하리'!H24</f>
        <v>  5,039,203,000 </v>
      </c>
      <c r="F21" s="20"/>
      <c r="G21" s="20"/>
      <c r="H21" s="22"/>
      <c r="I21" s="6"/>
      <c r="J21" s="25"/>
    </row>
    <row r="22" ht="27.0" customHeight="1">
      <c r="A22" s="11"/>
      <c r="B22" s="16" t="str">
        <f t="shared" ref="B22:B26" si="4">B21+1</f>
        <v>2</v>
      </c>
      <c r="C22" s="16" t="s">
        <v>34</v>
      </c>
      <c r="D22" s="17" t="s">
        <v>35</v>
      </c>
      <c r="E22" s="38" t="str">
        <f>+'낙하리'!H11</f>
        <v>  74,646,000 </v>
      </c>
      <c r="F22" s="29"/>
      <c r="G22" s="29"/>
      <c r="H22" s="41"/>
      <c r="I22" s="11"/>
      <c r="J22" s="27"/>
    </row>
    <row r="23" ht="27.0" customHeight="1">
      <c r="A23" s="11"/>
      <c r="B23" s="16" t="str">
        <f t="shared" si="4"/>
        <v>3</v>
      </c>
      <c r="C23" s="16" t="s">
        <v>34</v>
      </c>
      <c r="D23" s="17" t="s">
        <v>36</v>
      </c>
      <c r="E23" s="38" t="str">
        <f>+'낙하리'!H12/2</f>
        <v>  37,323,000 </v>
      </c>
      <c r="F23" s="29"/>
      <c r="G23" s="29"/>
      <c r="H23" s="15"/>
      <c r="I23" s="11"/>
      <c r="J23" s="27"/>
    </row>
    <row r="24" ht="27.0" customHeight="1">
      <c r="A24" s="11"/>
      <c r="B24" s="16" t="str">
        <f t="shared" si="4"/>
        <v>4</v>
      </c>
      <c r="C24" s="16" t="s">
        <v>34</v>
      </c>
      <c r="D24" s="17" t="s">
        <v>37</v>
      </c>
      <c r="E24" s="38" t="str">
        <f>+'낙하리'!H12/2</f>
        <v>  37,323,000 </v>
      </c>
      <c r="F24" s="42">
        <v>3.0E7</v>
      </c>
      <c r="G24" s="42">
        <v>2300000.0</v>
      </c>
      <c r="H24" s="43"/>
      <c r="I24" s="11"/>
      <c r="J24" s="27"/>
    </row>
    <row r="25" ht="27.0" customHeight="1">
      <c r="A25" s="11"/>
      <c r="B25" s="16" t="str">
        <f t="shared" si="4"/>
        <v>5</v>
      </c>
      <c r="C25" s="16" t="s">
        <v>34</v>
      </c>
      <c r="D25" s="17" t="s">
        <v>38</v>
      </c>
      <c r="E25" s="38" t="str">
        <f>+'낙하리'!H13+'낙하리'!H14</f>
        <v>  149,292,000 </v>
      </c>
      <c r="F25" s="15"/>
      <c r="G25" s="15"/>
      <c r="H25" s="15"/>
      <c r="I25" s="11"/>
      <c r="J25" s="27"/>
    </row>
    <row r="26" ht="27.0" customHeight="1">
      <c r="A26" s="11"/>
      <c r="B26" s="16" t="str">
        <f t="shared" si="4"/>
        <v>6</v>
      </c>
      <c r="C26" s="16" t="s">
        <v>39</v>
      </c>
      <c r="D26" s="17" t="s">
        <v>40</v>
      </c>
      <c r="E26" s="38" t="str">
        <f>+'낙하리'!H22</f>
        <v>  525,510,204 </v>
      </c>
      <c r="F26" s="20"/>
      <c r="G26" s="20"/>
      <c r="H26" s="30"/>
      <c r="I26" s="15"/>
      <c r="J26" s="27"/>
    </row>
    <row r="27" ht="52.5" customHeight="1">
      <c r="A27" s="15"/>
      <c r="B27" s="31" t="s">
        <v>22</v>
      </c>
      <c r="C27" s="32"/>
      <c r="D27" s="33"/>
      <c r="E27" s="44" t="str">
        <f t="shared" ref="E27:G27" si="5">SUM(E21:E26)</f>
        <v>  5,863,297,204 </v>
      </c>
      <c r="F27" s="34" t="str">
        <f t="shared" si="5"/>
        <v>  30,000,000 </v>
      </c>
      <c r="G27" s="34" t="str">
        <f t="shared" si="5"/>
        <v>  2,300,000 </v>
      </c>
      <c r="H27" s="35"/>
      <c r="I27" s="20"/>
    </row>
    <row r="28" ht="52.5" customHeight="1">
      <c r="A28" s="5" t="s">
        <v>41</v>
      </c>
      <c r="B28" s="16">
        <v>1.0</v>
      </c>
      <c r="C28" s="16" t="s">
        <v>42</v>
      </c>
      <c r="D28" s="17" t="s">
        <v>43</v>
      </c>
      <c r="E28" s="38"/>
      <c r="F28" s="29"/>
      <c r="G28" s="29"/>
      <c r="H28" s="22"/>
      <c r="I28" s="20"/>
    </row>
    <row r="29" ht="52.5" customHeight="1">
      <c r="A29" s="15"/>
      <c r="B29" s="31" t="s">
        <v>22</v>
      </c>
      <c r="C29" s="32"/>
      <c r="D29" s="33"/>
      <c r="E29" s="44"/>
      <c r="F29" s="34"/>
      <c r="G29" s="34"/>
      <c r="H29" s="35"/>
      <c r="I29" s="20"/>
    </row>
    <row r="30" ht="41.25" customHeight="1">
      <c r="A30" s="5" t="s">
        <v>44</v>
      </c>
      <c r="B30" s="16">
        <v>1.0</v>
      </c>
      <c r="C30" s="16" t="s">
        <v>10</v>
      </c>
      <c r="D30" s="17" t="s">
        <v>45</v>
      </c>
      <c r="E30" s="38" t="str">
        <f>+'고척동상가'!F6</f>
        <v>  1,500,000,000 </v>
      </c>
      <c r="F30" s="20"/>
      <c r="G30" s="20"/>
      <c r="H30" s="30"/>
      <c r="I30" s="20"/>
    </row>
    <row r="31" ht="52.5" customHeight="1">
      <c r="A31" s="15"/>
      <c r="B31" s="31" t="s">
        <v>22</v>
      </c>
      <c r="C31" s="32"/>
      <c r="D31" s="33"/>
      <c r="E31" s="34" t="str">
        <f t="shared" ref="E31:G31" si="6">SUM(E30)</f>
        <v>  1,500,000,000 </v>
      </c>
      <c r="F31" s="34" t="str">
        <f t="shared" si="6"/>
        <v>  - </v>
      </c>
      <c r="G31" s="34" t="str">
        <f t="shared" si="6"/>
        <v>  - </v>
      </c>
      <c r="H31" s="35"/>
      <c r="I31" s="20"/>
    </row>
    <row r="32" ht="52.5" customHeight="1">
      <c r="A32" s="31" t="s">
        <v>46</v>
      </c>
      <c r="B32" s="32"/>
      <c r="C32" s="32"/>
      <c r="D32" s="33"/>
      <c r="E32" s="34" t="str">
        <f t="shared" ref="E32:G32" si="7">E14+E20+E27+E29+E31</f>
        <v>#REF!</v>
      </c>
      <c r="F32" s="34" t="str">
        <f t="shared" si="7"/>
        <v>  650,000,000 </v>
      </c>
      <c r="G32" s="34" t="str">
        <f t="shared" si="7"/>
        <v>  35,730,000 </v>
      </c>
      <c r="H32" s="35"/>
      <c r="I32" s="20"/>
    </row>
    <row r="33" ht="16.5" customHeight="1">
      <c r="C33" s="45"/>
      <c r="E33" s="46"/>
    </row>
    <row r="34" ht="16.5" customHeight="1">
      <c r="C34" s="45"/>
    </row>
    <row r="35" ht="16.5" customHeight="1">
      <c r="C35" s="45"/>
    </row>
    <row r="36" ht="16.5" customHeight="1">
      <c r="C36" s="45"/>
    </row>
    <row r="37" ht="16.5" customHeight="1">
      <c r="C37" s="45"/>
    </row>
    <row r="38" ht="16.5" customHeight="1">
      <c r="C38" s="45"/>
    </row>
    <row r="39" ht="16.5" customHeight="1">
      <c r="C39" s="45"/>
    </row>
    <row r="40" ht="16.5" customHeight="1">
      <c r="C40" s="45"/>
    </row>
    <row r="41" ht="16.5" customHeight="1">
      <c r="C41" s="45"/>
    </row>
    <row r="42" ht="16.5" customHeight="1">
      <c r="C42" s="45"/>
    </row>
    <row r="43" ht="16.5" customHeight="1">
      <c r="C43" s="45"/>
    </row>
    <row r="44" ht="16.5" customHeight="1">
      <c r="C44" s="45"/>
    </row>
    <row r="45" ht="16.5" customHeight="1">
      <c r="C45" s="45"/>
    </row>
    <row r="46" ht="16.5" customHeight="1">
      <c r="C46" s="45"/>
    </row>
    <row r="47" ht="16.5" customHeight="1">
      <c r="C47" s="45"/>
    </row>
    <row r="48" ht="16.5" customHeight="1">
      <c r="C48" s="45"/>
    </row>
    <row r="49" ht="16.5" customHeight="1">
      <c r="C49" s="45"/>
    </row>
    <row r="50" ht="16.5" customHeight="1">
      <c r="C50" s="45"/>
    </row>
    <row r="51" ht="16.5" customHeight="1">
      <c r="C51" s="45"/>
    </row>
    <row r="52" ht="16.5" customHeight="1">
      <c r="C52" s="45"/>
    </row>
    <row r="53" ht="16.5" customHeight="1">
      <c r="C53" s="45"/>
    </row>
    <row r="54" ht="16.5" customHeight="1">
      <c r="C54" s="45"/>
    </row>
    <row r="55" ht="16.5" customHeight="1">
      <c r="C55" s="45"/>
    </row>
    <row r="56" ht="16.5" customHeight="1">
      <c r="C56" s="45"/>
    </row>
    <row r="57" ht="16.5" customHeight="1">
      <c r="C57" s="45"/>
    </row>
    <row r="58" ht="16.5" customHeight="1">
      <c r="C58" s="45"/>
    </row>
    <row r="59" ht="16.5" customHeight="1">
      <c r="C59" s="45"/>
    </row>
    <row r="60" ht="16.5" customHeight="1">
      <c r="C60" s="45"/>
    </row>
    <row r="61" ht="16.5" customHeight="1">
      <c r="C61" s="45"/>
    </row>
    <row r="62" ht="16.5" customHeight="1">
      <c r="C62" s="45"/>
    </row>
    <row r="63" ht="16.5" customHeight="1">
      <c r="C63" s="45"/>
    </row>
    <row r="64" ht="16.5" customHeight="1">
      <c r="C64" s="45"/>
    </row>
    <row r="65" ht="16.5" customHeight="1">
      <c r="C65" s="45"/>
    </row>
    <row r="66" ht="16.5" customHeight="1">
      <c r="C66" s="45"/>
    </row>
    <row r="67" ht="16.5" customHeight="1">
      <c r="C67" s="45"/>
    </row>
    <row r="68" ht="16.5" customHeight="1">
      <c r="C68" s="45"/>
    </row>
    <row r="69" ht="16.5" customHeight="1">
      <c r="C69" s="45"/>
    </row>
    <row r="70" ht="16.5" customHeight="1">
      <c r="C70" s="45"/>
    </row>
    <row r="71" ht="16.5" customHeight="1">
      <c r="C71" s="45"/>
    </row>
    <row r="72" ht="16.5" customHeight="1">
      <c r="C72" s="45"/>
    </row>
    <row r="73" ht="16.5" customHeight="1">
      <c r="C73" s="45"/>
    </row>
    <row r="74" ht="16.5" customHeight="1">
      <c r="C74" s="45"/>
    </row>
    <row r="75" ht="16.5" customHeight="1">
      <c r="C75" s="45"/>
    </row>
    <row r="76" ht="16.5" customHeight="1">
      <c r="C76" s="45"/>
    </row>
    <row r="77" ht="16.5" customHeight="1">
      <c r="C77" s="45"/>
    </row>
    <row r="78" ht="16.5" customHeight="1">
      <c r="C78" s="45"/>
    </row>
    <row r="79" ht="16.5" customHeight="1">
      <c r="C79" s="45"/>
    </row>
    <row r="80" ht="16.5" customHeight="1">
      <c r="C80" s="45"/>
    </row>
    <row r="81" ht="16.5" customHeight="1">
      <c r="C81" s="45"/>
    </row>
    <row r="82" ht="16.5" customHeight="1">
      <c r="C82" s="45"/>
    </row>
    <row r="83" ht="16.5" customHeight="1">
      <c r="C83" s="45"/>
    </row>
    <row r="84" ht="16.5" customHeight="1">
      <c r="C84" s="45"/>
    </row>
    <row r="85" ht="16.5" customHeight="1">
      <c r="C85" s="45"/>
    </row>
    <row r="86" ht="16.5" customHeight="1">
      <c r="C86" s="45"/>
    </row>
    <row r="87" ht="16.5" customHeight="1">
      <c r="C87" s="45"/>
    </row>
    <row r="88" ht="16.5" customHeight="1">
      <c r="C88" s="45"/>
    </row>
    <row r="89" ht="16.5" customHeight="1">
      <c r="C89" s="45"/>
    </row>
    <row r="90" ht="16.5" customHeight="1">
      <c r="C90" s="45"/>
    </row>
    <row r="91" ht="16.5" customHeight="1">
      <c r="C91" s="45"/>
    </row>
    <row r="92" ht="16.5" customHeight="1">
      <c r="C92" s="45"/>
    </row>
    <row r="93" ht="16.5" customHeight="1">
      <c r="C93" s="45"/>
    </row>
    <row r="94" ht="16.5" customHeight="1">
      <c r="C94" s="45"/>
    </row>
    <row r="95" ht="16.5" customHeight="1">
      <c r="C95" s="45"/>
    </row>
    <row r="96" ht="16.5" customHeight="1">
      <c r="C96" s="45"/>
    </row>
    <row r="97" ht="16.5" customHeight="1">
      <c r="C97" s="45"/>
    </row>
    <row r="98" ht="16.5" customHeight="1">
      <c r="C98" s="45"/>
    </row>
    <row r="99" ht="16.5" customHeight="1">
      <c r="C99" s="45"/>
    </row>
    <row r="100" ht="16.5" customHeight="1">
      <c r="C100" s="45"/>
    </row>
  </sheetData>
  <mergeCells count="26">
    <mergeCell ref="G24:G25"/>
    <mergeCell ref="H24:H25"/>
    <mergeCell ref="H22:H23"/>
    <mergeCell ref="F24:F25"/>
    <mergeCell ref="J21:J26"/>
    <mergeCell ref="I21:I26"/>
    <mergeCell ref="J9:J10"/>
    <mergeCell ref="I15:I16"/>
    <mergeCell ref="I17:I18"/>
    <mergeCell ref="I4:I6"/>
    <mergeCell ref="I9:I10"/>
    <mergeCell ref="A21:A27"/>
    <mergeCell ref="A4:A14"/>
    <mergeCell ref="A15:A20"/>
    <mergeCell ref="B14:D14"/>
    <mergeCell ref="B20:D20"/>
    <mergeCell ref="B4:B6"/>
    <mergeCell ref="C4:C6"/>
    <mergeCell ref="H4:H6"/>
    <mergeCell ref="B27:D27"/>
    <mergeCell ref="A28:A29"/>
    <mergeCell ref="B29:D29"/>
    <mergeCell ref="A30:A31"/>
    <mergeCell ref="B31:D31"/>
    <mergeCell ref="A32:D32"/>
    <mergeCell ref="A1:D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2" width="5.43"/>
    <col customWidth="1" min="3" max="3" width="7.14"/>
    <col customWidth="1" min="4" max="4" width="8.57"/>
    <col customWidth="1" min="5" max="5" width="8.71"/>
    <col customWidth="1" min="6" max="6" width="15.43"/>
    <col customWidth="1" min="7" max="7" width="11.0"/>
    <col customWidth="1" min="8" max="8" width="16.86"/>
    <col customWidth="1" min="9" max="15" width="8.71"/>
  </cols>
  <sheetData>
    <row r="1" ht="16.5" customHeight="1">
      <c r="A1" s="47" t="s">
        <v>17</v>
      </c>
    </row>
    <row r="2" ht="16.5" customHeight="1"/>
    <row r="3" ht="16.5" customHeight="1"/>
    <row r="4" ht="16.5" customHeight="1">
      <c r="A4" s="48" t="s">
        <v>47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ht="16.5" customHeight="1">
      <c r="A5" s="51" t="s">
        <v>2</v>
      </c>
      <c r="B5" s="51" t="s">
        <v>48</v>
      </c>
      <c r="C5" s="51" t="s">
        <v>49</v>
      </c>
      <c r="D5" s="51" t="s">
        <v>50</v>
      </c>
      <c r="E5" s="51" t="s">
        <v>51</v>
      </c>
      <c r="F5" s="52" t="s">
        <v>52</v>
      </c>
      <c r="G5" s="52" t="s">
        <v>53</v>
      </c>
      <c r="H5" s="53" t="s">
        <v>54</v>
      </c>
      <c r="I5" s="54" t="s">
        <v>55</v>
      </c>
      <c r="J5" s="55"/>
      <c r="K5" s="55"/>
      <c r="L5" s="55"/>
      <c r="M5" s="55"/>
      <c r="N5" s="56"/>
    </row>
    <row r="6" ht="16.5" customHeight="1">
      <c r="A6" s="57" t="s">
        <v>11</v>
      </c>
      <c r="B6" s="16">
        <v>1.0</v>
      </c>
      <c r="C6" s="58" t="s">
        <v>56</v>
      </c>
      <c r="D6" s="59">
        <v>826.0</v>
      </c>
      <c r="E6" s="60" t="str">
        <f t="shared" ref="E6:E8" si="1">D6/3.3058</f>
        <v>249.86평</v>
      </c>
      <c r="F6" s="61">
        <v>3.108238E8</v>
      </c>
      <c r="G6" s="62">
        <v>1.4928729E7</v>
      </c>
      <c r="H6" s="36" t="str">
        <f>376300*D6</f>
        <v>  310,823,800 </v>
      </c>
      <c r="I6" s="63"/>
      <c r="J6" s="32"/>
      <c r="K6" s="32"/>
      <c r="L6" s="32"/>
      <c r="M6" s="32"/>
      <c r="N6" s="33"/>
    </row>
    <row r="7" ht="16.5" customHeight="1">
      <c r="A7" s="57" t="s">
        <v>11</v>
      </c>
      <c r="B7" s="16">
        <v>2.0</v>
      </c>
      <c r="C7" s="58" t="s">
        <v>57</v>
      </c>
      <c r="D7" s="59">
        <v>2722.0</v>
      </c>
      <c r="E7" s="60" t="str">
        <f t="shared" si="1"/>
        <v>823.4평</v>
      </c>
      <c r="F7" s="61">
        <v>1.516154E8</v>
      </c>
      <c r="G7" s="11"/>
      <c r="H7" s="36" t="str">
        <f t="shared" ref="H7:H8" si="2">55700*D7</f>
        <v>  151,615,400 </v>
      </c>
      <c r="I7" s="63"/>
      <c r="J7" s="32"/>
      <c r="K7" s="32"/>
      <c r="L7" s="32"/>
      <c r="M7" s="32"/>
      <c r="N7" s="33"/>
    </row>
    <row r="8" ht="16.5" customHeight="1">
      <c r="A8" s="57" t="s">
        <v>11</v>
      </c>
      <c r="B8" s="16">
        <v>3.0</v>
      </c>
      <c r="C8" s="58" t="s">
        <v>58</v>
      </c>
      <c r="D8" s="59">
        <v>1148.0</v>
      </c>
      <c r="E8" s="60" t="str">
        <f t="shared" si="1"/>
        <v>347.27평</v>
      </c>
      <c r="F8" s="61">
        <v>6.39436E7</v>
      </c>
      <c r="G8" s="15"/>
      <c r="H8" s="36" t="str">
        <f t="shared" si="2"/>
        <v>  63,943,600 </v>
      </c>
      <c r="I8" s="63"/>
      <c r="J8" s="32"/>
      <c r="K8" s="32"/>
      <c r="L8" s="32"/>
      <c r="M8" s="32"/>
      <c r="N8" s="33"/>
    </row>
    <row r="9" ht="16.5" customHeight="1">
      <c r="D9" s="64"/>
      <c r="E9" t="s">
        <v>22</v>
      </c>
      <c r="F9" s="65" t="str">
        <f>SUM(F6:F8)</f>
        <v>526,382,800 </v>
      </c>
    </row>
    <row r="10" ht="16.5" customHeight="1">
      <c r="F10" t="s">
        <v>59</v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7">
    <mergeCell ref="A1:N2"/>
    <mergeCell ref="A4:N4"/>
    <mergeCell ref="I5:N5"/>
    <mergeCell ref="G6:G8"/>
    <mergeCell ref="I6:N6"/>
    <mergeCell ref="I7:N7"/>
    <mergeCell ref="I8:N8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7.14"/>
    <col customWidth="1" min="2" max="2" width="5.29"/>
    <col customWidth="1" min="3" max="4" width="8.43"/>
    <col customWidth="1" min="5" max="5" width="12.14"/>
    <col customWidth="1" min="6" max="6" width="11.0"/>
    <col customWidth="1" min="7" max="8" width="12.14"/>
    <col customWidth="1" min="9" max="10" width="19.29"/>
    <col customWidth="1" min="11" max="11" width="12.14"/>
    <col customWidth="1" min="12" max="12" width="8.71"/>
    <col customWidth="1" min="13" max="13" width="7.14"/>
    <col customWidth="1" min="14" max="14" width="12.71"/>
    <col customWidth="1" min="15" max="15" width="22.0"/>
    <col customWidth="1" min="16" max="18" width="8.71"/>
  </cols>
  <sheetData>
    <row r="1" ht="16.5" customHeight="1">
      <c r="A1" s="47" t="s">
        <v>60</v>
      </c>
    </row>
    <row r="2" ht="16.5" customHeight="1"/>
    <row r="3" ht="16.5" customHeight="1"/>
    <row r="4" ht="16.5" customHeight="1">
      <c r="A4" s="66" t="s">
        <v>47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8"/>
    </row>
    <row r="5" ht="16.5" customHeight="1">
      <c r="A5" s="69" t="s">
        <v>2</v>
      </c>
      <c r="B5" s="69" t="s">
        <v>48</v>
      </c>
      <c r="C5" s="69" t="s">
        <v>50</v>
      </c>
      <c r="D5" s="69" t="s">
        <v>51</v>
      </c>
      <c r="E5" s="70" t="s">
        <v>61</v>
      </c>
      <c r="F5" s="69" t="s">
        <v>62</v>
      </c>
      <c r="G5" s="69" t="s">
        <v>5</v>
      </c>
      <c r="H5" s="69" t="s">
        <v>6</v>
      </c>
      <c r="I5" s="70" t="s">
        <v>63</v>
      </c>
      <c r="J5" s="70" t="s">
        <v>64</v>
      </c>
      <c r="K5" s="69" t="s">
        <v>65</v>
      </c>
      <c r="L5" s="70" t="s">
        <v>66</v>
      </c>
      <c r="M5" s="70" t="s">
        <v>67</v>
      </c>
      <c r="N5" s="70" t="s">
        <v>68</v>
      </c>
      <c r="O5" s="69" t="s">
        <v>69</v>
      </c>
      <c r="P5" s="71" t="s">
        <v>55</v>
      </c>
      <c r="Q5" s="32"/>
      <c r="R5" s="33"/>
    </row>
    <row r="6" ht="74.25" customHeight="1">
      <c r="A6" s="16" t="s">
        <v>18</v>
      </c>
      <c r="B6" s="16">
        <v>1.0</v>
      </c>
      <c r="C6" s="16" t="str">
        <f>D6*3.3</f>
        <v>112.2</v>
      </c>
      <c r="D6" s="60">
        <v>34.0</v>
      </c>
      <c r="E6" s="72" t="str">
        <f>460000000+I6</f>
        <v>518,828,310 </v>
      </c>
      <c r="F6" s="16" t="s">
        <v>70</v>
      </c>
      <c r="G6" s="73">
        <v>2.0E7</v>
      </c>
      <c r="H6" s="73">
        <v>1200000.0</v>
      </c>
      <c r="I6" s="73">
        <v>5.882831E7</v>
      </c>
      <c r="J6" s="73" t="str">
        <f>228940*2</f>
        <v>457,880 </v>
      </c>
      <c r="K6" s="73">
        <v>4.8E8</v>
      </c>
      <c r="L6" s="74" t="str">
        <f>(K6-E6)/(E6-G6)</f>
        <v>-8%</v>
      </c>
      <c r="M6" s="75" t="str">
        <f>(K6-E6)/((E6+I6)-G6)</f>
        <v>-7%</v>
      </c>
      <c r="N6" s="76">
        <v>2.48E8</v>
      </c>
      <c r="O6" s="73" t="s">
        <v>71</v>
      </c>
      <c r="P6" s="77" t="s">
        <v>72</v>
      </c>
      <c r="Q6" s="32"/>
      <c r="R6" s="33"/>
    </row>
    <row r="7" ht="16.5" customHeight="1">
      <c r="E7" s="78" t="s">
        <v>73</v>
      </c>
      <c r="F7" s="79"/>
      <c r="G7" s="80"/>
      <c r="H7" s="81"/>
      <c r="I7" s="82"/>
      <c r="J7" s="83"/>
    </row>
    <row r="8" ht="16.5" customHeight="1"/>
    <row r="9" ht="16.5" customHeight="1"/>
    <row r="10" ht="16.5" customHeight="1"/>
    <row r="11" ht="16.5" customHeight="1"/>
    <row r="12" ht="16.5" customHeight="1">
      <c r="N12" s="46"/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5">
    <mergeCell ref="A1:R2"/>
    <mergeCell ref="A4:R4"/>
    <mergeCell ref="P5:R5"/>
    <mergeCell ref="P6:R6"/>
    <mergeCell ref="E7:G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5.29"/>
    <col customWidth="1" min="3" max="4" width="8.43"/>
    <col customWidth="1" min="5" max="5" width="12.14"/>
    <col customWidth="1" min="6" max="7" width="7.14"/>
    <col customWidth="1" min="8" max="8" width="8.43"/>
    <col customWidth="1" min="9" max="9" width="11.0"/>
    <col customWidth="1" min="10" max="10" width="8.71"/>
    <col customWidth="1" min="11" max="11" width="11.86"/>
    <col customWidth="1" min="12" max="12" width="7.14"/>
    <col customWidth="1" min="13" max="13" width="12.71"/>
    <col customWidth="1" min="14" max="18" width="8.71"/>
  </cols>
  <sheetData>
    <row r="1" ht="16.5" customHeight="1">
      <c r="A1" s="47" t="s">
        <v>74</v>
      </c>
    </row>
    <row r="2" ht="16.5" customHeight="1"/>
    <row r="3" ht="16.5" customHeight="1"/>
    <row r="4" ht="16.5" customHeight="1">
      <c r="A4" s="66" t="s">
        <v>47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8"/>
    </row>
    <row r="5" ht="16.5" customHeight="1">
      <c r="A5" s="69" t="s">
        <v>2</v>
      </c>
      <c r="B5" s="69" t="s">
        <v>48</v>
      </c>
      <c r="C5" s="69" t="s">
        <v>50</v>
      </c>
      <c r="D5" s="69" t="s">
        <v>51</v>
      </c>
      <c r="E5" s="70" t="s">
        <v>61</v>
      </c>
      <c r="F5" s="69" t="s">
        <v>62</v>
      </c>
      <c r="G5" s="69" t="s">
        <v>5</v>
      </c>
      <c r="H5" s="69" t="s">
        <v>53</v>
      </c>
      <c r="I5" s="69" t="s">
        <v>75</v>
      </c>
      <c r="J5" s="70" t="s">
        <v>76</v>
      </c>
      <c r="K5" s="69" t="s">
        <v>53</v>
      </c>
      <c r="L5" s="70" t="s">
        <v>77</v>
      </c>
      <c r="M5" s="70" t="s">
        <v>78</v>
      </c>
      <c r="N5" s="69" t="s">
        <v>69</v>
      </c>
      <c r="O5" s="71" t="s">
        <v>55</v>
      </c>
      <c r="P5" s="32"/>
      <c r="Q5" s="33"/>
    </row>
    <row r="6" ht="16.5" customHeight="1">
      <c r="A6" s="84" t="s">
        <v>79</v>
      </c>
      <c r="B6" s="16">
        <v>2.0</v>
      </c>
      <c r="C6" s="16" t="str">
        <f>D6*3.3</f>
        <v>155.1</v>
      </c>
      <c r="D6" s="60">
        <v>47.0</v>
      </c>
      <c r="E6" s="72">
        <v>2.8615E8</v>
      </c>
      <c r="F6" s="16" t="s">
        <v>80</v>
      </c>
      <c r="G6" s="73"/>
      <c r="H6" s="73">
        <v>406863.0</v>
      </c>
      <c r="I6" s="73"/>
      <c r="J6" s="73"/>
      <c r="K6" s="36" t="str">
        <f>436600+3631800+58828310</f>
        <v>  62,896,710 </v>
      </c>
      <c r="L6" s="85" t="str">
        <f>J6*12-K6/E6-G6*100</f>
        <v>0 </v>
      </c>
      <c r="M6" s="76">
        <v>2.03E8</v>
      </c>
      <c r="N6" s="73"/>
      <c r="O6" s="63" t="s">
        <v>81</v>
      </c>
      <c r="P6" s="32"/>
      <c r="Q6" s="33"/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4">
    <mergeCell ref="A1:Q2"/>
    <mergeCell ref="A4:Q4"/>
    <mergeCell ref="O5:Q5"/>
    <mergeCell ref="O6:Q6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5" width="8.71"/>
    <col customWidth="1" min="6" max="6" width="13.57"/>
    <col customWidth="1" min="7" max="7" width="14.43"/>
    <col customWidth="1" min="8" max="8" width="12.14"/>
    <col customWidth="1" min="9" max="9" width="9.86"/>
    <col customWidth="1" min="10" max="13" width="8.71"/>
  </cols>
  <sheetData>
    <row r="1" ht="16.5" customHeight="1">
      <c r="A1" s="47" t="s">
        <v>45</v>
      </c>
    </row>
    <row r="2" ht="16.5" customHeight="1"/>
    <row r="3" ht="16.5" customHeight="1"/>
    <row r="4" ht="16.5" customHeight="1">
      <c r="A4" s="86" t="s">
        <v>47</v>
      </c>
      <c r="B4" s="32"/>
      <c r="C4" s="32"/>
      <c r="D4" s="32"/>
      <c r="E4" s="32"/>
      <c r="F4" s="32"/>
      <c r="G4" s="32"/>
      <c r="H4" s="32"/>
      <c r="I4" s="32"/>
      <c r="J4" s="33"/>
    </row>
    <row r="5" ht="16.5" customHeight="1">
      <c r="A5" s="69" t="s">
        <v>2</v>
      </c>
      <c r="B5" s="69" t="s">
        <v>48</v>
      </c>
      <c r="C5" s="69" t="s">
        <v>82</v>
      </c>
      <c r="D5" s="69" t="s">
        <v>50</v>
      </c>
      <c r="E5" s="69" t="s">
        <v>51</v>
      </c>
      <c r="F5" s="70" t="s">
        <v>61</v>
      </c>
      <c r="G5" s="69" t="s">
        <v>62</v>
      </c>
      <c r="H5" s="69" t="s">
        <v>5</v>
      </c>
      <c r="I5" s="69" t="s">
        <v>6</v>
      </c>
      <c r="J5" s="69" t="s">
        <v>83</v>
      </c>
    </row>
    <row r="6" ht="16.5" customHeight="1">
      <c r="A6" s="45" t="s">
        <v>10</v>
      </c>
      <c r="B6" s="45">
        <v>1.0</v>
      </c>
      <c r="C6" s="45" t="s">
        <v>84</v>
      </c>
      <c r="D6" s="45"/>
      <c r="E6" s="87">
        <v>254.0</v>
      </c>
      <c r="F6" s="88">
        <v>1.5E9</v>
      </c>
      <c r="G6" s="45" t="s">
        <v>9</v>
      </c>
      <c r="H6" s="89">
        <v>3.0E7</v>
      </c>
      <c r="I6" s="89">
        <v>5000000.0</v>
      </c>
      <c r="J6" s="90" t="str">
        <f>I6*12/(F6-H6)</f>
        <v>4%</v>
      </c>
      <c r="K6" t="s">
        <v>85</v>
      </c>
    </row>
    <row r="7" ht="16.5" customHeight="1">
      <c r="A7" s="91"/>
      <c r="B7" s="67"/>
      <c r="C7" s="67"/>
      <c r="D7" s="67"/>
      <c r="E7" s="67"/>
      <c r="F7" s="68"/>
      <c r="G7" s="92" t="s">
        <v>86</v>
      </c>
      <c r="H7" s="93"/>
      <c r="I7" s="94"/>
      <c r="J7" s="95">
        <v>0.0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</sheetData>
  <mergeCells count="3">
    <mergeCell ref="A1:J2"/>
    <mergeCell ref="A4:J4"/>
    <mergeCell ref="A7:F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9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>
      <c r="M7" t="s">
        <v>87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7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8.71"/>
    <col customWidth="1" min="2" max="2" width="5.29"/>
    <col customWidth="1" min="3" max="3" width="5.43"/>
    <col customWidth="1" min="4" max="5" width="8.43"/>
    <col customWidth="1" min="6" max="7" width="13.57"/>
    <col customWidth="1" min="8" max="8" width="7.14"/>
    <col customWidth="1" min="9" max="9" width="12.14"/>
    <col customWidth="1" min="10" max="10" width="13.0"/>
    <col customWidth="1" min="11" max="11" width="12.43"/>
    <col customWidth="1" min="12" max="12" width="9.43"/>
    <col customWidth="1" min="13" max="13" width="7.14"/>
    <col customWidth="1" min="14" max="14" width="21.43"/>
    <col customWidth="1" min="15" max="15" width="11.57"/>
    <col customWidth="1" min="16" max="16" width="11.0"/>
    <col customWidth="1" min="17" max="17" width="13.0"/>
    <col customWidth="1" min="18" max="19" width="24.0"/>
    <col customWidth="1" min="20" max="20" width="13.43"/>
    <col customWidth="1" min="21" max="21" width="8.71"/>
    <col customWidth="1" min="22" max="22" width="5.29"/>
    <col customWidth="1" min="23" max="23" width="89.43"/>
    <col customWidth="1" min="24" max="24" width="63.86"/>
    <col customWidth="1" min="25" max="25" width="37.71"/>
    <col customWidth="1" min="26" max="26" width="9.57"/>
    <col customWidth="1" min="27" max="28" width="8.71"/>
  </cols>
  <sheetData>
    <row r="1" ht="16.5" customHeight="1">
      <c r="A1" s="47" t="s">
        <v>88</v>
      </c>
    </row>
    <row r="2" ht="16.5" customHeight="1"/>
    <row r="3" ht="16.5" hidden="1" customHeight="1"/>
    <row r="4" ht="16.5" hidden="1" customHeight="1"/>
    <row r="5" ht="16.5" customHeight="1">
      <c r="A5" s="96" t="s">
        <v>47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8"/>
    </row>
    <row r="6" ht="16.5" customHeight="1">
      <c r="A6" s="69" t="s">
        <v>2</v>
      </c>
      <c r="B6" s="69" t="s">
        <v>48</v>
      </c>
      <c r="C6" s="69" t="s">
        <v>82</v>
      </c>
      <c r="D6" s="69" t="s">
        <v>89</v>
      </c>
      <c r="E6" s="69" t="s">
        <v>51</v>
      </c>
      <c r="F6" s="70" t="s">
        <v>4</v>
      </c>
      <c r="G6" s="70" t="s">
        <v>90</v>
      </c>
      <c r="H6" s="69" t="s">
        <v>62</v>
      </c>
      <c r="I6" s="69" t="s">
        <v>5</v>
      </c>
      <c r="J6" s="69" t="s">
        <v>91</v>
      </c>
      <c r="K6" s="99" t="s">
        <v>92</v>
      </c>
      <c r="L6" s="100" t="s">
        <v>53</v>
      </c>
      <c r="M6" s="101" t="s">
        <v>93</v>
      </c>
      <c r="N6" s="69" t="s">
        <v>94</v>
      </c>
      <c r="O6" s="69" t="s">
        <v>95</v>
      </c>
      <c r="P6" s="69" t="s">
        <v>96</v>
      </c>
      <c r="Q6" s="102" t="s">
        <v>97</v>
      </c>
      <c r="R6" s="103" t="s">
        <v>82</v>
      </c>
      <c r="S6" s="103" t="s">
        <v>98</v>
      </c>
      <c r="T6" s="103" t="s">
        <v>99</v>
      </c>
      <c r="U6" s="103" t="s">
        <v>100</v>
      </c>
      <c r="V6" s="103" t="s">
        <v>101</v>
      </c>
      <c r="W6" s="69" t="s">
        <v>102</v>
      </c>
      <c r="X6" s="104" t="s">
        <v>103</v>
      </c>
      <c r="Y6" s="69" t="s">
        <v>104</v>
      </c>
      <c r="Z6" s="69" t="s">
        <v>105</v>
      </c>
      <c r="AA6" s="69" t="s">
        <v>106</v>
      </c>
    </row>
    <row r="7" ht="16.5" customHeight="1">
      <c r="A7" s="105" t="s">
        <v>107</v>
      </c>
      <c r="B7" s="45">
        <v>1.0</v>
      </c>
      <c r="C7" s="45">
        <v>301.0</v>
      </c>
      <c r="D7" s="45">
        <v>49.73</v>
      </c>
      <c r="E7" s="106" t="str">
        <f t="shared" ref="E7:E51" si="1">D7/3.3058</f>
        <v>15.04</v>
      </c>
      <c r="F7" s="89">
        <v>1.93E8</v>
      </c>
      <c r="G7" s="89"/>
      <c r="H7" s="45" t="s">
        <v>6</v>
      </c>
      <c r="I7" s="89">
        <v>1.0E7</v>
      </c>
      <c r="J7" s="89">
        <v>700000.0</v>
      </c>
      <c r="K7" s="107" t="str">
        <f t="shared" ref="K7:K23" si="2">J7*12/(F7-I7)</f>
        <v>4.59%</v>
      </c>
      <c r="L7" s="108">
        <v>233924.0</v>
      </c>
      <c r="M7" s="109" t="str">
        <f>(J7*12-L7)/(F7-I7)</f>
        <v>4.46%</v>
      </c>
      <c r="N7" s="45"/>
      <c r="O7" s="110"/>
      <c r="P7" s="111">
        <v>0.0</v>
      </c>
      <c r="Q7" s="112" t="str">
        <f>(O7-TODAY())</f>
        <v>-46160일</v>
      </c>
      <c r="R7" s="45">
        <v>301.0</v>
      </c>
      <c r="S7" s="113"/>
      <c r="T7" s="113"/>
      <c r="U7" s="113"/>
      <c r="V7" s="45"/>
      <c r="W7" s="114"/>
      <c r="X7" s="115">
        <v>2.99E9</v>
      </c>
      <c r="Y7" s="17" t="s">
        <v>108</v>
      </c>
      <c r="Z7" s="116" t="s">
        <v>109</v>
      </c>
      <c r="AA7" s="117" t="s">
        <v>110</v>
      </c>
    </row>
    <row r="8" ht="16.5" customHeight="1">
      <c r="B8" s="45">
        <v>2.0</v>
      </c>
      <c r="C8" s="45">
        <v>303.0</v>
      </c>
      <c r="D8" s="45">
        <v>32.24</v>
      </c>
      <c r="E8" s="106" t="str">
        <f t="shared" si="1"/>
        <v>9.75</v>
      </c>
      <c r="F8" s="89">
        <v>1.33E8</v>
      </c>
      <c r="G8" s="89"/>
      <c r="H8" s="45" t="s">
        <v>6</v>
      </c>
      <c r="I8" s="89">
        <v>5000000.0</v>
      </c>
      <c r="J8" s="89">
        <v>550000.0</v>
      </c>
      <c r="K8" s="107" t="str">
        <f t="shared" si="2"/>
        <v>5.16%</v>
      </c>
      <c r="L8" s="46">
        <v>145178.0</v>
      </c>
      <c r="M8" s="109"/>
      <c r="N8" s="45"/>
      <c r="O8" s="110"/>
      <c r="P8" s="111">
        <v>0.0</v>
      </c>
      <c r="Q8" s="112" t="str">
        <f t="shared" ref="Q8:Q44" si="3">O8-TODAY()</f>
        <v>-46160일</v>
      </c>
      <c r="R8" s="45">
        <v>303.0</v>
      </c>
      <c r="S8" s="118"/>
      <c r="T8" s="118"/>
      <c r="U8" s="118"/>
      <c r="V8" s="45"/>
      <c r="W8" s="119"/>
      <c r="X8" s="120"/>
      <c r="Y8" s="116" t="s">
        <v>111</v>
      </c>
      <c r="Z8" s="11"/>
      <c r="AA8" s="11"/>
    </row>
    <row r="9" ht="16.5" customHeight="1">
      <c r="B9" s="45">
        <v>3.0</v>
      </c>
      <c r="C9" s="45">
        <v>304.0</v>
      </c>
      <c r="D9" s="45">
        <v>32.24</v>
      </c>
      <c r="E9" s="106" t="str">
        <f t="shared" si="1"/>
        <v>9.75</v>
      </c>
      <c r="F9" s="89">
        <v>1.33E8</v>
      </c>
      <c r="G9" s="89"/>
      <c r="H9" s="45" t="s">
        <v>6</v>
      </c>
      <c r="I9" s="89">
        <v>5000000.0</v>
      </c>
      <c r="J9" s="89">
        <v>550000.0</v>
      </c>
      <c r="K9" s="107" t="str">
        <f t="shared" si="2"/>
        <v>5.16%</v>
      </c>
      <c r="L9" s="46">
        <v>145178.0</v>
      </c>
      <c r="M9" s="109"/>
      <c r="N9" s="45"/>
      <c r="O9" s="110"/>
      <c r="P9" s="111">
        <v>0.0</v>
      </c>
      <c r="Q9" s="112" t="str">
        <f t="shared" si="3"/>
        <v>-46160일</v>
      </c>
      <c r="R9" s="45">
        <v>304.0</v>
      </c>
      <c r="S9" s="118"/>
      <c r="T9" s="118"/>
      <c r="U9" s="118"/>
      <c r="V9" s="45"/>
      <c r="W9" s="119"/>
      <c r="X9" s="120"/>
      <c r="Y9" s="11"/>
      <c r="Z9" s="11"/>
      <c r="AA9" s="11"/>
    </row>
    <row r="10" ht="16.5" customHeight="1">
      <c r="B10" s="45">
        <v>4.0</v>
      </c>
      <c r="C10" s="45">
        <v>313.0</v>
      </c>
      <c r="D10" s="45">
        <v>32.24</v>
      </c>
      <c r="E10" s="106" t="str">
        <f t="shared" si="1"/>
        <v>9.75</v>
      </c>
      <c r="F10" s="89">
        <v>1.33E8</v>
      </c>
      <c r="G10" s="89"/>
      <c r="H10" s="45" t="s">
        <v>6</v>
      </c>
      <c r="I10" s="89">
        <v>5000000.0</v>
      </c>
      <c r="J10" s="89">
        <v>500000.0</v>
      </c>
      <c r="K10" s="107" t="str">
        <f t="shared" si="2"/>
        <v>4.69%</v>
      </c>
      <c r="L10" s="46">
        <v>149047.0</v>
      </c>
      <c r="M10" s="109" t="str">
        <f>(J10*12-L10)/(F10-I10)</f>
        <v>4.57%</v>
      </c>
      <c r="N10" s="45"/>
      <c r="O10" s="110"/>
      <c r="P10" s="111">
        <v>0.0</v>
      </c>
      <c r="Q10" s="112" t="str">
        <f t="shared" si="3"/>
        <v>-46160일</v>
      </c>
      <c r="R10" s="45">
        <v>313.0</v>
      </c>
      <c r="S10" s="121"/>
      <c r="T10" s="122"/>
      <c r="U10" s="118"/>
      <c r="V10" s="45"/>
      <c r="W10" s="114" t="s">
        <v>112</v>
      </c>
      <c r="X10" s="120"/>
      <c r="Y10" s="11"/>
      <c r="Z10" s="11"/>
      <c r="AA10" s="11"/>
    </row>
    <row r="11" ht="16.5" customHeight="1">
      <c r="B11" s="45">
        <v>5.0</v>
      </c>
      <c r="C11" s="45">
        <v>503.0</v>
      </c>
      <c r="D11" s="45">
        <v>32.24</v>
      </c>
      <c r="E11" s="106" t="str">
        <f t="shared" si="1"/>
        <v>9.75</v>
      </c>
      <c r="F11" s="89">
        <v>1.36E8</v>
      </c>
      <c r="G11" s="89"/>
      <c r="H11" s="45" t="s">
        <v>6</v>
      </c>
      <c r="I11" s="89">
        <v>5000000.0</v>
      </c>
      <c r="J11" s="89">
        <v>550000.0</v>
      </c>
      <c r="K11" s="107" t="str">
        <f t="shared" si="2"/>
        <v>5.04%</v>
      </c>
      <c r="L11" s="46">
        <v>145178.0</v>
      </c>
      <c r="M11" s="109"/>
      <c r="N11" s="45" t="s">
        <v>113</v>
      </c>
      <c r="O11" s="110">
        <v>46149.0</v>
      </c>
      <c r="P11" s="111">
        <v>0.0</v>
      </c>
      <c r="Q11" s="112" t="str">
        <f t="shared" si="3"/>
        <v>-11일</v>
      </c>
      <c r="R11" s="45">
        <v>503.0</v>
      </c>
      <c r="S11" s="118" t="s">
        <v>114</v>
      </c>
      <c r="T11" s="118" t="s">
        <v>115</v>
      </c>
      <c r="U11" s="118" t="s">
        <v>116</v>
      </c>
      <c r="V11" s="45"/>
      <c r="W11" s="114" t="s">
        <v>117</v>
      </c>
      <c r="X11" s="120"/>
      <c r="Y11" s="15"/>
      <c r="Z11" s="15"/>
      <c r="AA11" s="15"/>
    </row>
    <row r="12" ht="16.5" customHeight="1">
      <c r="A12" s="105" t="s">
        <v>118</v>
      </c>
      <c r="B12" s="45">
        <v>6.0</v>
      </c>
      <c r="C12" s="45">
        <v>713.0</v>
      </c>
      <c r="D12" s="45">
        <v>26.15</v>
      </c>
      <c r="E12" s="106" t="str">
        <f t="shared" si="1"/>
        <v>7.91</v>
      </c>
      <c r="F12" s="89">
        <v>9.9E7</v>
      </c>
      <c r="G12" s="89"/>
      <c r="H12" s="45" t="s">
        <v>6</v>
      </c>
      <c r="I12" s="89">
        <v>5000000.0</v>
      </c>
      <c r="J12" s="89">
        <v>420000.0</v>
      </c>
      <c r="K12" s="107" t="str">
        <f t="shared" si="2"/>
        <v>5.36%</v>
      </c>
      <c r="L12" s="46">
        <v>86451.0</v>
      </c>
      <c r="M12" s="109" t="str">
        <f>(J12*12-L12)/(F12-I12)</f>
        <v>5.27%</v>
      </c>
      <c r="N12" s="45" t="s">
        <v>119</v>
      </c>
      <c r="O12" s="110">
        <v>46249.0</v>
      </c>
      <c r="P12" s="111">
        <v>0.0</v>
      </c>
      <c r="Q12" s="112" t="str">
        <f t="shared" si="3"/>
        <v>89일</v>
      </c>
      <c r="R12" s="45">
        <v>713.0</v>
      </c>
      <c r="S12" s="118" t="s">
        <v>120</v>
      </c>
      <c r="T12" s="118"/>
      <c r="U12" s="118"/>
      <c r="V12" s="45"/>
      <c r="W12" s="114"/>
      <c r="X12" s="120"/>
      <c r="Y12" s="117" t="s">
        <v>121</v>
      </c>
      <c r="Z12" s="117" t="s">
        <v>122</v>
      </c>
      <c r="AA12" s="117" t="s">
        <v>123</v>
      </c>
    </row>
    <row r="13" ht="16.5" customHeight="1">
      <c r="B13" s="45">
        <v>7.0</v>
      </c>
      <c r="C13" s="45">
        <v>802.0</v>
      </c>
      <c r="D13" s="45">
        <v>26.15</v>
      </c>
      <c r="E13" s="106" t="str">
        <f t="shared" si="1"/>
        <v>7.91</v>
      </c>
      <c r="F13" s="89">
        <v>1.02E8</v>
      </c>
      <c r="G13" s="89"/>
      <c r="H13" s="45" t="s">
        <v>6</v>
      </c>
      <c r="I13" s="89">
        <v>5000000.0</v>
      </c>
      <c r="J13" s="89">
        <v>420000.0</v>
      </c>
      <c r="K13" s="107" t="str">
        <f t="shared" si="2"/>
        <v>5.20%</v>
      </c>
      <c r="L13" s="46">
        <v>86451.0</v>
      </c>
      <c r="N13" s="45" t="s">
        <v>124</v>
      </c>
      <c r="O13" s="110">
        <v>46259.0</v>
      </c>
      <c r="P13" s="111">
        <v>0.0</v>
      </c>
      <c r="Q13" s="112" t="str">
        <f t="shared" si="3"/>
        <v>99일</v>
      </c>
      <c r="R13" s="45">
        <v>802.0</v>
      </c>
      <c r="S13" s="118" t="s">
        <v>125</v>
      </c>
      <c r="T13" s="118"/>
      <c r="U13" s="118" t="s">
        <v>116</v>
      </c>
      <c r="V13" s="45"/>
      <c r="W13" s="114"/>
      <c r="X13" s="120"/>
      <c r="Y13" s="11"/>
      <c r="Z13" s="11"/>
      <c r="AA13" s="11"/>
    </row>
    <row r="14" ht="16.5" customHeight="1">
      <c r="B14" s="45">
        <v>8.0</v>
      </c>
      <c r="C14" s="45">
        <v>808.0</v>
      </c>
      <c r="D14" s="45">
        <v>26.15</v>
      </c>
      <c r="E14" s="106" t="str">
        <f t="shared" si="1"/>
        <v>7.91</v>
      </c>
      <c r="F14" s="89">
        <v>1.02E8</v>
      </c>
      <c r="G14" s="89"/>
      <c r="H14" s="45" t="s">
        <v>6</v>
      </c>
      <c r="I14" s="89">
        <v>5000000.0</v>
      </c>
      <c r="J14" s="89">
        <v>420000.0</v>
      </c>
      <c r="K14" s="107" t="str">
        <f t="shared" si="2"/>
        <v>5.20%</v>
      </c>
      <c r="L14" s="46">
        <v>86451.0</v>
      </c>
      <c r="M14" s="109"/>
      <c r="N14" s="45" t="s">
        <v>126</v>
      </c>
      <c r="O14" s="110">
        <v>46030.0</v>
      </c>
      <c r="P14" s="111">
        <v>0.0</v>
      </c>
      <c r="Q14" s="112" t="str">
        <f t="shared" si="3"/>
        <v>-130일</v>
      </c>
      <c r="R14" s="45">
        <v>808.0</v>
      </c>
      <c r="S14" s="118" t="s">
        <v>127</v>
      </c>
      <c r="T14" s="118" t="s">
        <v>128</v>
      </c>
      <c r="U14" s="118" t="s">
        <v>116</v>
      </c>
      <c r="V14" s="45"/>
      <c r="W14" s="114"/>
      <c r="X14" s="120"/>
      <c r="Y14" s="11"/>
      <c r="Z14" s="11"/>
      <c r="AA14" s="11"/>
    </row>
    <row r="15" ht="16.5" customHeight="1">
      <c r="B15" s="45">
        <v>9.0</v>
      </c>
      <c r="C15" s="45">
        <v>901.0</v>
      </c>
      <c r="D15" s="45">
        <v>39.7</v>
      </c>
      <c r="E15" s="106" t="str">
        <f t="shared" si="1"/>
        <v>12.01</v>
      </c>
      <c r="F15" s="89">
        <v>1.65E8</v>
      </c>
      <c r="G15" s="89"/>
      <c r="H15" s="45" t="s">
        <v>6</v>
      </c>
      <c r="I15" s="89">
        <v>1.0E7</v>
      </c>
      <c r="J15" s="89">
        <v>650000.0</v>
      </c>
      <c r="K15" s="107" t="str">
        <f t="shared" si="2"/>
        <v>5.03%</v>
      </c>
      <c r="L15" s="46">
        <v>127408.0</v>
      </c>
      <c r="M15" s="109"/>
      <c r="N15" s="45" t="s">
        <v>129</v>
      </c>
      <c r="O15" s="110">
        <v>46101.0</v>
      </c>
      <c r="P15" s="111">
        <v>1300000.0</v>
      </c>
      <c r="Q15" s="112" t="str">
        <f t="shared" si="3"/>
        <v>-59일</v>
      </c>
      <c r="R15" s="45">
        <v>901.0</v>
      </c>
      <c r="S15" s="118" t="s">
        <v>130</v>
      </c>
      <c r="T15" s="118" t="s">
        <v>131</v>
      </c>
      <c r="U15" s="118" t="s">
        <v>116</v>
      </c>
      <c r="V15" s="45"/>
      <c r="W15" s="119"/>
      <c r="X15" s="120"/>
      <c r="Y15" s="11"/>
      <c r="Z15" s="11"/>
      <c r="AA15" s="11"/>
    </row>
    <row r="16" ht="16.5" customHeight="1">
      <c r="B16" s="45">
        <v>10.0</v>
      </c>
      <c r="C16" s="45">
        <v>1001.0</v>
      </c>
      <c r="D16" s="45">
        <v>39.7</v>
      </c>
      <c r="E16" s="106" t="str">
        <f t="shared" si="1"/>
        <v>12.01</v>
      </c>
      <c r="F16" s="89">
        <v>1.65E8</v>
      </c>
      <c r="G16" s="89"/>
      <c r="H16" s="45" t="s">
        <v>6</v>
      </c>
      <c r="I16" s="89">
        <v>1.0E7</v>
      </c>
      <c r="J16" s="89">
        <v>650000.0</v>
      </c>
      <c r="K16" s="107" t="str">
        <f t="shared" si="2"/>
        <v>5.03%</v>
      </c>
      <c r="L16" s="46">
        <v>130840.0</v>
      </c>
      <c r="M16" s="109"/>
      <c r="N16" s="45" t="s">
        <v>132</v>
      </c>
      <c r="O16" s="110">
        <v>46210.0</v>
      </c>
      <c r="P16" s="111">
        <v>0.0</v>
      </c>
      <c r="Q16" s="112" t="str">
        <f t="shared" si="3"/>
        <v>50일</v>
      </c>
      <c r="R16" s="45">
        <v>1001.0</v>
      </c>
      <c r="S16" s="118" t="s">
        <v>133</v>
      </c>
      <c r="T16" s="118" t="s">
        <v>134</v>
      </c>
      <c r="U16" s="118" t="s">
        <v>116</v>
      </c>
      <c r="V16" s="45"/>
      <c r="W16" s="119"/>
      <c r="X16" s="120"/>
      <c r="Y16" s="11"/>
      <c r="Z16" s="11"/>
      <c r="AA16" s="11"/>
    </row>
    <row r="17" ht="16.5" customHeight="1">
      <c r="B17" s="45">
        <v>11.0</v>
      </c>
      <c r="C17" s="45">
        <v>1201.0</v>
      </c>
      <c r="D17" s="45">
        <v>39.7</v>
      </c>
      <c r="E17" s="106" t="str">
        <f t="shared" si="1"/>
        <v>12.01</v>
      </c>
      <c r="F17" s="89">
        <v>1.665E8</v>
      </c>
      <c r="G17" s="89"/>
      <c r="H17" s="45" t="s">
        <v>6</v>
      </c>
      <c r="I17" s="89">
        <v>1.0E7</v>
      </c>
      <c r="J17" s="89">
        <v>650000.0</v>
      </c>
      <c r="K17" s="107" t="str">
        <f t="shared" si="2"/>
        <v>4.98%</v>
      </c>
      <c r="L17" s="46">
        <v>134272.0</v>
      </c>
      <c r="M17" s="109"/>
      <c r="N17" s="45" t="s">
        <v>135</v>
      </c>
      <c r="O17" s="110">
        <v>46139.0</v>
      </c>
      <c r="P17" s="111">
        <v>0.0</v>
      </c>
      <c r="Q17" s="112" t="str">
        <f t="shared" si="3"/>
        <v>-21일</v>
      </c>
      <c r="R17" s="45">
        <v>1201.0</v>
      </c>
      <c r="S17" s="118" t="s">
        <v>136</v>
      </c>
      <c r="T17" s="118" t="s">
        <v>137</v>
      </c>
      <c r="U17" s="118" t="s">
        <v>116</v>
      </c>
      <c r="V17" s="45"/>
      <c r="W17" s="114"/>
      <c r="X17" s="120"/>
      <c r="Y17" s="11"/>
      <c r="Z17" s="11"/>
      <c r="AA17" s="11"/>
    </row>
    <row r="18" ht="16.5" customHeight="1">
      <c r="B18" s="45">
        <v>12.0</v>
      </c>
      <c r="C18" s="45">
        <v>1301.0</v>
      </c>
      <c r="D18" s="45">
        <v>39.7</v>
      </c>
      <c r="E18" s="106" t="str">
        <f t="shared" si="1"/>
        <v>12.01</v>
      </c>
      <c r="F18" s="89">
        <v>1.665E8</v>
      </c>
      <c r="G18" s="89"/>
      <c r="H18" s="45" t="s">
        <v>6</v>
      </c>
      <c r="I18" s="89">
        <v>1.0E7</v>
      </c>
      <c r="J18" s="89">
        <v>600000.0</v>
      </c>
      <c r="K18" s="107" t="str">
        <f t="shared" si="2"/>
        <v>4.60%</v>
      </c>
      <c r="L18" s="46">
        <v>134272.0</v>
      </c>
      <c r="M18" s="109"/>
      <c r="N18" s="45" t="s">
        <v>138</v>
      </c>
      <c r="O18" s="110">
        <v>46295.0</v>
      </c>
      <c r="P18" s="111">
        <v>0.0</v>
      </c>
      <c r="Q18" s="112" t="str">
        <f t="shared" si="3"/>
        <v>135일</v>
      </c>
      <c r="R18" s="45">
        <v>1301.0</v>
      </c>
      <c r="S18" s="118" t="s">
        <v>139</v>
      </c>
      <c r="T18" s="118"/>
      <c r="U18" s="118" t="s">
        <v>116</v>
      </c>
      <c r="V18" s="45"/>
      <c r="W18" s="114" t="s">
        <v>140</v>
      </c>
      <c r="X18" s="120"/>
      <c r="Y18" s="11"/>
      <c r="Z18" s="11"/>
      <c r="AA18" s="11"/>
    </row>
    <row r="19" ht="16.5" customHeight="1">
      <c r="B19" s="45">
        <v>13.0</v>
      </c>
      <c r="C19" s="45">
        <v>1501.0</v>
      </c>
      <c r="D19" s="45">
        <v>39.7</v>
      </c>
      <c r="E19" s="106" t="str">
        <f t="shared" si="1"/>
        <v>12.01</v>
      </c>
      <c r="F19" s="89">
        <v>1.68E8</v>
      </c>
      <c r="G19" s="89"/>
      <c r="H19" s="45" t="s">
        <v>6</v>
      </c>
      <c r="I19" s="89">
        <v>1.0E7</v>
      </c>
      <c r="J19" s="89">
        <v>600000.0</v>
      </c>
      <c r="K19" s="107" t="str">
        <f t="shared" si="2"/>
        <v>4.56%</v>
      </c>
      <c r="L19" s="46">
        <v>134272.0</v>
      </c>
      <c r="M19" s="109"/>
      <c r="N19" s="45" t="s">
        <v>141</v>
      </c>
      <c r="O19" s="110">
        <v>46059.0</v>
      </c>
      <c r="P19" s="111">
        <v>0.0</v>
      </c>
      <c r="Q19" s="112" t="str">
        <f t="shared" si="3"/>
        <v>-101일</v>
      </c>
      <c r="R19" s="45">
        <v>1501.0</v>
      </c>
      <c r="S19" s="118" t="s">
        <v>142</v>
      </c>
      <c r="T19" s="118" t="s">
        <v>143</v>
      </c>
      <c r="U19" s="118" t="s">
        <v>116</v>
      </c>
      <c r="V19" s="45"/>
      <c r="W19" s="114"/>
      <c r="X19" s="120"/>
      <c r="Y19" s="11"/>
      <c r="Z19" s="11"/>
      <c r="AA19" s="11"/>
    </row>
    <row r="20" ht="16.5" customHeight="1">
      <c r="B20" s="45">
        <v>14.0</v>
      </c>
      <c r="C20" s="45">
        <v>1601.0</v>
      </c>
      <c r="D20" s="45">
        <v>39.7</v>
      </c>
      <c r="E20" s="106" t="str">
        <f t="shared" si="1"/>
        <v>12.01</v>
      </c>
      <c r="F20" s="89">
        <v>1.68E8</v>
      </c>
      <c r="G20" s="89"/>
      <c r="H20" s="45" t="s">
        <v>6</v>
      </c>
      <c r="I20" s="89">
        <v>1.0E7</v>
      </c>
      <c r="J20" s="89">
        <v>650000.0</v>
      </c>
      <c r="K20" s="107" t="str">
        <f t="shared" si="2"/>
        <v>4.94%</v>
      </c>
      <c r="L20" s="46">
        <v>134272.0</v>
      </c>
      <c r="M20" s="109"/>
      <c r="N20" s="45" t="s">
        <v>144</v>
      </c>
      <c r="O20" s="110">
        <v>46248.0</v>
      </c>
      <c r="P20" s="111">
        <v>0.0</v>
      </c>
      <c r="Q20" s="112" t="str">
        <f t="shared" si="3"/>
        <v>88일</v>
      </c>
      <c r="R20" s="45">
        <v>1601.0</v>
      </c>
      <c r="S20" s="118" t="s">
        <v>145</v>
      </c>
      <c r="T20" s="118" t="s">
        <v>146</v>
      </c>
      <c r="U20" s="118" t="s">
        <v>116</v>
      </c>
      <c r="V20" s="45"/>
      <c r="W20" s="114"/>
      <c r="X20" s="120"/>
      <c r="Y20" s="11"/>
      <c r="Z20" s="11"/>
      <c r="AA20" s="11"/>
    </row>
    <row r="21" ht="16.5" customHeight="1">
      <c r="B21" s="45">
        <v>15.0</v>
      </c>
      <c r="C21" s="45">
        <v>1702.0</v>
      </c>
      <c r="D21" s="45">
        <v>26.15</v>
      </c>
      <c r="E21" s="106" t="str">
        <f t="shared" si="1"/>
        <v>7.91</v>
      </c>
      <c r="F21" s="89">
        <v>1.095E8</v>
      </c>
      <c r="G21" s="89"/>
      <c r="H21" s="45" t="s">
        <v>6</v>
      </c>
      <c r="I21" s="89">
        <v>5000000.0</v>
      </c>
      <c r="J21" s="89">
        <v>420000.0</v>
      </c>
      <c r="K21" s="107" t="str">
        <f t="shared" si="2"/>
        <v>4.82%</v>
      </c>
      <c r="L21" s="46">
        <v>89727.0</v>
      </c>
      <c r="M21" s="109" t="str">
        <f>(J21*12-L21)/(F21-I21)</f>
        <v>4.74%</v>
      </c>
      <c r="N21" s="45" t="s">
        <v>147</v>
      </c>
      <c r="O21" s="110">
        <v>45992.0</v>
      </c>
      <c r="P21" s="111">
        <v>0.0</v>
      </c>
      <c r="Q21" s="112" t="str">
        <f t="shared" si="3"/>
        <v>-168일</v>
      </c>
      <c r="R21" s="45">
        <v>1702.0</v>
      </c>
      <c r="S21" s="118" t="s">
        <v>148</v>
      </c>
      <c r="T21" s="118" t="s">
        <v>149</v>
      </c>
      <c r="U21" s="118" t="s">
        <v>116</v>
      </c>
      <c r="V21" s="45"/>
      <c r="W21" s="114"/>
      <c r="X21" s="120"/>
      <c r="Y21" s="11"/>
      <c r="Z21" s="11"/>
      <c r="AA21" s="11"/>
    </row>
    <row r="22" ht="16.5" customHeight="1">
      <c r="B22" s="45">
        <v>16.0</v>
      </c>
      <c r="C22" s="45">
        <v>1703.0</v>
      </c>
      <c r="D22" s="45">
        <v>26.15</v>
      </c>
      <c r="E22" s="106" t="str">
        <f t="shared" si="1"/>
        <v>7.91</v>
      </c>
      <c r="F22" s="89">
        <v>1.095E8</v>
      </c>
      <c r="G22" s="89"/>
      <c r="H22" s="45" t="s">
        <v>6</v>
      </c>
      <c r="I22" s="89">
        <v>5000000.0</v>
      </c>
      <c r="J22" s="89">
        <v>400000.0</v>
      </c>
      <c r="K22" s="107" t="str">
        <f t="shared" si="2"/>
        <v>4.59%</v>
      </c>
      <c r="L22" s="46">
        <v>89727.0</v>
      </c>
      <c r="M22" s="109"/>
      <c r="N22" s="45" t="s">
        <v>150</v>
      </c>
      <c r="O22" s="110">
        <v>46196.0</v>
      </c>
      <c r="P22" s="111">
        <v>0.0</v>
      </c>
      <c r="Q22" s="112" t="str">
        <f t="shared" si="3"/>
        <v>36일</v>
      </c>
      <c r="R22" s="45">
        <v>1703.0</v>
      </c>
      <c r="S22" s="118" t="s">
        <v>151</v>
      </c>
      <c r="T22" s="118" t="s">
        <v>152</v>
      </c>
      <c r="U22" s="118" t="s">
        <v>116</v>
      </c>
      <c r="V22" s="45"/>
      <c r="W22" s="114"/>
      <c r="X22" s="120"/>
      <c r="Y22" s="11"/>
      <c r="Z22" s="11"/>
      <c r="AA22" s="11"/>
    </row>
    <row r="23" ht="16.5" customHeight="1">
      <c r="B23" s="45">
        <v>17.0</v>
      </c>
      <c r="C23" s="45">
        <v>1714.0</v>
      </c>
      <c r="D23" s="45">
        <v>26.15</v>
      </c>
      <c r="E23" s="106" t="str">
        <f t="shared" si="1"/>
        <v>7.91</v>
      </c>
      <c r="F23" s="89">
        <v>1.135E8</v>
      </c>
      <c r="G23" s="89"/>
      <c r="H23" s="45" t="s">
        <v>6</v>
      </c>
      <c r="I23" s="89">
        <v>5000000.0</v>
      </c>
      <c r="J23" s="89">
        <v>450000.0</v>
      </c>
      <c r="K23" s="107" t="str">
        <f t="shared" si="2"/>
        <v>4.98%</v>
      </c>
      <c r="L23" s="46">
        <v>91287.0</v>
      </c>
      <c r="M23" s="109"/>
      <c r="N23" s="45" t="s">
        <v>153</v>
      </c>
      <c r="O23" s="110">
        <v>46141.0</v>
      </c>
      <c r="P23" s="111">
        <v>0.0</v>
      </c>
      <c r="Q23" s="112" t="str">
        <f t="shared" si="3"/>
        <v>-19일</v>
      </c>
      <c r="R23" s="45">
        <v>1714.0</v>
      </c>
      <c r="S23" s="118" t="s">
        <v>154</v>
      </c>
      <c r="T23" s="118" t="s">
        <v>155</v>
      </c>
      <c r="U23" s="118" t="s">
        <v>116</v>
      </c>
      <c r="V23" s="45"/>
      <c r="W23" s="114"/>
      <c r="X23" s="120"/>
      <c r="Y23" s="11"/>
      <c r="Z23" s="11"/>
      <c r="AA23" s="11"/>
    </row>
    <row r="24" ht="16.5" customHeight="1">
      <c r="B24" s="45">
        <v>18.0</v>
      </c>
      <c r="C24" s="45">
        <v>1718.0</v>
      </c>
      <c r="D24" s="45">
        <v>26.15</v>
      </c>
      <c r="E24" s="106" t="str">
        <f t="shared" si="1"/>
        <v>7.91</v>
      </c>
      <c r="F24" s="89">
        <v>1.135E8</v>
      </c>
      <c r="G24" s="89"/>
      <c r="H24" s="45" t="s">
        <v>156</v>
      </c>
      <c r="I24" s="89">
        <v>9.0E7</v>
      </c>
      <c r="J24" s="89"/>
      <c r="K24" s="107" t="str">
        <f>I24*3.5%/F24</f>
        <v>2.78%</v>
      </c>
      <c r="L24" s="46">
        <v>91287.0</v>
      </c>
      <c r="M24" s="109" t="str">
        <f>(I24*3.5%-L24)/F24</f>
        <v>2.69%</v>
      </c>
      <c r="N24" s="45" t="s">
        <v>157</v>
      </c>
      <c r="O24" s="110">
        <v>46495.0</v>
      </c>
      <c r="P24" s="111">
        <v>0.0</v>
      </c>
      <c r="Q24" s="112" t="str">
        <f t="shared" si="3"/>
        <v>335일</v>
      </c>
      <c r="R24" s="45">
        <v>1718.0</v>
      </c>
      <c r="S24" s="118" t="s">
        <v>158</v>
      </c>
      <c r="T24" s="118" t="s">
        <v>159</v>
      </c>
      <c r="U24" s="123" t="s">
        <v>160</v>
      </c>
      <c r="V24" s="45"/>
      <c r="W24" s="114" t="s">
        <v>161</v>
      </c>
      <c r="X24" s="120"/>
      <c r="Y24" s="11"/>
      <c r="Z24" s="11"/>
      <c r="AA24" s="11"/>
    </row>
    <row r="25" ht="16.5" customHeight="1">
      <c r="B25" s="45">
        <v>19.0</v>
      </c>
      <c r="C25" s="45">
        <v>1719.0</v>
      </c>
      <c r="D25" s="45">
        <v>26.15</v>
      </c>
      <c r="E25" s="106" t="str">
        <f t="shared" si="1"/>
        <v>7.91</v>
      </c>
      <c r="F25" s="89">
        <v>1.135E8</v>
      </c>
      <c r="G25" s="89"/>
      <c r="H25" s="45" t="s">
        <v>6</v>
      </c>
      <c r="I25" s="89">
        <v>5000000.0</v>
      </c>
      <c r="J25" s="89">
        <v>450000.0</v>
      </c>
      <c r="K25" s="107" t="str">
        <f>J25*12/(F25-I25)</f>
        <v>4.98%</v>
      </c>
      <c r="L25" s="46">
        <v>91287.0</v>
      </c>
      <c r="M25" s="109" t="str">
        <f>(J25*12-L25)/(F25-I25)</f>
        <v>4.89%</v>
      </c>
      <c r="N25" s="45" t="s">
        <v>162</v>
      </c>
      <c r="O25" s="110">
        <v>46235.0</v>
      </c>
      <c r="P25" s="111">
        <v>0.0</v>
      </c>
      <c r="Q25" s="112" t="str">
        <f t="shared" si="3"/>
        <v>75일</v>
      </c>
      <c r="R25" s="45">
        <v>1719.0</v>
      </c>
      <c r="S25" s="118" t="s">
        <v>163</v>
      </c>
      <c r="T25" s="118" t="s">
        <v>164</v>
      </c>
      <c r="U25" s="118" t="s">
        <v>165</v>
      </c>
      <c r="V25" s="45"/>
      <c r="W25" s="114" t="s">
        <v>166</v>
      </c>
      <c r="X25" s="120"/>
      <c r="Y25" s="11"/>
      <c r="Z25" s="11"/>
      <c r="AA25" s="11"/>
    </row>
    <row r="26" ht="16.5" customHeight="1">
      <c r="B26" s="45">
        <v>20.0</v>
      </c>
      <c r="C26" s="45">
        <v>1720.0</v>
      </c>
      <c r="D26" s="45">
        <v>26.15</v>
      </c>
      <c r="E26" s="106" t="str">
        <f t="shared" si="1"/>
        <v>7.91</v>
      </c>
      <c r="F26" s="89">
        <v>1.135E8</v>
      </c>
      <c r="G26" s="89"/>
      <c r="H26" s="45" t="s">
        <v>6</v>
      </c>
      <c r="I26" s="89">
        <v>5000000.0</v>
      </c>
      <c r="J26" s="89">
        <v>450000.0</v>
      </c>
      <c r="K26" s="107" t="str">
        <f>I26*3.5%/F26</f>
        <v>0.15%</v>
      </c>
      <c r="L26" s="46">
        <v>91287.0</v>
      </c>
      <c r="M26" s="109" t="str">
        <f>(I26*3.5%-L26)/F26</f>
        <v>0.07%</v>
      </c>
      <c r="N26" s="45" t="s">
        <v>167</v>
      </c>
      <c r="O26" s="110">
        <v>46129.0</v>
      </c>
      <c r="P26" s="111">
        <v>0.0</v>
      </c>
      <c r="Q26" s="112" t="str">
        <f t="shared" si="3"/>
        <v>-31일</v>
      </c>
      <c r="R26" s="45">
        <v>1720.0</v>
      </c>
      <c r="S26" s="118" t="s">
        <v>168</v>
      </c>
      <c r="T26" s="118" t="s">
        <v>169</v>
      </c>
      <c r="U26" s="118" t="s">
        <v>116</v>
      </c>
      <c r="V26" s="45"/>
      <c r="W26" s="114"/>
      <c r="X26" s="120"/>
      <c r="Y26" s="11"/>
      <c r="Z26" s="11"/>
      <c r="AA26" s="11"/>
    </row>
    <row r="27" ht="16.5" customHeight="1">
      <c r="B27" s="45">
        <v>21.0</v>
      </c>
      <c r="C27" s="45">
        <v>1814.0</v>
      </c>
      <c r="D27" s="45">
        <v>26.15</v>
      </c>
      <c r="E27" s="106" t="str">
        <f t="shared" si="1"/>
        <v>7.91</v>
      </c>
      <c r="F27" s="89">
        <v>1.135E8</v>
      </c>
      <c r="G27" s="89"/>
      <c r="H27" s="45" t="s">
        <v>6</v>
      </c>
      <c r="I27" s="89">
        <v>5000000.0</v>
      </c>
      <c r="J27" s="89">
        <v>420000.0</v>
      </c>
      <c r="K27" s="107" t="str">
        <f t="shared" ref="K27:K50" si="4">J27*12/(F27-I27)</f>
        <v>4.65%</v>
      </c>
      <c r="L27" s="46">
        <v>91287.0</v>
      </c>
      <c r="M27" s="109"/>
      <c r="N27" s="45" t="s">
        <v>170</v>
      </c>
      <c r="O27" s="110">
        <v>46172.0</v>
      </c>
      <c r="P27" s="111">
        <v>0.0</v>
      </c>
      <c r="Q27" s="112" t="str">
        <f t="shared" si="3"/>
        <v>12일</v>
      </c>
      <c r="R27" s="45">
        <v>1814.0</v>
      </c>
      <c r="S27" s="118" t="s">
        <v>171</v>
      </c>
      <c r="T27" s="118" t="s">
        <v>172</v>
      </c>
      <c r="U27" s="123" t="s">
        <v>160</v>
      </c>
      <c r="V27" s="45"/>
      <c r="W27" s="114" t="s">
        <v>173</v>
      </c>
      <c r="X27" s="120"/>
      <c r="Y27" s="11"/>
      <c r="Z27" s="11"/>
      <c r="AA27" s="11"/>
    </row>
    <row r="28" ht="16.5" customHeight="1">
      <c r="B28" s="45">
        <v>22.0</v>
      </c>
      <c r="C28" s="45">
        <v>1820.0</v>
      </c>
      <c r="D28" s="45">
        <v>26.15</v>
      </c>
      <c r="E28" s="106" t="str">
        <f t="shared" si="1"/>
        <v>7.91</v>
      </c>
      <c r="F28" s="89">
        <v>1.135E8</v>
      </c>
      <c r="G28" s="89"/>
      <c r="H28" s="45" t="s">
        <v>6</v>
      </c>
      <c r="I28" s="89">
        <v>5000000.0</v>
      </c>
      <c r="J28" s="89">
        <v>450000.0</v>
      </c>
      <c r="K28" s="107" t="str">
        <f t="shared" si="4"/>
        <v>4.98%</v>
      </c>
      <c r="L28" s="46">
        <v>91287.0</v>
      </c>
      <c r="M28" s="109" t="str">
        <f>(J28*12-L28)/(F28-I28)</f>
        <v>4.89%</v>
      </c>
      <c r="N28" s="45" t="s">
        <v>174</v>
      </c>
      <c r="O28" s="110">
        <v>46017.0</v>
      </c>
      <c r="P28" s="111">
        <v>0.0</v>
      </c>
      <c r="Q28" s="112" t="str">
        <f t="shared" si="3"/>
        <v>-143일</v>
      </c>
      <c r="R28" s="45">
        <v>1820.0</v>
      </c>
      <c r="S28" s="118" t="s">
        <v>175</v>
      </c>
      <c r="T28" s="118" t="s">
        <v>176</v>
      </c>
      <c r="U28" s="118" t="s">
        <v>116</v>
      </c>
      <c r="V28" s="45"/>
      <c r="W28" s="114"/>
      <c r="X28" s="120"/>
      <c r="Y28" s="11"/>
      <c r="Z28" s="11"/>
      <c r="AA28" s="11"/>
    </row>
    <row r="29" ht="16.5" customHeight="1">
      <c r="B29" s="45">
        <v>23.0</v>
      </c>
      <c r="C29" s="45">
        <v>1902.0</v>
      </c>
      <c r="D29" s="45">
        <v>26.15</v>
      </c>
      <c r="E29" s="106" t="str">
        <f t="shared" si="1"/>
        <v>7.91</v>
      </c>
      <c r="F29" s="89">
        <v>1.095E8</v>
      </c>
      <c r="G29" s="89"/>
      <c r="H29" s="45" t="s">
        <v>6</v>
      </c>
      <c r="I29" s="89">
        <v>5000000.0</v>
      </c>
      <c r="J29" s="89">
        <v>420000.0</v>
      </c>
      <c r="K29" s="107" t="str">
        <f t="shared" si="4"/>
        <v>4.82%</v>
      </c>
      <c r="L29" s="46">
        <v>89727.0</v>
      </c>
      <c r="M29" s="109"/>
      <c r="N29" s="45" t="s">
        <v>177</v>
      </c>
      <c r="O29" s="110">
        <v>46350.0</v>
      </c>
      <c r="P29" s="111">
        <v>0.0</v>
      </c>
      <c r="Q29" s="112" t="str">
        <f t="shared" si="3"/>
        <v>190일</v>
      </c>
      <c r="R29" s="45">
        <v>1902.0</v>
      </c>
      <c r="S29" s="118" t="s">
        <v>178</v>
      </c>
      <c r="T29" s="118"/>
      <c r="U29" s="123" t="s">
        <v>116</v>
      </c>
      <c r="V29" s="45"/>
      <c r="W29" s="114"/>
      <c r="X29" s="120"/>
      <c r="Y29" s="11"/>
      <c r="Z29" s="11"/>
      <c r="AA29" s="11"/>
    </row>
    <row r="30" ht="16.5" customHeight="1">
      <c r="B30" s="45">
        <v>24.0</v>
      </c>
      <c r="C30" s="45">
        <v>1906.0</v>
      </c>
      <c r="D30" s="45">
        <v>26.15</v>
      </c>
      <c r="E30" s="106" t="str">
        <f t="shared" si="1"/>
        <v>7.91</v>
      </c>
      <c r="F30" s="89">
        <v>1.095E8</v>
      </c>
      <c r="G30" s="89"/>
      <c r="H30" s="45" t="s">
        <v>6</v>
      </c>
      <c r="I30" s="89">
        <v>5000000.0</v>
      </c>
      <c r="J30" s="89">
        <v>420000.0</v>
      </c>
      <c r="K30" s="107" t="str">
        <f t="shared" si="4"/>
        <v>4.82%</v>
      </c>
      <c r="L30" s="46">
        <v>89727.0</v>
      </c>
      <c r="M30" s="109"/>
      <c r="N30" s="45" t="s">
        <v>179</v>
      </c>
      <c r="O30" s="110">
        <v>46075.0</v>
      </c>
      <c r="P30" s="111">
        <v>0.0</v>
      </c>
      <c r="Q30" s="112" t="str">
        <f t="shared" si="3"/>
        <v>-85일</v>
      </c>
      <c r="R30" s="45">
        <v>1906.0</v>
      </c>
      <c r="S30" s="118" t="s">
        <v>180</v>
      </c>
      <c r="T30" s="118" t="s">
        <v>181</v>
      </c>
      <c r="U30" s="123" t="s">
        <v>116</v>
      </c>
      <c r="V30" s="45"/>
      <c r="W30" s="114" t="s">
        <v>182</v>
      </c>
      <c r="X30" s="120"/>
      <c r="Y30" s="11"/>
      <c r="Z30" s="11"/>
      <c r="AA30" s="11"/>
    </row>
    <row r="31" ht="16.5" customHeight="1">
      <c r="B31" s="45">
        <v>25.0</v>
      </c>
      <c r="C31" s="45">
        <v>1914.0</v>
      </c>
      <c r="D31" s="45">
        <v>26.15</v>
      </c>
      <c r="E31" s="106" t="str">
        <f t="shared" si="1"/>
        <v>7.91</v>
      </c>
      <c r="F31" s="89">
        <v>1.135E8</v>
      </c>
      <c r="G31" s="89"/>
      <c r="H31" s="45" t="s">
        <v>6</v>
      </c>
      <c r="I31" s="89">
        <v>5000000.0</v>
      </c>
      <c r="J31" s="89">
        <v>450000.0</v>
      </c>
      <c r="K31" s="107" t="str">
        <f t="shared" si="4"/>
        <v>4.98%</v>
      </c>
      <c r="L31" s="46">
        <v>91287.0</v>
      </c>
      <c r="M31" s="109"/>
      <c r="N31" s="45" t="s">
        <v>183</v>
      </c>
      <c r="O31" s="110">
        <v>46294.0</v>
      </c>
      <c r="P31" s="111">
        <v>0.0</v>
      </c>
      <c r="Q31" s="112" t="str">
        <f t="shared" si="3"/>
        <v>134일</v>
      </c>
      <c r="R31" s="45">
        <v>1914.0</v>
      </c>
      <c r="S31" s="123" t="s">
        <v>184</v>
      </c>
      <c r="T31" s="118"/>
      <c r="U31" s="118" t="s">
        <v>116</v>
      </c>
      <c r="V31" s="45"/>
      <c r="W31" s="114" t="s">
        <v>185</v>
      </c>
      <c r="X31" s="120"/>
      <c r="Y31" s="11"/>
      <c r="Z31" s="11"/>
      <c r="AA31" s="11"/>
    </row>
    <row r="32" ht="16.5" customHeight="1">
      <c r="B32" s="45">
        <v>26.0</v>
      </c>
      <c r="C32" s="45">
        <v>1915.0</v>
      </c>
      <c r="D32" s="45">
        <v>26.15</v>
      </c>
      <c r="E32" s="106" t="str">
        <f t="shared" si="1"/>
        <v>7.91</v>
      </c>
      <c r="F32" s="89">
        <v>1.135E8</v>
      </c>
      <c r="G32" s="89"/>
      <c r="H32" s="45" t="s">
        <v>6</v>
      </c>
      <c r="I32" s="89">
        <v>5000000.0</v>
      </c>
      <c r="J32" s="89">
        <v>450000.0</v>
      </c>
      <c r="K32" s="107" t="str">
        <f t="shared" si="4"/>
        <v>4.98%</v>
      </c>
      <c r="L32" s="46">
        <v>91287.0</v>
      </c>
      <c r="M32" s="109" t="str">
        <f t="shared" ref="M32:M34" si="5">(J32*12-L32)/(F32-I32)</f>
        <v>4.89%</v>
      </c>
      <c r="N32" s="45" t="s">
        <v>186</v>
      </c>
      <c r="O32" s="110">
        <v>46188.0</v>
      </c>
      <c r="P32" s="111">
        <v>0.0</v>
      </c>
      <c r="Q32" s="112" t="str">
        <f t="shared" si="3"/>
        <v>28일</v>
      </c>
      <c r="R32" s="45">
        <v>1915.0</v>
      </c>
      <c r="S32" s="118" t="s">
        <v>187</v>
      </c>
      <c r="T32" s="118" t="s">
        <v>188</v>
      </c>
      <c r="U32" s="118" t="s">
        <v>116</v>
      </c>
      <c r="V32" s="45"/>
      <c r="W32" s="114"/>
      <c r="X32" s="120"/>
      <c r="Y32" s="11"/>
      <c r="Z32" s="11"/>
      <c r="AA32" s="11"/>
    </row>
    <row r="33" ht="16.5" customHeight="1">
      <c r="B33" s="45">
        <v>27.0</v>
      </c>
      <c r="C33" s="45">
        <v>2006.0</v>
      </c>
      <c r="D33" s="45">
        <v>26.15</v>
      </c>
      <c r="E33" s="106" t="str">
        <f t="shared" si="1"/>
        <v>7.91</v>
      </c>
      <c r="F33" s="89">
        <v>1.11E8</v>
      </c>
      <c r="G33" s="89"/>
      <c r="H33" s="45" t="s">
        <v>6</v>
      </c>
      <c r="I33" s="89">
        <v>5000000.0</v>
      </c>
      <c r="J33" s="89">
        <v>420000.0</v>
      </c>
      <c r="K33" s="107" t="str">
        <f t="shared" si="4"/>
        <v>4.75%</v>
      </c>
      <c r="L33" s="46">
        <v>89727.0</v>
      </c>
      <c r="M33" s="109" t="str">
        <f t="shared" si="5"/>
        <v>4.67%</v>
      </c>
      <c r="N33" s="45" t="s">
        <v>167</v>
      </c>
      <c r="O33" s="110">
        <v>46129.0</v>
      </c>
      <c r="P33" s="111">
        <v>0.0</v>
      </c>
      <c r="Q33" s="112" t="str">
        <f t="shared" si="3"/>
        <v>-31일</v>
      </c>
      <c r="R33" s="45">
        <v>2006.0</v>
      </c>
      <c r="S33" s="118" t="s">
        <v>189</v>
      </c>
      <c r="T33" s="118" t="s">
        <v>190</v>
      </c>
      <c r="U33" s="118" t="s">
        <v>116</v>
      </c>
      <c r="V33" s="45"/>
      <c r="W33" s="124"/>
      <c r="X33" s="120"/>
      <c r="Y33" s="11"/>
      <c r="Z33" s="11"/>
      <c r="AA33" s="11"/>
    </row>
    <row r="34" ht="16.5" customHeight="1">
      <c r="B34" s="45">
        <v>28.0</v>
      </c>
      <c r="C34" s="45">
        <v>2013.0</v>
      </c>
      <c r="D34" s="45">
        <v>26.15</v>
      </c>
      <c r="E34" s="106" t="str">
        <f t="shared" si="1"/>
        <v>7.91</v>
      </c>
      <c r="F34" s="89">
        <v>1.11E8</v>
      </c>
      <c r="G34" s="89"/>
      <c r="H34" s="45" t="s">
        <v>6</v>
      </c>
      <c r="I34" s="89">
        <v>5000000.0</v>
      </c>
      <c r="J34" s="89">
        <v>420000.0</v>
      </c>
      <c r="K34" s="107" t="str">
        <f t="shared" si="4"/>
        <v>4.75%</v>
      </c>
      <c r="L34" s="46">
        <v>89727.0</v>
      </c>
      <c r="M34" s="109" t="str">
        <f t="shared" si="5"/>
        <v>4.67%</v>
      </c>
      <c r="N34" s="45" t="s">
        <v>191</v>
      </c>
      <c r="O34" s="110">
        <v>46142.0</v>
      </c>
      <c r="P34" s="111">
        <v>0.0</v>
      </c>
      <c r="Q34" s="112" t="str">
        <f t="shared" si="3"/>
        <v>-18일</v>
      </c>
      <c r="R34" s="45">
        <v>2013.0</v>
      </c>
      <c r="S34" s="118" t="s">
        <v>192</v>
      </c>
      <c r="T34" s="118" t="s">
        <v>193</v>
      </c>
      <c r="U34" s="118" t="s">
        <v>116</v>
      </c>
      <c r="V34" s="45"/>
      <c r="W34" s="114" t="s">
        <v>194</v>
      </c>
      <c r="X34" s="120"/>
      <c r="Y34" s="11"/>
      <c r="Z34" s="11"/>
      <c r="AA34" s="11"/>
    </row>
    <row r="35" ht="16.5" customHeight="1">
      <c r="B35" s="45">
        <v>29.0</v>
      </c>
      <c r="C35" s="45">
        <v>2014.0</v>
      </c>
      <c r="D35" s="45">
        <v>26.15</v>
      </c>
      <c r="E35" s="106" t="str">
        <f t="shared" si="1"/>
        <v>7.91</v>
      </c>
      <c r="F35" s="89">
        <v>1.15E8</v>
      </c>
      <c r="G35" s="89"/>
      <c r="H35" s="45" t="s">
        <v>6</v>
      </c>
      <c r="I35" s="89">
        <v>5000000.0</v>
      </c>
      <c r="J35" s="89">
        <v>420000.0</v>
      </c>
      <c r="K35" s="107" t="str">
        <f t="shared" si="4"/>
        <v>4.58%</v>
      </c>
      <c r="L35" s="46">
        <v>91287.0</v>
      </c>
      <c r="M35" s="109"/>
      <c r="N35" s="45" t="s">
        <v>195</v>
      </c>
      <c r="O35" s="110">
        <v>46387.0</v>
      </c>
      <c r="P35" s="111">
        <v>0.0</v>
      </c>
      <c r="Q35" s="125" t="str">
        <f t="shared" si="3"/>
        <v>227일</v>
      </c>
      <c r="R35" s="45">
        <v>2014.0</v>
      </c>
      <c r="S35" s="118" t="s">
        <v>196</v>
      </c>
      <c r="T35" s="118" t="s">
        <v>197</v>
      </c>
      <c r="U35" s="123" t="s">
        <v>116</v>
      </c>
      <c r="V35" s="45"/>
      <c r="W35" s="114" t="s">
        <v>198</v>
      </c>
      <c r="X35" s="120"/>
      <c r="Y35" s="11"/>
      <c r="Z35" s="11"/>
      <c r="AA35" s="11"/>
    </row>
    <row r="36" ht="16.5" customHeight="1">
      <c r="B36" s="45">
        <v>30.0</v>
      </c>
      <c r="C36" s="45">
        <v>2018.0</v>
      </c>
      <c r="D36" s="45">
        <v>26.15</v>
      </c>
      <c r="E36" s="106" t="str">
        <f t="shared" si="1"/>
        <v>7.91</v>
      </c>
      <c r="F36" s="89">
        <v>1.15E8</v>
      </c>
      <c r="G36" s="89"/>
      <c r="H36" s="45" t="s">
        <v>6</v>
      </c>
      <c r="I36" s="89">
        <v>5000000.0</v>
      </c>
      <c r="J36" s="89">
        <v>450000.0</v>
      </c>
      <c r="K36" s="107" t="str">
        <f t="shared" si="4"/>
        <v>4.91%</v>
      </c>
      <c r="L36" s="46">
        <v>91287.0</v>
      </c>
      <c r="M36" s="109" t="str">
        <f>(J36*12-L36)/(F36-I36)</f>
        <v>4.83%</v>
      </c>
      <c r="N36" s="45" t="s">
        <v>199</v>
      </c>
      <c r="O36" s="110">
        <v>46203.0</v>
      </c>
      <c r="P36" s="111">
        <v>0.0</v>
      </c>
      <c r="Q36" s="112" t="str">
        <f t="shared" si="3"/>
        <v>43일</v>
      </c>
      <c r="R36" s="45">
        <v>2018.0</v>
      </c>
      <c r="S36" s="118" t="s">
        <v>200</v>
      </c>
      <c r="T36" s="118" t="s">
        <v>201</v>
      </c>
      <c r="U36" s="118"/>
      <c r="V36" s="45"/>
      <c r="W36" s="114" t="s">
        <v>202</v>
      </c>
      <c r="X36" s="120"/>
      <c r="Y36" s="11"/>
      <c r="Z36" s="11"/>
      <c r="AA36" s="11"/>
    </row>
    <row r="37" ht="16.5" customHeight="1">
      <c r="B37" s="45">
        <v>31.0</v>
      </c>
      <c r="C37" s="45">
        <v>2106.0</v>
      </c>
      <c r="D37" s="45">
        <v>26.15</v>
      </c>
      <c r="E37" s="106" t="str">
        <f t="shared" si="1"/>
        <v>7.91</v>
      </c>
      <c r="F37" s="89">
        <v>1.11E8</v>
      </c>
      <c r="G37" s="89"/>
      <c r="H37" s="45" t="s">
        <v>6</v>
      </c>
      <c r="I37" s="89">
        <v>5000000.0</v>
      </c>
      <c r="J37" s="89">
        <v>420000.0</v>
      </c>
      <c r="K37" s="107" t="str">
        <f t="shared" si="4"/>
        <v>4.75%</v>
      </c>
      <c r="L37" s="46">
        <v>89727.0</v>
      </c>
      <c r="M37" s="109"/>
      <c r="N37" s="45" t="s">
        <v>203</v>
      </c>
      <c r="O37" s="110">
        <v>46172.0</v>
      </c>
      <c r="P37" s="111">
        <v>0.0</v>
      </c>
      <c r="Q37" s="112" t="str">
        <f t="shared" si="3"/>
        <v>12일</v>
      </c>
      <c r="R37" s="45">
        <v>2106.0</v>
      </c>
      <c r="S37" s="118" t="s">
        <v>204</v>
      </c>
      <c r="T37" s="118" t="s">
        <v>205</v>
      </c>
      <c r="U37" s="118" t="s">
        <v>116</v>
      </c>
      <c r="V37" s="45"/>
      <c r="W37" s="114" t="s">
        <v>206</v>
      </c>
      <c r="X37" s="120"/>
      <c r="Y37" s="11"/>
      <c r="Z37" s="11"/>
      <c r="AA37" s="11"/>
    </row>
    <row r="38" ht="16.5" customHeight="1">
      <c r="B38" s="45">
        <v>32.0</v>
      </c>
      <c r="C38" s="45">
        <v>2111.0</v>
      </c>
      <c r="D38" s="45">
        <v>26.15</v>
      </c>
      <c r="E38" s="106" t="str">
        <f t="shared" si="1"/>
        <v>7.91</v>
      </c>
      <c r="F38" s="89">
        <v>1.11E8</v>
      </c>
      <c r="G38" s="89"/>
      <c r="H38" s="45" t="s">
        <v>6</v>
      </c>
      <c r="I38" s="89">
        <v>5000000.0</v>
      </c>
      <c r="J38" s="89">
        <v>420000.0</v>
      </c>
      <c r="K38" s="107" t="str">
        <f t="shared" si="4"/>
        <v>4.75%</v>
      </c>
      <c r="L38" s="46">
        <v>89727.0</v>
      </c>
      <c r="M38" s="109" t="str">
        <f>(J38*12-L38)/(F38-I38)</f>
        <v>4.67%</v>
      </c>
      <c r="N38" s="45" t="s">
        <v>170</v>
      </c>
      <c r="O38" s="110">
        <v>46172.0</v>
      </c>
      <c r="P38" s="111">
        <v>0.0</v>
      </c>
      <c r="Q38" s="112" t="str">
        <f t="shared" si="3"/>
        <v>12일</v>
      </c>
      <c r="R38" s="45">
        <v>2111.0</v>
      </c>
      <c r="S38" s="118" t="s">
        <v>207</v>
      </c>
      <c r="T38" s="118" t="s">
        <v>208</v>
      </c>
      <c r="U38" s="118" t="s">
        <v>116</v>
      </c>
      <c r="V38" s="45"/>
      <c r="W38" s="114" t="s">
        <v>209</v>
      </c>
      <c r="X38" s="120"/>
      <c r="Y38" s="11"/>
      <c r="Z38" s="11"/>
      <c r="AA38" s="11"/>
    </row>
    <row r="39" ht="16.5" customHeight="1">
      <c r="B39" s="45">
        <v>33.0</v>
      </c>
      <c r="C39" s="45">
        <v>2113.0</v>
      </c>
      <c r="D39" s="45">
        <v>26.15</v>
      </c>
      <c r="E39" s="106" t="str">
        <f t="shared" si="1"/>
        <v>7.91</v>
      </c>
      <c r="F39" s="89">
        <v>1.11E8</v>
      </c>
      <c r="G39" s="89"/>
      <c r="H39" s="45" t="s">
        <v>6</v>
      </c>
      <c r="I39" s="89">
        <v>5000000.0</v>
      </c>
      <c r="J39" s="89">
        <v>420000.0</v>
      </c>
      <c r="K39" s="107" t="str">
        <f t="shared" si="4"/>
        <v>4.75%</v>
      </c>
      <c r="L39" s="46">
        <v>89727.0</v>
      </c>
      <c r="M39" s="109"/>
      <c r="N39" s="45" t="s">
        <v>210</v>
      </c>
      <c r="O39" s="110">
        <v>46168.0</v>
      </c>
      <c r="P39" s="111">
        <v>0.0</v>
      </c>
      <c r="Q39" s="112" t="str">
        <f t="shared" si="3"/>
        <v>8일</v>
      </c>
      <c r="R39" s="45">
        <v>2113.0</v>
      </c>
      <c r="S39" s="118" t="s">
        <v>211</v>
      </c>
      <c r="T39" s="118" t="s">
        <v>212</v>
      </c>
      <c r="U39" s="118" t="s">
        <v>116</v>
      </c>
      <c r="V39" s="45"/>
      <c r="W39" s="114"/>
      <c r="X39" s="120"/>
      <c r="Y39" s="11"/>
      <c r="Z39" s="11"/>
      <c r="AA39" s="11"/>
    </row>
    <row r="40" ht="16.5" customHeight="1">
      <c r="B40" s="45">
        <v>34.0</v>
      </c>
      <c r="C40" s="45">
        <v>2206.0</v>
      </c>
      <c r="D40" s="45">
        <v>26.15</v>
      </c>
      <c r="E40" s="106" t="str">
        <f t="shared" si="1"/>
        <v>7.91</v>
      </c>
      <c r="F40" s="89">
        <v>1.11E8</v>
      </c>
      <c r="G40" s="89"/>
      <c r="H40" s="45" t="s">
        <v>6</v>
      </c>
      <c r="I40" s="89">
        <v>5000000.0</v>
      </c>
      <c r="J40" s="89">
        <v>420000.0</v>
      </c>
      <c r="K40" s="107" t="str">
        <f t="shared" si="4"/>
        <v>4.75%</v>
      </c>
      <c r="L40" s="46">
        <v>89727.0</v>
      </c>
      <c r="M40" s="109"/>
      <c r="N40" s="45" t="s">
        <v>213</v>
      </c>
      <c r="O40" s="110">
        <v>46206.0</v>
      </c>
      <c r="P40" s="111">
        <v>0.0</v>
      </c>
      <c r="Q40" s="112" t="str">
        <f t="shared" si="3"/>
        <v>46일</v>
      </c>
      <c r="R40" s="45">
        <v>2206.0</v>
      </c>
      <c r="S40" s="118" t="s">
        <v>214</v>
      </c>
      <c r="T40" s="118" t="s">
        <v>215</v>
      </c>
      <c r="U40" s="118" t="s">
        <v>116</v>
      </c>
      <c r="V40" s="45"/>
      <c r="W40" s="114"/>
      <c r="X40" s="120"/>
      <c r="Y40" s="11"/>
      <c r="Z40" s="11"/>
      <c r="AA40" s="11"/>
    </row>
    <row r="41" ht="16.5" customHeight="1">
      <c r="B41" s="45">
        <v>35.0</v>
      </c>
      <c r="C41" s="45">
        <v>2213.0</v>
      </c>
      <c r="D41" s="45">
        <v>26.15</v>
      </c>
      <c r="E41" s="106" t="str">
        <f t="shared" si="1"/>
        <v>7.91</v>
      </c>
      <c r="F41" s="89">
        <v>1.11E8</v>
      </c>
      <c r="G41" s="89"/>
      <c r="H41" s="45" t="s">
        <v>6</v>
      </c>
      <c r="I41" s="89">
        <v>5000000.0</v>
      </c>
      <c r="J41" s="89">
        <v>400000.0</v>
      </c>
      <c r="K41" s="107" t="str">
        <f t="shared" si="4"/>
        <v>4.53%</v>
      </c>
      <c r="L41" s="46">
        <v>89727.0</v>
      </c>
      <c r="M41" s="109"/>
      <c r="N41" s="45" t="s">
        <v>216</v>
      </c>
      <c r="O41" s="110">
        <v>46126.0</v>
      </c>
      <c r="P41" s="111">
        <v>0.0</v>
      </c>
      <c r="Q41" s="112" t="str">
        <f t="shared" si="3"/>
        <v>-34일</v>
      </c>
      <c r="R41" s="45">
        <v>2213.0</v>
      </c>
      <c r="S41" s="118" t="s">
        <v>217</v>
      </c>
      <c r="T41" s="118" t="s">
        <v>218</v>
      </c>
      <c r="U41" s="118" t="s">
        <v>116</v>
      </c>
      <c r="V41" s="45"/>
      <c r="W41" s="114"/>
      <c r="X41" s="120"/>
      <c r="Y41" s="11"/>
      <c r="Z41" s="11"/>
      <c r="AA41" s="11"/>
    </row>
    <row r="42" ht="16.5" customHeight="1">
      <c r="B42" s="45">
        <v>36.0</v>
      </c>
      <c r="C42" s="45">
        <v>2301.0</v>
      </c>
      <c r="D42" s="45">
        <v>39.78</v>
      </c>
      <c r="E42" s="106" t="str">
        <f t="shared" si="1"/>
        <v>12.03</v>
      </c>
      <c r="F42" s="89">
        <v>1.71E8</v>
      </c>
      <c r="G42" s="89"/>
      <c r="H42" s="45" t="s">
        <v>6</v>
      </c>
      <c r="I42" s="89">
        <v>1.0E7</v>
      </c>
      <c r="J42" s="89">
        <v>600000.0</v>
      </c>
      <c r="K42" s="107" t="str">
        <f t="shared" si="4"/>
        <v>4.47%</v>
      </c>
      <c r="L42" s="46">
        <v>134272.0</v>
      </c>
      <c r="M42" s="109"/>
      <c r="N42" s="45" t="s">
        <v>219</v>
      </c>
      <c r="O42" s="110">
        <v>46108.0</v>
      </c>
      <c r="P42" s="111">
        <v>0.0</v>
      </c>
      <c r="Q42" s="112" t="str">
        <f t="shared" si="3"/>
        <v>-52일</v>
      </c>
      <c r="R42" s="45">
        <v>2301.0</v>
      </c>
      <c r="S42" s="118" t="s">
        <v>220</v>
      </c>
      <c r="T42" s="118" t="s">
        <v>221</v>
      </c>
      <c r="U42" s="118" t="s">
        <v>116</v>
      </c>
      <c r="V42" s="45"/>
      <c r="W42" s="114"/>
      <c r="X42" s="120"/>
      <c r="Y42" s="11"/>
      <c r="Z42" s="11"/>
      <c r="AA42" s="11"/>
    </row>
    <row r="43" ht="16.5" customHeight="1">
      <c r="B43" s="45">
        <v>37.0</v>
      </c>
      <c r="C43" s="45">
        <v>2306.0</v>
      </c>
      <c r="D43" s="45">
        <v>26.15</v>
      </c>
      <c r="E43" s="106" t="str">
        <f t="shared" si="1"/>
        <v>7.91</v>
      </c>
      <c r="F43" s="89">
        <v>1.11E8</v>
      </c>
      <c r="G43" s="89"/>
      <c r="H43" s="45" t="s">
        <v>6</v>
      </c>
      <c r="I43" s="89">
        <v>5000000.0</v>
      </c>
      <c r="J43" s="89">
        <v>420000.0</v>
      </c>
      <c r="K43" s="107" t="str">
        <f t="shared" si="4"/>
        <v>4.75%</v>
      </c>
      <c r="L43" s="46">
        <v>89727.0</v>
      </c>
      <c r="M43" s="109"/>
      <c r="N43" s="45" t="s">
        <v>222</v>
      </c>
      <c r="O43" s="110">
        <v>45970.0</v>
      </c>
      <c r="P43" s="111">
        <v>0.0</v>
      </c>
      <c r="Q43" s="112" t="str">
        <f t="shared" si="3"/>
        <v>-190일</v>
      </c>
      <c r="R43" s="45">
        <v>2306.0</v>
      </c>
      <c r="S43" s="118" t="s">
        <v>223</v>
      </c>
      <c r="T43" s="118" t="s">
        <v>224</v>
      </c>
      <c r="U43" s="118" t="s">
        <v>116</v>
      </c>
      <c r="V43" s="45"/>
      <c r="W43" s="114"/>
      <c r="X43" s="120"/>
      <c r="Y43" s="11"/>
      <c r="Z43" s="11"/>
      <c r="AA43" s="11"/>
    </row>
    <row r="44" ht="16.5" customHeight="1">
      <c r="B44" s="45">
        <v>38.0</v>
      </c>
      <c r="C44" s="45">
        <v>2313.0</v>
      </c>
      <c r="D44" s="45">
        <v>26.15</v>
      </c>
      <c r="E44" s="106" t="str">
        <f t="shared" si="1"/>
        <v>7.91</v>
      </c>
      <c r="F44" s="89">
        <v>1.11E8</v>
      </c>
      <c r="G44" s="89"/>
      <c r="H44" s="45" t="s">
        <v>6</v>
      </c>
      <c r="I44" s="89">
        <v>5000000.0</v>
      </c>
      <c r="J44" s="89">
        <v>420000.0</v>
      </c>
      <c r="K44" s="107" t="str">
        <f t="shared" si="4"/>
        <v>4.75%</v>
      </c>
      <c r="L44" s="46">
        <v>89727.0</v>
      </c>
      <c r="M44" s="109"/>
      <c r="N44" s="45" t="s">
        <v>225</v>
      </c>
      <c r="O44" s="110">
        <v>46001.0</v>
      </c>
      <c r="P44" s="111">
        <v>0.0</v>
      </c>
      <c r="Q44" s="112" t="str">
        <f t="shared" si="3"/>
        <v>-159일</v>
      </c>
      <c r="R44" s="45">
        <v>2313.0</v>
      </c>
      <c r="S44" s="118" t="s">
        <v>226</v>
      </c>
      <c r="T44" s="118" t="s">
        <v>227</v>
      </c>
      <c r="U44" s="118" t="s">
        <v>116</v>
      </c>
      <c r="V44" s="45"/>
      <c r="W44" s="114" t="s">
        <v>228</v>
      </c>
      <c r="X44" s="120"/>
      <c r="Y44" s="11"/>
      <c r="Z44" s="11"/>
      <c r="AA44" s="11"/>
    </row>
    <row r="45" ht="16.5" customHeight="1">
      <c r="B45" s="45">
        <v>39.0</v>
      </c>
      <c r="C45" s="45">
        <v>2314.0</v>
      </c>
      <c r="D45" s="45">
        <v>26.15</v>
      </c>
      <c r="E45" s="106" t="str">
        <f t="shared" si="1"/>
        <v>7.91</v>
      </c>
      <c r="F45" s="89">
        <v>1.15E8</v>
      </c>
      <c r="G45" s="89"/>
      <c r="H45" s="45" t="s">
        <v>6</v>
      </c>
      <c r="I45" s="89">
        <v>5000000.0</v>
      </c>
      <c r="J45" s="89">
        <v>450000.0</v>
      </c>
      <c r="K45" s="107" t="str">
        <f t="shared" si="4"/>
        <v>4.91%</v>
      </c>
      <c r="L45" s="46">
        <v>91287.0</v>
      </c>
      <c r="M45" s="109" t="str">
        <f t="shared" ref="M45:M46" si="6">(J45*12-L45)/(F45-I45)</f>
        <v>4.83%</v>
      </c>
      <c r="N45" s="45"/>
      <c r="O45" s="110"/>
      <c r="P45" s="111">
        <v>0.0</v>
      </c>
      <c r="Q45" s="112"/>
      <c r="R45" s="45"/>
      <c r="S45" s="118"/>
      <c r="T45" s="118"/>
      <c r="U45" s="118"/>
      <c r="V45" s="45"/>
      <c r="W45" s="114" t="s">
        <v>229</v>
      </c>
      <c r="X45" s="120"/>
      <c r="Y45" s="11"/>
      <c r="Z45" s="11"/>
      <c r="AA45" s="11"/>
    </row>
    <row r="46" ht="16.5" customHeight="1">
      <c r="B46" s="45">
        <v>40.0</v>
      </c>
      <c r="C46" s="45">
        <v>2320.0</v>
      </c>
      <c r="D46" s="45">
        <v>26.15</v>
      </c>
      <c r="E46" s="106" t="str">
        <f t="shared" si="1"/>
        <v>7.91</v>
      </c>
      <c r="F46" s="89">
        <v>1.15E8</v>
      </c>
      <c r="G46" s="89"/>
      <c r="H46" s="45" t="s">
        <v>6</v>
      </c>
      <c r="I46" s="89">
        <v>5000000.0</v>
      </c>
      <c r="J46" s="89">
        <v>450000.0</v>
      </c>
      <c r="K46" s="107" t="str">
        <f t="shared" si="4"/>
        <v>4.91%</v>
      </c>
      <c r="L46" s="46">
        <v>91287.0</v>
      </c>
      <c r="M46" s="109" t="str">
        <f t="shared" si="6"/>
        <v>4.83%</v>
      </c>
      <c r="N46" s="45" t="s">
        <v>230</v>
      </c>
      <c r="O46" s="110">
        <v>46100.0</v>
      </c>
      <c r="P46" s="111">
        <v>0.0</v>
      </c>
      <c r="Q46" s="112" t="str">
        <f t="shared" ref="Q46:Q51" si="7">O46-TODAY()</f>
        <v>-60일</v>
      </c>
      <c r="R46" s="45">
        <v>2320.0</v>
      </c>
      <c r="S46" s="118" t="s">
        <v>231</v>
      </c>
      <c r="T46" s="118" t="s">
        <v>232</v>
      </c>
      <c r="U46" s="118" t="s">
        <v>116</v>
      </c>
      <c r="V46" s="45"/>
      <c r="W46" s="114" t="s">
        <v>233</v>
      </c>
      <c r="X46" s="120"/>
      <c r="Y46" s="11"/>
      <c r="Z46" s="11"/>
      <c r="AA46" s="11"/>
    </row>
    <row r="47" ht="16.5" customHeight="1">
      <c r="B47" s="45">
        <v>41.0</v>
      </c>
      <c r="C47" s="45">
        <v>2407.0</v>
      </c>
      <c r="D47" s="45">
        <v>26.15</v>
      </c>
      <c r="E47" s="106" t="str">
        <f t="shared" si="1"/>
        <v>7.91</v>
      </c>
      <c r="F47" s="89">
        <v>1.11E8</v>
      </c>
      <c r="G47" s="89"/>
      <c r="H47" s="45" t="s">
        <v>6</v>
      </c>
      <c r="I47" s="89">
        <v>5000000.0</v>
      </c>
      <c r="J47" s="89">
        <v>420000.0</v>
      </c>
      <c r="K47" s="107" t="str">
        <f t="shared" si="4"/>
        <v>4.75%</v>
      </c>
      <c r="L47" s="46">
        <v>89727.0</v>
      </c>
      <c r="M47" s="109"/>
      <c r="N47" s="45" t="s">
        <v>234</v>
      </c>
      <c r="O47" s="110">
        <v>46001.0</v>
      </c>
      <c r="P47" s="111">
        <v>0.0</v>
      </c>
      <c r="Q47" s="112" t="str">
        <f t="shared" si="7"/>
        <v>-159일</v>
      </c>
      <c r="R47" s="45">
        <v>2407.0</v>
      </c>
      <c r="S47" s="118" t="s">
        <v>235</v>
      </c>
      <c r="T47" s="118" t="s">
        <v>236</v>
      </c>
      <c r="U47" s="118" t="s">
        <v>116</v>
      </c>
      <c r="V47" s="45"/>
      <c r="W47" s="114"/>
      <c r="X47" s="120"/>
      <c r="Y47" s="11"/>
      <c r="Z47" s="11"/>
      <c r="AA47" s="11"/>
    </row>
    <row r="48" ht="16.5" customHeight="1">
      <c r="B48" s="45">
        <v>42.0</v>
      </c>
      <c r="C48" s="45">
        <v>2408.0</v>
      </c>
      <c r="D48" s="45">
        <v>26.15</v>
      </c>
      <c r="E48" s="106" t="str">
        <f t="shared" si="1"/>
        <v>7.91</v>
      </c>
      <c r="F48" s="89">
        <v>1.11E8</v>
      </c>
      <c r="G48" s="89"/>
      <c r="H48" s="45" t="s">
        <v>6</v>
      </c>
      <c r="I48" s="89">
        <v>5000000.0</v>
      </c>
      <c r="J48" s="89">
        <v>400000.0</v>
      </c>
      <c r="K48" s="107" t="str">
        <f t="shared" si="4"/>
        <v>4.53%</v>
      </c>
      <c r="L48" s="46">
        <v>89727.0</v>
      </c>
      <c r="M48" s="109"/>
      <c r="N48" s="45" t="s">
        <v>237</v>
      </c>
      <c r="O48" s="110">
        <v>46154.0</v>
      </c>
      <c r="P48" s="111">
        <v>0.0</v>
      </c>
      <c r="Q48" s="112" t="str">
        <f t="shared" si="7"/>
        <v>-6일</v>
      </c>
      <c r="R48" s="45">
        <v>2408.0</v>
      </c>
      <c r="S48" s="118" t="s">
        <v>238</v>
      </c>
      <c r="T48" s="118" t="s">
        <v>239</v>
      </c>
      <c r="U48" s="118" t="s">
        <v>116</v>
      </c>
      <c r="V48" s="45"/>
      <c r="W48" s="114"/>
      <c r="X48" s="120"/>
      <c r="Y48" s="11"/>
      <c r="Z48" s="11"/>
      <c r="AA48" s="11"/>
    </row>
    <row r="49" ht="16.5" customHeight="1">
      <c r="B49" s="45">
        <v>43.0</v>
      </c>
      <c r="C49" s="45">
        <v>2412.0</v>
      </c>
      <c r="D49" s="45">
        <v>26.15</v>
      </c>
      <c r="E49" s="106" t="str">
        <f t="shared" si="1"/>
        <v>7.91</v>
      </c>
      <c r="F49" s="89">
        <v>1.11E8</v>
      </c>
      <c r="G49" s="89"/>
      <c r="H49" s="45" t="s">
        <v>6</v>
      </c>
      <c r="I49" s="89">
        <v>5000000.0</v>
      </c>
      <c r="J49" s="89">
        <v>420000.0</v>
      </c>
      <c r="K49" s="107" t="str">
        <f t="shared" si="4"/>
        <v>4.75%</v>
      </c>
      <c r="L49" s="46">
        <v>89727.0</v>
      </c>
      <c r="M49" s="109"/>
      <c r="N49" s="45" t="s">
        <v>240</v>
      </c>
      <c r="O49" s="110">
        <v>46166.0</v>
      </c>
      <c r="P49" s="111">
        <v>0.0</v>
      </c>
      <c r="Q49" s="112" t="str">
        <f t="shared" si="7"/>
        <v>6일</v>
      </c>
      <c r="R49" s="45">
        <v>2412.0</v>
      </c>
      <c r="S49" s="118" t="s">
        <v>241</v>
      </c>
      <c r="T49" s="118" t="s">
        <v>242</v>
      </c>
      <c r="U49" s="118" t="s">
        <v>116</v>
      </c>
      <c r="V49" s="45"/>
      <c r="W49" s="119" t="s">
        <v>243</v>
      </c>
      <c r="X49" s="120"/>
      <c r="Y49" s="11"/>
      <c r="Z49" s="11"/>
      <c r="AA49" s="11"/>
    </row>
    <row r="50" ht="16.5" customHeight="1">
      <c r="B50" s="45">
        <v>44.0</v>
      </c>
      <c r="C50" s="45">
        <v>2413.0</v>
      </c>
      <c r="D50" s="45">
        <v>26.15</v>
      </c>
      <c r="E50" s="106" t="str">
        <f t="shared" si="1"/>
        <v>7.91</v>
      </c>
      <c r="F50" s="89">
        <v>1.11E8</v>
      </c>
      <c r="G50" s="89"/>
      <c r="H50" s="45" t="s">
        <v>6</v>
      </c>
      <c r="I50" s="89">
        <v>5000000.0</v>
      </c>
      <c r="J50" s="89">
        <v>420000.0</v>
      </c>
      <c r="K50" s="107" t="str">
        <f t="shared" si="4"/>
        <v>4.75%</v>
      </c>
      <c r="L50" s="46">
        <v>89727.0</v>
      </c>
      <c r="M50" s="109"/>
      <c r="N50" s="45" t="s">
        <v>244</v>
      </c>
      <c r="O50" s="110">
        <v>46131.0</v>
      </c>
      <c r="P50" s="111">
        <v>0.0</v>
      </c>
      <c r="Q50" s="112" t="str">
        <f t="shared" si="7"/>
        <v>-29일</v>
      </c>
      <c r="R50" s="45">
        <v>2413.0</v>
      </c>
      <c r="S50" s="118" t="s">
        <v>245</v>
      </c>
      <c r="T50" s="118" t="s">
        <v>246</v>
      </c>
      <c r="U50" s="118" t="s">
        <v>116</v>
      </c>
      <c r="V50" s="45"/>
      <c r="W50" s="114" t="s">
        <v>247</v>
      </c>
      <c r="X50" s="120"/>
      <c r="Y50" s="11"/>
      <c r="Z50" s="11"/>
      <c r="AA50" s="11"/>
    </row>
    <row r="51" ht="16.5" customHeight="1">
      <c r="B51" s="126">
        <v>45.0</v>
      </c>
      <c r="C51" s="126">
        <v>2414.0</v>
      </c>
      <c r="D51" s="126">
        <v>26.15</v>
      </c>
      <c r="E51" s="127" t="str">
        <f t="shared" si="1"/>
        <v>7.91</v>
      </c>
      <c r="F51" s="128">
        <v>1.15E8</v>
      </c>
      <c r="G51" s="128"/>
      <c r="H51" s="126" t="s">
        <v>156</v>
      </c>
      <c r="I51" s="128">
        <v>9.0E7</v>
      </c>
      <c r="J51" s="129"/>
      <c r="K51" s="107" t="str">
        <f>I51*3.5%/F51</f>
        <v>2.74%</v>
      </c>
      <c r="L51" s="46">
        <v>91287.0</v>
      </c>
      <c r="M51" s="109" t="str">
        <f>(I51*3.5%-L51)/F51</f>
        <v>2.66%</v>
      </c>
      <c r="N51" s="126" t="s">
        <v>248</v>
      </c>
      <c r="O51" s="110">
        <v>46154.0</v>
      </c>
      <c r="P51" s="111">
        <v>0.0</v>
      </c>
      <c r="Q51" s="112" t="str">
        <f t="shared" si="7"/>
        <v>-6일</v>
      </c>
      <c r="R51" s="45">
        <v>2414.0</v>
      </c>
      <c r="S51" s="118" t="s">
        <v>249</v>
      </c>
      <c r="T51" s="118" t="s">
        <v>250</v>
      </c>
      <c r="U51" s="123" t="s">
        <v>160</v>
      </c>
      <c r="V51" s="130"/>
      <c r="W51" s="131" t="s">
        <v>251</v>
      </c>
      <c r="X51" s="120"/>
      <c r="Y51" s="15"/>
      <c r="Z51" s="15"/>
      <c r="AA51" s="15"/>
      <c r="AB51" s="130"/>
    </row>
    <row r="52" ht="16.5" customHeight="1">
      <c r="A52" s="132" t="s">
        <v>252</v>
      </c>
      <c r="B52" s="67"/>
      <c r="C52" s="67"/>
      <c r="D52" s="67"/>
      <c r="E52" s="68"/>
      <c r="F52" s="133" t="str">
        <f>SUM(F7:F51)</f>
        <v>5,565,000,000 </v>
      </c>
      <c r="G52" s="133"/>
      <c r="H52" s="134"/>
      <c r="I52" s="133" t="str">
        <f t="shared" ref="I52:J52" si="8">SUM(I7:I51)</f>
        <v>435,000,000 </v>
      </c>
      <c r="J52" s="133" t="str">
        <f t="shared" si="8"/>
        <v>20,480,000 </v>
      </c>
      <c r="K52" s="135"/>
      <c r="L52" s="136"/>
      <c r="M52" s="135" t="str">
        <f>SUM(M7:M51)/16</f>
        <v>4.23%</v>
      </c>
      <c r="N52" s="137"/>
      <c r="O52" s="137"/>
      <c r="P52" s="138" t="str">
        <f>SUM(P7:P51)</f>
        <v>1,300,000 </v>
      </c>
      <c r="Q52" s="138"/>
      <c r="R52" s="138"/>
      <c r="S52" s="138"/>
      <c r="T52" s="138"/>
      <c r="U52" s="138"/>
      <c r="V52" s="138"/>
      <c r="W52" s="137"/>
      <c r="X52" s="133">
        <v>2.99E9</v>
      </c>
      <c r="Y52" s="114"/>
      <c r="Z52" s="114"/>
    </row>
    <row r="53" ht="16.5" customHeight="1">
      <c r="E53" t="s">
        <v>24</v>
      </c>
      <c r="F53" s="65" t="str">
        <f>SUM(F7:F11)</f>
        <v>728,000,000 </v>
      </c>
      <c r="G53" s="65"/>
      <c r="I53" t="s">
        <v>24</v>
      </c>
      <c r="J53" s="65" t="str">
        <f>SUM(J7:J11)</f>
        <v>2,850,000 </v>
      </c>
      <c r="K53" s="65"/>
      <c r="O53" t="s">
        <v>24</v>
      </c>
      <c r="P53" s="139" t="str">
        <f>SUM(P7:P11)</f>
        <v>0 </v>
      </c>
    </row>
    <row r="54" ht="16.5" customHeight="1">
      <c r="E54" t="s">
        <v>27</v>
      </c>
      <c r="F54" s="65" t="str">
        <f>SUM(F12:F51)</f>
        <v>4,837,000,000 </v>
      </c>
      <c r="G54" s="65"/>
      <c r="I54" t="s">
        <v>27</v>
      </c>
      <c r="J54" s="65" t="str">
        <f>SUM(J12:J51)</f>
        <v>17,630,000 </v>
      </c>
      <c r="O54" t="s">
        <v>27</v>
      </c>
      <c r="P54" s="139" t="str">
        <f>SUM(P12:P51)</f>
        <v>1,300,000 </v>
      </c>
    </row>
    <row r="55" ht="16.5" customHeight="1">
      <c r="I55" t="s">
        <v>24</v>
      </c>
      <c r="J55" s="65" t="str">
        <f>SUM(I7:I11)</f>
        <v>30,000,000 </v>
      </c>
    </row>
    <row r="56" ht="16.5" customHeight="1">
      <c r="I56" t="s">
        <v>27</v>
      </c>
      <c r="J56" s="65" t="str">
        <f>SUM(I12:I51)</f>
        <v>405,000,000 </v>
      </c>
    </row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12">
    <mergeCell ref="Z7:Z11"/>
    <mergeCell ref="Y8:Y11"/>
    <mergeCell ref="X7:X51"/>
    <mergeCell ref="Y12:Y51"/>
    <mergeCell ref="AA12:AA51"/>
    <mergeCell ref="A52:E52"/>
    <mergeCell ref="A1:M2"/>
    <mergeCell ref="A5:AB5"/>
    <mergeCell ref="A7:A11"/>
    <mergeCell ref="AA7:AA11"/>
    <mergeCell ref="A12:A51"/>
    <mergeCell ref="Z12:Z51"/>
  </mergeCells>
  <conditionalFormatting sqref="P7:P52 Q52:V52">
    <cfRule type="cellIs" dxfId="0" priority="1" operator="greaterThan">
      <formula>1</formula>
    </cfRule>
  </conditionalFormatting>
  <conditionalFormatting sqref="Q6:Q52 R5">
    <cfRule type="cellIs" dxfId="1" priority="2" operator="lessThan">
      <formula>0</formula>
    </cfRule>
  </conditionalFormatting>
  <conditionalFormatting sqref="Q7:Q51">
    <cfRule type="cellIs" dxfId="2" priority="3" operator="lessThan">
      <formula>60</formula>
    </cfRule>
  </conditionalFormatting>
  <conditionalFormatting sqref="Q7:Q51">
    <cfRule type="cellIs" dxfId="3" priority="4" operator="lessThan">
      <formula>61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5" width="8.71"/>
    <col customWidth="1" min="6" max="6" width="13.57"/>
    <col customWidth="1" min="7" max="7" width="11.86"/>
    <col customWidth="1" min="8" max="8" width="9.86"/>
    <col customWidth="1" min="9" max="9" width="7.14"/>
    <col customWidth="1" min="10" max="10" width="10.86"/>
    <col customWidth="1" min="11" max="11" width="7.14"/>
    <col customWidth="1" min="12" max="12" width="5.29"/>
    <col customWidth="1" min="13" max="13" width="20.71"/>
    <col customWidth="1" min="14" max="14" width="5.29"/>
    <col customWidth="1" min="15" max="15" width="15.29"/>
    <col customWidth="1" min="16" max="16" width="14.43"/>
    <col customWidth="1" min="17" max="17" width="37.86"/>
  </cols>
  <sheetData>
    <row r="1" ht="16.5" customHeight="1">
      <c r="A1" s="47" t="s">
        <v>253</v>
      </c>
    </row>
    <row r="2" ht="16.5" customHeight="1"/>
    <row r="3" ht="16.5" customHeight="1"/>
    <row r="4" ht="16.5" customHeight="1">
      <c r="A4" s="69" t="s">
        <v>2</v>
      </c>
      <c r="B4" s="69" t="s">
        <v>48</v>
      </c>
      <c r="C4" s="69" t="s">
        <v>82</v>
      </c>
      <c r="D4" s="69" t="s">
        <v>50</v>
      </c>
      <c r="E4" s="69" t="s">
        <v>51</v>
      </c>
      <c r="F4" s="70" t="s">
        <v>61</v>
      </c>
      <c r="G4" s="69" t="s">
        <v>5</v>
      </c>
      <c r="H4" s="69" t="s">
        <v>6</v>
      </c>
      <c r="I4" s="70" t="s">
        <v>254</v>
      </c>
      <c r="J4" s="70" t="s">
        <v>53</v>
      </c>
      <c r="K4" s="70" t="s">
        <v>255</v>
      </c>
      <c r="L4" s="70" t="s">
        <v>256</v>
      </c>
      <c r="M4" s="69" t="s">
        <v>94</v>
      </c>
      <c r="N4" s="69" t="s">
        <v>257</v>
      </c>
      <c r="O4" s="69" t="s">
        <v>258</v>
      </c>
      <c r="P4" s="69" t="s">
        <v>259</v>
      </c>
      <c r="Q4" s="69" t="s">
        <v>101</v>
      </c>
    </row>
    <row r="5" ht="33.0" customHeight="1">
      <c r="A5" s="6" t="s">
        <v>10</v>
      </c>
      <c r="B5" s="16">
        <v>1.0</v>
      </c>
      <c r="C5" s="16" t="s">
        <v>260</v>
      </c>
      <c r="D5" s="16">
        <v>751.53</v>
      </c>
      <c r="E5" s="140" t="str">
        <f>D5/3.3058</f>
        <v>227.34</v>
      </c>
      <c r="F5" s="72">
        <v>1.5E9</v>
      </c>
      <c r="G5" s="36">
        <v>5.0E7</v>
      </c>
      <c r="H5" s="73">
        <v>5500000.0</v>
      </c>
      <c r="I5" s="141" t="str">
        <f t="shared" ref="I5:I6" si="1">H5*12/(F5-J5)</f>
        <v>4.4%</v>
      </c>
      <c r="J5" s="29" t="str">
        <f>1763928+1284709</f>
        <v>  3,048,637 </v>
      </c>
      <c r="K5" s="142" t="str">
        <f t="shared" ref="K5:K6" si="2">(H5*12-J5)/(F5-G5)</f>
        <v>4.34%</v>
      </c>
      <c r="L5" s="16" t="s">
        <v>261</v>
      </c>
      <c r="M5" s="16" t="s">
        <v>262</v>
      </c>
      <c r="N5" s="20"/>
      <c r="O5" s="20"/>
      <c r="P5" s="20" t="s">
        <v>263</v>
      </c>
      <c r="Q5" s="143" t="s">
        <v>264</v>
      </c>
    </row>
    <row r="6" ht="33.0" customHeight="1">
      <c r="A6" s="15"/>
      <c r="B6" s="16">
        <v>2.0</v>
      </c>
      <c r="C6" s="16" t="s">
        <v>265</v>
      </c>
      <c r="D6" s="144" t="str">
        <f>E6*3.3058</f>
        <v>128.9</v>
      </c>
      <c r="E6" s="16">
        <v>39.0</v>
      </c>
      <c r="F6" s="72">
        <v>3.0E8</v>
      </c>
      <c r="G6" s="36">
        <v>1.0E7</v>
      </c>
      <c r="H6" s="73">
        <v>850000.0</v>
      </c>
      <c r="I6" s="141" t="str">
        <f t="shared" si="1"/>
        <v>3.4%</v>
      </c>
      <c r="J6" s="21">
        <v>374720.0</v>
      </c>
      <c r="K6" s="142" t="str">
        <f t="shared" si="2"/>
        <v>3.39%</v>
      </c>
      <c r="L6" s="73" t="s">
        <v>266</v>
      </c>
      <c r="M6" s="20"/>
      <c r="N6" s="20"/>
      <c r="O6" s="20"/>
      <c r="P6" s="20"/>
      <c r="Q6" s="20"/>
    </row>
    <row r="7" ht="24.0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2">
    <mergeCell ref="A1:J2"/>
    <mergeCell ref="A5:A6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1.14"/>
    <col customWidth="1" min="5" max="5" width="16.57"/>
    <col customWidth="1" min="6" max="6" width="23.43"/>
    <col customWidth="1" min="7" max="7" width="14.57"/>
    <col customWidth="1" min="8" max="8" width="37.57"/>
    <col customWidth="1" min="9" max="9" width="10.86"/>
    <col customWidth="1" min="10" max="11" width="8.71"/>
  </cols>
  <sheetData>
    <row r="1" ht="16.5" customHeight="1">
      <c r="A1" s="47" t="s">
        <v>267</v>
      </c>
    </row>
    <row r="2" ht="16.5" customHeight="1"/>
    <row r="3" ht="16.5" customHeight="1"/>
    <row r="4" ht="16.5" customHeight="1">
      <c r="A4" s="145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3"/>
    </row>
    <row r="5" ht="16.5" customHeight="1">
      <c r="A5" s="146" t="s">
        <v>2</v>
      </c>
      <c r="B5" s="146" t="s">
        <v>48</v>
      </c>
      <c r="C5" s="146" t="s">
        <v>49</v>
      </c>
      <c r="D5" s="146" t="s">
        <v>50</v>
      </c>
      <c r="E5" s="146" t="s">
        <v>51</v>
      </c>
      <c r="F5" s="147" t="s">
        <v>61</v>
      </c>
      <c r="G5" s="147" t="s">
        <v>268</v>
      </c>
      <c r="H5" s="146" t="s">
        <v>62</v>
      </c>
      <c r="I5" s="146" t="s">
        <v>53</v>
      </c>
      <c r="J5" s="146" t="s">
        <v>257</v>
      </c>
      <c r="K5" s="146" t="s">
        <v>269</v>
      </c>
    </row>
    <row r="6" ht="16.5" customHeight="1">
      <c r="A6" s="16" t="s">
        <v>11</v>
      </c>
      <c r="B6" s="16">
        <v>1.0</v>
      </c>
      <c r="C6" s="84" t="s">
        <v>270</v>
      </c>
      <c r="D6" s="16">
        <v>150.0</v>
      </c>
      <c r="E6" s="140" t="str">
        <f>D6/3.3058</f>
        <v>45.37</v>
      </c>
      <c r="F6" s="72" t="str">
        <f>E50</f>
        <v>1,437,175,541 </v>
      </c>
      <c r="G6" s="72" t="str">
        <f>2842000*D6</f>
        <v>426,300,000 </v>
      </c>
      <c r="H6" s="16" t="s">
        <v>271</v>
      </c>
      <c r="I6" s="36">
        <v>3197670.0</v>
      </c>
      <c r="J6" s="16"/>
      <c r="K6" s="73"/>
    </row>
    <row r="7" ht="16.5" customHeight="1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</row>
    <row r="8" ht="16.5" customHeight="1">
      <c r="A8" s="148"/>
      <c r="B8" s="148"/>
      <c r="C8" s="148"/>
      <c r="D8" s="148"/>
      <c r="E8" s="148" t="str">
        <f>E6*35000000</f>
        <v>1588117853</v>
      </c>
      <c r="F8" s="148"/>
      <c r="G8" s="148"/>
      <c r="H8" s="148"/>
      <c r="I8" s="148"/>
      <c r="J8" s="148"/>
      <c r="K8" s="148"/>
    </row>
    <row r="9" ht="16.5" customHeight="1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</row>
    <row r="10" ht="16.5" customHeight="1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</row>
    <row r="11" ht="16.5" customHeight="1">
      <c r="A11" s="148"/>
      <c r="B11" s="149" t="s">
        <v>272</v>
      </c>
      <c r="G11" s="149"/>
      <c r="H11" s="148"/>
      <c r="I11" s="148"/>
      <c r="J11" s="148"/>
      <c r="K11" s="148"/>
    </row>
    <row r="12" ht="16.5" customHeight="1">
      <c r="A12" s="148"/>
      <c r="B12" s="148"/>
      <c r="C12" s="148"/>
      <c r="D12" s="148"/>
      <c r="E12" s="46"/>
      <c r="F12" s="148"/>
      <c r="G12" s="148"/>
      <c r="H12" s="148"/>
      <c r="I12" s="148"/>
      <c r="J12" s="148"/>
      <c r="K12" s="148"/>
    </row>
    <row r="13" ht="16.5" customHeight="1">
      <c r="A13" s="148"/>
      <c r="B13" s="150" t="s">
        <v>2</v>
      </c>
      <c r="C13" s="150" t="s">
        <v>3</v>
      </c>
      <c r="D13" s="150" t="s">
        <v>273</v>
      </c>
      <c r="E13" s="151" t="s">
        <v>274</v>
      </c>
      <c r="F13" s="150" t="s">
        <v>101</v>
      </c>
      <c r="G13" s="45"/>
      <c r="H13" s="148"/>
      <c r="I13" s="148"/>
      <c r="J13" s="148"/>
      <c r="K13" s="148"/>
    </row>
    <row r="14" ht="16.5" customHeight="1">
      <c r="A14" s="148"/>
      <c r="B14" s="152" t="s">
        <v>11</v>
      </c>
      <c r="C14" s="20" t="s">
        <v>275</v>
      </c>
      <c r="D14" s="153">
        <v>44329.0</v>
      </c>
      <c r="E14" s="29">
        <v>1.3E8</v>
      </c>
      <c r="F14" s="20" t="s">
        <v>276</v>
      </c>
      <c r="G14" s="148"/>
      <c r="H14" s="148"/>
      <c r="I14" s="148"/>
      <c r="J14" s="148"/>
      <c r="K14" s="148"/>
    </row>
    <row r="15" ht="16.5" customHeight="1">
      <c r="A15" s="148"/>
      <c r="B15" s="11"/>
      <c r="C15" s="20" t="s">
        <v>277</v>
      </c>
      <c r="D15" s="153">
        <v>44329.0</v>
      </c>
      <c r="E15" s="29">
        <v>5.0E8</v>
      </c>
      <c r="F15" s="20"/>
      <c r="G15" s="148"/>
      <c r="H15" s="148"/>
      <c r="I15" s="148"/>
      <c r="J15" s="148"/>
      <c r="K15" s="148"/>
    </row>
    <row r="16" ht="16.5" customHeight="1">
      <c r="A16" s="148"/>
      <c r="B16" s="11"/>
      <c r="C16" s="20" t="s">
        <v>278</v>
      </c>
      <c r="D16" s="153">
        <v>44351.0</v>
      </c>
      <c r="E16" s="29">
        <v>6.7E8</v>
      </c>
      <c r="F16" s="20"/>
      <c r="G16" s="148"/>
      <c r="H16" s="148"/>
      <c r="I16" s="148"/>
      <c r="J16" s="148"/>
      <c r="K16" s="148"/>
    </row>
    <row r="17" ht="16.5" customHeight="1">
      <c r="A17" s="148"/>
      <c r="B17" s="15"/>
      <c r="C17" s="154" t="s">
        <v>279</v>
      </c>
      <c r="D17" s="33"/>
      <c r="E17" s="155" t="str">
        <f>SUM(E14:E16)</f>
        <v>  1,300,000,000 </v>
      </c>
      <c r="F17" s="20"/>
      <c r="G17" s="148"/>
      <c r="H17" s="148"/>
      <c r="I17" s="148"/>
      <c r="J17" s="148"/>
      <c r="K17" s="148"/>
    </row>
    <row r="18" ht="16.5" customHeight="1">
      <c r="A18" s="148"/>
      <c r="B18" s="152" t="s">
        <v>280</v>
      </c>
      <c r="C18" s="20" t="s">
        <v>281</v>
      </c>
      <c r="D18" s="153">
        <v>44348.0</v>
      </c>
      <c r="E18" s="29">
        <v>15000.0</v>
      </c>
      <c r="F18" s="20"/>
      <c r="G18" s="148"/>
      <c r="H18" s="148"/>
      <c r="I18" s="148"/>
      <c r="J18" s="148"/>
      <c r="K18" s="148"/>
    </row>
    <row r="19" ht="16.5" customHeight="1">
      <c r="A19" s="148"/>
      <c r="B19" s="11"/>
      <c r="C19" s="20" t="s">
        <v>282</v>
      </c>
      <c r="D19" s="153">
        <v>44348.0</v>
      </c>
      <c r="E19" s="29">
        <v>15000.0</v>
      </c>
      <c r="F19" s="20"/>
      <c r="G19" s="148"/>
      <c r="H19" s="148"/>
      <c r="I19" s="148"/>
      <c r="J19" s="148"/>
      <c r="K19" s="148"/>
    </row>
    <row r="20" ht="16.5" customHeight="1">
      <c r="A20" s="148"/>
      <c r="B20" s="11"/>
      <c r="C20" s="20" t="s">
        <v>283</v>
      </c>
      <c r="D20" s="153">
        <v>44348.0</v>
      </c>
      <c r="E20" s="29">
        <v>5.228E7</v>
      </c>
      <c r="F20" s="20"/>
      <c r="G20" s="148"/>
      <c r="H20" s="148"/>
      <c r="I20" s="148"/>
      <c r="J20" s="148"/>
      <c r="K20" s="148"/>
    </row>
    <row r="21" ht="16.5" customHeight="1">
      <c r="A21" s="148"/>
      <c r="B21" s="11"/>
      <c r="C21" s="20" t="s">
        <v>284</v>
      </c>
      <c r="D21" s="153">
        <v>44348.0</v>
      </c>
      <c r="E21" s="29">
        <v>5228000.0</v>
      </c>
      <c r="F21" s="20"/>
      <c r="G21" s="148"/>
      <c r="H21" s="148"/>
      <c r="I21" s="148"/>
      <c r="J21" s="148"/>
      <c r="K21" s="148"/>
    </row>
    <row r="22" ht="16.5" customHeight="1">
      <c r="A22" s="148"/>
      <c r="B22" s="11"/>
      <c r="C22" s="20" t="s">
        <v>285</v>
      </c>
      <c r="D22" s="153">
        <v>44348.0</v>
      </c>
      <c r="E22" s="29">
        <v>2614000.0</v>
      </c>
      <c r="F22" s="20"/>
      <c r="G22" s="148"/>
      <c r="H22" s="148"/>
      <c r="I22" s="148"/>
      <c r="J22" s="148"/>
      <c r="K22" s="148"/>
    </row>
    <row r="23" ht="16.5" customHeight="1">
      <c r="A23" s="148"/>
      <c r="B23" s="11"/>
      <c r="C23" s="20" t="s">
        <v>286</v>
      </c>
      <c r="D23" s="153">
        <v>44348.0</v>
      </c>
      <c r="E23" s="29">
        <v>350000.0</v>
      </c>
      <c r="F23" s="20"/>
      <c r="G23" s="148"/>
      <c r="H23" s="148"/>
      <c r="I23" s="148"/>
      <c r="J23" s="148"/>
      <c r="K23" s="148"/>
    </row>
    <row r="24" ht="16.5" customHeight="1">
      <c r="A24" s="148"/>
      <c r="B24" s="11"/>
      <c r="C24" s="20" t="s">
        <v>287</v>
      </c>
      <c r="D24" s="153">
        <v>44348.0</v>
      </c>
      <c r="E24" s="29">
        <v>499935.0</v>
      </c>
      <c r="F24" s="20"/>
      <c r="G24" s="148"/>
      <c r="H24" s="148"/>
      <c r="I24" s="148"/>
      <c r="J24" s="148"/>
      <c r="K24" s="148"/>
    </row>
    <row r="25" ht="16.5" customHeight="1">
      <c r="A25" s="148"/>
      <c r="B25" s="11"/>
      <c r="C25" s="20" t="s">
        <v>288</v>
      </c>
      <c r="D25" s="153">
        <v>44348.0</v>
      </c>
      <c r="E25" s="29">
        <v>1094565.0</v>
      </c>
      <c r="F25" s="20"/>
      <c r="G25" s="148"/>
      <c r="H25" s="148"/>
      <c r="I25" s="148"/>
      <c r="J25" s="148"/>
      <c r="K25" s="148"/>
    </row>
    <row r="26" ht="16.5" customHeight="1">
      <c r="A26" s="148"/>
      <c r="B26" s="11"/>
      <c r="C26" s="20" t="s">
        <v>289</v>
      </c>
      <c r="D26" s="153">
        <v>44348.0</v>
      </c>
      <c r="E26" s="29">
        <v>200000.0</v>
      </c>
      <c r="F26" s="20"/>
      <c r="G26" s="148"/>
      <c r="H26" s="148"/>
      <c r="I26" s="148"/>
      <c r="J26" s="148"/>
      <c r="K26" s="148"/>
    </row>
    <row r="27" ht="16.5" customHeight="1">
      <c r="A27" s="148"/>
      <c r="B27" s="11"/>
      <c r="C27" s="20" t="s">
        <v>290</v>
      </c>
      <c r="D27" s="153">
        <v>44351.0</v>
      </c>
      <c r="E27" s="29">
        <v>5700000.0</v>
      </c>
      <c r="F27" s="20" t="s">
        <v>291</v>
      </c>
      <c r="G27" s="148"/>
      <c r="H27" s="148"/>
      <c r="I27" s="148"/>
      <c r="J27" s="148"/>
      <c r="K27" s="148"/>
    </row>
    <row r="28" ht="16.5" customHeight="1">
      <c r="A28" s="148"/>
      <c r="B28" s="15"/>
      <c r="C28" s="154" t="s">
        <v>279</v>
      </c>
      <c r="D28" s="33"/>
      <c r="E28" s="155" t="str">
        <f>SUM(E18:E27)</f>
        <v>  67,996,500 </v>
      </c>
      <c r="F28" s="20"/>
      <c r="G28" s="148"/>
      <c r="H28" s="148"/>
      <c r="I28" s="148"/>
      <c r="J28" s="148"/>
      <c r="K28" s="148"/>
    </row>
    <row r="29" ht="16.5" customHeight="1">
      <c r="A29" s="148"/>
      <c r="B29" s="152" t="s">
        <v>292</v>
      </c>
      <c r="C29" s="20" t="s">
        <v>293</v>
      </c>
      <c r="D29" s="20"/>
      <c r="E29" s="29"/>
      <c r="F29" s="156" t="s">
        <v>294</v>
      </c>
      <c r="G29" s="105"/>
      <c r="H29" s="148"/>
      <c r="I29" s="148"/>
      <c r="J29" s="148"/>
      <c r="K29" s="148"/>
    </row>
    <row r="30" ht="16.5" customHeight="1">
      <c r="A30" s="148"/>
      <c r="B30" s="11"/>
      <c r="C30" s="6" t="s">
        <v>295</v>
      </c>
      <c r="D30" s="153">
        <v>44476.0</v>
      </c>
      <c r="E30" s="29">
        <v>3227397.0</v>
      </c>
      <c r="F30" s="11"/>
      <c r="G30" s="45"/>
      <c r="H30" s="148"/>
      <c r="I30" s="148"/>
      <c r="J30" s="148"/>
      <c r="K30" s="148"/>
    </row>
    <row r="31" ht="16.5" customHeight="1">
      <c r="A31" s="148"/>
      <c r="B31" s="11"/>
      <c r="C31" s="11"/>
      <c r="D31" s="153">
        <v>44508.0</v>
      </c>
      <c r="E31" s="29">
        <v>3330107.0</v>
      </c>
      <c r="F31" s="11"/>
      <c r="G31" s="45"/>
      <c r="H31" s="148"/>
      <c r="I31" s="148"/>
      <c r="J31" s="148"/>
      <c r="K31" s="148"/>
    </row>
    <row r="32" ht="16.5" customHeight="1">
      <c r="A32" s="148"/>
      <c r="B32" s="11"/>
      <c r="C32" s="11"/>
      <c r="D32" s="153">
        <v>44536.0</v>
      </c>
      <c r="E32" s="29">
        <v>2912619.0</v>
      </c>
      <c r="F32" s="11"/>
      <c r="G32" s="45"/>
      <c r="H32" s="148"/>
      <c r="I32" s="148"/>
      <c r="J32" s="148"/>
      <c r="K32" s="148"/>
    </row>
    <row r="33" ht="16.5" customHeight="1">
      <c r="A33" s="148"/>
      <c r="B33" s="11"/>
      <c r="C33" s="11"/>
      <c r="D33" s="153">
        <v>44567.0</v>
      </c>
      <c r="E33" s="29">
        <v>3209758.0</v>
      </c>
      <c r="F33" s="11"/>
      <c r="G33" s="45"/>
      <c r="H33" s="148"/>
      <c r="I33" s="148"/>
      <c r="J33" s="148"/>
      <c r="K33" s="148"/>
    </row>
    <row r="34" ht="16.5" customHeight="1">
      <c r="A34" s="148"/>
      <c r="B34" s="11"/>
      <c r="C34" s="11"/>
      <c r="D34" s="153">
        <v>44599.0</v>
      </c>
      <c r="E34" s="29">
        <v>3311906.0</v>
      </c>
      <c r="F34" s="11"/>
      <c r="G34" s="45"/>
      <c r="H34" s="148"/>
      <c r="I34" s="148"/>
      <c r="J34" s="148"/>
      <c r="K34" s="148"/>
    </row>
    <row r="35" ht="16.5" customHeight="1">
      <c r="A35" s="148"/>
      <c r="B35" s="11"/>
      <c r="C35" s="11"/>
      <c r="D35" s="153">
        <v>44627.0</v>
      </c>
      <c r="E35" s="29">
        <v>2917695.0</v>
      </c>
      <c r="F35" s="11"/>
      <c r="G35" s="45"/>
      <c r="H35" s="148"/>
      <c r="I35" s="148"/>
      <c r="J35" s="148"/>
      <c r="K35" s="148"/>
    </row>
    <row r="36" ht="16.5" customHeight="1">
      <c r="A36" s="148"/>
      <c r="B36" s="11"/>
      <c r="C36" s="11"/>
      <c r="D36" s="153">
        <v>44657.0</v>
      </c>
      <c r="E36" s="29">
        <v>3731941.0</v>
      </c>
      <c r="F36" s="11"/>
      <c r="G36" s="45"/>
      <c r="H36" s="148"/>
      <c r="I36" s="148"/>
      <c r="J36" s="148"/>
      <c r="K36" s="148"/>
    </row>
    <row r="37" ht="16.5" customHeight="1">
      <c r="A37" s="148"/>
      <c r="B37" s="11"/>
      <c r="C37" s="11"/>
      <c r="D37" s="153">
        <v>44691.0</v>
      </c>
      <c r="E37" s="29">
        <v>4227752.0</v>
      </c>
      <c r="F37" s="11"/>
      <c r="G37" s="45"/>
      <c r="H37" s="148"/>
      <c r="I37" s="148"/>
      <c r="J37" s="148"/>
      <c r="K37" s="148"/>
    </row>
    <row r="38" ht="16.5" customHeight="1">
      <c r="A38" s="148"/>
      <c r="B38" s="11"/>
      <c r="C38" s="11"/>
      <c r="D38" s="153">
        <v>44719.0</v>
      </c>
      <c r="E38" s="29">
        <v>3476170.0</v>
      </c>
      <c r="F38" s="11"/>
      <c r="G38" s="45"/>
      <c r="H38" s="148"/>
      <c r="I38" s="148"/>
      <c r="J38" s="148"/>
      <c r="K38" s="148"/>
    </row>
    <row r="39" ht="16.5" customHeight="1">
      <c r="A39" s="148"/>
      <c r="B39" s="11"/>
      <c r="C39" s="11"/>
      <c r="D39" s="153">
        <v>44748.0</v>
      </c>
      <c r="E39" s="29">
        <v>3485842.0</v>
      </c>
      <c r="F39" s="11"/>
      <c r="G39" s="45"/>
      <c r="H39" s="148"/>
      <c r="I39" s="148"/>
      <c r="J39" s="148"/>
      <c r="K39" s="148"/>
    </row>
    <row r="40" ht="16.5" customHeight="1">
      <c r="A40" s="148"/>
      <c r="B40" s="11"/>
      <c r="C40" s="11"/>
      <c r="D40" s="153">
        <v>44781.0</v>
      </c>
      <c r="E40" s="29">
        <v>3964975.0</v>
      </c>
      <c r="F40" s="11"/>
      <c r="G40" s="45"/>
      <c r="H40" s="148"/>
      <c r="I40" s="148"/>
      <c r="J40" s="148"/>
      <c r="K40" s="148"/>
    </row>
    <row r="41" ht="16.5" customHeight="1">
      <c r="A41" s="148"/>
      <c r="B41" s="11"/>
      <c r="C41" s="11"/>
      <c r="D41" s="153">
        <v>44810.0</v>
      </c>
      <c r="E41" s="29">
        <v>3482902.0</v>
      </c>
      <c r="F41" s="11"/>
      <c r="G41" s="45"/>
      <c r="H41" s="148"/>
      <c r="I41" s="148"/>
      <c r="J41" s="148"/>
      <c r="K41" s="148"/>
    </row>
    <row r="42" ht="16.5" customHeight="1">
      <c r="A42" s="148"/>
      <c r="B42" s="11"/>
      <c r="C42" s="11"/>
      <c r="D42" s="153">
        <v>44840.0</v>
      </c>
      <c r="E42" s="29">
        <v>4001374.0</v>
      </c>
      <c r="F42" s="11"/>
      <c r="G42" s="45"/>
      <c r="H42" s="148"/>
      <c r="I42" s="148"/>
      <c r="J42" s="148"/>
      <c r="K42" s="148"/>
    </row>
    <row r="43" ht="16.5" customHeight="1">
      <c r="A43" s="148"/>
      <c r="B43" s="11"/>
      <c r="C43" s="11"/>
      <c r="D43" s="153">
        <v>44872.0</v>
      </c>
      <c r="E43" s="29">
        <v>4266331.0</v>
      </c>
      <c r="F43" s="11"/>
      <c r="G43" s="45"/>
      <c r="H43" s="148"/>
      <c r="I43" s="148"/>
      <c r="J43" s="148"/>
      <c r="K43" s="148"/>
    </row>
    <row r="44" ht="16.5" customHeight="1">
      <c r="A44" s="148"/>
      <c r="B44" s="11"/>
      <c r="C44" s="11"/>
      <c r="D44" s="153">
        <v>44901.0</v>
      </c>
      <c r="E44" s="29">
        <v>3864730.0</v>
      </c>
      <c r="F44" s="11"/>
      <c r="G44" s="45"/>
      <c r="H44" s="148"/>
      <c r="I44" s="148"/>
      <c r="J44" s="148"/>
      <c r="K44" s="148"/>
    </row>
    <row r="45" ht="16.5" customHeight="1">
      <c r="A45" s="148"/>
      <c r="B45" s="11"/>
      <c r="C45" s="11"/>
      <c r="D45" s="153">
        <v>44932.0</v>
      </c>
      <c r="E45" s="29">
        <v>5365925.0</v>
      </c>
      <c r="F45" s="11"/>
      <c r="G45" s="45"/>
      <c r="H45" s="148"/>
      <c r="I45" s="148"/>
      <c r="J45" s="148"/>
      <c r="K45" s="148"/>
    </row>
    <row r="46" ht="16.5" customHeight="1">
      <c r="A46" s="148"/>
      <c r="B46" s="11"/>
      <c r="C46" s="11"/>
      <c r="D46" s="153">
        <v>44963.0</v>
      </c>
      <c r="E46" s="29">
        <v>5363657.0</v>
      </c>
      <c r="F46" s="11"/>
      <c r="G46" s="45"/>
      <c r="H46" s="148"/>
      <c r="I46" s="148"/>
      <c r="J46" s="148"/>
      <c r="K46" s="148"/>
    </row>
    <row r="47" ht="16.5" customHeight="1">
      <c r="A47" s="148"/>
      <c r="B47" s="11"/>
      <c r="C47" s="11"/>
      <c r="D47" s="153">
        <v>44991.0</v>
      </c>
      <c r="E47" s="29">
        <v>4842545.0</v>
      </c>
      <c r="F47" s="11"/>
      <c r="G47" s="45"/>
      <c r="H47" s="148"/>
      <c r="I47" s="148"/>
      <c r="J47" s="148"/>
      <c r="K47" s="148"/>
    </row>
    <row r="48" ht="16.5" customHeight="1">
      <c r="A48" s="148"/>
      <c r="B48" s="11"/>
      <c r="C48" s="15"/>
      <c r="D48" s="153">
        <v>44992.0</v>
      </c>
      <c r="E48" s="29">
        <v>195415.0</v>
      </c>
      <c r="F48" s="15"/>
      <c r="G48" s="45"/>
      <c r="H48" s="148"/>
      <c r="I48" s="148"/>
      <c r="J48" s="148"/>
      <c r="K48" s="148"/>
    </row>
    <row r="49" ht="16.5" customHeight="1">
      <c r="A49" s="148"/>
      <c r="B49" s="157"/>
      <c r="C49" s="158" t="s">
        <v>279</v>
      </c>
      <c r="D49" s="159"/>
      <c r="E49" s="160" t="str">
        <f>SUM(E30:E48)</f>
        <v>  69,179,041 </v>
      </c>
      <c r="F49" s="161"/>
      <c r="G49" s="148"/>
      <c r="H49" s="148"/>
      <c r="I49" s="148"/>
      <c r="J49" s="148"/>
      <c r="K49" s="148"/>
    </row>
    <row r="50" ht="16.5" customHeight="1">
      <c r="A50" s="148"/>
      <c r="B50" s="162" t="s">
        <v>22</v>
      </c>
      <c r="C50" s="49"/>
      <c r="D50" s="163"/>
      <c r="E50" s="164" t="str">
        <f>E49+E28+E17</f>
        <v>  1,437,175,541 </v>
      </c>
      <c r="F50" s="165"/>
      <c r="G50" s="166" t="str">
        <f>E50/E6</f>
        <v>  31,673,432.69 </v>
      </c>
      <c r="H50" s="148" t="s">
        <v>296</v>
      </c>
      <c r="J50" s="148"/>
      <c r="K50" s="148"/>
    </row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12">
    <mergeCell ref="A1:K2"/>
    <mergeCell ref="A4:K4"/>
    <mergeCell ref="B18:B28"/>
    <mergeCell ref="B14:B17"/>
    <mergeCell ref="B29:B49"/>
    <mergeCell ref="F29:F48"/>
    <mergeCell ref="C30:C48"/>
    <mergeCell ref="C49:D49"/>
    <mergeCell ref="B50:D50"/>
    <mergeCell ref="C28:D28"/>
    <mergeCell ref="B11:F11"/>
    <mergeCell ref="C17:D1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4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29"/>
    <col customWidth="1" min="3" max="3" width="13.86"/>
    <col customWidth="1" min="4" max="4" width="15.14"/>
    <col customWidth="1" min="5" max="6" width="8.71"/>
    <col customWidth="1" min="7" max="7" width="8.43"/>
    <col customWidth="1" min="8" max="8" width="13.57"/>
    <col customWidth="1" min="9" max="9" width="9.86"/>
    <col customWidth="1" min="10" max="11" width="8.71"/>
    <col customWidth="1" min="12" max="12" width="12.14"/>
    <col customWidth="1" min="13" max="14" width="9.86"/>
    <col customWidth="1" min="15" max="15" width="11.29"/>
    <col customWidth="1" min="16" max="16" width="10.86"/>
    <col customWidth="1" min="17" max="17" width="7.14"/>
    <col customWidth="1" min="18" max="18" width="12.14"/>
    <col customWidth="1" min="19" max="19" width="21.14"/>
    <col customWidth="1" min="20" max="20" width="24.0"/>
  </cols>
  <sheetData>
    <row r="1" ht="16.5" customHeight="1">
      <c r="A1" s="47" t="s">
        <v>297</v>
      </c>
    </row>
    <row r="2" ht="16.5" customHeight="1"/>
    <row r="3" ht="16.5" customHeight="1"/>
    <row r="4" ht="16.5" customHeight="1">
      <c r="A4" s="145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ht="16.5" customHeight="1">
      <c r="A5" s="146" t="s">
        <v>2</v>
      </c>
      <c r="B5" s="146" t="s">
        <v>48</v>
      </c>
      <c r="C5" s="146" t="s">
        <v>49</v>
      </c>
      <c r="D5" s="146" t="s">
        <v>82</v>
      </c>
      <c r="E5" s="146" t="s">
        <v>298</v>
      </c>
      <c r="F5" s="146" t="s">
        <v>50</v>
      </c>
      <c r="G5" s="146" t="s">
        <v>51</v>
      </c>
      <c r="H5" s="147" t="s">
        <v>299</v>
      </c>
      <c r="I5" s="147" t="s">
        <v>300</v>
      </c>
      <c r="J5" s="147" t="s">
        <v>301</v>
      </c>
      <c r="K5" s="167" t="s">
        <v>98</v>
      </c>
      <c r="L5" s="168" t="s">
        <v>5</v>
      </c>
      <c r="M5" s="169" t="s">
        <v>302</v>
      </c>
      <c r="N5" s="170" t="s">
        <v>303</v>
      </c>
      <c r="O5" s="170" t="s">
        <v>304</v>
      </c>
      <c r="P5" s="170" t="s">
        <v>53</v>
      </c>
      <c r="Q5" s="171" t="s">
        <v>305</v>
      </c>
      <c r="R5" s="172" t="s">
        <v>306</v>
      </c>
      <c r="S5" s="146" t="s">
        <v>94</v>
      </c>
      <c r="T5" s="146" t="s">
        <v>307</v>
      </c>
    </row>
    <row r="6" ht="16.5" customHeight="1">
      <c r="A6" s="173" t="s">
        <v>11</v>
      </c>
      <c r="B6" s="45">
        <v>1.0</v>
      </c>
      <c r="C6" s="114" t="s">
        <v>308</v>
      </c>
      <c r="D6" s="45"/>
      <c r="E6" s="45" t="s">
        <v>309</v>
      </c>
      <c r="F6" s="174">
        <v>3695.0</v>
      </c>
      <c r="G6" s="175" t="str">
        <f t="shared" ref="G6:G17" si="1">F6/3.3058</f>
        <v>1,118평</v>
      </c>
      <c r="H6" s="89">
        <v>2.11354E9</v>
      </c>
      <c r="I6" s="88" t="str">
        <f t="shared" ref="I6:I17" si="2">H6/G6</f>
        <v>1,890,918 </v>
      </c>
      <c r="J6" s="89">
        <v>326800.0</v>
      </c>
      <c r="K6" s="173" t="s">
        <v>310</v>
      </c>
      <c r="L6" s="176"/>
      <c r="M6" s="176"/>
      <c r="N6" s="176"/>
      <c r="O6" s="176"/>
      <c r="P6" s="176"/>
      <c r="Q6" s="176"/>
      <c r="R6" s="176"/>
      <c r="S6" s="176"/>
      <c r="T6" s="177"/>
    </row>
    <row r="7" ht="16.5" customHeight="1">
      <c r="B7" s="45">
        <v>2.0</v>
      </c>
      <c r="C7" s="114" t="s">
        <v>40</v>
      </c>
      <c r="D7" s="45"/>
      <c r="E7" s="45" t="s">
        <v>309</v>
      </c>
      <c r="F7" s="174">
        <v>4225.0</v>
      </c>
      <c r="G7" s="175" t="str">
        <f t="shared" si="1"/>
        <v>1,278평</v>
      </c>
      <c r="H7" s="89">
        <v>2.4167E9</v>
      </c>
      <c r="I7" s="88" t="str">
        <f t="shared" si="2"/>
        <v>1,890,918 </v>
      </c>
      <c r="J7" s="89">
        <v>326800.0</v>
      </c>
    </row>
    <row r="8" ht="16.5" customHeight="1">
      <c r="B8" s="45">
        <v>3.0</v>
      </c>
      <c r="C8" s="114" t="s">
        <v>311</v>
      </c>
      <c r="D8" s="45"/>
      <c r="E8" s="45" t="s">
        <v>312</v>
      </c>
      <c r="F8" s="174">
        <v>732.0</v>
      </c>
      <c r="G8" s="175" t="str">
        <f t="shared" si="1"/>
        <v>221평</v>
      </c>
      <c r="H8" s="89">
        <v>1.38438E8</v>
      </c>
      <c r="I8" s="88" t="str">
        <f t="shared" si="2"/>
        <v>625,203 </v>
      </c>
      <c r="J8" s="89">
        <v>104700.0</v>
      </c>
    </row>
    <row r="9" ht="16.5" customHeight="1">
      <c r="B9" s="45">
        <v>4.0</v>
      </c>
      <c r="C9" s="114" t="s">
        <v>313</v>
      </c>
      <c r="D9" s="45"/>
      <c r="E9" s="45" t="s">
        <v>314</v>
      </c>
      <c r="F9" s="174">
        <v>527.0</v>
      </c>
      <c r="G9" s="175" t="str">
        <f t="shared" si="1"/>
        <v>159평</v>
      </c>
      <c r="H9" s="89">
        <v>3.689E7</v>
      </c>
      <c r="I9" s="88" t="str">
        <f t="shared" si="2"/>
        <v>231,406 </v>
      </c>
      <c r="J9" s="89">
        <v>51800.0</v>
      </c>
    </row>
    <row r="10" ht="16.5" customHeight="1">
      <c r="B10" s="45">
        <v>5.0</v>
      </c>
      <c r="C10" s="114" t="s">
        <v>315</v>
      </c>
      <c r="D10" s="45"/>
      <c r="E10" s="45" t="s">
        <v>314</v>
      </c>
      <c r="F10" s="174">
        <v>6295.0</v>
      </c>
      <c r="G10" s="175" t="str">
        <f t="shared" si="1"/>
        <v>1,904평</v>
      </c>
      <c r="H10" s="89">
        <v>3.33635E8</v>
      </c>
      <c r="I10" s="88" t="str">
        <f t="shared" si="2"/>
        <v>175,207 </v>
      </c>
      <c r="J10" s="89">
        <v>50300.0</v>
      </c>
    </row>
    <row r="11" ht="16.5" customHeight="1">
      <c r="A11" s="45" t="s">
        <v>34</v>
      </c>
      <c r="B11" s="45">
        <v>6.0</v>
      </c>
      <c r="C11" s="114" t="s">
        <v>316</v>
      </c>
      <c r="D11" s="45" t="s">
        <v>317</v>
      </c>
      <c r="E11" s="45"/>
      <c r="F11" s="174">
        <v>198.0</v>
      </c>
      <c r="G11" s="175" t="str">
        <f t="shared" si="1"/>
        <v>60평</v>
      </c>
      <c r="H11" s="89">
        <v>7.4646E7</v>
      </c>
      <c r="I11" s="88" t="str">
        <f t="shared" si="2"/>
        <v>1,246,287 </v>
      </c>
      <c r="J11" s="178"/>
      <c r="K11" s="179"/>
      <c r="L11" s="180"/>
      <c r="M11" s="180"/>
      <c r="N11" s="88">
        <v>0.0</v>
      </c>
      <c r="O11" s="109"/>
      <c r="P11" s="181" t="str">
        <f>2370520+5491990</f>
        <v>  7,862,510 </v>
      </c>
      <c r="Q11" s="107" t="str">
        <f>((M11+M19)*12-P11)/((H6+H7+H11+H12+H13+H14+H19+H20)-(L11+L19))</f>
        <v>-0.15%</v>
      </c>
      <c r="R11" s="180">
        <v>0.0</v>
      </c>
      <c r="S11" s="148"/>
      <c r="T11" s="119"/>
    </row>
    <row r="12" ht="16.5" customHeight="1">
      <c r="B12" s="45">
        <v>7.0</v>
      </c>
      <c r="D12" s="45" t="s">
        <v>318</v>
      </c>
      <c r="E12" s="45"/>
      <c r="F12" s="174">
        <v>198.0</v>
      </c>
      <c r="G12" s="175" t="str">
        <f t="shared" si="1"/>
        <v>60평</v>
      </c>
      <c r="H12" s="89">
        <v>7.4646E7</v>
      </c>
      <c r="I12" s="88" t="str">
        <f t="shared" si="2"/>
        <v>1,246,287 </v>
      </c>
      <c r="J12" s="182"/>
      <c r="K12" s="105" t="s">
        <v>319</v>
      </c>
      <c r="L12" s="183">
        <v>3.0E7</v>
      </c>
      <c r="M12" s="183">
        <v>2530000.0</v>
      </c>
      <c r="O12" s="107"/>
      <c r="R12" s="88"/>
      <c r="S12" s="45" t="s">
        <v>320</v>
      </c>
      <c r="T12" s="119" t="s">
        <v>321</v>
      </c>
    </row>
    <row r="13" ht="16.5" customHeight="1">
      <c r="B13" s="45">
        <v>8.0</v>
      </c>
      <c r="D13" s="45" t="s">
        <v>322</v>
      </c>
      <c r="E13" s="45"/>
      <c r="F13" s="174">
        <v>198.0</v>
      </c>
      <c r="G13" s="175" t="str">
        <f t="shared" si="1"/>
        <v>60평</v>
      </c>
      <c r="H13" s="89">
        <v>7.4646E7</v>
      </c>
      <c r="I13" s="88" t="str">
        <f t="shared" si="2"/>
        <v>1,246,287 </v>
      </c>
      <c r="J13" s="182"/>
    </row>
    <row r="14" ht="16.5" customHeight="1">
      <c r="B14" s="45">
        <v>9.0</v>
      </c>
      <c r="D14" s="45" t="s">
        <v>323</v>
      </c>
      <c r="E14" s="45"/>
      <c r="F14" s="174">
        <v>198.0</v>
      </c>
      <c r="G14" s="175" t="str">
        <f t="shared" si="1"/>
        <v>60평</v>
      </c>
      <c r="H14" s="89">
        <v>7.4646E7</v>
      </c>
      <c r="I14" s="88" t="str">
        <f t="shared" si="2"/>
        <v>1,246,287 </v>
      </c>
      <c r="J14" s="182"/>
    </row>
    <row r="15" ht="16.5" customHeight="1">
      <c r="B15" s="45">
        <v>10.0</v>
      </c>
      <c r="D15" s="184" t="s">
        <v>324</v>
      </c>
      <c r="E15" s="184"/>
      <c r="F15" s="185">
        <v>99.5</v>
      </c>
      <c r="G15" s="186" t="str">
        <f t="shared" si="1"/>
        <v>30평</v>
      </c>
      <c r="H15" s="187">
        <v>3.564E7</v>
      </c>
      <c r="I15" s="188" t="str">
        <f t="shared" si="2"/>
        <v>1,184,108 </v>
      </c>
      <c r="J15" s="189"/>
      <c r="K15" s="190" t="s">
        <v>325</v>
      </c>
      <c r="L15" s="191">
        <v>2.0E8</v>
      </c>
      <c r="M15" s="188" t="s">
        <v>156</v>
      </c>
      <c r="N15" s="188">
        <v>0.0</v>
      </c>
      <c r="O15" s="192"/>
      <c r="R15" s="188"/>
      <c r="S15" s="184" t="s">
        <v>326</v>
      </c>
      <c r="T15" s="193" t="s">
        <v>327</v>
      </c>
    </row>
    <row r="16" ht="16.5" customHeight="1">
      <c r="B16" s="45">
        <v>11.0</v>
      </c>
      <c r="D16" s="184" t="s">
        <v>324</v>
      </c>
      <c r="E16" s="184"/>
      <c r="F16" s="185">
        <v>99.5</v>
      </c>
      <c r="G16" s="186" t="str">
        <f t="shared" si="1"/>
        <v>30평</v>
      </c>
      <c r="H16" s="187">
        <v>3.564E7</v>
      </c>
      <c r="I16" s="188" t="str">
        <f t="shared" si="2"/>
        <v>1,184,108 </v>
      </c>
      <c r="J16" s="189"/>
    </row>
    <row r="17" ht="16.5" customHeight="1">
      <c r="B17" s="45">
        <v>13.0</v>
      </c>
      <c r="D17" s="184" t="s">
        <v>324</v>
      </c>
      <c r="E17" s="184"/>
      <c r="F17" s="185">
        <v>99.5</v>
      </c>
      <c r="G17" s="186" t="str">
        <f t="shared" si="1"/>
        <v>30평</v>
      </c>
      <c r="H17" s="187">
        <v>3.564E7</v>
      </c>
      <c r="I17" s="188" t="str">
        <f t="shared" si="2"/>
        <v>1,184,108 </v>
      </c>
      <c r="J17" s="189"/>
    </row>
    <row r="18" ht="16.5" customHeight="1">
      <c r="A18" s="194" t="s">
        <v>328</v>
      </c>
      <c r="B18" s="67"/>
      <c r="C18" s="67"/>
      <c r="D18" s="67"/>
      <c r="E18" s="68"/>
      <c r="F18" s="195" t="str">
        <f t="shared" ref="F18:H18" si="3">SUM(F11:F17)</f>
        <v>1,091㎡</v>
      </c>
      <c r="G18" s="196" t="str">
        <f t="shared" si="3"/>
        <v>330평</v>
      </c>
      <c r="H18" s="197" t="str">
        <f t="shared" si="3"/>
        <v>405,504,000 </v>
      </c>
      <c r="I18" s="198"/>
      <c r="J18" s="199"/>
      <c r="K18" s="200"/>
      <c r="L18" s="198"/>
      <c r="M18" s="198"/>
      <c r="N18" s="198"/>
      <c r="O18" s="198"/>
      <c r="R18" s="198"/>
      <c r="S18" s="200"/>
      <c r="T18" s="201"/>
    </row>
    <row r="19" ht="16.5" customHeight="1">
      <c r="A19" s="45" t="s">
        <v>39</v>
      </c>
      <c r="B19" s="45">
        <v>14.0</v>
      </c>
      <c r="C19" s="114" t="s">
        <v>40</v>
      </c>
      <c r="D19" s="45" t="s">
        <v>317</v>
      </c>
      <c r="E19" s="45"/>
      <c r="F19" s="174">
        <v>394.02</v>
      </c>
      <c r="G19" s="175" t="str">
        <f t="shared" ref="G19:G21" si="4">F19/3.3058</f>
        <v>119평</v>
      </c>
      <c r="H19" s="89">
        <v>1.48546208E8</v>
      </c>
      <c r="I19" s="88" t="str">
        <f t="shared" ref="I19:I20" si="5">H19/G19</f>
        <v>1,246,292 </v>
      </c>
      <c r="J19" s="182"/>
      <c r="K19" s="179"/>
      <c r="L19" s="180"/>
      <c r="M19" s="180"/>
      <c r="N19" s="88">
        <v>0.0</v>
      </c>
      <c r="O19" s="109"/>
      <c r="S19" s="45"/>
    </row>
    <row r="20" ht="16.5" customHeight="1">
      <c r="B20" s="45">
        <v>15.0</v>
      </c>
      <c r="D20" s="45" t="s">
        <v>318</v>
      </c>
      <c r="E20" s="45"/>
      <c r="F20" s="174">
        <v>999.9</v>
      </c>
      <c r="G20" s="175" t="str">
        <f t="shared" si="4"/>
        <v>302평</v>
      </c>
      <c r="H20" s="89">
        <v>3.76963996E8</v>
      </c>
      <c r="I20" s="88" t="str">
        <f t="shared" si="5"/>
        <v>1,246,292 </v>
      </c>
      <c r="J20" s="182"/>
      <c r="K20" s="148"/>
      <c r="L20" s="180"/>
      <c r="M20" s="180"/>
      <c r="N20" s="180"/>
      <c r="O20" s="109"/>
      <c r="R20" s="180">
        <v>1.7875E8</v>
      </c>
      <c r="T20" s="179" t="s">
        <v>329</v>
      </c>
    </row>
    <row r="21" ht="16.5" customHeight="1">
      <c r="B21" s="45">
        <v>16.0</v>
      </c>
      <c r="D21" s="45" t="s">
        <v>330</v>
      </c>
      <c r="E21" s="45"/>
      <c r="F21" s="174"/>
      <c r="G21" s="175" t="str">
        <f t="shared" si="4"/>
        <v>평</v>
      </c>
      <c r="H21" s="89"/>
      <c r="I21" s="88"/>
      <c r="J21" s="182"/>
      <c r="K21" s="45"/>
      <c r="L21" s="88"/>
      <c r="M21" s="88"/>
      <c r="N21" s="88"/>
      <c r="O21" s="88"/>
      <c r="Q21" s="88"/>
      <c r="R21" s="88"/>
      <c r="S21" s="45"/>
      <c r="T21" s="114"/>
    </row>
    <row r="22" ht="16.5" customHeight="1">
      <c r="A22" s="194" t="s">
        <v>331</v>
      </c>
      <c r="B22" s="67"/>
      <c r="C22" s="67"/>
      <c r="D22" s="67"/>
      <c r="E22" s="68"/>
      <c r="F22" s="195" t="str">
        <f t="shared" ref="F22:H22" si="6">F19+F20</f>
        <v>1,394㎡</v>
      </c>
      <c r="G22" s="196" t="str">
        <f t="shared" si="6"/>
        <v>422평</v>
      </c>
      <c r="H22" s="197" t="str">
        <f t="shared" si="6"/>
        <v>525,510,204 </v>
      </c>
      <c r="I22" s="198"/>
      <c r="J22" s="200"/>
      <c r="K22" s="200"/>
      <c r="L22" s="198"/>
      <c r="M22" s="198"/>
      <c r="N22" s="198"/>
      <c r="O22" s="198"/>
      <c r="P22" s="198"/>
      <c r="Q22" s="198"/>
      <c r="R22" s="198"/>
      <c r="S22" s="200"/>
      <c r="T22" s="201"/>
    </row>
    <row r="23" ht="16.5" customHeight="1">
      <c r="A23" s="202" t="s">
        <v>332</v>
      </c>
      <c r="B23" s="67"/>
      <c r="C23" s="67"/>
      <c r="D23" s="67"/>
      <c r="E23" s="67"/>
      <c r="F23" s="67"/>
      <c r="G23" s="68"/>
      <c r="H23" s="203" t="str">
        <f>SUBTOTAL(109,H6:H10,H18,H22)</f>
        <v>5,970,217,204 </v>
      </c>
      <c r="I23" s="204"/>
      <c r="J23" s="204"/>
      <c r="K23" s="204"/>
      <c r="L23" s="205"/>
      <c r="M23" s="205" t="s">
        <v>333</v>
      </c>
      <c r="N23" s="205" t="str">
        <f>SUM(N11:N22)</f>
        <v>0 </v>
      </c>
      <c r="O23" s="205"/>
      <c r="P23" s="205"/>
      <c r="Q23" s="205"/>
      <c r="R23" s="205"/>
      <c r="S23" s="204"/>
      <c r="T23" s="206"/>
    </row>
    <row r="24" ht="16.5" customHeight="1">
      <c r="A24" s="148"/>
      <c r="B24" s="148"/>
      <c r="C24" s="148"/>
      <c r="D24" s="148"/>
      <c r="E24" s="148"/>
      <c r="F24" s="207" t="str">
        <f>SUM(F6:F10)</f>
        <v>15,474㎡</v>
      </c>
      <c r="G24" s="148" t="s">
        <v>11</v>
      </c>
      <c r="H24" s="65" t="str">
        <f>SUM(H6:H10)</f>
        <v>5,039,203,000 </v>
      </c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</row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31">
    <mergeCell ref="K12:K14"/>
    <mergeCell ref="L12:L14"/>
    <mergeCell ref="A1:I2"/>
    <mergeCell ref="A4:T4"/>
    <mergeCell ref="A6:A10"/>
    <mergeCell ref="K6:S10"/>
    <mergeCell ref="T6:T10"/>
    <mergeCell ref="N11:N14"/>
    <mergeCell ref="T12:T14"/>
    <mergeCell ref="S19:S20"/>
    <mergeCell ref="A22:E22"/>
    <mergeCell ref="A23:G23"/>
    <mergeCell ref="K15:K17"/>
    <mergeCell ref="L15:L17"/>
    <mergeCell ref="M15:M17"/>
    <mergeCell ref="N15:N17"/>
    <mergeCell ref="C19:C21"/>
    <mergeCell ref="O15:O17"/>
    <mergeCell ref="R15:R17"/>
    <mergeCell ref="S15:S17"/>
    <mergeCell ref="T15:T17"/>
    <mergeCell ref="M12:M14"/>
    <mergeCell ref="O12:O14"/>
    <mergeCell ref="R12:R14"/>
    <mergeCell ref="S12:S14"/>
    <mergeCell ref="A11:A17"/>
    <mergeCell ref="C11:C17"/>
    <mergeCell ref="P11:P21"/>
    <mergeCell ref="Q11:Q20"/>
    <mergeCell ref="A18:E18"/>
    <mergeCell ref="A19:A21"/>
  </mergeCells>
  <conditionalFormatting sqref="N11:N17 N19:N20">
    <cfRule type="cellIs" dxfId="0" priority="1" operator="greaterThan">
      <formula>0</formula>
    </cfRule>
  </conditionalFormatting>
  <conditionalFormatting sqref="R11:R12">
    <cfRule type="cellIs" dxfId="0" priority="2" operator="greaterThan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7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5" width="8.71"/>
    <col customWidth="1" min="6" max="7" width="12.14"/>
    <col customWidth="1" min="8" max="8" width="13.71"/>
    <col customWidth="1" min="9" max="15" width="8.71"/>
  </cols>
  <sheetData>
    <row r="1" ht="16.5" customHeight="1">
      <c r="A1" s="47" t="s">
        <v>334</v>
      </c>
    </row>
    <row r="2" ht="16.5" customHeight="1"/>
    <row r="3" ht="16.5" customHeight="1"/>
    <row r="4" ht="16.5" customHeight="1">
      <c r="A4" s="86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3"/>
    </row>
    <row r="5" ht="16.5" customHeight="1">
      <c r="A5" s="69" t="s">
        <v>2</v>
      </c>
      <c r="B5" s="69" t="s">
        <v>48</v>
      </c>
      <c r="C5" s="69" t="s">
        <v>82</v>
      </c>
      <c r="D5" s="69" t="s">
        <v>50</v>
      </c>
      <c r="E5" s="69" t="s">
        <v>51</v>
      </c>
      <c r="F5" s="70" t="s">
        <v>61</v>
      </c>
      <c r="G5" s="70" t="s">
        <v>335</v>
      </c>
      <c r="H5" s="69" t="s">
        <v>62</v>
      </c>
      <c r="I5" s="69" t="s">
        <v>5</v>
      </c>
      <c r="J5" s="69" t="s">
        <v>6</v>
      </c>
      <c r="K5" s="69" t="s">
        <v>336</v>
      </c>
      <c r="L5" s="69" t="s">
        <v>94</v>
      </c>
      <c r="M5" s="69" t="s">
        <v>257</v>
      </c>
      <c r="N5" s="69" t="s">
        <v>258</v>
      </c>
    </row>
    <row r="6" ht="16.5" customHeight="1">
      <c r="A6" s="45" t="s">
        <v>10</v>
      </c>
      <c r="B6" s="45">
        <v>1.0</v>
      </c>
      <c r="C6" s="45" t="s">
        <v>337</v>
      </c>
      <c r="D6" s="208">
        <v>305.0</v>
      </c>
      <c r="E6" s="87" t="str">
        <f t="shared" ref="E6:E7" si="1">D6/3.3058</f>
        <v>92.26평</v>
      </c>
      <c r="F6" s="88">
        <v>4.62E8</v>
      </c>
      <c r="G6" s="88" t="str">
        <f>84547620+67271535+69202668</f>
        <v>221,021,823 </v>
      </c>
      <c r="H6" s="45" t="s">
        <v>338</v>
      </c>
      <c r="L6" s="45"/>
    </row>
    <row r="7" ht="16.5" customHeight="1">
      <c r="B7" s="45">
        <v>2.0</v>
      </c>
      <c r="C7" s="45" t="s">
        <v>339</v>
      </c>
      <c r="D7" s="208">
        <v>206.0</v>
      </c>
      <c r="E7" s="87" t="str">
        <f t="shared" si="1"/>
        <v>62.31평</v>
      </c>
      <c r="F7" s="88">
        <v>3.14036361E8</v>
      </c>
      <c r="G7" s="88" t="str">
        <f>39051490+34356960+46211268</f>
        <v>119,619,718 </v>
      </c>
      <c r="H7" s="45" t="s">
        <v>340</v>
      </c>
      <c r="I7" s="89"/>
      <c r="J7" s="89"/>
      <c r="K7" s="89"/>
      <c r="L7" s="45"/>
    </row>
    <row r="8" ht="16.5" customHeight="1">
      <c r="A8" s="209" t="s">
        <v>22</v>
      </c>
      <c r="B8" s="67"/>
      <c r="C8" s="68"/>
      <c r="D8" s="210" t="str">
        <f t="shared" ref="D8:F8" si="2">SUM(D6:D7)</f>
        <v>511.㎡</v>
      </c>
      <c r="E8" s="211" t="str">
        <f t="shared" si="2"/>
        <v>154.58평</v>
      </c>
      <c r="F8" s="212" t="str">
        <f t="shared" si="2"/>
        <v>776,036,361 </v>
      </c>
      <c r="G8" s="212"/>
    </row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4">
    <mergeCell ref="A1:N2"/>
    <mergeCell ref="A4:N4"/>
    <mergeCell ref="A6:A7"/>
    <mergeCell ref="A8:C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6.43"/>
    <col customWidth="1" min="2" max="2" width="9.29"/>
    <col customWidth="1" min="3" max="3" width="47.0"/>
    <col customWidth="1" hidden="1" min="4" max="4" width="6.43"/>
    <col customWidth="1" hidden="1" min="5" max="5" width="34.43"/>
    <col customWidth="1" min="6" max="6" width="18.0"/>
    <col customWidth="1" hidden="1" min="7" max="7" width="5.29"/>
    <col customWidth="1" hidden="1" min="8" max="8" width="11.57"/>
    <col customWidth="1" hidden="1" min="9" max="9" width="9.0"/>
    <col customWidth="1" hidden="1" min="10" max="10" width="11.0"/>
    <col customWidth="1" hidden="1" min="11" max="11" width="9.86"/>
    <col customWidth="1" hidden="1" min="12" max="12" width="9.0"/>
    <col customWidth="1" hidden="1" min="13" max="13" width="14.71"/>
    <col customWidth="1" hidden="1" min="14" max="14" width="14.57"/>
    <col customWidth="1" hidden="1" min="15" max="15" width="29.57"/>
    <col customWidth="1" hidden="1" min="16" max="17" width="11.14"/>
    <col customWidth="1" hidden="1" min="18" max="18" width="9.0"/>
    <col customWidth="1" hidden="1" min="19" max="19" width="17.29"/>
    <col customWidth="1" min="20" max="20" width="17.29"/>
    <col customWidth="1" min="21" max="21" width="18.57"/>
    <col customWidth="1" min="22" max="22" width="31.14"/>
    <col customWidth="1" hidden="1" min="23" max="24" width="17.86"/>
    <col customWidth="1" hidden="1" min="25" max="25" width="6.71"/>
    <col customWidth="1" min="26" max="26" width="16.71"/>
    <col customWidth="1" min="27" max="28" width="15.43"/>
  </cols>
  <sheetData>
    <row r="1" ht="16.5" customHeight="1">
      <c r="A1" s="213" t="s">
        <v>2</v>
      </c>
      <c r="B1" s="32"/>
      <c r="C1" s="33"/>
      <c r="D1" s="214"/>
      <c r="E1" s="214"/>
      <c r="F1" s="215" t="s">
        <v>274</v>
      </c>
      <c r="G1" s="215"/>
      <c r="H1" s="215"/>
      <c r="I1" s="216"/>
      <c r="J1" s="215"/>
      <c r="K1" s="215"/>
      <c r="L1" s="215"/>
      <c r="M1" s="217"/>
      <c r="N1" s="215"/>
      <c r="O1" s="215"/>
      <c r="P1" s="215"/>
      <c r="Q1" s="215"/>
      <c r="R1" s="215"/>
      <c r="S1" s="215"/>
      <c r="T1" s="215" t="s">
        <v>341</v>
      </c>
      <c r="U1" s="217" t="s">
        <v>342</v>
      </c>
      <c r="V1" s="46"/>
      <c r="W1" s="46"/>
      <c r="X1" s="46"/>
    </row>
    <row r="2" ht="16.5" customHeight="1">
      <c r="A2" s="218" t="s">
        <v>11</v>
      </c>
      <c r="B2" s="219"/>
      <c r="C2" s="16" t="s">
        <v>343</v>
      </c>
      <c r="D2" s="20"/>
      <c r="E2" s="20"/>
      <c r="F2" s="220" t="str">
        <f>F21</f>
        <v>43,204,307,767</v>
      </c>
      <c r="G2" s="20"/>
      <c r="H2" s="20"/>
      <c r="I2" s="221"/>
      <c r="J2" s="20"/>
      <c r="K2" s="20"/>
      <c r="L2" s="20"/>
      <c r="M2" s="29"/>
      <c r="N2" s="20"/>
      <c r="O2" s="20"/>
      <c r="P2" s="20"/>
      <c r="Q2" s="20"/>
      <c r="R2" s="20"/>
      <c r="S2" s="20"/>
      <c r="T2" s="20"/>
      <c r="U2" s="29"/>
      <c r="V2" s="46"/>
      <c r="W2" s="46"/>
      <c r="X2" s="46"/>
    </row>
    <row r="3" ht="16.5" customHeight="1">
      <c r="A3" s="27"/>
      <c r="B3" s="120"/>
      <c r="C3" s="16" t="s">
        <v>283</v>
      </c>
      <c r="D3" s="20"/>
      <c r="E3" s="20"/>
      <c r="F3" s="220" t="str">
        <f>F26</f>
        <v>993,756,100</v>
      </c>
      <c r="G3" s="20"/>
      <c r="H3" s="20"/>
      <c r="I3" s="221"/>
      <c r="J3" s="20"/>
      <c r="K3" s="20"/>
      <c r="L3" s="20"/>
      <c r="M3" s="29"/>
      <c r="N3" s="20"/>
      <c r="O3" s="20"/>
      <c r="P3" s="20"/>
      <c r="Q3" s="20"/>
      <c r="R3" s="20"/>
      <c r="S3" s="20"/>
      <c r="T3" s="20"/>
      <c r="U3" s="29"/>
      <c r="V3" s="46"/>
      <c r="W3" s="46"/>
      <c r="X3" s="46"/>
    </row>
    <row r="4" ht="16.5" customHeight="1">
      <c r="A4" s="222"/>
      <c r="B4" s="223"/>
      <c r="C4" s="16" t="s">
        <v>344</v>
      </c>
      <c r="D4" s="20"/>
      <c r="E4" s="20"/>
      <c r="F4" s="220" t="str">
        <f>F60+F63</f>
        <v>2,896,303,751</v>
      </c>
      <c r="G4" s="20"/>
      <c r="H4" s="20"/>
      <c r="I4" s="221"/>
      <c r="J4" s="20"/>
      <c r="K4" s="20"/>
      <c r="L4" s="20"/>
      <c r="M4" s="29"/>
      <c r="N4" s="20"/>
      <c r="O4" s="20"/>
      <c r="P4" s="20"/>
      <c r="Q4" s="20"/>
      <c r="R4" s="20"/>
      <c r="S4" s="20"/>
      <c r="T4" s="20"/>
      <c r="U4" s="29"/>
      <c r="V4" s="46"/>
      <c r="W4" s="46"/>
      <c r="X4" s="46"/>
    </row>
    <row r="5" ht="16.5" customHeight="1">
      <c r="A5" s="63" t="s">
        <v>345</v>
      </c>
      <c r="B5" s="32"/>
      <c r="C5" s="33"/>
      <c r="D5" s="20"/>
      <c r="E5" s="20"/>
      <c r="F5" s="220" t="str">
        <f>F75</f>
        <v>1,220,960,000</v>
      </c>
      <c r="G5" s="20"/>
      <c r="H5" s="20"/>
      <c r="I5" s="221"/>
      <c r="J5" s="20"/>
      <c r="K5" s="20"/>
      <c r="L5" s="20"/>
      <c r="M5" s="29"/>
      <c r="N5" s="20"/>
      <c r="O5" s="20"/>
      <c r="P5" s="20"/>
      <c r="Q5" s="20"/>
      <c r="R5" s="20"/>
      <c r="S5" s="20"/>
      <c r="T5" s="20"/>
      <c r="U5" s="29"/>
      <c r="V5" s="46"/>
      <c r="W5" s="46"/>
      <c r="X5" s="46"/>
    </row>
    <row r="6" ht="16.5" customHeight="1">
      <c r="A6" s="63" t="s">
        <v>346</v>
      </c>
      <c r="B6" s="32"/>
      <c r="C6" s="33"/>
      <c r="D6" s="20"/>
      <c r="E6" s="20"/>
      <c r="F6" s="220" t="str">
        <f>F139</f>
        <v>1,123,355,283</v>
      </c>
      <c r="G6" s="20"/>
      <c r="H6" s="20"/>
      <c r="I6" s="221"/>
      <c r="J6" s="20"/>
      <c r="K6" s="20"/>
      <c r="L6" s="20"/>
      <c r="M6" s="29"/>
      <c r="N6" s="20"/>
      <c r="O6" s="20"/>
      <c r="P6" s="20"/>
      <c r="Q6" s="20"/>
      <c r="R6" s="20"/>
      <c r="S6" s="20"/>
      <c r="T6" s="20"/>
      <c r="U6" s="29"/>
      <c r="V6" s="46"/>
      <c r="W6" s="46"/>
      <c r="X6" s="46"/>
    </row>
    <row r="7" ht="16.5" customHeight="1">
      <c r="A7" s="63" t="s">
        <v>347</v>
      </c>
      <c r="B7" s="32"/>
      <c r="C7" s="33"/>
      <c r="D7" s="20"/>
      <c r="E7" s="20"/>
      <c r="F7" s="220" t="str">
        <f>F147</f>
        <v>55,576,995</v>
      </c>
      <c r="G7" s="20"/>
      <c r="H7" s="20"/>
      <c r="I7" s="221"/>
      <c r="J7" s="20"/>
      <c r="K7" s="20"/>
      <c r="L7" s="20"/>
      <c r="M7" s="29"/>
      <c r="N7" s="20"/>
      <c r="O7" s="20"/>
      <c r="P7" s="20"/>
      <c r="Q7" s="20"/>
      <c r="R7" s="20"/>
      <c r="S7" s="20"/>
      <c r="T7" s="20"/>
      <c r="U7" s="29"/>
      <c r="V7" s="46"/>
      <c r="W7" s="46"/>
      <c r="X7" s="46"/>
    </row>
    <row r="8" ht="16.5" customHeight="1">
      <c r="A8" s="63" t="s">
        <v>348</v>
      </c>
      <c r="B8" s="32"/>
      <c r="C8" s="33"/>
      <c r="D8" s="20"/>
      <c r="E8" s="20"/>
      <c r="F8" s="220" t="str">
        <f>F151</f>
        <v>202,577,890</v>
      </c>
      <c r="G8" s="20"/>
      <c r="H8" s="20"/>
      <c r="I8" s="221"/>
      <c r="J8" s="20"/>
      <c r="K8" s="20"/>
      <c r="L8" s="20"/>
      <c r="M8" s="29"/>
      <c r="N8" s="20"/>
      <c r="O8" s="20"/>
      <c r="P8" s="20"/>
      <c r="Q8" s="20"/>
      <c r="R8" s="20"/>
      <c r="S8" s="20"/>
      <c r="T8" s="20"/>
      <c r="U8" s="29"/>
      <c r="V8" s="46"/>
      <c r="W8" s="46"/>
      <c r="X8" s="46"/>
    </row>
    <row r="9" ht="16.5" customHeight="1">
      <c r="A9" s="224" t="s">
        <v>349</v>
      </c>
      <c r="B9" s="32"/>
      <c r="C9" s="33"/>
      <c r="D9" s="225"/>
      <c r="E9" s="225"/>
      <c r="F9" s="226" t="str">
        <f>SUM(F2:F8)</f>
        <v>49,696,837,786</v>
      </c>
      <c r="G9" s="20"/>
      <c r="H9" s="20"/>
      <c r="I9" s="221"/>
      <c r="J9" s="20"/>
      <c r="K9" s="20"/>
      <c r="L9" s="20"/>
      <c r="M9" s="29"/>
      <c r="N9" s="20"/>
      <c r="O9" s="20"/>
      <c r="P9" s="20"/>
      <c r="Q9" s="20"/>
      <c r="R9" s="20"/>
      <c r="S9" s="20"/>
      <c r="T9" s="20"/>
      <c r="U9" s="29"/>
      <c r="V9" s="46"/>
      <c r="W9" s="46"/>
      <c r="X9" s="46"/>
    </row>
    <row r="10" ht="16.5" customHeight="1">
      <c r="A10" s="45"/>
      <c r="B10" s="227"/>
      <c r="F10" s="228" t="str">
        <f>F152=F9</f>
        <v>TRUE</v>
      </c>
      <c r="I10" s="229"/>
      <c r="M10" s="46"/>
      <c r="T10" s="228" t="str">
        <f>F5+F6+F7+F8</f>
        <v>2,602,470,168</v>
      </c>
      <c r="U10" s="46"/>
      <c r="V10" s="46"/>
      <c r="W10" s="46"/>
      <c r="X10" s="46"/>
    </row>
    <row r="11" ht="24.0" customHeight="1">
      <c r="A11" s="230" t="s">
        <v>350</v>
      </c>
      <c r="B11" s="67"/>
      <c r="C11" s="68"/>
      <c r="D11" s="231"/>
      <c r="E11" s="231"/>
      <c r="F11" s="232" t="str">
        <f>F159+F164+F177+F183+F169</f>
        <v>  55,630,298,864 </v>
      </c>
      <c r="I11" s="229"/>
      <c r="M11" s="46"/>
      <c r="U11" s="46"/>
      <c r="V11" s="46"/>
      <c r="W11" s="46"/>
      <c r="X11" s="46"/>
      <c r="Z11" s="215" t="s">
        <v>351</v>
      </c>
      <c r="AA11" s="233" t="str">
        <f>+TODAY()</f>
        <v>5/18/2026</v>
      </c>
    </row>
    <row r="12" ht="16.5" customHeight="1">
      <c r="A12" s="45"/>
      <c r="B12" s="227"/>
      <c r="I12" s="229"/>
      <c r="M12" s="46"/>
      <c r="U12" s="46"/>
      <c r="V12" s="46"/>
      <c r="W12" s="46"/>
      <c r="X12" s="46"/>
    </row>
    <row r="13" ht="16.5" customHeight="1">
      <c r="A13" s="45"/>
      <c r="B13" s="227"/>
      <c r="I13" s="229"/>
      <c r="M13" s="46"/>
      <c r="U13" s="46"/>
      <c r="V13" s="46"/>
      <c r="W13" s="46"/>
      <c r="X13" s="46"/>
    </row>
    <row r="14" ht="16.5" customHeight="1">
      <c r="A14" s="234" t="s">
        <v>352</v>
      </c>
      <c r="B14" s="235" t="s">
        <v>353</v>
      </c>
      <c r="C14" s="236" t="s">
        <v>3</v>
      </c>
      <c r="D14" s="236" t="s">
        <v>354</v>
      </c>
      <c r="E14" s="236" t="s">
        <v>355</v>
      </c>
      <c r="F14" s="236" t="s">
        <v>356</v>
      </c>
      <c r="G14" s="234"/>
      <c r="H14" s="234"/>
      <c r="I14" s="237"/>
      <c r="J14" s="238" t="s">
        <v>357</v>
      </c>
      <c r="K14" s="238"/>
      <c r="L14" s="238"/>
      <c r="M14" s="239" t="s">
        <v>358</v>
      </c>
      <c r="N14" s="238" t="s">
        <v>359</v>
      </c>
      <c r="O14" s="238"/>
      <c r="P14" s="238"/>
      <c r="Q14" s="238"/>
      <c r="R14" s="238"/>
      <c r="S14" s="238" t="s">
        <v>360</v>
      </c>
      <c r="T14" s="238" t="s">
        <v>361</v>
      </c>
      <c r="U14" s="239" t="s">
        <v>362</v>
      </c>
      <c r="V14" s="239" t="s">
        <v>363</v>
      </c>
      <c r="W14" s="240" t="s">
        <v>364</v>
      </c>
      <c r="X14" s="241" t="s">
        <v>22</v>
      </c>
      <c r="Y14" s="242"/>
    </row>
    <row r="15" ht="16.5" customHeight="1">
      <c r="A15" s="243">
        <v>2021.0</v>
      </c>
      <c r="B15" s="244" t="s">
        <v>365</v>
      </c>
      <c r="C15" s="245" t="s">
        <v>366</v>
      </c>
      <c r="D15" s="246" t="s">
        <v>367</v>
      </c>
      <c r="E15" s="245" t="s">
        <v>368</v>
      </c>
      <c r="F15" s="247">
        <v>3.9969943E8</v>
      </c>
      <c r="G15" s="248" t="s">
        <v>369</v>
      </c>
      <c r="H15" s="248"/>
      <c r="I15" s="221">
        <v>44501.0</v>
      </c>
      <c r="J15" s="20" t="s">
        <v>343</v>
      </c>
      <c r="K15" s="20"/>
      <c r="L15" s="20"/>
      <c r="M15" s="20"/>
      <c r="N15" s="20"/>
      <c r="O15" s="20"/>
      <c r="P15" s="20" t="s">
        <v>370</v>
      </c>
      <c r="Q15" s="20"/>
      <c r="R15" s="20"/>
      <c r="S15" s="6" t="s">
        <v>371</v>
      </c>
      <c r="T15" s="16"/>
      <c r="U15" s="29"/>
      <c r="V15" s="29"/>
      <c r="W15" s="249"/>
      <c r="X15" s="250" t="str">
        <f t="shared" ref="X15:X20" si="1">SUM(U15:W15)</f>
        <v>  - </v>
      </c>
      <c r="Y15" s="251"/>
    </row>
    <row r="16" ht="16.5" customHeight="1">
      <c r="A16" s="243">
        <v>2022.0</v>
      </c>
      <c r="B16" s="244" t="s">
        <v>372</v>
      </c>
      <c r="C16" s="245" t="s">
        <v>373</v>
      </c>
      <c r="D16" s="246"/>
      <c r="E16" s="245"/>
      <c r="F16" s="247">
        <v>-3.9969943E8</v>
      </c>
      <c r="G16" s="248" t="s">
        <v>369</v>
      </c>
      <c r="H16" s="248"/>
      <c r="I16" s="221">
        <v>44621.0</v>
      </c>
      <c r="J16" s="20" t="s">
        <v>343</v>
      </c>
      <c r="K16" s="20"/>
      <c r="L16" s="20"/>
      <c r="M16" s="20"/>
      <c r="N16" s="20"/>
      <c r="O16" s="20"/>
      <c r="P16" s="20" t="s">
        <v>370</v>
      </c>
      <c r="Q16" s="20"/>
      <c r="R16" s="20"/>
      <c r="S16" s="11"/>
      <c r="T16" s="16"/>
      <c r="U16" s="29"/>
      <c r="V16" s="29"/>
      <c r="W16" s="252"/>
      <c r="X16" s="253" t="str">
        <f t="shared" si="1"/>
        <v>  - </v>
      </c>
      <c r="Y16" s="254"/>
    </row>
    <row r="17" ht="16.5" customHeight="1">
      <c r="A17" s="243">
        <v>2022.0</v>
      </c>
      <c r="B17" s="244" t="s">
        <v>372</v>
      </c>
      <c r="C17" s="245" t="s">
        <v>374</v>
      </c>
      <c r="D17" s="246" t="s">
        <v>375</v>
      </c>
      <c r="E17" s="245" t="s">
        <v>376</v>
      </c>
      <c r="F17" s="247" t="str">
        <f>8289418970+399699430</f>
        <v>8,689,118,400</v>
      </c>
      <c r="G17" s="248" t="s">
        <v>369</v>
      </c>
      <c r="H17" s="248"/>
      <c r="I17" s="221">
        <v>44621.0</v>
      </c>
      <c r="J17" s="20" t="s">
        <v>343</v>
      </c>
      <c r="K17" s="20">
        <v>0.0</v>
      </c>
      <c r="L17" s="20"/>
      <c r="M17" s="20"/>
      <c r="N17" s="20"/>
      <c r="O17" s="20"/>
      <c r="P17" s="20" t="s">
        <v>370</v>
      </c>
      <c r="Q17" s="20"/>
      <c r="R17" s="20"/>
      <c r="S17" s="11"/>
      <c r="T17" s="36" t="str">
        <f t="shared" ref="T17:T20" si="2">F17-U17</f>
        <v>  8,689,118,400 </v>
      </c>
      <c r="U17" s="29" t="str">
        <f t="shared" ref="U17:U20" si="3">F17-W17</f>
        <v>  - </v>
      </c>
      <c r="V17" s="29" t="s">
        <v>377</v>
      </c>
      <c r="W17" s="252" t="str">
        <f>F17</f>
        <v>  8,689,118,400 </v>
      </c>
      <c r="X17" s="253" t="str">
        <f t="shared" si="1"/>
        <v>  8,689,118,400 </v>
      </c>
      <c r="Y17" s="254" t="str">
        <f t="shared" ref="Y17:Y20" si="4">F17=X17</f>
        <v>TRUE</v>
      </c>
    </row>
    <row r="18" ht="16.5" customHeight="1">
      <c r="A18" s="243">
        <v>2022.0</v>
      </c>
      <c r="B18" s="244" t="s">
        <v>372</v>
      </c>
      <c r="C18" s="245" t="s">
        <v>378</v>
      </c>
      <c r="D18" s="246" t="s">
        <v>375</v>
      </c>
      <c r="E18" s="245" t="s">
        <v>376</v>
      </c>
      <c r="F18" s="247">
        <v>1.3925997652E10</v>
      </c>
      <c r="G18" s="248" t="s">
        <v>369</v>
      </c>
      <c r="H18" s="248"/>
      <c r="I18" s="221">
        <v>44621.0</v>
      </c>
      <c r="J18" s="20" t="s">
        <v>343</v>
      </c>
      <c r="K18" s="20">
        <v>0.0</v>
      </c>
      <c r="L18" s="20" t="s">
        <v>379</v>
      </c>
      <c r="M18" s="29"/>
      <c r="N18" s="29" t="str">
        <f>F18*3%*(P18-Q18)/365-891932052+13925997652-13926000000</f>
        <v>  861,596,702 </v>
      </c>
      <c r="O18" s="20" t="s">
        <v>380</v>
      </c>
      <c r="P18" s="153" t="str">
        <f t="shared" ref="P18:P20" si="5">TODAY()</f>
        <v>5/18/2026</v>
      </c>
      <c r="Q18" s="153">
        <v>44628.0</v>
      </c>
      <c r="R18" s="20" t="str">
        <f t="shared" ref="R18:R20" si="6">P18-Q18</f>
        <v>1532</v>
      </c>
      <c r="S18" s="11"/>
      <c r="T18" s="36" t="str">
        <f t="shared" si="2"/>
        <v>  327,360,608 </v>
      </c>
      <c r="U18" s="29" t="str">
        <f t="shared" si="3"/>
        <v>  13,598,637,044 </v>
      </c>
      <c r="V18" s="29" t="s">
        <v>381</v>
      </c>
      <c r="W18" s="252" t="str">
        <f>891932052-564571444</f>
        <v>  327,360,608 </v>
      </c>
      <c r="X18" s="253" t="str">
        <f t="shared" si="1"/>
        <v>  13,925,997,652 </v>
      </c>
      <c r="Y18" s="254" t="str">
        <f t="shared" si="4"/>
        <v>TRUE</v>
      </c>
    </row>
    <row r="19" ht="16.5" customHeight="1">
      <c r="A19" s="243">
        <v>2022.0</v>
      </c>
      <c r="B19" s="244" t="s">
        <v>382</v>
      </c>
      <c r="C19" s="245" t="s">
        <v>383</v>
      </c>
      <c r="D19" s="246" t="s">
        <v>384</v>
      </c>
      <c r="E19" s="245" t="s">
        <v>385</v>
      </c>
      <c r="F19" s="247">
        <v>1.3789191715E10</v>
      </c>
      <c r="G19" s="248" t="s">
        <v>369</v>
      </c>
      <c r="H19" s="248"/>
      <c r="I19" s="221">
        <v>44805.0</v>
      </c>
      <c r="J19" s="20" t="s">
        <v>343</v>
      </c>
      <c r="K19" s="20">
        <v>0.0</v>
      </c>
      <c r="L19" s="20" t="s">
        <v>379</v>
      </c>
      <c r="M19" s="29"/>
      <c r="N19" s="29" t="str">
        <f>F19*3%*(P19-Q19)/365-755591715+13789000000-13789191715</f>
        <v>  773,116,813 </v>
      </c>
      <c r="O19" s="20" t="s">
        <v>380</v>
      </c>
      <c r="P19" s="153" t="str">
        <f t="shared" si="5"/>
        <v>5/18/2026</v>
      </c>
      <c r="Q19" s="153">
        <v>44811.0</v>
      </c>
      <c r="R19" s="20" t="str">
        <f t="shared" si="6"/>
        <v>1349</v>
      </c>
      <c r="S19" s="11"/>
      <c r="T19" s="36" t="str">
        <f t="shared" si="2"/>
        <v>  387,080,066 </v>
      </c>
      <c r="U19" s="29" t="str">
        <f t="shared" si="3"/>
        <v>  13,402,111,649 </v>
      </c>
      <c r="V19" s="29" t="s">
        <v>381</v>
      </c>
      <c r="W19" s="252" t="str">
        <f>755591715-368511649</f>
        <v>  387,080,066 </v>
      </c>
      <c r="X19" s="253" t="str">
        <f t="shared" si="1"/>
        <v>  13,789,191,715 </v>
      </c>
      <c r="Y19" s="254" t="str">
        <f t="shared" si="4"/>
        <v>TRUE</v>
      </c>
    </row>
    <row r="20" ht="16.5" customHeight="1">
      <c r="A20" s="243">
        <v>2023.0</v>
      </c>
      <c r="B20" s="244" t="s">
        <v>386</v>
      </c>
      <c r="C20" s="245" t="s">
        <v>387</v>
      </c>
      <c r="D20" s="246" t="s">
        <v>367</v>
      </c>
      <c r="E20" s="245" t="s">
        <v>368</v>
      </c>
      <c r="F20" s="247">
        <v>6.8E9</v>
      </c>
      <c r="G20" s="248" t="s">
        <v>369</v>
      </c>
      <c r="H20" s="248"/>
      <c r="I20" s="221">
        <v>44986.0</v>
      </c>
      <c r="J20" s="20" t="s">
        <v>343</v>
      </c>
      <c r="K20" s="20">
        <v>0.0</v>
      </c>
      <c r="L20" s="20"/>
      <c r="M20" s="29">
        <v>6.8E9</v>
      </c>
      <c r="N20" s="29" t="str">
        <f>F20*3%*(P20-Q20)/365-6828217827*6.5%*(P20-Q20)/365</f>
        <v>- 767,469,308 </v>
      </c>
      <c r="O20" s="20" t="s">
        <v>380</v>
      </c>
      <c r="P20" s="153" t="str">
        <f t="shared" si="5"/>
        <v>5/18/2026</v>
      </c>
      <c r="Q20" s="153">
        <v>44992.0</v>
      </c>
      <c r="R20" s="20" t="str">
        <f t="shared" si="6"/>
        <v>1168</v>
      </c>
      <c r="S20" s="15"/>
      <c r="T20" s="36" t="str">
        <f t="shared" si="2"/>
        <v>  709,688,098 </v>
      </c>
      <c r="U20" s="29" t="str">
        <f t="shared" si="3"/>
        <v>  6,090,311,902 </v>
      </c>
      <c r="V20" s="29" t="s">
        <v>381</v>
      </c>
      <c r="W20" s="255" t="str">
        <f>198205391-83135120+594617827</f>
        <v>  709,688,098 </v>
      </c>
      <c r="X20" s="256" t="str">
        <f t="shared" si="1"/>
        <v>  6,800,000,000 </v>
      </c>
      <c r="Y20" s="257" t="str">
        <f t="shared" si="4"/>
        <v>TRUE</v>
      </c>
    </row>
    <row r="21" ht="36.75" customHeight="1">
      <c r="A21" s="258" t="s">
        <v>388</v>
      </c>
      <c r="B21" s="32"/>
      <c r="C21" s="33"/>
      <c r="D21" s="259"/>
      <c r="E21" s="260"/>
      <c r="F21" s="261" t="str">
        <f>SUM(F15:F20)</f>
        <v>43,204,307,767</v>
      </c>
      <c r="G21" s="262"/>
      <c r="H21" s="262"/>
      <c r="I21" s="263"/>
      <c r="J21" s="264"/>
      <c r="K21" s="264"/>
      <c r="L21" s="264"/>
      <c r="M21" s="265"/>
      <c r="N21" s="265"/>
      <c r="O21" s="264"/>
      <c r="P21" s="266"/>
      <c r="Q21" s="266"/>
      <c r="R21" s="264"/>
      <c r="S21" s="267"/>
      <c r="T21" s="268" t="str">
        <f t="shared" ref="T21:U21" si="7">SUM(T17:T20)</f>
        <v>  10,113,247,172 </v>
      </c>
      <c r="U21" s="268" t="str">
        <f t="shared" si="7"/>
        <v>  33,091,060,595 </v>
      </c>
      <c r="V21" s="265"/>
      <c r="W21" s="269"/>
      <c r="X21" s="270"/>
      <c r="Y21" s="271"/>
    </row>
    <row r="22" ht="16.5" customHeight="1">
      <c r="A22" s="243">
        <v>2022.0</v>
      </c>
      <c r="B22" s="244" t="s">
        <v>389</v>
      </c>
      <c r="C22" s="245" t="s">
        <v>390</v>
      </c>
      <c r="D22" s="246" t="s">
        <v>367</v>
      </c>
      <c r="E22" s="245" t="s">
        <v>368</v>
      </c>
      <c r="F22" s="247">
        <v>1.04040941E9</v>
      </c>
      <c r="G22" s="248" t="s">
        <v>369</v>
      </c>
      <c r="H22" s="248"/>
      <c r="I22" s="221">
        <v>44743.0</v>
      </c>
      <c r="J22" s="20" t="s">
        <v>391</v>
      </c>
      <c r="K22" s="20">
        <v>0.0</v>
      </c>
      <c r="L22" s="20"/>
      <c r="M22" s="29">
        <v>1.04040941E9</v>
      </c>
      <c r="N22" s="20"/>
      <c r="O22" s="20"/>
      <c r="P22" s="153" t="str">
        <f t="shared" ref="P22:P24" si="8">TODAY()</f>
        <v>5/18/2026</v>
      </c>
      <c r="Q22" s="153">
        <v>44746.0</v>
      </c>
      <c r="R22" s="20" t="str">
        <f t="shared" ref="R22:R24" si="9">P22-Q22</f>
        <v>1414</v>
      </c>
      <c r="S22" s="6" t="s">
        <v>283</v>
      </c>
      <c r="T22" s="36" t="str">
        <f t="shared" ref="T22:T25" si="10">F22-U22</f>
        <v>  - </v>
      </c>
      <c r="U22" s="29" t="str">
        <f t="shared" ref="U22:U25" si="11">F22</f>
        <v>  1,040,409,410 </v>
      </c>
      <c r="V22" s="29"/>
      <c r="W22" s="249"/>
      <c r="X22" s="250" t="str">
        <f t="shared" ref="X22:X25" si="12">SUM(U22:W22)</f>
        <v>  1,040,409,410 </v>
      </c>
      <c r="Y22" s="251" t="str">
        <f t="shared" ref="Y22:Y25" si="13">F22=X22</f>
        <v>TRUE</v>
      </c>
    </row>
    <row r="23" ht="16.5" customHeight="1">
      <c r="A23" s="243">
        <v>2022.0</v>
      </c>
      <c r="B23" s="244" t="s">
        <v>392</v>
      </c>
      <c r="C23" s="245" t="s">
        <v>393</v>
      </c>
      <c r="D23" s="246" t="s">
        <v>367</v>
      </c>
      <c r="E23" s="245" t="s">
        <v>368</v>
      </c>
      <c r="F23" s="247">
        <v>6.343028E8</v>
      </c>
      <c r="G23" s="248" t="s">
        <v>369</v>
      </c>
      <c r="H23" s="248"/>
      <c r="I23" s="221">
        <v>44866.0</v>
      </c>
      <c r="J23" s="20" t="s">
        <v>391</v>
      </c>
      <c r="K23" s="20">
        <v>0.0</v>
      </c>
      <c r="L23" s="20"/>
      <c r="M23" s="29">
        <v>6.343028E8</v>
      </c>
      <c r="N23" s="29"/>
      <c r="O23" s="20"/>
      <c r="P23" s="153" t="str">
        <f t="shared" si="8"/>
        <v>5/18/2026</v>
      </c>
      <c r="Q23" s="153">
        <v>44872.0</v>
      </c>
      <c r="R23" s="20" t="str">
        <f t="shared" si="9"/>
        <v>1288</v>
      </c>
      <c r="S23" s="11"/>
      <c r="T23" s="36" t="str">
        <f t="shared" si="10"/>
        <v>  - </v>
      </c>
      <c r="U23" s="29" t="str">
        <f t="shared" si="11"/>
        <v>  634,302,800 </v>
      </c>
      <c r="V23" s="29"/>
      <c r="W23" s="252"/>
      <c r="X23" s="253" t="str">
        <f t="shared" si="12"/>
        <v>  634,302,800 </v>
      </c>
      <c r="Y23" s="254" t="str">
        <f t="shared" si="13"/>
        <v>TRUE</v>
      </c>
    </row>
    <row r="24" ht="16.5" customHeight="1">
      <c r="A24" s="243">
        <v>2023.0</v>
      </c>
      <c r="B24" s="244" t="s">
        <v>394</v>
      </c>
      <c r="C24" s="245" t="s">
        <v>395</v>
      </c>
      <c r="D24" s="246" t="s">
        <v>367</v>
      </c>
      <c r="E24" s="245" t="s">
        <v>368</v>
      </c>
      <c r="F24" s="247">
        <v>3.128E8</v>
      </c>
      <c r="G24" s="248" t="s">
        <v>369</v>
      </c>
      <c r="H24" s="248"/>
      <c r="I24" s="221">
        <v>45047.0</v>
      </c>
      <c r="J24" s="20" t="s">
        <v>391</v>
      </c>
      <c r="K24" s="20">
        <v>0.0</v>
      </c>
      <c r="L24" s="20"/>
      <c r="M24" s="29">
        <v>3.128E8</v>
      </c>
      <c r="N24" s="29"/>
      <c r="O24" s="20"/>
      <c r="P24" s="153" t="str">
        <f t="shared" si="8"/>
        <v>5/18/2026</v>
      </c>
      <c r="Q24" s="153">
        <v>45054.0</v>
      </c>
      <c r="R24" s="20" t="str">
        <f t="shared" si="9"/>
        <v>1106</v>
      </c>
      <c r="S24" s="11"/>
      <c r="T24" s="36" t="str">
        <f t="shared" si="10"/>
        <v>  - </v>
      </c>
      <c r="U24" s="29" t="str">
        <f t="shared" si="11"/>
        <v>  312,800,000 </v>
      </c>
      <c r="V24" s="29"/>
      <c r="W24" s="252"/>
      <c r="X24" s="253" t="str">
        <f t="shared" si="12"/>
        <v>  312,800,000 </v>
      </c>
      <c r="Y24" s="254" t="str">
        <f t="shared" si="13"/>
        <v>TRUE</v>
      </c>
    </row>
    <row r="25" ht="16.5" customHeight="1">
      <c r="A25" s="243">
        <v>2023.0</v>
      </c>
      <c r="B25" s="244" t="s">
        <v>396</v>
      </c>
      <c r="C25" s="245" t="s">
        <v>397</v>
      </c>
      <c r="D25" s="246" t="s">
        <v>384</v>
      </c>
      <c r="E25" s="245" t="s">
        <v>385</v>
      </c>
      <c r="F25" s="247">
        <v>-9.9375611E8</v>
      </c>
      <c r="G25" s="248" t="s">
        <v>369</v>
      </c>
      <c r="H25" s="248"/>
      <c r="I25" s="221">
        <v>45084.0</v>
      </c>
      <c r="J25" s="20" t="s">
        <v>391</v>
      </c>
      <c r="K25" s="20">
        <v>0.0</v>
      </c>
      <c r="L25" s="20"/>
      <c r="M25" s="29">
        <v>-9.9375611E8</v>
      </c>
      <c r="N25" s="29"/>
      <c r="O25" s="20"/>
      <c r="P25" s="20"/>
      <c r="Q25" s="20"/>
      <c r="R25" s="20"/>
      <c r="S25" s="15"/>
      <c r="T25" s="36" t="str">
        <f t="shared" si="10"/>
        <v>  - </v>
      </c>
      <c r="U25" s="29" t="str">
        <f t="shared" si="11"/>
        <v>- 993,756,110 </v>
      </c>
      <c r="V25" s="29"/>
      <c r="W25" s="255"/>
      <c r="X25" s="256" t="str">
        <f t="shared" si="12"/>
        <v>- 993,756,110 </v>
      </c>
      <c r="Y25" s="257" t="str">
        <f t="shared" si="13"/>
        <v>TRUE</v>
      </c>
    </row>
    <row r="26" ht="36.75" customHeight="1">
      <c r="A26" s="258" t="s">
        <v>398</v>
      </c>
      <c r="B26" s="32"/>
      <c r="C26" s="33"/>
      <c r="D26" s="259"/>
      <c r="E26" s="260"/>
      <c r="F26" s="261" t="str">
        <f>SUM(F22:F25)</f>
        <v>993,756,100</v>
      </c>
      <c r="G26" s="262"/>
      <c r="H26" s="262"/>
      <c r="I26" s="263"/>
      <c r="J26" s="264"/>
      <c r="K26" s="264"/>
      <c r="L26" s="264"/>
      <c r="M26" s="265"/>
      <c r="N26" s="265"/>
      <c r="O26" s="264"/>
      <c r="P26" s="266"/>
      <c r="Q26" s="266"/>
      <c r="R26" s="264"/>
      <c r="S26" s="267"/>
      <c r="T26" s="268" t="str">
        <f t="shared" ref="T26:U26" si="14">SUM(T22:T25)</f>
        <v>  - </v>
      </c>
      <c r="U26" s="268" t="str">
        <f t="shared" si="14"/>
        <v>  993,756,100 </v>
      </c>
      <c r="V26" s="265"/>
      <c r="W26" s="269"/>
      <c r="X26" s="270"/>
      <c r="Y26" s="271"/>
    </row>
    <row r="27" ht="16.5" customHeight="1">
      <c r="A27" s="243">
        <v>2022.0</v>
      </c>
      <c r="B27" s="244" t="s">
        <v>399</v>
      </c>
      <c r="C27" s="245" t="s">
        <v>400</v>
      </c>
      <c r="D27" s="246" t="s">
        <v>384</v>
      </c>
      <c r="E27" s="245" t="s">
        <v>385</v>
      </c>
      <c r="F27" s="247">
        <v>5.4170232E7</v>
      </c>
      <c r="G27" s="248" t="s">
        <v>369</v>
      </c>
      <c r="H27" s="248"/>
      <c r="I27" s="221">
        <v>44774.0</v>
      </c>
      <c r="J27" s="20" t="s">
        <v>401</v>
      </c>
      <c r="K27" s="20"/>
      <c r="L27" s="20"/>
      <c r="M27" s="20"/>
      <c r="N27" s="20"/>
      <c r="O27" s="20"/>
      <c r="P27" s="20" t="s">
        <v>370</v>
      </c>
      <c r="Q27" s="20"/>
      <c r="R27" s="20"/>
      <c r="S27" s="6" t="s">
        <v>402</v>
      </c>
      <c r="T27" s="36" t="str">
        <f t="shared" ref="T27:T59" si="15">F27-U27</f>
        <v>  54,170,232 </v>
      </c>
      <c r="U27" s="29"/>
      <c r="V27" s="29"/>
      <c r="W27" s="272">
        <v>5.4170232E7</v>
      </c>
      <c r="X27" s="250" t="str">
        <f t="shared" ref="X27:X41" si="16">SUM(U27:W27)</f>
        <v>  54,170,232 </v>
      </c>
      <c r="Y27" s="251" t="str">
        <f t="shared" ref="Y27:Y41" si="17">F27=X27</f>
        <v>TRUE</v>
      </c>
    </row>
    <row r="28" ht="16.5" customHeight="1">
      <c r="A28" s="243">
        <v>2022.0</v>
      </c>
      <c r="B28" s="244" t="s">
        <v>403</v>
      </c>
      <c r="C28" s="245" t="s">
        <v>404</v>
      </c>
      <c r="D28" s="246" t="s">
        <v>384</v>
      </c>
      <c r="E28" s="245" t="s">
        <v>385</v>
      </c>
      <c r="F28" s="247">
        <v>6.2821412E7</v>
      </c>
      <c r="G28" s="248" t="s">
        <v>369</v>
      </c>
      <c r="H28" s="248"/>
      <c r="I28" s="221">
        <v>44805.0</v>
      </c>
      <c r="J28" s="20" t="s">
        <v>401</v>
      </c>
      <c r="K28" s="20"/>
      <c r="L28" s="20"/>
      <c r="M28" s="20"/>
      <c r="N28" s="20"/>
      <c r="O28" s="20"/>
      <c r="P28" s="20" t="s">
        <v>370</v>
      </c>
      <c r="Q28" s="20"/>
      <c r="R28" s="20"/>
      <c r="S28" s="11"/>
      <c r="T28" s="36" t="str">
        <f t="shared" si="15"/>
        <v>  62,821,412 </v>
      </c>
      <c r="U28" s="29"/>
      <c r="V28" s="29"/>
      <c r="W28" s="273">
        <v>6.2821412E7</v>
      </c>
      <c r="X28" s="253" t="str">
        <f t="shared" si="16"/>
        <v>  62,821,412 </v>
      </c>
      <c r="Y28" s="254" t="str">
        <f t="shared" si="17"/>
        <v>TRUE</v>
      </c>
    </row>
    <row r="29" ht="16.5" customHeight="1">
      <c r="A29" s="243">
        <v>2022.0</v>
      </c>
      <c r="B29" s="244" t="s">
        <v>405</v>
      </c>
      <c r="C29" s="245" t="s">
        <v>406</v>
      </c>
      <c r="D29" s="246" t="s">
        <v>384</v>
      </c>
      <c r="E29" s="245" t="s">
        <v>385</v>
      </c>
      <c r="F29" s="247">
        <v>1.04329889E8</v>
      </c>
      <c r="G29" s="248" t="s">
        <v>369</v>
      </c>
      <c r="H29" s="248"/>
      <c r="I29" s="221">
        <v>44835.0</v>
      </c>
      <c r="J29" s="20" t="s">
        <v>401</v>
      </c>
      <c r="K29" s="20"/>
      <c r="L29" s="20"/>
      <c r="M29" s="20"/>
      <c r="N29" s="20"/>
      <c r="O29" s="20"/>
      <c r="P29" s="20" t="s">
        <v>370</v>
      </c>
      <c r="Q29" s="20"/>
      <c r="R29" s="20"/>
      <c r="S29" s="11"/>
      <c r="T29" s="36" t="str">
        <f t="shared" si="15"/>
        <v>  104,329,889 </v>
      </c>
      <c r="U29" s="29"/>
      <c r="V29" s="29"/>
      <c r="W29" s="273">
        <v>1.04329889E8</v>
      </c>
      <c r="X29" s="253" t="str">
        <f t="shared" si="16"/>
        <v>  104,329,889 </v>
      </c>
      <c r="Y29" s="254" t="str">
        <f t="shared" si="17"/>
        <v>TRUE</v>
      </c>
    </row>
    <row r="30" ht="16.5" customHeight="1">
      <c r="A30" s="243">
        <v>2022.0</v>
      </c>
      <c r="B30" s="244" t="s">
        <v>407</v>
      </c>
      <c r="C30" s="245" t="s">
        <v>408</v>
      </c>
      <c r="D30" s="246" t="s">
        <v>384</v>
      </c>
      <c r="E30" s="245" t="s">
        <v>385</v>
      </c>
      <c r="F30" s="247">
        <v>1.18870773E8</v>
      </c>
      <c r="G30" s="248" t="s">
        <v>369</v>
      </c>
      <c r="H30" s="248"/>
      <c r="I30" s="221">
        <v>44866.0</v>
      </c>
      <c r="J30" s="20" t="s">
        <v>401</v>
      </c>
      <c r="K30" s="20"/>
      <c r="L30" s="20"/>
      <c r="M30" s="20"/>
      <c r="N30" s="20"/>
      <c r="O30" s="20"/>
      <c r="P30" s="20" t="s">
        <v>370</v>
      </c>
      <c r="Q30" s="20"/>
      <c r="R30" s="20"/>
      <c r="S30" s="11"/>
      <c r="T30" s="36" t="str">
        <f t="shared" si="15"/>
        <v>  118,870,773 </v>
      </c>
      <c r="U30" s="29"/>
      <c r="V30" s="29"/>
      <c r="W30" s="273">
        <v>1.18870773E8</v>
      </c>
      <c r="X30" s="253" t="str">
        <f t="shared" si="16"/>
        <v>  118,870,773 </v>
      </c>
      <c r="Y30" s="254" t="str">
        <f t="shared" si="17"/>
        <v>TRUE</v>
      </c>
    </row>
    <row r="31" ht="16.5" customHeight="1">
      <c r="A31" s="243">
        <v>2022.0</v>
      </c>
      <c r="B31" s="244" t="s">
        <v>409</v>
      </c>
      <c r="C31" s="245" t="s">
        <v>408</v>
      </c>
      <c r="D31" s="246" t="s">
        <v>384</v>
      </c>
      <c r="E31" s="245" t="s">
        <v>385</v>
      </c>
      <c r="F31" s="247">
        <v>1.15036232E8</v>
      </c>
      <c r="G31" s="248" t="s">
        <v>369</v>
      </c>
      <c r="H31" s="248"/>
      <c r="I31" s="221">
        <v>44896.0</v>
      </c>
      <c r="J31" s="20" t="s">
        <v>401</v>
      </c>
      <c r="K31" s="20"/>
      <c r="L31" s="20"/>
      <c r="M31" s="20"/>
      <c r="N31" s="20"/>
      <c r="O31" s="20"/>
      <c r="P31" s="20" t="s">
        <v>370</v>
      </c>
      <c r="Q31" s="20"/>
      <c r="R31" s="20"/>
      <c r="S31" s="11"/>
      <c r="T31" s="36" t="str">
        <f t="shared" si="15"/>
        <v>  115,036,232 </v>
      </c>
      <c r="U31" s="29"/>
      <c r="V31" s="29"/>
      <c r="W31" s="273">
        <v>1.15036232E8</v>
      </c>
      <c r="X31" s="253" t="str">
        <f t="shared" si="16"/>
        <v>  115,036,232 </v>
      </c>
      <c r="Y31" s="254" t="str">
        <f t="shared" si="17"/>
        <v>TRUE</v>
      </c>
    </row>
    <row r="32" ht="16.5" customHeight="1">
      <c r="A32" s="243">
        <v>2023.0</v>
      </c>
      <c r="B32" s="244" t="s">
        <v>410</v>
      </c>
      <c r="C32" s="245" t="s">
        <v>411</v>
      </c>
      <c r="D32" s="246" t="s">
        <v>384</v>
      </c>
      <c r="E32" s="245" t="s">
        <v>385</v>
      </c>
      <c r="F32" s="247">
        <v>1.18870773E8</v>
      </c>
      <c r="G32" s="248" t="s">
        <v>369</v>
      </c>
      <c r="H32" s="248"/>
      <c r="I32" s="221">
        <v>44927.0</v>
      </c>
      <c r="J32" s="20" t="s">
        <v>401</v>
      </c>
      <c r="K32" s="20"/>
      <c r="L32" s="20"/>
      <c r="M32" s="20"/>
      <c r="N32" s="20"/>
      <c r="O32" s="20"/>
      <c r="P32" s="20" t="s">
        <v>370</v>
      </c>
      <c r="Q32" s="20"/>
      <c r="R32" s="20"/>
      <c r="S32" s="11"/>
      <c r="T32" s="36" t="str">
        <f t="shared" si="15"/>
        <v>  118,870,773 </v>
      </c>
      <c r="U32" s="29"/>
      <c r="V32" s="29"/>
      <c r="W32" s="273">
        <v>1.18870773E8</v>
      </c>
      <c r="X32" s="253" t="str">
        <f t="shared" si="16"/>
        <v>  118,870,773 </v>
      </c>
      <c r="Y32" s="254" t="str">
        <f t="shared" si="17"/>
        <v>TRUE</v>
      </c>
    </row>
    <row r="33" ht="16.5" customHeight="1">
      <c r="A33" s="243">
        <v>2023.0</v>
      </c>
      <c r="B33" s="244" t="s">
        <v>412</v>
      </c>
      <c r="C33" s="245" t="s">
        <v>413</v>
      </c>
      <c r="D33" s="246" t="s">
        <v>384</v>
      </c>
      <c r="E33" s="245" t="s">
        <v>385</v>
      </c>
      <c r="F33" s="247">
        <v>1.37937175E8</v>
      </c>
      <c r="G33" s="248" t="s">
        <v>369</v>
      </c>
      <c r="H33" s="248"/>
      <c r="I33" s="221">
        <v>44958.0</v>
      </c>
      <c r="J33" s="20" t="s">
        <v>401</v>
      </c>
      <c r="K33" s="20"/>
      <c r="L33" s="20"/>
      <c r="M33" s="20"/>
      <c r="N33" s="20"/>
      <c r="O33" s="20"/>
      <c r="P33" s="20" t="s">
        <v>370</v>
      </c>
      <c r="Q33" s="20"/>
      <c r="R33" s="20"/>
      <c r="S33" s="11"/>
      <c r="T33" s="36" t="str">
        <f t="shared" si="15"/>
        <v>  137,937,175 </v>
      </c>
      <c r="U33" s="29"/>
      <c r="V33" s="29"/>
      <c r="W33" s="273">
        <v>1.37937175E8</v>
      </c>
      <c r="X33" s="253" t="str">
        <f t="shared" si="16"/>
        <v>  137,937,175 </v>
      </c>
      <c r="Y33" s="254" t="str">
        <f t="shared" si="17"/>
        <v>TRUE</v>
      </c>
    </row>
    <row r="34" ht="16.5" customHeight="1">
      <c r="A34" s="243">
        <v>2023.0</v>
      </c>
      <c r="B34" s="244" t="s">
        <v>414</v>
      </c>
      <c r="C34" s="245" t="s">
        <v>415</v>
      </c>
      <c r="D34" s="246" t="s">
        <v>384</v>
      </c>
      <c r="E34" s="245" t="s">
        <v>385</v>
      </c>
      <c r="F34" s="247">
        <v>1.24588416E8</v>
      </c>
      <c r="G34" s="248" t="s">
        <v>369</v>
      </c>
      <c r="H34" s="248"/>
      <c r="I34" s="221">
        <v>44986.0</v>
      </c>
      <c r="J34" s="20" t="s">
        <v>401</v>
      </c>
      <c r="K34" s="20"/>
      <c r="L34" s="20"/>
      <c r="M34" s="20"/>
      <c r="N34" s="20"/>
      <c r="O34" s="20"/>
      <c r="P34" s="20" t="s">
        <v>370</v>
      </c>
      <c r="Q34" s="20"/>
      <c r="R34" s="20"/>
      <c r="S34" s="11"/>
      <c r="T34" s="36" t="str">
        <f t="shared" si="15"/>
        <v>  124,588,416 </v>
      </c>
      <c r="U34" s="29"/>
      <c r="V34" s="29"/>
      <c r="W34" s="273">
        <v>1.24588416E8</v>
      </c>
      <c r="X34" s="253" t="str">
        <f t="shared" si="16"/>
        <v>  124,588,416 </v>
      </c>
      <c r="Y34" s="254" t="str">
        <f t="shared" si="17"/>
        <v>TRUE</v>
      </c>
    </row>
    <row r="35" ht="16.5" customHeight="1">
      <c r="A35" s="243">
        <v>2023.0</v>
      </c>
      <c r="B35" s="244" t="s">
        <v>416</v>
      </c>
      <c r="C35" s="245" t="s">
        <v>413</v>
      </c>
      <c r="D35" s="246" t="s">
        <v>384</v>
      </c>
      <c r="E35" s="245" t="s">
        <v>385</v>
      </c>
      <c r="F35" s="247">
        <v>1.37937175E8</v>
      </c>
      <c r="G35" s="248" t="s">
        <v>369</v>
      </c>
      <c r="H35" s="248"/>
      <c r="I35" s="221">
        <v>45017.0</v>
      </c>
      <c r="J35" s="20" t="s">
        <v>401</v>
      </c>
      <c r="K35" s="20"/>
      <c r="L35" s="20"/>
      <c r="M35" s="20"/>
      <c r="N35" s="20"/>
      <c r="O35" s="20"/>
      <c r="P35" s="20" t="s">
        <v>370</v>
      </c>
      <c r="Q35" s="20"/>
      <c r="R35" s="20"/>
      <c r="S35" s="11"/>
      <c r="T35" s="36" t="str">
        <f t="shared" si="15"/>
        <v>  137,937,175 </v>
      </c>
      <c r="U35" s="29"/>
      <c r="V35" s="29"/>
      <c r="W35" s="273">
        <v>1.37937175E8</v>
      </c>
      <c r="X35" s="253" t="str">
        <f t="shared" si="16"/>
        <v>  137,937,175 </v>
      </c>
      <c r="Y35" s="254" t="str">
        <f t="shared" si="17"/>
        <v>TRUE</v>
      </c>
    </row>
    <row r="36" ht="16.5" customHeight="1">
      <c r="A36" s="243">
        <v>2023.0</v>
      </c>
      <c r="B36" s="244" t="s">
        <v>417</v>
      </c>
      <c r="C36" s="245" t="s">
        <v>418</v>
      </c>
      <c r="D36" s="246" t="s">
        <v>384</v>
      </c>
      <c r="E36" s="245" t="s">
        <v>385</v>
      </c>
      <c r="F36" s="247">
        <v>1.5125556E8</v>
      </c>
      <c r="G36" s="248" t="s">
        <v>369</v>
      </c>
      <c r="H36" s="248"/>
      <c r="I36" s="221">
        <v>45047.0</v>
      </c>
      <c r="J36" s="20" t="s">
        <v>401</v>
      </c>
      <c r="K36" s="20"/>
      <c r="L36" s="20"/>
      <c r="M36" s="20"/>
      <c r="N36" s="20"/>
      <c r="O36" s="20"/>
      <c r="P36" s="20" t="s">
        <v>370</v>
      </c>
      <c r="Q36" s="20"/>
      <c r="R36" s="20"/>
      <c r="S36" s="11"/>
      <c r="T36" s="36" t="str">
        <f t="shared" si="15"/>
        <v>  151,255,560 </v>
      </c>
      <c r="U36" s="29"/>
      <c r="V36" s="29"/>
      <c r="W36" s="273">
        <v>1.5125556E8</v>
      </c>
      <c r="X36" s="253" t="str">
        <f t="shared" si="16"/>
        <v>  151,255,560 </v>
      </c>
      <c r="Y36" s="254" t="str">
        <f t="shared" si="17"/>
        <v>TRUE</v>
      </c>
    </row>
    <row r="37" ht="16.5" customHeight="1">
      <c r="A37" s="243">
        <v>2023.0</v>
      </c>
      <c r="B37" s="244" t="s">
        <v>419</v>
      </c>
      <c r="C37" s="245" t="s">
        <v>420</v>
      </c>
      <c r="D37" s="246" t="s">
        <v>384</v>
      </c>
      <c r="E37" s="245" t="s">
        <v>385</v>
      </c>
      <c r="F37" s="247">
        <v>1.56297413E8</v>
      </c>
      <c r="G37" s="248" t="s">
        <v>369</v>
      </c>
      <c r="H37" s="248"/>
      <c r="I37" s="221">
        <v>45078.0</v>
      </c>
      <c r="J37" s="20" t="s">
        <v>401</v>
      </c>
      <c r="K37" s="20"/>
      <c r="L37" s="20"/>
      <c r="M37" s="20"/>
      <c r="N37" s="20"/>
      <c r="O37" s="20"/>
      <c r="P37" s="20" t="s">
        <v>370</v>
      </c>
      <c r="Q37" s="20"/>
      <c r="R37" s="20"/>
      <c r="S37" s="11"/>
      <c r="T37" s="36" t="str">
        <f t="shared" si="15"/>
        <v>  156,297,413 </v>
      </c>
      <c r="U37" s="29"/>
      <c r="V37" s="29"/>
      <c r="W37" s="273">
        <v>1.56297413E8</v>
      </c>
      <c r="X37" s="253" t="str">
        <f t="shared" si="16"/>
        <v>  156,297,413 </v>
      </c>
      <c r="Y37" s="254" t="str">
        <f t="shared" si="17"/>
        <v>TRUE</v>
      </c>
    </row>
    <row r="38" ht="16.5" customHeight="1">
      <c r="A38" s="243">
        <v>2023.0</v>
      </c>
      <c r="B38" s="244" t="s">
        <v>421</v>
      </c>
      <c r="C38" s="245" t="s">
        <v>418</v>
      </c>
      <c r="D38" s="246" t="s">
        <v>384</v>
      </c>
      <c r="E38" s="245" t="s">
        <v>385</v>
      </c>
      <c r="F38" s="247">
        <v>1.5125556E8</v>
      </c>
      <c r="G38" s="248" t="s">
        <v>369</v>
      </c>
      <c r="H38" s="248"/>
      <c r="I38" s="221">
        <v>45084.0</v>
      </c>
      <c r="J38" s="20" t="s">
        <v>401</v>
      </c>
      <c r="K38" s="20"/>
      <c r="L38" s="20"/>
      <c r="M38" s="20"/>
      <c r="N38" s="20"/>
      <c r="O38" s="20"/>
      <c r="P38" s="20" t="s">
        <v>370</v>
      </c>
      <c r="Q38" s="20"/>
      <c r="R38" s="20"/>
      <c r="S38" s="11"/>
      <c r="T38" s="36" t="str">
        <f t="shared" si="15"/>
        <v>  151,255,560 </v>
      </c>
      <c r="U38" s="29"/>
      <c r="V38" s="29"/>
      <c r="W38" s="273">
        <v>1.5125556E8</v>
      </c>
      <c r="X38" s="253" t="str">
        <f t="shared" si="16"/>
        <v>  151,255,560 </v>
      </c>
      <c r="Y38" s="254" t="str">
        <f t="shared" si="17"/>
        <v>TRUE</v>
      </c>
    </row>
    <row r="39" ht="16.5" customHeight="1">
      <c r="A39" s="243">
        <v>2023.0</v>
      </c>
      <c r="B39" s="244" t="s">
        <v>399</v>
      </c>
      <c r="C39" s="245" t="s">
        <v>422</v>
      </c>
      <c r="D39" s="246" t="s">
        <v>384</v>
      </c>
      <c r="E39" s="245" t="s">
        <v>385</v>
      </c>
      <c r="F39" s="247">
        <v>1.38575E8</v>
      </c>
      <c r="G39" s="248" t="s">
        <v>369</v>
      </c>
      <c r="H39" s="248"/>
      <c r="I39" s="221">
        <v>45084.0</v>
      </c>
      <c r="J39" s="20" t="s">
        <v>401</v>
      </c>
      <c r="K39" s="20"/>
      <c r="L39" s="20"/>
      <c r="M39" s="20"/>
      <c r="N39" s="20"/>
      <c r="O39" s="20"/>
      <c r="P39" s="20" t="s">
        <v>370</v>
      </c>
      <c r="Q39" s="20"/>
      <c r="R39" s="20"/>
      <c r="S39" s="11"/>
      <c r="T39" s="36" t="str">
        <f t="shared" si="15"/>
        <v>  138,575,000 </v>
      </c>
      <c r="U39" s="29"/>
      <c r="V39" s="29"/>
      <c r="W39" s="273">
        <v>1.38575E8</v>
      </c>
      <c r="X39" s="253" t="str">
        <f t="shared" si="16"/>
        <v>  138,575,000 </v>
      </c>
      <c r="Y39" s="254" t="str">
        <f t="shared" si="17"/>
        <v>TRUE</v>
      </c>
    </row>
    <row r="40" ht="16.5" customHeight="1">
      <c r="A40" s="243">
        <v>2023.0</v>
      </c>
      <c r="B40" s="244" t="s">
        <v>399</v>
      </c>
      <c r="C40" s="245" t="s">
        <v>423</v>
      </c>
      <c r="D40" s="246" t="s">
        <v>384</v>
      </c>
      <c r="E40" s="245" t="s">
        <v>385</v>
      </c>
      <c r="F40" s="247">
        <v>1.27109341E8</v>
      </c>
      <c r="G40" s="248" t="s">
        <v>369</v>
      </c>
      <c r="H40" s="248"/>
      <c r="I40" s="221">
        <v>45084.0</v>
      </c>
      <c r="J40" s="20" t="s">
        <v>401</v>
      </c>
      <c r="K40" s="20"/>
      <c r="L40" s="20"/>
      <c r="M40" s="20"/>
      <c r="N40" s="20"/>
      <c r="O40" s="20"/>
      <c r="P40" s="20" t="s">
        <v>370</v>
      </c>
      <c r="Q40" s="20"/>
      <c r="R40" s="20"/>
      <c r="S40" s="11"/>
      <c r="T40" s="36" t="str">
        <f t="shared" si="15"/>
        <v>  127,109,341 </v>
      </c>
      <c r="U40" s="29"/>
      <c r="V40" s="29"/>
      <c r="W40" s="274">
        <v>1.27109341E8</v>
      </c>
      <c r="X40" s="256" t="str">
        <f t="shared" si="16"/>
        <v>  127,109,341 </v>
      </c>
      <c r="Y40" s="257" t="str">
        <f t="shared" si="17"/>
        <v>TRUE</v>
      </c>
    </row>
    <row r="41" ht="16.5" customHeight="1">
      <c r="A41" s="248">
        <v>2023.0</v>
      </c>
      <c r="B41" s="244" t="s">
        <v>424</v>
      </c>
      <c r="C41" s="245" t="s">
        <v>423</v>
      </c>
      <c r="D41" s="246" t="s">
        <v>384</v>
      </c>
      <c r="E41" s="245" t="s">
        <v>385</v>
      </c>
      <c r="F41" s="247">
        <v>1.27109341E8</v>
      </c>
      <c r="G41" s="248" t="s">
        <v>369</v>
      </c>
      <c r="H41" s="248"/>
      <c r="I41" s="221">
        <v>45084.0</v>
      </c>
      <c r="J41" s="20" t="s">
        <v>401</v>
      </c>
      <c r="K41" s="20"/>
      <c r="L41" s="20"/>
      <c r="M41" s="20"/>
      <c r="N41" s="20"/>
      <c r="O41" s="20"/>
      <c r="P41" s="20" t="s">
        <v>370</v>
      </c>
      <c r="Q41" s="20"/>
      <c r="R41" s="20"/>
      <c r="S41" s="11"/>
      <c r="T41" s="36" t="str">
        <f t="shared" si="15"/>
        <v>  127,109,341 </v>
      </c>
      <c r="U41" s="29"/>
      <c r="V41" s="29"/>
      <c r="W41" s="274">
        <v>1.27109341E8</v>
      </c>
      <c r="X41" s="256" t="str">
        <f t="shared" si="16"/>
        <v>  127,109,341 </v>
      </c>
      <c r="Y41" s="275" t="str">
        <f t="shared" si="17"/>
        <v>TRUE</v>
      </c>
    </row>
    <row r="42" ht="16.5" customHeight="1">
      <c r="A42" s="248">
        <v>2023.0</v>
      </c>
      <c r="B42" s="244" t="s">
        <v>405</v>
      </c>
      <c r="C42" s="245" t="s">
        <v>425</v>
      </c>
      <c r="D42" s="246"/>
      <c r="E42" s="245"/>
      <c r="F42" s="247">
        <v>1.2300904E8</v>
      </c>
      <c r="G42" s="248"/>
      <c r="H42" s="248"/>
      <c r="I42" s="221"/>
      <c r="J42" s="20"/>
      <c r="K42" s="20"/>
      <c r="L42" s="20"/>
      <c r="M42" s="20"/>
      <c r="N42" s="20"/>
      <c r="O42" s="20"/>
      <c r="P42" s="20"/>
      <c r="Q42" s="20"/>
      <c r="R42" s="20"/>
      <c r="S42" s="11"/>
      <c r="T42" s="36" t="str">
        <f t="shared" si="15"/>
        <v>  123,009,040 </v>
      </c>
      <c r="U42" s="29"/>
      <c r="V42" s="29"/>
      <c r="W42" s="274"/>
      <c r="X42" s="256"/>
      <c r="Y42" s="275"/>
    </row>
    <row r="43" ht="16.5" customHeight="1">
      <c r="A43" s="248">
        <v>2023.0</v>
      </c>
      <c r="B43" s="244" t="s">
        <v>426</v>
      </c>
      <c r="C43" s="245" t="s">
        <v>423</v>
      </c>
      <c r="D43" s="246"/>
      <c r="E43" s="245"/>
      <c r="F43" s="247">
        <v>1.28521667E8</v>
      </c>
      <c r="G43" s="248"/>
      <c r="H43" s="248"/>
      <c r="I43" s="221"/>
      <c r="J43" s="20"/>
      <c r="K43" s="20"/>
      <c r="L43" s="20"/>
      <c r="M43" s="20"/>
      <c r="N43" s="20"/>
      <c r="O43" s="20"/>
      <c r="P43" s="20"/>
      <c r="Q43" s="20"/>
      <c r="R43" s="20"/>
      <c r="S43" s="11"/>
      <c r="T43" s="36" t="str">
        <f t="shared" si="15"/>
        <v>  128,521,667 </v>
      </c>
      <c r="U43" s="29"/>
      <c r="V43" s="29"/>
      <c r="W43" s="274"/>
      <c r="X43" s="256"/>
      <c r="Y43" s="275"/>
    </row>
    <row r="44" ht="16.5" customHeight="1">
      <c r="A44" s="248">
        <v>2023.0</v>
      </c>
      <c r="B44" s="244" t="s">
        <v>409</v>
      </c>
      <c r="C44" s="245" t="s">
        <v>425</v>
      </c>
      <c r="D44" s="246"/>
      <c r="E44" s="245"/>
      <c r="F44" s="247">
        <v>1.24375807E8</v>
      </c>
      <c r="G44" s="248"/>
      <c r="H44" s="248"/>
      <c r="I44" s="221"/>
      <c r="J44" s="20"/>
      <c r="K44" s="20"/>
      <c r="L44" s="20"/>
      <c r="M44" s="20"/>
      <c r="N44" s="20"/>
      <c r="O44" s="20"/>
      <c r="P44" s="20"/>
      <c r="Q44" s="20"/>
      <c r="R44" s="20"/>
      <c r="S44" s="11"/>
      <c r="T44" s="36" t="str">
        <f t="shared" si="15"/>
        <v>  124,375,807 </v>
      </c>
      <c r="U44" s="29"/>
      <c r="V44" s="29"/>
      <c r="W44" s="274"/>
      <c r="X44" s="256"/>
      <c r="Y44" s="275"/>
    </row>
    <row r="45" ht="16.5" customHeight="1">
      <c r="A45" s="248">
        <v>2024.0</v>
      </c>
      <c r="B45" s="244" t="s">
        <v>427</v>
      </c>
      <c r="C45" s="245" t="s">
        <v>428</v>
      </c>
      <c r="D45" s="246"/>
      <c r="E45" s="245"/>
      <c r="F45" s="247">
        <v>9.1186269E7</v>
      </c>
      <c r="G45" s="248"/>
      <c r="H45" s="248"/>
      <c r="I45" s="221"/>
      <c r="J45" s="20"/>
      <c r="K45" s="20"/>
      <c r="L45" s="20"/>
      <c r="M45" s="20"/>
      <c r="N45" s="20"/>
      <c r="O45" s="20"/>
      <c r="P45" s="20"/>
      <c r="Q45" s="20"/>
      <c r="R45" s="20"/>
      <c r="S45" s="11"/>
      <c r="T45" s="36" t="str">
        <f t="shared" si="15"/>
        <v>  91,186,269 </v>
      </c>
      <c r="U45" s="29"/>
      <c r="V45" s="29"/>
      <c r="W45" s="274"/>
      <c r="X45" s="256"/>
      <c r="Y45" s="275"/>
    </row>
    <row r="46" ht="16.5" customHeight="1">
      <c r="A46" s="248">
        <v>2024.0</v>
      </c>
      <c r="B46" s="244" t="s">
        <v>410</v>
      </c>
      <c r="C46" s="245" t="s">
        <v>429</v>
      </c>
      <c r="D46" s="246"/>
      <c r="E46" s="245"/>
      <c r="F46" s="247">
        <v>3.7210794E7</v>
      </c>
      <c r="G46" s="248"/>
      <c r="H46" s="248"/>
      <c r="I46" s="221"/>
      <c r="J46" s="20"/>
      <c r="K46" s="20"/>
      <c r="L46" s="20"/>
      <c r="M46" s="20"/>
      <c r="N46" s="20"/>
      <c r="O46" s="20"/>
      <c r="P46" s="20"/>
      <c r="Q46" s="20"/>
      <c r="R46" s="20"/>
      <c r="S46" s="11"/>
      <c r="T46" s="36" t="str">
        <f t="shared" si="15"/>
        <v>  37,210,794 </v>
      </c>
      <c r="U46" s="29"/>
      <c r="V46" s="29"/>
      <c r="W46" s="274"/>
      <c r="X46" s="256"/>
      <c r="Y46" s="275"/>
    </row>
    <row r="47" ht="16.5" customHeight="1">
      <c r="A47" s="248">
        <v>2024.0</v>
      </c>
      <c r="B47" s="244" t="s">
        <v>412</v>
      </c>
      <c r="C47" s="245" t="s">
        <v>422</v>
      </c>
      <c r="D47" s="246"/>
      <c r="E47" s="245"/>
      <c r="F47" s="247">
        <v>1.38575E8</v>
      </c>
      <c r="G47" s="248"/>
      <c r="H47" s="248"/>
      <c r="I47" s="221"/>
      <c r="J47" s="20"/>
      <c r="K47" s="20"/>
      <c r="L47" s="20"/>
      <c r="M47" s="20"/>
      <c r="N47" s="20"/>
      <c r="O47" s="20"/>
      <c r="P47" s="20"/>
      <c r="Q47" s="20"/>
      <c r="R47" s="20"/>
      <c r="S47" s="11"/>
      <c r="T47" s="36" t="str">
        <f t="shared" si="15"/>
        <v>  138,575,000 </v>
      </c>
      <c r="U47" s="29"/>
      <c r="V47" s="29"/>
      <c r="W47" s="274"/>
      <c r="X47" s="256"/>
      <c r="Y47" s="275"/>
    </row>
    <row r="48" ht="16.5" customHeight="1">
      <c r="A48" s="248">
        <v>2024.0</v>
      </c>
      <c r="B48" s="244" t="s">
        <v>412</v>
      </c>
      <c r="C48" s="245" t="s">
        <v>430</v>
      </c>
      <c r="D48" s="246" t="s">
        <v>384</v>
      </c>
      <c r="E48" s="245" t="s">
        <v>385</v>
      </c>
      <c r="F48" s="247">
        <v>1.28170515E8</v>
      </c>
      <c r="G48" s="248" t="s">
        <v>369</v>
      </c>
      <c r="H48" s="248"/>
      <c r="I48" s="221">
        <v>45084.0</v>
      </c>
      <c r="J48" s="20" t="s">
        <v>401</v>
      </c>
      <c r="K48" s="20"/>
      <c r="L48" s="20"/>
      <c r="M48" s="20"/>
      <c r="N48" s="20"/>
      <c r="O48" s="20"/>
      <c r="P48" s="20" t="s">
        <v>370</v>
      </c>
      <c r="Q48" s="20"/>
      <c r="R48" s="20"/>
      <c r="S48" s="11"/>
      <c r="T48" s="36" t="str">
        <f t="shared" si="15"/>
        <v>  128,170,515 </v>
      </c>
      <c r="U48" s="29"/>
      <c r="V48" s="29"/>
      <c r="W48" s="274">
        <v>1.27109341E8</v>
      </c>
      <c r="X48" s="256" t="str">
        <f>SUM(U48:W48)</f>
        <v>  127,109,341 </v>
      </c>
      <c r="Y48" s="275" t="str">
        <f>F48=X48</f>
        <v>FALSE</v>
      </c>
    </row>
    <row r="49" ht="16.5" customHeight="1">
      <c r="A49" s="248">
        <v>2024.0</v>
      </c>
      <c r="B49" s="244" t="s">
        <v>431</v>
      </c>
      <c r="C49" s="245" t="s">
        <v>432</v>
      </c>
      <c r="D49" s="246"/>
      <c r="E49" s="245"/>
      <c r="F49" s="247">
        <v>1.1990145E8</v>
      </c>
      <c r="G49" s="248"/>
      <c r="H49" s="248"/>
      <c r="I49" s="221"/>
      <c r="J49" s="20"/>
      <c r="K49" s="20"/>
      <c r="L49" s="20"/>
      <c r="M49" s="20"/>
      <c r="N49" s="20"/>
      <c r="O49" s="20"/>
      <c r="P49" s="20"/>
      <c r="Q49" s="20"/>
      <c r="R49" s="20"/>
      <c r="S49" s="11"/>
      <c r="T49" s="36" t="str">
        <f t="shared" si="15"/>
        <v>  119,901,450 </v>
      </c>
      <c r="U49" s="29"/>
      <c r="V49" s="29"/>
      <c r="W49" s="274"/>
      <c r="X49" s="256"/>
      <c r="Y49" s="275"/>
    </row>
    <row r="50" ht="16.5" customHeight="1">
      <c r="A50" s="248">
        <v>2024.0</v>
      </c>
      <c r="B50" s="244" t="s">
        <v>433</v>
      </c>
      <c r="C50" s="245" t="s">
        <v>434</v>
      </c>
      <c r="D50" s="246"/>
      <c r="E50" s="245"/>
      <c r="F50" s="247">
        <v>2.9084792E7</v>
      </c>
      <c r="G50" s="248"/>
      <c r="H50" s="248"/>
      <c r="I50" s="221"/>
      <c r="J50" s="20"/>
      <c r="K50" s="20"/>
      <c r="L50" s="20"/>
      <c r="M50" s="20"/>
      <c r="N50" s="20"/>
      <c r="O50" s="20"/>
      <c r="P50" s="20"/>
      <c r="Q50" s="20"/>
      <c r="R50" s="20"/>
      <c r="S50" s="11"/>
      <c r="T50" s="36" t="str">
        <f t="shared" si="15"/>
        <v>  29,084,792 </v>
      </c>
      <c r="U50" s="29"/>
      <c r="V50" s="29"/>
      <c r="W50" s="274"/>
      <c r="X50" s="256"/>
      <c r="Y50" s="275"/>
    </row>
    <row r="51" ht="16.5" customHeight="1">
      <c r="A51" s="248">
        <v>2024.0</v>
      </c>
      <c r="B51" s="244" t="s">
        <v>433</v>
      </c>
      <c r="C51" s="245" t="s">
        <v>435</v>
      </c>
      <c r="D51" s="246"/>
      <c r="E51" s="245"/>
      <c r="F51" s="247">
        <v>1.1043776E7</v>
      </c>
      <c r="G51" s="248"/>
      <c r="H51" s="248"/>
      <c r="I51" s="221"/>
      <c r="J51" s="20"/>
      <c r="K51" s="20"/>
      <c r="L51" s="20"/>
      <c r="M51" s="20"/>
      <c r="N51" s="20"/>
      <c r="O51" s="20"/>
      <c r="P51" s="20"/>
      <c r="Q51" s="20"/>
      <c r="R51" s="20"/>
      <c r="S51" s="11"/>
      <c r="T51" s="36" t="str">
        <f t="shared" si="15"/>
        <v>  11,043,776 </v>
      </c>
      <c r="U51" s="29"/>
      <c r="V51" s="29"/>
      <c r="W51" s="274"/>
      <c r="X51" s="256"/>
      <c r="Y51" s="275"/>
    </row>
    <row r="52" ht="16.5" customHeight="1">
      <c r="A52" s="248">
        <v>2024.0</v>
      </c>
      <c r="B52" s="244" t="s">
        <v>416</v>
      </c>
      <c r="C52" s="245" t="s">
        <v>436</v>
      </c>
      <c r="D52" s="246"/>
      <c r="E52" s="245"/>
      <c r="F52" s="247">
        <v>6.3768473E7</v>
      </c>
      <c r="G52" s="248"/>
      <c r="H52" s="248"/>
      <c r="I52" s="221"/>
      <c r="J52" s="20"/>
      <c r="K52" s="20"/>
      <c r="L52" s="20"/>
      <c r="M52" s="20"/>
      <c r="N52" s="20"/>
      <c r="O52" s="20"/>
      <c r="P52" s="20"/>
      <c r="Q52" s="20"/>
      <c r="R52" s="20"/>
      <c r="S52" s="11"/>
      <c r="T52" s="36" t="str">
        <f t="shared" si="15"/>
        <v>  63,768,473 </v>
      </c>
      <c r="U52" s="29"/>
      <c r="V52" s="29"/>
      <c r="W52" s="274"/>
      <c r="X52" s="256"/>
      <c r="Y52" s="275"/>
    </row>
    <row r="53" ht="16.5" customHeight="1">
      <c r="A53" s="248">
        <v>2024.0</v>
      </c>
      <c r="B53" s="244" t="s">
        <v>416</v>
      </c>
      <c r="C53" s="245" t="s">
        <v>437</v>
      </c>
      <c r="D53" s="246"/>
      <c r="E53" s="245"/>
      <c r="F53" s="247">
        <v>6152495.0</v>
      </c>
      <c r="G53" s="248"/>
      <c r="H53" s="248"/>
      <c r="I53" s="221"/>
      <c r="J53" s="20"/>
      <c r="K53" s="20"/>
      <c r="L53" s="20"/>
      <c r="M53" s="20"/>
      <c r="N53" s="20"/>
      <c r="O53" s="20"/>
      <c r="P53" s="20"/>
      <c r="Q53" s="20"/>
      <c r="R53" s="20"/>
      <c r="S53" s="11"/>
      <c r="T53" s="36" t="str">
        <f t="shared" si="15"/>
        <v>  6,152,495 </v>
      </c>
      <c r="U53" s="29"/>
      <c r="V53" s="29"/>
      <c r="W53" s="274"/>
      <c r="X53" s="256"/>
      <c r="Y53" s="275"/>
    </row>
    <row r="54" ht="16.5" customHeight="1">
      <c r="A54" s="248">
        <v>2024.0</v>
      </c>
      <c r="B54" s="244" t="s">
        <v>438</v>
      </c>
      <c r="C54" s="245" t="s">
        <v>439</v>
      </c>
      <c r="D54" s="246"/>
      <c r="E54" s="245"/>
      <c r="F54" s="247">
        <v>1.4540335E7</v>
      </c>
      <c r="G54" s="248"/>
      <c r="H54" s="248"/>
      <c r="I54" s="221"/>
      <c r="J54" s="20"/>
      <c r="K54" s="20"/>
      <c r="L54" s="20"/>
      <c r="M54" s="20"/>
      <c r="N54" s="20"/>
      <c r="O54" s="20"/>
      <c r="P54" s="20"/>
      <c r="Q54" s="20"/>
      <c r="R54" s="20"/>
      <c r="S54" s="11"/>
      <c r="T54" s="36" t="str">
        <f t="shared" si="15"/>
        <v>  14,540,335 </v>
      </c>
      <c r="U54" s="29"/>
      <c r="V54" s="29"/>
      <c r="W54" s="274"/>
      <c r="X54" s="256"/>
      <c r="Y54" s="275"/>
    </row>
    <row r="55" ht="16.5" customHeight="1">
      <c r="A55" s="248">
        <v>2024.0</v>
      </c>
      <c r="B55" s="244" t="s">
        <v>440</v>
      </c>
      <c r="C55" s="245" t="s">
        <v>441</v>
      </c>
      <c r="D55" s="246"/>
      <c r="E55" s="245"/>
      <c r="F55" s="247">
        <v>1526668.0</v>
      </c>
      <c r="G55" s="248"/>
      <c r="H55" s="248"/>
      <c r="I55" s="221"/>
      <c r="J55" s="20"/>
      <c r="K55" s="20"/>
      <c r="L55" s="20"/>
      <c r="M55" s="20"/>
      <c r="N55" s="20"/>
      <c r="O55" s="20"/>
      <c r="P55" s="20"/>
      <c r="Q55" s="20"/>
      <c r="R55" s="20"/>
      <c r="S55" s="11"/>
      <c r="T55" s="36" t="str">
        <f t="shared" si="15"/>
        <v>  1,526,668 </v>
      </c>
      <c r="U55" s="29"/>
      <c r="V55" s="29"/>
      <c r="W55" s="274"/>
      <c r="X55" s="256"/>
      <c r="Y55" s="275"/>
    </row>
    <row r="56" ht="16.5" customHeight="1">
      <c r="A56" s="248">
        <v>2024.0</v>
      </c>
      <c r="B56" s="244" t="s">
        <v>442</v>
      </c>
      <c r="C56" s="245" t="s">
        <v>443</v>
      </c>
      <c r="D56" s="246"/>
      <c r="E56" s="245"/>
      <c r="F56" s="247">
        <v>2.3426096E7</v>
      </c>
      <c r="G56" s="248"/>
      <c r="H56" s="248"/>
      <c r="I56" s="221"/>
      <c r="J56" s="20"/>
      <c r="K56" s="20"/>
      <c r="L56" s="20"/>
      <c r="M56" s="20"/>
      <c r="N56" s="20"/>
      <c r="O56" s="20"/>
      <c r="P56" s="20"/>
      <c r="Q56" s="20"/>
      <c r="R56" s="20"/>
      <c r="S56" s="11"/>
      <c r="T56" s="36" t="str">
        <f t="shared" si="15"/>
        <v>  23,426,096 </v>
      </c>
      <c r="U56" s="29"/>
      <c r="V56" s="29"/>
      <c r="W56" s="274"/>
      <c r="X56" s="256"/>
      <c r="Y56" s="275"/>
    </row>
    <row r="57" ht="16.5" customHeight="1">
      <c r="A57" s="248">
        <v>2024.0</v>
      </c>
      <c r="B57" s="244" t="s">
        <v>444</v>
      </c>
      <c r="C57" s="245" t="s">
        <v>443</v>
      </c>
      <c r="D57" s="246"/>
      <c r="E57" s="245"/>
      <c r="F57" s="247">
        <v>1.7314941E7</v>
      </c>
      <c r="G57" s="248"/>
      <c r="H57" s="248"/>
      <c r="I57" s="221"/>
      <c r="J57" s="20"/>
      <c r="K57" s="20"/>
      <c r="L57" s="20"/>
      <c r="M57" s="20"/>
      <c r="N57" s="20"/>
      <c r="O57" s="20"/>
      <c r="P57" s="20"/>
      <c r="Q57" s="20"/>
      <c r="R57" s="20"/>
      <c r="S57" s="11"/>
      <c r="T57" s="36" t="str">
        <f t="shared" si="15"/>
        <v>  17,314,941 </v>
      </c>
      <c r="U57" s="29"/>
      <c r="V57" s="29"/>
      <c r="W57" s="274"/>
      <c r="X57" s="256"/>
      <c r="Y57" s="275"/>
    </row>
    <row r="58" ht="16.5" customHeight="1">
      <c r="A58" s="248">
        <v>2024.0</v>
      </c>
      <c r="B58" s="244" t="s">
        <v>445</v>
      </c>
      <c r="C58" s="245" t="s">
        <v>446</v>
      </c>
      <c r="D58" s="246"/>
      <c r="E58" s="245"/>
      <c r="F58" s="247">
        <v>5889964.0</v>
      </c>
      <c r="G58" s="248"/>
      <c r="H58" s="248"/>
      <c r="I58" s="221"/>
      <c r="J58" s="20"/>
      <c r="K58" s="20"/>
      <c r="L58" s="20"/>
      <c r="M58" s="20"/>
      <c r="N58" s="20"/>
      <c r="O58" s="20"/>
      <c r="P58" s="20"/>
      <c r="Q58" s="20"/>
      <c r="R58" s="20"/>
      <c r="S58" s="11"/>
      <c r="T58" s="36" t="str">
        <f t="shared" si="15"/>
        <v>  5,889,964 </v>
      </c>
      <c r="U58" s="29"/>
      <c r="V58" s="29"/>
      <c r="W58" s="274"/>
      <c r="X58" s="256"/>
      <c r="Y58" s="275"/>
    </row>
    <row r="59" ht="16.5" customHeight="1">
      <c r="A59" s="248">
        <v>2024.0</v>
      </c>
      <c r="B59" s="244" t="s">
        <v>447</v>
      </c>
      <c r="C59" s="245" t="s">
        <v>446</v>
      </c>
      <c r="D59" s="246"/>
      <c r="E59" s="245"/>
      <c r="F59" s="247">
        <v>3786405.0</v>
      </c>
      <c r="G59" s="248"/>
      <c r="H59" s="248"/>
      <c r="I59" s="221"/>
      <c r="J59" s="20"/>
      <c r="K59" s="20"/>
      <c r="L59" s="20"/>
      <c r="M59" s="20"/>
      <c r="N59" s="20"/>
      <c r="O59" s="20"/>
      <c r="P59" s="20"/>
      <c r="Q59" s="20"/>
      <c r="R59" s="20"/>
      <c r="S59" s="15"/>
      <c r="T59" s="36" t="str">
        <f t="shared" si="15"/>
        <v>  3,786,405 </v>
      </c>
      <c r="U59" s="29"/>
      <c r="V59" s="29"/>
      <c r="W59" s="274"/>
      <c r="X59" s="256"/>
      <c r="Y59" s="275"/>
    </row>
    <row r="60" ht="36.75" customHeight="1">
      <c r="A60" s="258" t="s">
        <v>448</v>
      </c>
      <c r="B60" s="32"/>
      <c r="C60" s="33"/>
      <c r="D60" s="259"/>
      <c r="E60" s="260"/>
      <c r="F60" s="261" t="str">
        <f>SUM(F27:F59)</f>
        <v>2,893,648,779</v>
      </c>
      <c r="G60" s="262"/>
      <c r="H60" s="262"/>
      <c r="I60" s="263"/>
      <c r="J60" s="264"/>
      <c r="K60" s="264"/>
      <c r="L60" s="264"/>
      <c r="M60" s="265"/>
      <c r="N60" s="265"/>
      <c r="O60" s="264"/>
      <c r="P60" s="266"/>
      <c r="Q60" s="266"/>
      <c r="R60" s="264"/>
      <c r="S60" s="267"/>
      <c r="T60" s="268" t="str">
        <f>SUM(T27:T59)</f>
        <v>  2,893,648,779 </v>
      </c>
      <c r="U60" s="268" t="str">
        <f>SUM(U37:U59)</f>
        <v>  - </v>
      </c>
      <c r="V60" s="265"/>
      <c r="W60" s="269"/>
      <c r="X60" s="270"/>
      <c r="Y60" s="271"/>
    </row>
    <row r="61" ht="16.5" customHeight="1">
      <c r="A61" s="243">
        <v>2022.0</v>
      </c>
      <c r="B61" s="244" t="s">
        <v>372</v>
      </c>
      <c r="C61" s="245" t="s">
        <v>449</v>
      </c>
      <c r="D61" s="246" t="s">
        <v>375</v>
      </c>
      <c r="E61" s="245" t="s">
        <v>376</v>
      </c>
      <c r="F61" s="247">
        <v>2479972.0</v>
      </c>
      <c r="G61" s="248" t="s">
        <v>369</v>
      </c>
      <c r="H61" s="248" t="s">
        <v>361</v>
      </c>
      <c r="I61" s="221">
        <v>44621.0</v>
      </c>
      <c r="J61" s="20" t="s">
        <v>450</v>
      </c>
      <c r="K61" s="20"/>
      <c r="L61" s="20"/>
      <c r="M61" s="20"/>
      <c r="N61" s="20"/>
      <c r="O61" s="20"/>
      <c r="P61" s="20" t="s">
        <v>370</v>
      </c>
      <c r="Q61" s="20"/>
      <c r="R61" s="20"/>
      <c r="S61" s="16" t="s">
        <v>451</v>
      </c>
      <c r="T61" s="247">
        <v>2479972.0</v>
      </c>
      <c r="U61" s="29"/>
      <c r="V61" s="29"/>
      <c r="W61" s="272">
        <v>2479972.0</v>
      </c>
      <c r="X61" s="250" t="str">
        <f t="shared" ref="X61:X62" si="18">SUM(U61:W61)</f>
        <v>  2,479,972 </v>
      </c>
      <c r="Y61" s="251" t="str">
        <f t="shared" ref="Y61:Y62" si="19">F61=X61</f>
        <v>TRUE</v>
      </c>
    </row>
    <row r="62" ht="16.5" customHeight="1">
      <c r="A62" s="243">
        <v>2022.0</v>
      </c>
      <c r="B62" s="244" t="s">
        <v>421</v>
      </c>
      <c r="C62" s="245" t="s">
        <v>452</v>
      </c>
      <c r="D62" s="246" t="s">
        <v>384</v>
      </c>
      <c r="E62" s="245" t="s">
        <v>385</v>
      </c>
      <c r="F62" s="247">
        <v>175000.0</v>
      </c>
      <c r="G62" s="248" t="s">
        <v>369</v>
      </c>
      <c r="H62" s="248"/>
      <c r="I62" s="221">
        <v>44743.0</v>
      </c>
      <c r="J62" s="220" t="s">
        <v>450</v>
      </c>
      <c r="K62" s="20"/>
      <c r="L62" s="20"/>
      <c r="M62" s="20"/>
      <c r="N62" s="20"/>
      <c r="O62" s="20"/>
      <c r="P62" s="20" t="s">
        <v>370</v>
      </c>
      <c r="Q62" s="20"/>
      <c r="R62" s="20"/>
      <c r="S62" s="16" t="s">
        <v>453</v>
      </c>
      <c r="T62" s="247">
        <v>175000.0</v>
      </c>
      <c r="U62" s="29"/>
      <c r="V62" s="29"/>
      <c r="W62" s="274">
        <v>175000.0</v>
      </c>
      <c r="X62" s="256" t="str">
        <f t="shared" si="18"/>
        <v>  175,000 </v>
      </c>
      <c r="Y62" s="257" t="str">
        <f t="shared" si="19"/>
        <v>TRUE</v>
      </c>
    </row>
    <row r="63" ht="39.0" customHeight="1">
      <c r="A63" s="258" t="s">
        <v>454</v>
      </c>
      <c r="B63" s="32"/>
      <c r="C63" s="33"/>
      <c r="D63" s="259"/>
      <c r="E63" s="260"/>
      <c r="F63" s="261" t="str">
        <f>F61+F62</f>
        <v>2,654,972</v>
      </c>
      <c r="G63" s="262"/>
      <c r="H63" s="262"/>
      <c r="I63" s="263"/>
      <c r="J63" s="264"/>
      <c r="K63" s="20"/>
      <c r="L63" s="20"/>
      <c r="M63" s="29"/>
      <c r="N63" s="29"/>
      <c r="O63" s="20"/>
      <c r="P63" s="153"/>
      <c r="Q63" s="153"/>
      <c r="R63" s="20"/>
      <c r="S63" s="6" t="s">
        <v>455</v>
      </c>
      <c r="T63" s="217" t="str">
        <f>SUM(T61:T62)</f>
        <v>  2,654,972 </v>
      </c>
      <c r="U63" s="36" t="str">
        <f>SUM(U60:U62)</f>
        <v>  - </v>
      </c>
      <c r="V63" s="29"/>
      <c r="W63" s="269"/>
      <c r="X63" s="270"/>
      <c r="Y63" s="271"/>
    </row>
    <row r="64" ht="39.0" customHeight="1">
      <c r="A64" s="276" t="s">
        <v>456</v>
      </c>
      <c r="B64" s="32"/>
      <c r="C64" s="32"/>
      <c r="D64" s="32"/>
      <c r="E64" s="33"/>
      <c r="F64" s="277" t="str">
        <f>SUM(F63,F60,F26,F21)</f>
        <v>47,094,367,618</v>
      </c>
      <c r="G64" s="262"/>
      <c r="H64" s="262"/>
      <c r="I64" s="263"/>
      <c r="J64" s="264"/>
      <c r="K64" s="20"/>
      <c r="L64" s="20"/>
      <c r="M64" s="29"/>
      <c r="N64" s="29"/>
      <c r="O64" s="20"/>
      <c r="P64" s="153"/>
      <c r="Q64" s="153"/>
      <c r="R64" s="20"/>
      <c r="S64" s="11"/>
      <c r="T64" s="277" t="str">
        <f t="shared" ref="T64:V64" si="20">SUM(T63,T60,T26,T21)</f>
        <v>13,009,550,923</v>
      </c>
      <c r="U64" s="277" t="str">
        <f t="shared" si="20"/>
        <v>34,084,816,695</v>
      </c>
      <c r="V64" s="277" t="str">
        <f t="shared" si="20"/>
        <v>0</v>
      </c>
      <c r="W64" s="269"/>
      <c r="X64" s="270"/>
      <c r="Y64" s="271"/>
    </row>
    <row r="65" ht="16.5" customHeight="1">
      <c r="A65" s="243">
        <v>2022.0</v>
      </c>
      <c r="B65" s="244" t="s">
        <v>457</v>
      </c>
      <c r="C65" s="245" t="s">
        <v>458</v>
      </c>
      <c r="D65" s="246" t="s">
        <v>367</v>
      </c>
      <c r="E65" s="245" t="s">
        <v>368</v>
      </c>
      <c r="F65" s="247">
        <v>5.0E8</v>
      </c>
      <c r="G65" s="248"/>
      <c r="H65" s="248"/>
      <c r="I65" s="221"/>
      <c r="J65" s="20" t="s">
        <v>345</v>
      </c>
      <c r="K65" s="20"/>
      <c r="L65" s="20"/>
      <c r="M65" s="20"/>
      <c r="N65" s="20"/>
      <c r="O65" s="20"/>
      <c r="P65" s="20"/>
      <c r="Q65" s="20"/>
      <c r="R65" s="20"/>
      <c r="S65" s="11"/>
      <c r="T65" s="36" t="str">
        <f t="shared" ref="T65:T72" si="21">F65-U65</f>
        <v>  500,000,000 </v>
      </c>
      <c r="U65" s="29"/>
      <c r="V65" s="29"/>
      <c r="W65" s="278"/>
      <c r="X65" s="270"/>
      <c r="Y65" s="271"/>
    </row>
    <row r="66" ht="16.5" customHeight="1">
      <c r="A66" s="243">
        <v>2022.0</v>
      </c>
      <c r="B66" s="244" t="s">
        <v>459</v>
      </c>
      <c r="C66" s="245" t="s">
        <v>458</v>
      </c>
      <c r="D66" s="246" t="s">
        <v>367</v>
      </c>
      <c r="E66" s="245" t="s">
        <v>368</v>
      </c>
      <c r="F66" s="247">
        <v>9.85E7</v>
      </c>
      <c r="G66" s="248" t="s">
        <v>369</v>
      </c>
      <c r="H66" s="248"/>
      <c r="I66" s="221">
        <v>44621.0</v>
      </c>
      <c r="J66" s="20" t="s">
        <v>345</v>
      </c>
      <c r="K66" s="20"/>
      <c r="L66" s="20"/>
      <c r="M66" s="20"/>
      <c r="N66" s="20"/>
      <c r="O66" s="20"/>
      <c r="P66" s="20"/>
      <c r="Q66" s="20"/>
      <c r="R66" s="20"/>
      <c r="S66" s="11"/>
      <c r="T66" s="36" t="str">
        <f t="shared" si="21"/>
        <v>  98,500,000 </v>
      </c>
      <c r="U66" s="29"/>
      <c r="V66" s="29"/>
      <c r="W66" s="273">
        <v>9.85E7</v>
      </c>
      <c r="X66" s="253" t="str">
        <f t="shared" ref="X66:X72" si="22">SUM(U66:W66)</f>
        <v>  98,500,000 </v>
      </c>
      <c r="Y66" s="254" t="str">
        <f t="shared" ref="Y66:Y72" si="23">F66=X66</f>
        <v>TRUE</v>
      </c>
    </row>
    <row r="67" ht="16.5" customHeight="1">
      <c r="A67" s="243">
        <v>2022.0</v>
      </c>
      <c r="B67" s="244" t="s">
        <v>460</v>
      </c>
      <c r="C67" s="245" t="s">
        <v>461</v>
      </c>
      <c r="D67" s="246" t="s">
        <v>367</v>
      </c>
      <c r="E67" s="245" t="s">
        <v>368</v>
      </c>
      <c r="F67" s="247">
        <v>1.65E7</v>
      </c>
      <c r="G67" s="248" t="s">
        <v>369</v>
      </c>
      <c r="H67" s="248"/>
      <c r="I67" s="221">
        <v>44682.0</v>
      </c>
      <c r="J67" s="20" t="s">
        <v>345</v>
      </c>
      <c r="K67" s="20"/>
      <c r="L67" s="20"/>
      <c r="M67" s="20"/>
      <c r="N67" s="20"/>
      <c r="O67" s="20"/>
      <c r="P67" s="20"/>
      <c r="Q67" s="20"/>
      <c r="R67" s="20"/>
      <c r="S67" s="11"/>
      <c r="T67" s="36" t="str">
        <f t="shared" si="21"/>
        <v>  16,500,000 </v>
      </c>
      <c r="U67" s="29"/>
      <c r="V67" s="29"/>
      <c r="W67" s="273">
        <v>1.65E7</v>
      </c>
      <c r="X67" s="253" t="str">
        <f t="shared" si="22"/>
        <v>  16,500,000 </v>
      </c>
      <c r="Y67" s="254" t="str">
        <f t="shared" si="23"/>
        <v>TRUE</v>
      </c>
    </row>
    <row r="68" ht="16.5" customHeight="1">
      <c r="A68" s="243">
        <v>2023.0</v>
      </c>
      <c r="B68" s="244" t="s">
        <v>462</v>
      </c>
      <c r="C68" s="245" t="s">
        <v>463</v>
      </c>
      <c r="D68" s="246" t="s">
        <v>367</v>
      </c>
      <c r="E68" s="245" t="s">
        <v>368</v>
      </c>
      <c r="F68" s="247">
        <v>3.19E7</v>
      </c>
      <c r="G68" s="248" t="s">
        <v>369</v>
      </c>
      <c r="H68" s="248"/>
      <c r="I68" s="221">
        <v>44958.0</v>
      </c>
      <c r="J68" s="20" t="s">
        <v>345</v>
      </c>
      <c r="K68" s="20"/>
      <c r="L68" s="20"/>
      <c r="M68" s="20"/>
      <c r="N68" s="20"/>
      <c r="O68" s="20"/>
      <c r="P68" s="20"/>
      <c r="Q68" s="20"/>
      <c r="R68" s="20"/>
      <c r="S68" s="11"/>
      <c r="T68" s="36" t="str">
        <f t="shared" si="21"/>
        <v>  31,900,000 </v>
      </c>
      <c r="U68" s="29"/>
      <c r="V68" s="29"/>
      <c r="W68" s="273">
        <v>3.19E7</v>
      </c>
      <c r="X68" s="253" t="str">
        <f t="shared" si="22"/>
        <v>  31,900,000 </v>
      </c>
      <c r="Y68" s="254" t="str">
        <f t="shared" si="23"/>
        <v>TRUE</v>
      </c>
    </row>
    <row r="69" ht="16.5" customHeight="1">
      <c r="A69" s="243">
        <v>2023.0</v>
      </c>
      <c r="B69" s="244" t="s">
        <v>464</v>
      </c>
      <c r="C69" s="245" t="s">
        <v>465</v>
      </c>
      <c r="D69" s="246" t="s">
        <v>367</v>
      </c>
      <c r="E69" s="245" t="s">
        <v>368</v>
      </c>
      <c r="F69" s="247">
        <v>2.7699E8</v>
      </c>
      <c r="G69" s="248" t="s">
        <v>369</v>
      </c>
      <c r="H69" s="248"/>
      <c r="I69" s="221">
        <v>44986.0</v>
      </c>
      <c r="J69" s="20" t="s">
        <v>345</v>
      </c>
      <c r="K69" s="20"/>
      <c r="L69" s="20"/>
      <c r="M69" s="20"/>
      <c r="N69" s="20"/>
      <c r="O69" s="20"/>
      <c r="P69" s="20"/>
      <c r="Q69" s="20"/>
      <c r="R69" s="20"/>
      <c r="S69" s="11"/>
      <c r="T69" s="36" t="str">
        <f t="shared" si="21"/>
        <v>  276,990,000 </v>
      </c>
      <c r="U69" s="29"/>
      <c r="V69" s="29"/>
      <c r="W69" s="273">
        <v>2.7699E8</v>
      </c>
      <c r="X69" s="253" t="str">
        <f t="shared" si="22"/>
        <v>  276,990,000 </v>
      </c>
      <c r="Y69" s="254" t="str">
        <f t="shared" si="23"/>
        <v>TRUE</v>
      </c>
    </row>
    <row r="70" ht="16.5" customHeight="1">
      <c r="A70" s="243">
        <v>2023.0</v>
      </c>
      <c r="B70" s="244" t="s">
        <v>466</v>
      </c>
      <c r="C70" s="245" t="s">
        <v>467</v>
      </c>
      <c r="D70" s="246" t="s">
        <v>367</v>
      </c>
      <c r="E70" s="245" t="s">
        <v>368</v>
      </c>
      <c r="F70" s="247">
        <v>4950000.0</v>
      </c>
      <c r="G70" s="248" t="s">
        <v>369</v>
      </c>
      <c r="H70" s="248"/>
      <c r="I70" s="221">
        <v>45017.0</v>
      </c>
      <c r="J70" s="20" t="s">
        <v>345</v>
      </c>
      <c r="K70" s="20"/>
      <c r="L70" s="20"/>
      <c r="M70" s="20"/>
      <c r="N70" s="20"/>
      <c r="O70" s="20"/>
      <c r="P70" s="20"/>
      <c r="Q70" s="20"/>
      <c r="R70" s="20"/>
      <c r="S70" s="11"/>
      <c r="T70" s="36" t="str">
        <f t="shared" si="21"/>
        <v>  4,950,000 </v>
      </c>
      <c r="U70" s="29"/>
      <c r="V70" s="29"/>
      <c r="W70" s="273">
        <v>4950000.0</v>
      </c>
      <c r="X70" s="253" t="str">
        <f t="shared" si="22"/>
        <v>  4,950,000 </v>
      </c>
      <c r="Y70" s="254" t="str">
        <f t="shared" si="23"/>
        <v>TRUE</v>
      </c>
    </row>
    <row r="71" ht="16.5" customHeight="1">
      <c r="A71" s="243">
        <v>2023.0</v>
      </c>
      <c r="B71" s="244" t="s">
        <v>468</v>
      </c>
      <c r="C71" s="245" t="s">
        <v>469</v>
      </c>
      <c r="D71" s="246" t="s">
        <v>367</v>
      </c>
      <c r="E71" s="245" t="s">
        <v>368</v>
      </c>
      <c r="F71" s="247">
        <v>4.95E7</v>
      </c>
      <c r="G71" s="248" t="s">
        <v>369</v>
      </c>
      <c r="H71" s="248"/>
      <c r="I71" s="221">
        <v>45047.0</v>
      </c>
      <c r="J71" s="20" t="s">
        <v>345</v>
      </c>
      <c r="K71" s="20"/>
      <c r="L71" s="20"/>
      <c r="M71" s="20"/>
      <c r="N71" s="20"/>
      <c r="O71" s="20"/>
      <c r="P71" s="20"/>
      <c r="Q71" s="20"/>
      <c r="R71" s="20"/>
      <c r="S71" s="11"/>
      <c r="T71" s="36" t="str">
        <f t="shared" si="21"/>
        <v>  49,500,000 </v>
      </c>
      <c r="U71" s="29"/>
      <c r="V71" s="29"/>
      <c r="W71" s="273">
        <v>4.95E7</v>
      </c>
      <c r="X71" s="253" t="str">
        <f t="shared" si="22"/>
        <v>  49,500,000 </v>
      </c>
      <c r="Y71" s="254" t="str">
        <f t="shared" si="23"/>
        <v>TRUE</v>
      </c>
    </row>
    <row r="72" ht="16.5" customHeight="1">
      <c r="A72" s="243">
        <v>2023.0</v>
      </c>
      <c r="B72" s="244" t="s">
        <v>470</v>
      </c>
      <c r="C72" s="245" t="s">
        <v>471</v>
      </c>
      <c r="D72" s="246">
        <v>98001.0</v>
      </c>
      <c r="E72" s="245" t="s">
        <v>368</v>
      </c>
      <c r="F72" s="247">
        <v>2.3877E8</v>
      </c>
      <c r="G72" s="248" t="s">
        <v>369</v>
      </c>
      <c r="H72" s="248"/>
      <c r="I72" s="221">
        <v>45078.0</v>
      </c>
      <c r="J72" s="20" t="s">
        <v>345</v>
      </c>
      <c r="K72" s="20"/>
      <c r="L72" s="20"/>
      <c r="M72" s="20"/>
      <c r="N72" s="20"/>
      <c r="O72" s="20"/>
      <c r="P72" s="20"/>
      <c r="Q72" s="20"/>
      <c r="R72" s="20"/>
      <c r="S72" s="15"/>
      <c r="T72" s="36" t="str">
        <f t="shared" si="21"/>
        <v>  238,770,000 </v>
      </c>
      <c r="U72" s="29"/>
      <c r="V72" s="29"/>
      <c r="W72" s="274">
        <v>2.3877E8</v>
      </c>
      <c r="X72" s="256" t="str">
        <f t="shared" si="22"/>
        <v>  238,770,000 </v>
      </c>
      <c r="Y72" s="257" t="str">
        <f t="shared" si="23"/>
        <v>TRUE</v>
      </c>
    </row>
    <row r="73" ht="30.0" customHeight="1">
      <c r="A73" s="258" t="s">
        <v>472</v>
      </c>
      <c r="B73" s="32"/>
      <c r="C73" s="33"/>
      <c r="D73" s="16"/>
      <c r="E73" s="17"/>
      <c r="F73" s="247" t="str">
        <f>SUM(F65:F72)</f>
        <v>1,217,110,000</v>
      </c>
      <c r="G73" s="248"/>
      <c r="H73" s="248"/>
      <c r="I73" s="221"/>
      <c r="J73" s="20"/>
      <c r="K73" s="20"/>
      <c r="L73" s="20"/>
      <c r="M73" s="20"/>
      <c r="N73" s="20"/>
      <c r="O73" s="20"/>
      <c r="P73" s="20"/>
      <c r="Q73" s="20"/>
      <c r="R73" s="20"/>
      <c r="S73" s="16"/>
      <c r="T73" s="247" t="str">
        <f>SUM(T65:T72)</f>
        <v>1,217,110,000</v>
      </c>
      <c r="U73" s="29"/>
      <c r="V73" s="29"/>
      <c r="W73" s="279"/>
      <c r="X73" s="280"/>
      <c r="Y73" s="281"/>
    </row>
    <row r="74" ht="16.5" customHeight="1">
      <c r="A74" s="243">
        <v>2023.0</v>
      </c>
      <c r="B74" s="244" t="s">
        <v>473</v>
      </c>
      <c r="C74" s="245" t="s">
        <v>474</v>
      </c>
      <c r="D74" s="246" t="s">
        <v>367</v>
      </c>
      <c r="E74" s="245" t="s">
        <v>368</v>
      </c>
      <c r="F74" s="247">
        <v>3850000.0</v>
      </c>
      <c r="G74" s="248" t="s">
        <v>369</v>
      </c>
      <c r="H74" s="248"/>
      <c r="I74" s="221">
        <v>45017.0</v>
      </c>
      <c r="J74" s="20" t="s">
        <v>345</v>
      </c>
      <c r="K74" s="20">
        <v>0.0</v>
      </c>
      <c r="L74" s="20"/>
      <c r="M74" s="29"/>
      <c r="N74" s="29">
        <v>3850500.0</v>
      </c>
      <c r="O74" s="20" t="s">
        <v>475</v>
      </c>
      <c r="P74" s="20"/>
      <c r="Q74" s="20"/>
      <c r="R74" s="20"/>
      <c r="S74" s="16" t="s">
        <v>348</v>
      </c>
      <c r="T74" s="16"/>
      <c r="U74" s="29"/>
      <c r="V74" s="29">
        <v>3850000.0</v>
      </c>
      <c r="W74" s="282"/>
      <c r="X74" s="241" t="str">
        <f>SUM(U74:W74)</f>
        <v>  3,850,000 </v>
      </c>
      <c r="Y74" s="242" t="str">
        <f>F74=X74</f>
        <v>TRUE</v>
      </c>
    </row>
    <row r="75" ht="36.75" customHeight="1">
      <c r="A75" s="276" t="s">
        <v>476</v>
      </c>
      <c r="B75" s="32"/>
      <c r="C75" s="33"/>
      <c r="D75" s="283"/>
      <c r="E75" s="284"/>
      <c r="F75" s="277" t="str">
        <f>F73+F74</f>
        <v>1,220,960,000</v>
      </c>
      <c r="G75" s="285"/>
      <c r="H75" s="285"/>
      <c r="I75" s="286"/>
      <c r="J75" s="287"/>
      <c r="K75" s="287"/>
      <c r="L75" s="287"/>
      <c r="M75" s="288"/>
      <c r="N75" s="288"/>
      <c r="O75" s="287"/>
      <c r="P75" s="289"/>
      <c r="Q75" s="289"/>
      <c r="R75" s="287"/>
      <c r="S75" s="283"/>
      <c r="T75" s="290" t="str">
        <f>SUM(T65:T72)</f>
        <v>  1,217,110,000 </v>
      </c>
      <c r="U75" s="290" t="str">
        <f>SUM(U70:U74)</f>
        <v>  - </v>
      </c>
      <c r="V75" s="288">
        <v>3850000.0</v>
      </c>
      <c r="W75" s="269"/>
      <c r="X75" s="270"/>
      <c r="Y75" s="271"/>
    </row>
    <row r="76" ht="16.5" customHeight="1">
      <c r="A76" s="243">
        <v>2023.0</v>
      </c>
      <c r="B76" s="244" t="s">
        <v>477</v>
      </c>
      <c r="C76" s="245" t="s">
        <v>478</v>
      </c>
      <c r="D76" s="246" t="s">
        <v>367</v>
      </c>
      <c r="E76" s="245" t="s">
        <v>368</v>
      </c>
      <c r="F76" s="247">
        <v>4.3E7</v>
      </c>
      <c r="G76" s="248" t="s">
        <v>369</v>
      </c>
      <c r="H76" s="248"/>
      <c r="I76" s="221">
        <v>44986.0</v>
      </c>
      <c r="J76" s="20" t="s">
        <v>346</v>
      </c>
      <c r="K76" s="20">
        <v>0.0</v>
      </c>
      <c r="L76" s="20"/>
      <c r="M76" s="29"/>
      <c r="N76" s="29">
        <v>4.3E7</v>
      </c>
      <c r="O76" s="20" t="s">
        <v>479</v>
      </c>
      <c r="P76" s="20"/>
      <c r="Q76" s="20"/>
      <c r="R76" s="20"/>
      <c r="S76" s="6" t="s">
        <v>480</v>
      </c>
      <c r="T76" s="36" t="str">
        <f t="shared" ref="T76:T123" si="24">F76-U76-V76</f>
        <v>  - </v>
      </c>
      <c r="U76" s="29"/>
      <c r="V76" s="29">
        <v>4.3E7</v>
      </c>
      <c r="W76" s="249"/>
      <c r="X76" s="250" t="str">
        <f t="shared" ref="X76:X117" si="25">SUM(U76:W76)</f>
        <v>  43,000,000 </v>
      </c>
      <c r="Y76" s="251" t="str">
        <f t="shared" ref="Y76:Y117" si="26">F76=X76</f>
        <v>TRUE</v>
      </c>
    </row>
    <row r="77" ht="16.5" customHeight="1">
      <c r="A77" s="243">
        <v>2023.0</v>
      </c>
      <c r="B77" s="244" t="s">
        <v>481</v>
      </c>
      <c r="C77" s="245" t="s">
        <v>482</v>
      </c>
      <c r="D77" s="246" t="s">
        <v>367</v>
      </c>
      <c r="E77" s="245" t="s">
        <v>368</v>
      </c>
      <c r="F77" s="247">
        <v>3.87E8</v>
      </c>
      <c r="G77" s="248" t="s">
        <v>369</v>
      </c>
      <c r="H77" s="248"/>
      <c r="I77" s="221">
        <v>45017.0</v>
      </c>
      <c r="J77" s="20" t="s">
        <v>346</v>
      </c>
      <c r="K77" s="20">
        <v>0.0</v>
      </c>
      <c r="L77" s="20"/>
      <c r="M77" s="29"/>
      <c r="N77" s="29">
        <v>3.87E8</v>
      </c>
      <c r="O77" s="20" t="s">
        <v>479</v>
      </c>
      <c r="P77" s="20"/>
      <c r="Q77" s="20"/>
      <c r="R77" s="20"/>
      <c r="S77" s="11"/>
      <c r="T77" s="36" t="str">
        <f t="shared" si="24"/>
        <v>  - </v>
      </c>
      <c r="U77" s="29"/>
      <c r="V77" s="29">
        <v>3.87E8</v>
      </c>
      <c r="W77" s="252"/>
      <c r="X77" s="253" t="str">
        <f t="shared" si="25"/>
        <v>  387,000,000 </v>
      </c>
      <c r="Y77" s="254" t="str">
        <f t="shared" si="26"/>
        <v>TRUE</v>
      </c>
    </row>
    <row r="78" ht="16.5" customHeight="1">
      <c r="A78" s="243">
        <v>2023.0</v>
      </c>
      <c r="B78" s="244" t="s">
        <v>483</v>
      </c>
      <c r="C78" s="245" t="s">
        <v>484</v>
      </c>
      <c r="D78" s="246" t="s">
        <v>367</v>
      </c>
      <c r="E78" s="245" t="s">
        <v>368</v>
      </c>
      <c r="F78" s="247">
        <v>6.765E7</v>
      </c>
      <c r="G78" s="248" t="s">
        <v>369</v>
      </c>
      <c r="H78" s="248"/>
      <c r="I78" s="221">
        <v>45017.0</v>
      </c>
      <c r="J78" s="20" t="s">
        <v>346</v>
      </c>
      <c r="K78" s="20"/>
      <c r="L78" s="20"/>
      <c r="M78" s="20"/>
      <c r="N78" s="20"/>
      <c r="O78" s="20"/>
      <c r="P78" s="20"/>
      <c r="Q78" s="20"/>
      <c r="R78" s="20"/>
      <c r="S78" s="11"/>
      <c r="T78" s="36" t="str">
        <f t="shared" si="24"/>
        <v>  67,650,000 </v>
      </c>
      <c r="U78" s="29"/>
      <c r="V78" s="29"/>
      <c r="W78" s="252">
        <v>6.765E7</v>
      </c>
      <c r="X78" s="253" t="str">
        <f t="shared" si="25"/>
        <v>  67,650,000 </v>
      </c>
      <c r="Y78" s="254" t="str">
        <f t="shared" si="26"/>
        <v>TRUE</v>
      </c>
    </row>
    <row r="79" ht="16.5" customHeight="1">
      <c r="A79" s="243">
        <v>2023.0</v>
      </c>
      <c r="B79" s="244" t="s">
        <v>485</v>
      </c>
      <c r="C79" s="245" t="s">
        <v>486</v>
      </c>
      <c r="D79" s="246">
        <v>98001.0</v>
      </c>
      <c r="E79" s="245" t="s">
        <v>368</v>
      </c>
      <c r="F79" s="247">
        <v>8599990.0</v>
      </c>
      <c r="G79" s="248" t="s">
        <v>369</v>
      </c>
      <c r="H79" s="248"/>
      <c r="I79" s="221">
        <v>45078.0</v>
      </c>
      <c r="J79" s="20" t="s">
        <v>346</v>
      </c>
      <c r="K79" s="20"/>
      <c r="L79" s="20"/>
      <c r="M79" s="20"/>
      <c r="N79" s="20"/>
      <c r="O79" s="20"/>
      <c r="P79" s="20" t="s">
        <v>370</v>
      </c>
      <c r="Q79" s="20"/>
      <c r="R79" s="20"/>
      <c r="S79" s="15"/>
      <c r="T79" s="36" t="str">
        <f t="shared" si="24"/>
        <v>  8,599,990 </v>
      </c>
      <c r="U79" s="29"/>
      <c r="V79" s="29"/>
      <c r="W79" s="255">
        <v>8599990.0</v>
      </c>
      <c r="X79" s="256" t="str">
        <f t="shared" si="25"/>
        <v>  8,599,990 </v>
      </c>
      <c r="Y79" s="257" t="str">
        <f t="shared" si="26"/>
        <v>TRUE</v>
      </c>
    </row>
    <row r="80" ht="16.5" customHeight="1">
      <c r="A80" s="243">
        <v>2023.0</v>
      </c>
      <c r="B80" s="244" t="s">
        <v>464</v>
      </c>
      <c r="C80" s="245" t="s">
        <v>487</v>
      </c>
      <c r="D80" s="246" t="s">
        <v>367</v>
      </c>
      <c r="E80" s="245" t="s">
        <v>368</v>
      </c>
      <c r="F80" s="247">
        <v>1.0E7</v>
      </c>
      <c r="G80" s="248" t="s">
        <v>369</v>
      </c>
      <c r="H80" s="248"/>
      <c r="I80" s="221">
        <v>44986.0</v>
      </c>
      <c r="J80" s="20" t="s">
        <v>346</v>
      </c>
      <c r="K80" s="20">
        <v>0.0</v>
      </c>
      <c r="L80" s="20"/>
      <c r="M80" s="29">
        <v>1.0E7</v>
      </c>
      <c r="N80" s="29"/>
      <c r="O80" s="20"/>
      <c r="P80" s="20"/>
      <c r="Q80" s="20"/>
      <c r="R80" s="20"/>
      <c r="S80" s="6" t="s">
        <v>488</v>
      </c>
      <c r="T80" s="36" t="str">
        <f t="shared" si="24"/>
        <v>  - </v>
      </c>
      <c r="U80" s="291">
        <v>1.0E7</v>
      </c>
      <c r="V80" s="291"/>
      <c r="W80" s="249"/>
      <c r="X80" s="250" t="str">
        <f t="shared" si="25"/>
        <v>  10,000,000 </v>
      </c>
      <c r="Y80" s="251" t="str">
        <f t="shared" si="26"/>
        <v>TRUE</v>
      </c>
      <c r="Z80" s="292" t="s">
        <v>489</v>
      </c>
    </row>
    <row r="81" ht="16.5" customHeight="1">
      <c r="A81" s="243">
        <v>2023.0</v>
      </c>
      <c r="B81" s="244" t="s">
        <v>459</v>
      </c>
      <c r="C81" s="245" t="s">
        <v>490</v>
      </c>
      <c r="D81" s="246" t="s">
        <v>367</v>
      </c>
      <c r="E81" s="245" t="s">
        <v>368</v>
      </c>
      <c r="F81" s="247">
        <v>2.0E7</v>
      </c>
      <c r="G81" s="248" t="s">
        <v>369</v>
      </c>
      <c r="H81" s="248"/>
      <c r="I81" s="221">
        <v>44986.0</v>
      </c>
      <c r="J81" s="20" t="s">
        <v>346</v>
      </c>
      <c r="K81" s="20">
        <v>0.0</v>
      </c>
      <c r="L81" s="20"/>
      <c r="M81" s="29">
        <v>2.0E7</v>
      </c>
      <c r="N81" s="29"/>
      <c r="O81" s="20"/>
      <c r="P81" s="20"/>
      <c r="Q81" s="20"/>
      <c r="R81" s="20"/>
      <c r="S81" s="11"/>
      <c r="T81" s="36" t="str">
        <f t="shared" si="24"/>
        <v>  - </v>
      </c>
      <c r="U81" s="291">
        <v>2.0E7</v>
      </c>
      <c r="V81" s="291"/>
      <c r="W81" s="252"/>
      <c r="X81" s="253" t="str">
        <f t="shared" si="25"/>
        <v>  20,000,000 </v>
      </c>
      <c r="Y81" s="254" t="str">
        <f t="shared" si="26"/>
        <v>TRUE</v>
      </c>
      <c r="Z81" s="293"/>
    </row>
    <row r="82" ht="16.5" customHeight="1">
      <c r="A82" s="243">
        <v>2023.0</v>
      </c>
      <c r="B82" s="244" t="s">
        <v>491</v>
      </c>
      <c r="C82" s="245" t="s">
        <v>492</v>
      </c>
      <c r="D82" s="246" t="s">
        <v>367</v>
      </c>
      <c r="E82" s="245" t="s">
        <v>368</v>
      </c>
      <c r="F82" s="247">
        <v>1.0E7</v>
      </c>
      <c r="G82" s="248" t="s">
        <v>369</v>
      </c>
      <c r="H82" s="248"/>
      <c r="I82" s="221">
        <v>45017.0</v>
      </c>
      <c r="J82" s="20" t="s">
        <v>346</v>
      </c>
      <c r="K82" s="20">
        <v>0.0</v>
      </c>
      <c r="L82" s="20"/>
      <c r="M82" s="29"/>
      <c r="N82" s="29">
        <v>1.0E7</v>
      </c>
      <c r="O82" s="20" t="s">
        <v>493</v>
      </c>
      <c r="P82" s="20"/>
      <c r="Q82" s="20"/>
      <c r="R82" s="20"/>
      <c r="S82" s="15"/>
      <c r="T82" s="36" t="str">
        <f t="shared" si="24"/>
        <v>  - </v>
      </c>
      <c r="U82" s="29"/>
      <c r="V82" s="29">
        <v>1.0E7</v>
      </c>
      <c r="W82" s="255"/>
      <c r="X82" s="256" t="str">
        <f t="shared" si="25"/>
        <v>  10,000,000 </v>
      </c>
      <c r="Y82" s="257" t="str">
        <f t="shared" si="26"/>
        <v>TRUE</v>
      </c>
    </row>
    <row r="83" ht="16.5" customHeight="1">
      <c r="A83" s="243">
        <v>2023.0</v>
      </c>
      <c r="B83" s="244" t="s">
        <v>481</v>
      </c>
      <c r="C83" s="245" t="s">
        <v>494</v>
      </c>
      <c r="D83" s="246" t="s">
        <v>367</v>
      </c>
      <c r="E83" s="245" t="s">
        <v>368</v>
      </c>
      <c r="F83" s="247">
        <v>3850500.0</v>
      </c>
      <c r="G83" s="248" t="s">
        <v>369</v>
      </c>
      <c r="H83" s="248"/>
      <c r="I83" s="221">
        <v>45017.0</v>
      </c>
      <c r="J83" s="20" t="s">
        <v>346</v>
      </c>
      <c r="K83" s="20">
        <v>0.0</v>
      </c>
      <c r="L83" s="20"/>
      <c r="M83" s="29"/>
      <c r="N83" s="29">
        <v>3850000.0</v>
      </c>
      <c r="O83" s="20" t="s">
        <v>495</v>
      </c>
      <c r="P83" s="20"/>
      <c r="Q83" s="20"/>
      <c r="R83" s="20"/>
      <c r="S83" s="6" t="s">
        <v>496</v>
      </c>
      <c r="T83" s="36" t="str">
        <f t="shared" si="24"/>
        <v>  3,325,500 </v>
      </c>
      <c r="U83" s="29"/>
      <c r="V83" s="29">
        <v>525000.0</v>
      </c>
      <c r="W83" s="294">
        <v>3325500.0</v>
      </c>
      <c r="X83" s="250" t="str">
        <f t="shared" si="25"/>
        <v>  3,850,500 </v>
      </c>
      <c r="Y83" s="251" t="str">
        <f t="shared" si="26"/>
        <v>TRUE</v>
      </c>
    </row>
    <row r="84" ht="16.5" customHeight="1">
      <c r="A84" s="243">
        <v>2023.0</v>
      </c>
      <c r="B84" s="244" t="s">
        <v>417</v>
      </c>
      <c r="C84" s="245" t="s">
        <v>497</v>
      </c>
      <c r="D84" s="246" t="s">
        <v>367</v>
      </c>
      <c r="E84" s="245" t="s">
        <v>368</v>
      </c>
      <c r="F84" s="247">
        <v>1017590.0</v>
      </c>
      <c r="G84" s="248" t="s">
        <v>369</v>
      </c>
      <c r="H84" s="248"/>
      <c r="I84" s="221">
        <v>45047.0</v>
      </c>
      <c r="J84" s="20" t="s">
        <v>346</v>
      </c>
      <c r="K84" s="20"/>
      <c r="L84" s="20"/>
      <c r="M84" s="20"/>
      <c r="N84" s="20"/>
      <c r="O84" s="20"/>
      <c r="P84" s="20" t="s">
        <v>370</v>
      </c>
      <c r="Q84" s="20"/>
      <c r="R84" s="20"/>
      <c r="S84" s="11"/>
      <c r="T84" s="36" t="str">
        <f t="shared" si="24"/>
        <v>  1,017,590 </v>
      </c>
      <c r="U84" s="29"/>
      <c r="V84" s="29"/>
      <c r="W84" s="252">
        <v>1017590.0</v>
      </c>
      <c r="X84" s="253" t="str">
        <f t="shared" si="25"/>
        <v>  1,017,590 </v>
      </c>
      <c r="Y84" s="254" t="str">
        <f t="shared" si="26"/>
        <v>TRUE</v>
      </c>
    </row>
    <row r="85" ht="16.5" customHeight="1">
      <c r="A85" s="243">
        <v>2023.0</v>
      </c>
      <c r="B85" s="244" t="s">
        <v>417</v>
      </c>
      <c r="C85" s="245" t="s">
        <v>498</v>
      </c>
      <c r="D85" s="246" t="s">
        <v>367</v>
      </c>
      <c r="E85" s="245" t="s">
        <v>368</v>
      </c>
      <c r="F85" s="247">
        <v>1620000.0</v>
      </c>
      <c r="G85" s="248" t="s">
        <v>369</v>
      </c>
      <c r="H85" s="248"/>
      <c r="I85" s="221">
        <v>45047.0</v>
      </c>
      <c r="J85" s="20" t="s">
        <v>346</v>
      </c>
      <c r="K85" s="20"/>
      <c r="L85" s="20"/>
      <c r="M85" s="20"/>
      <c r="N85" s="20">
        <v>1620000.0</v>
      </c>
      <c r="O85" s="20"/>
      <c r="P85" s="20"/>
      <c r="Q85" s="20"/>
      <c r="R85" s="20"/>
      <c r="S85" s="11"/>
      <c r="T85" s="36" t="str">
        <f t="shared" si="24"/>
        <v>  - </v>
      </c>
      <c r="U85" s="29"/>
      <c r="V85" s="29">
        <v>1620000.0</v>
      </c>
      <c r="W85" s="252"/>
      <c r="X85" s="253" t="str">
        <f t="shared" si="25"/>
        <v>  1,620,000 </v>
      </c>
      <c r="Y85" s="254" t="str">
        <f t="shared" si="26"/>
        <v>TRUE</v>
      </c>
    </row>
    <row r="86" ht="16.5" customHeight="1">
      <c r="A86" s="243">
        <v>2023.0</v>
      </c>
      <c r="B86" s="244" t="s">
        <v>499</v>
      </c>
      <c r="C86" s="245" t="s">
        <v>500</v>
      </c>
      <c r="D86" s="246" t="s">
        <v>384</v>
      </c>
      <c r="E86" s="245" t="s">
        <v>385</v>
      </c>
      <c r="F86" s="247">
        <v>99390.0</v>
      </c>
      <c r="G86" s="248" t="s">
        <v>369</v>
      </c>
      <c r="H86" s="248"/>
      <c r="I86" s="221">
        <v>45084.0</v>
      </c>
      <c r="J86" s="20" t="s">
        <v>346</v>
      </c>
      <c r="K86" s="20"/>
      <c r="L86" s="20"/>
      <c r="M86" s="20"/>
      <c r="N86" s="20"/>
      <c r="O86" s="20"/>
      <c r="P86" s="20" t="s">
        <v>370</v>
      </c>
      <c r="Q86" s="20"/>
      <c r="R86" s="20"/>
      <c r="S86" s="11"/>
      <c r="T86" s="36" t="str">
        <f t="shared" si="24"/>
        <v>  99,390 </v>
      </c>
      <c r="U86" s="29"/>
      <c r="V86" s="29"/>
      <c r="W86" s="252">
        <v>99390.0</v>
      </c>
      <c r="X86" s="253" t="str">
        <f t="shared" si="25"/>
        <v>  99,390 </v>
      </c>
      <c r="Y86" s="254" t="str">
        <f t="shared" si="26"/>
        <v>TRUE</v>
      </c>
    </row>
    <row r="87" ht="16.5" customHeight="1">
      <c r="A87" s="243">
        <v>2023.0</v>
      </c>
      <c r="B87" s="244" t="s">
        <v>501</v>
      </c>
      <c r="C87" s="245" t="s">
        <v>502</v>
      </c>
      <c r="D87" s="246" t="s">
        <v>367</v>
      </c>
      <c r="E87" s="245" t="s">
        <v>368</v>
      </c>
      <c r="F87" s="247">
        <v>720000.0</v>
      </c>
      <c r="G87" s="248" t="s">
        <v>369</v>
      </c>
      <c r="H87" s="248"/>
      <c r="I87" s="221">
        <v>45047.0</v>
      </c>
      <c r="J87" s="20" t="s">
        <v>346</v>
      </c>
      <c r="K87" s="20"/>
      <c r="L87" s="20"/>
      <c r="M87" s="20"/>
      <c r="N87" s="20"/>
      <c r="O87" s="20"/>
      <c r="P87" s="20" t="s">
        <v>370</v>
      </c>
      <c r="Q87" s="20"/>
      <c r="R87" s="20"/>
      <c r="S87" s="11"/>
      <c r="T87" s="36" t="str">
        <f t="shared" si="24"/>
        <v>  720,000 </v>
      </c>
      <c r="U87" s="29"/>
      <c r="V87" s="29"/>
      <c r="W87" s="252">
        <v>720000.0</v>
      </c>
      <c r="X87" s="253" t="str">
        <f t="shared" si="25"/>
        <v>  720,000 </v>
      </c>
      <c r="Y87" s="254" t="str">
        <f t="shared" si="26"/>
        <v>TRUE</v>
      </c>
    </row>
    <row r="88" ht="16.5" customHeight="1">
      <c r="A88" s="243">
        <v>2023.0</v>
      </c>
      <c r="B88" s="244" t="s">
        <v>447</v>
      </c>
      <c r="C88" s="245" t="s">
        <v>500</v>
      </c>
      <c r="D88" s="246" t="s">
        <v>384</v>
      </c>
      <c r="E88" s="245" t="s">
        <v>385</v>
      </c>
      <c r="F88" s="247">
        <v>60500.0</v>
      </c>
      <c r="G88" s="248" t="s">
        <v>369</v>
      </c>
      <c r="H88" s="248"/>
      <c r="I88" s="221">
        <v>45084.0</v>
      </c>
      <c r="J88" s="20" t="s">
        <v>346</v>
      </c>
      <c r="K88" s="20"/>
      <c r="L88" s="20"/>
      <c r="M88" s="20"/>
      <c r="N88" s="20"/>
      <c r="O88" s="20"/>
      <c r="P88" s="20" t="s">
        <v>370</v>
      </c>
      <c r="Q88" s="20"/>
      <c r="R88" s="20"/>
      <c r="S88" s="11"/>
      <c r="T88" s="36" t="str">
        <f t="shared" si="24"/>
        <v>  60,500 </v>
      </c>
      <c r="U88" s="29"/>
      <c r="V88" s="29"/>
      <c r="W88" s="252">
        <v>60500.0</v>
      </c>
      <c r="X88" s="253" t="str">
        <f t="shared" si="25"/>
        <v>  60,500 </v>
      </c>
      <c r="Y88" s="254" t="str">
        <f t="shared" si="26"/>
        <v>TRUE</v>
      </c>
    </row>
    <row r="89" ht="16.5" customHeight="1">
      <c r="A89" s="243">
        <v>2023.0</v>
      </c>
      <c r="B89" s="244" t="s">
        <v>503</v>
      </c>
      <c r="C89" s="245" t="s">
        <v>504</v>
      </c>
      <c r="D89" s="246" t="s">
        <v>384</v>
      </c>
      <c r="E89" s="245" t="s">
        <v>385</v>
      </c>
      <c r="F89" s="247">
        <v>110000.0</v>
      </c>
      <c r="G89" s="248" t="s">
        <v>369</v>
      </c>
      <c r="H89" s="248"/>
      <c r="I89" s="221">
        <v>45084.0</v>
      </c>
      <c r="J89" s="20" t="s">
        <v>346</v>
      </c>
      <c r="K89" s="20"/>
      <c r="L89" s="20"/>
      <c r="M89" s="20"/>
      <c r="N89" s="20"/>
      <c r="O89" s="20"/>
      <c r="P89" s="20" t="s">
        <v>370</v>
      </c>
      <c r="Q89" s="20"/>
      <c r="R89" s="20"/>
      <c r="S89" s="11"/>
      <c r="T89" s="36" t="str">
        <f t="shared" si="24"/>
        <v>  110,000 </v>
      </c>
      <c r="U89" s="29"/>
      <c r="V89" s="29"/>
      <c r="W89" s="252">
        <v>110000.0</v>
      </c>
      <c r="X89" s="253" t="str">
        <f t="shared" si="25"/>
        <v>  110,000 </v>
      </c>
      <c r="Y89" s="254" t="str">
        <f t="shared" si="26"/>
        <v>TRUE</v>
      </c>
    </row>
    <row r="90" ht="16.5" customHeight="1">
      <c r="A90" s="243">
        <v>2023.0</v>
      </c>
      <c r="B90" s="244" t="s">
        <v>503</v>
      </c>
      <c r="C90" s="245" t="s">
        <v>505</v>
      </c>
      <c r="D90" s="246">
        <v>98001.0</v>
      </c>
      <c r="E90" s="245" t="s">
        <v>368</v>
      </c>
      <c r="F90" s="247">
        <v>752400.0</v>
      </c>
      <c r="G90" s="248" t="s">
        <v>369</v>
      </c>
      <c r="H90" s="248"/>
      <c r="I90" s="221">
        <v>45078.0</v>
      </c>
      <c r="J90" s="20" t="s">
        <v>346</v>
      </c>
      <c r="K90" s="20"/>
      <c r="L90" s="20"/>
      <c r="M90" s="20"/>
      <c r="N90" s="20"/>
      <c r="O90" s="20"/>
      <c r="P90" s="20" t="s">
        <v>370</v>
      </c>
      <c r="Q90" s="20"/>
      <c r="R90" s="20"/>
      <c r="S90" s="11"/>
      <c r="T90" s="36" t="str">
        <f t="shared" si="24"/>
        <v>  752,400 </v>
      </c>
      <c r="U90" s="29"/>
      <c r="V90" s="29"/>
      <c r="W90" s="252">
        <v>752400.0</v>
      </c>
      <c r="X90" s="253" t="str">
        <f t="shared" si="25"/>
        <v>  752,400 </v>
      </c>
      <c r="Y90" s="254" t="str">
        <f t="shared" si="26"/>
        <v>TRUE</v>
      </c>
    </row>
    <row r="91" ht="16.5" customHeight="1">
      <c r="A91" s="243">
        <v>2023.0</v>
      </c>
      <c r="B91" s="244" t="s">
        <v>506</v>
      </c>
      <c r="C91" s="245" t="s">
        <v>507</v>
      </c>
      <c r="D91" s="246" t="s">
        <v>384</v>
      </c>
      <c r="E91" s="245" t="s">
        <v>385</v>
      </c>
      <c r="F91" s="247">
        <v>290400.0</v>
      </c>
      <c r="G91" s="248" t="s">
        <v>369</v>
      </c>
      <c r="H91" s="248"/>
      <c r="I91" s="221">
        <v>45084.0</v>
      </c>
      <c r="J91" s="20" t="s">
        <v>346</v>
      </c>
      <c r="K91" s="20"/>
      <c r="L91" s="20"/>
      <c r="M91" s="20"/>
      <c r="N91" s="20"/>
      <c r="O91" s="20"/>
      <c r="P91" s="20" t="s">
        <v>370</v>
      </c>
      <c r="Q91" s="20"/>
      <c r="R91" s="20"/>
      <c r="S91" s="11"/>
      <c r="T91" s="36" t="str">
        <f t="shared" si="24"/>
        <v>  290,400 </v>
      </c>
      <c r="U91" s="29"/>
      <c r="V91" s="29"/>
      <c r="W91" s="252">
        <v>290400.0</v>
      </c>
      <c r="X91" s="253" t="str">
        <f t="shared" si="25"/>
        <v>  290,400 </v>
      </c>
      <c r="Y91" s="254" t="str">
        <f t="shared" si="26"/>
        <v>TRUE</v>
      </c>
    </row>
    <row r="92" ht="16.5" customHeight="1">
      <c r="A92" s="243">
        <v>2023.0</v>
      </c>
      <c r="B92" s="244" t="s">
        <v>396</v>
      </c>
      <c r="C92" s="245" t="s">
        <v>500</v>
      </c>
      <c r="D92" s="246" t="s">
        <v>384</v>
      </c>
      <c r="E92" s="245" t="s">
        <v>385</v>
      </c>
      <c r="F92" s="247">
        <v>60500.0</v>
      </c>
      <c r="G92" s="248" t="s">
        <v>369</v>
      </c>
      <c r="H92" s="248"/>
      <c r="I92" s="221">
        <v>45084.0</v>
      </c>
      <c r="J92" s="20" t="s">
        <v>346</v>
      </c>
      <c r="K92" s="20"/>
      <c r="L92" s="20"/>
      <c r="M92" s="20"/>
      <c r="N92" s="20"/>
      <c r="O92" s="20"/>
      <c r="P92" s="20" t="s">
        <v>370</v>
      </c>
      <c r="Q92" s="20"/>
      <c r="R92" s="20"/>
      <c r="S92" s="15"/>
      <c r="T92" s="36" t="str">
        <f t="shared" si="24"/>
        <v>  60,500 </v>
      </c>
      <c r="U92" s="29"/>
      <c r="V92" s="29"/>
      <c r="W92" s="255">
        <v>60500.0</v>
      </c>
      <c r="X92" s="256" t="str">
        <f t="shared" si="25"/>
        <v>  60,500 </v>
      </c>
      <c r="Y92" s="257" t="str">
        <f t="shared" si="26"/>
        <v>TRUE</v>
      </c>
    </row>
    <row r="93" ht="16.5" customHeight="1">
      <c r="A93" s="243">
        <v>2023.0</v>
      </c>
      <c r="B93" s="244" t="s">
        <v>481</v>
      </c>
      <c r="C93" s="245" t="s">
        <v>508</v>
      </c>
      <c r="D93" s="246" t="s">
        <v>367</v>
      </c>
      <c r="E93" s="245" t="s">
        <v>368</v>
      </c>
      <c r="F93" s="247">
        <v>3841200.0</v>
      </c>
      <c r="G93" s="248" t="s">
        <v>369</v>
      </c>
      <c r="H93" s="248"/>
      <c r="I93" s="221">
        <v>45017.0</v>
      </c>
      <c r="J93" s="20" t="s">
        <v>346</v>
      </c>
      <c r="K93" s="20">
        <v>0.0</v>
      </c>
      <c r="L93" s="20"/>
      <c r="M93" s="29"/>
      <c r="N93" s="29">
        <v>3841200.0</v>
      </c>
      <c r="O93" s="20" t="s">
        <v>475</v>
      </c>
      <c r="P93" s="20"/>
      <c r="Q93" s="20"/>
      <c r="R93" s="20"/>
      <c r="S93" s="6" t="s">
        <v>509</v>
      </c>
      <c r="T93" s="36" t="str">
        <f t="shared" si="24"/>
        <v>  2,880,900 </v>
      </c>
      <c r="U93" s="29"/>
      <c r="V93" s="29">
        <v>960300.0</v>
      </c>
      <c r="W93" s="249">
        <v>2880900.0</v>
      </c>
      <c r="X93" s="250" t="str">
        <f t="shared" si="25"/>
        <v>  3,841,200 </v>
      </c>
      <c r="Y93" s="251" t="str">
        <f t="shared" si="26"/>
        <v>TRUE</v>
      </c>
    </row>
    <row r="94" ht="16.5" customHeight="1">
      <c r="A94" s="243">
        <v>2023.0</v>
      </c>
      <c r="B94" s="244" t="s">
        <v>510</v>
      </c>
      <c r="C94" s="245" t="s">
        <v>511</v>
      </c>
      <c r="D94" s="246" t="s">
        <v>367</v>
      </c>
      <c r="E94" s="245" t="s">
        <v>368</v>
      </c>
      <c r="F94" s="247">
        <v>2350000.0</v>
      </c>
      <c r="G94" s="248" t="s">
        <v>369</v>
      </c>
      <c r="H94" s="248"/>
      <c r="I94" s="221">
        <v>45017.0</v>
      </c>
      <c r="J94" s="20" t="s">
        <v>346</v>
      </c>
      <c r="K94" s="20"/>
      <c r="L94" s="20"/>
      <c r="M94" s="20"/>
      <c r="N94" s="20"/>
      <c r="O94" s="20"/>
      <c r="P94" s="20"/>
      <c r="Q94" s="20"/>
      <c r="R94" s="20"/>
      <c r="S94" s="11"/>
      <c r="T94" s="36" t="str">
        <f t="shared" si="24"/>
        <v>  2,350,000 </v>
      </c>
      <c r="U94" s="29"/>
      <c r="V94" s="29"/>
      <c r="W94" s="252">
        <v>2350000.0</v>
      </c>
      <c r="X94" s="253" t="str">
        <f t="shared" si="25"/>
        <v>  2,350,000 </v>
      </c>
      <c r="Y94" s="254" t="str">
        <f t="shared" si="26"/>
        <v>TRUE</v>
      </c>
    </row>
    <row r="95" ht="16.5" customHeight="1">
      <c r="A95" s="243">
        <v>2023.0</v>
      </c>
      <c r="B95" s="244" t="s">
        <v>491</v>
      </c>
      <c r="C95" s="245" t="s">
        <v>512</v>
      </c>
      <c r="D95" s="246" t="s">
        <v>367</v>
      </c>
      <c r="E95" s="245" t="s">
        <v>368</v>
      </c>
      <c r="F95" s="247">
        <v>3.96E7</v>
      </c>
      <c r="G95" s="248" t="s">
        <v>369</v>
      </c>
      <c r="H95" s="248"/>
      <c r="I95" s="221">
        <v>45017.0</v>
      </c>
      <c r="J95" s="20" t="s">
        <v>346</v>
      </c>
      <c r="K95" s="20">
        <v>0.0</v>
      </c>
      <c r="L95" s="20"/>
      <c r="M95" s="29"/>
      <c r="N95" s="29">
        <v>3.96E7</v>
      </c>
      <c r="O95" s="20" t="s">
        <v>475</v>
      </c>
      <c r="P95" s="20"/>
      <c r="Q95" s="20"/>
      <c r="R95" s="20"/>
      <c r="S95" s="11"/>
      <c r="T95" s="36" t="str">
        <f t="shared" si="24"/>
        <v>  14,104,110 </v>
      </c>
      <c r="U95" s="29"/>
      <c r="V95" s="29">
        <v>2.549589E7</v>
      </c>
      <c r="W95" s="252">
        <v>1.410411E7</v>
      </c>
      <c r="X95" s="253" t="str">
        <f t="shared" si="25"/>
        <v>  39,600,000 </v>
      </c>
      <c r="Y95" s="254" t="str">
        <f t="shared" si="26"/>
        <v>TRUE</v>
      </c>
    </row>
    <row r="96" ht="16.5" customHeight="1">
      <c r="A96" s="243">
        <v>2023.0</v>
      </c>
      <c r="B96" s="244" t="s">
        <v>491</v>
      </c>
      <c r="C96" s="245" t="s">
        <v>513</v>
      </c>
      <c r="D96" s="246" t="s">
        <v>367</v>
      </c>
      <c r="E96" s="245" t="s">
        <v>368</v>
      </c>
      <c r="F96" s="247">
        <v>3267000.0</v>
      </c>
      <c r="G96" s="248" t="s">
        <v>369</v>
      </c>
      <c r="H96" s="248"/>
      <c r="I96" s="221">
        <v>45017.0</v>
      </c>
      <c r="J96" s="20" t="s">
        <v>346</v>
      </c>
      <c r="K96" s="20"/>
      <c r="L96" s="20"/>
      <c r="M96" s="20"/>
      <c r="N96" s="20"/>
      <c r="O96" s="20"/>
      <c r="P96" s="20" t="s">
        <v>370</v>
      </c>
      <c r="Q96" s="20"/>
      <c r="R96" s="20"/>
      <c r="S96" s="11"/>
      <c r="T96" s="36" t="str">
        <f t="shared" si="24"/>
        <v>  3,267,000 </v>
      </c>
      <c r="U96" s="29"/>
      <c r="V96" s="29"/>
      <c r="W96" s="252">
        <v>3267000.0</v>
      </c>
      <c r="X96" s="253" t="str">
        <f t="shared" si="25"/>
        <v>  3,267,000 </v>
      </c>
      <c r="Y96" s="254" t="str">
        <f t="shared" si="26"/>
        <v>TRUE</v>
      </c>
    </row>
    <row r="97" ht="16.5" customHeight="1">
      <c r="A97" s="243">
        <v>2023.0</v>
      </c>
      <c r="B97" s="244" t="s">
        <v>416</v>
      </c>
      <c r="C97" s="245" t="s">
        <v>514</v>
      </c>
      <c r="D97" s="246" t="s">
        <v>367</v>
      </c>
      <c r="E97" s="245" t="s">
        <v>368</v>
      </c>
      <c r="F97" s="247">
        <v>808000.0</v>
      </c>
      <c r="G97" s="248" t="s">
        <v>369</v>
      </c>
      <c r="H97" s="248"/>
      <c r="I97" s="221">
        <v>45017.0</v>
      </c>
      <c r="J97" s="20" t="s">
        <v>346</v>
      </c>
      <c r="K97" s="20">
        <v>0.0</v>
      </c>
      <c r="L97" s="20" t="s">
        <v>515</v>
      </c>
      <c r="M97" s="29">
        <v>300000.0</v>
      </c>
      <c r="N97" s="29"/>
      <c r="O97" s="20" t="s">
        <v>488</v>
      </c>
      <c r="P97" s="20"/>
      <c r="Q97" s="20"/>
      <c r="R97" s="20"/>
      <c r="S97" s="11"/>
      <c r="T97" s="36" t="str">
        <f t="shared" si="24"/>
        <v>  508,000 </v>
      </c>
      <c r="U97" s="29">
        <v>300000.0</v>
      </c>
      <c r="V97" s="29">
        <v>0.0</v>
      </c>
      <c r="W97" s="252">
        <v>508000.0</v>
      </c>
      <c r="X97" s="253" t="str">
        <f t="shared" si="25"/>
        <v>  808,000 </v>
      </c>
      <c r="Y97" s="254" t="str">
        <f t="shared" si="26"/>
        <v>TRUE</v>
      </c>
    </row>
    <row r="98" ht="16.5" customHeight="1">
      <c r="A98" s="243">
        <v>2023.0</v>
      </c>
      <c r="B98" s="244" t="s">
        <v>516</v>
      </c>
      <c r="C98" s="245" t="s">
        <v>517</v>
      </c>
      <c r="D98" s="246" t="s">
        <v>367</v>
      </c>
      <c r="E98" s="245" t="s">
        <v>368</v>
      </c>
      <c r="F98" s="247">
        <v>1790000.0</v>
      </c>
      <c r="G98" s="248" t="s">
        <v>369</v>
      </c>
      <c r="H98" s="248"/>
      <c r="I98" s="221">
        <v>45017.0</v>
      </c>
      <c r="J98" s="20" t="s">
        <v>346</v>
      </c>
      <c r="K98" s="20">
        <v>0.0</v>
      </c>
      <c r="L98" s="20"/>
      <c r="M98" s="29">
        <v>1790000.0</v>
      </c>
      <c r="N98" s="29"/>
      <c r="O98" s="20" t="s">
        <v>495</v>
      </c>
      <c r="P98" s="20"/>
      <c r="Q98" s="20"/>
      <c r="R98" s="20"/>
      <c r="S98" s="11"/>
      <c r="T98" s="36" t="str">
        <f t="shared" si="24"/>
        <v>  - </v>
      </c>
      <c r="U98" s="29"/>
      <c r="V98" s="29">
        <v>1790000.0</v>
      </c>
      <c r="W98" s="252"/>
      <c r="X98" s="253" t="str">
        <f t="shared" si="25"/>
        <v>  1,790,000 </v>
      </c>
      <c r="Y98" s="254" t="str">
        <f t="shared" si="26"/>
        <v>TRUE</v>
      </c>
    </row>
    <row r="99" ht="16.5" customHeight="1">
      <c r="A99" s="243">
        <v>2023.0</v>
      </c>
      <c r="B99" s="244" t="s">
        <v>466</v>
      </c>
      <c r="C99" s="245" t="s">
        <v>518</v>
      </c>
      <c r="D99" s="246" t="s">
        <v>367</v>
      </c>
      <c r="E99" s="245" t="s">
        <v>368</v>
      </c>
      <c r="F99" s="247">
        <v>2.247E7</v>
      </c>
      <c r="G99" s="248" t="s">
        <v>369</v>
      </c>
      <c r="H99" s="248"/>
      <c r="I99" s="221">
        <v>45017.0</v>
      </c>
      <c r="J99" s="20" t="s">
        <v>346</v>
      </c>
      <c r="K99" s="20"/>
      <c r="L99" s="20"/>
      <c r="M99" s="20"/>
      <c r="N99" s="20"/>
      <c r="O99" s="20"/>
      <c r="P99" s="20"/>
      <c r="Q99" s="20"/>
      <c r="R99" s="20"/>
      <c r="S99" s="11"/>
      <c r="T99" s="36" t="str">
        <f t="shared" si="24"/>
        <v>  22,470,000 </v>
      </c>
      <c r="U99" s="29"/>
      <c r="V99" s="29"/>
      <c r="W99" s="252">
        <v>2.247E7</v>
      </c>
      <c r="X99" s="253" t="str">
        <f t="shared" si="25"/>
        <v>  22,470,000 </v>
      </c>
      <c r="Y99" s="254" t="str">
        <f t="shared" si="26"/>
        <v>TRUE</v>
      </c>
    </row>
    <row r="100" ht="16.5" customHeight="1">
      <c r="A100" s="243">
        <v>2023.0</v>
      </c>
      <c r="B100" s="244" t="s">
        <v>499</v>
      </c>
      <c r="C100" s="245" t="s">
        <v>519</v>
      </c>
      <c r="D100" s="246" t="s">
        <v>367</v>
      </c>
      <c r="E100" s="245" t="s">
        <v>368</v>
      </c>
      <c r="F100" s="247">
        <v>291000.0</v>
      </c>
      <c r="G100" s="248" t="s">
        <v>369</v>
      </c>
      <c r="H100" s="248"/>
      <c r="I100" s="221">
        <v>45047.0</v>
      </c>
      <c r="J100" s="20" t="s">
        <v>346</v>
      </c>
      <c r="K100" s="20"/>
      <c r="L100" s="20"/>
      <c r="M100" s="20"/>
      <c r="N100" s="20"/>
      <c r="O100" s="20"/>
      <c r="P100" s="20" t="s">
        <v>370</v>
      </c>
      <c r="Q100" s="20"/>
      <c r="R100" s="20"/>
      <c r="S100" s="11"/>
      <c r="T100" s="36" t="str">
        <f t="shared" si="24"/>
        <v>  291,000 </v>
      </c>
      <c r="U100" s="29"/>
      <c r="V100" s="29"/>
      <c r="W100" s="252">
        <v>291000.0</v>
      </c>
      <c r="X100" s="253" t="str">
        <f t="shared" si="25"/>
        <v>  291,000 </v>
      </c>
      <c r="Y100" s="254" t="str">
        <f t="shared" si="26"/>
        <v>TRUE</v>
      </c>
    </row>
    <row r="101" ht="16.5" customHeight="1">
      <c r="A101" s="243">
        <v>2023.0</v>
      </c>
      <c r="B101" s="244" t="s">
        <v>520</v>
      </c>
      <c r="C101" s="245" t="s">
        <v>521</v>
      </c>
      <c r="D101" s="246" t="s">
        <v>384</v>
      </c>
      <c r="E101" s="245" t="s">
        <v>385</v>
      </c>
      <c r="F101" s="247">
        <v>97380.0</v>
      </c>
      <c r="G101" s="248" t="s">
        <v>369</v>
      </c>
      <c r="H101" s="248"/>
      <c r="I101" s="221">
        <v>45084.0</v>
      </c>
      <c r="J101" s="20" t="s">
        <v>346</v>
      </c>
      <c r="K101" s="20"/>
      <c r="L101" s="20"/>
      <c r="M101" s="20"/>
      <c r="N101" s="20"/>
      <c r="O101" s="20"/>
      <c r="P101" s="20" t="s">
        <v>370</v>
      </c>
      <c r="Q101" s="20"/>
      <c r="R101" s="20"/>
      <c r="S101" s="11"/>
      <c r="T101" s="36" t="str">
        <f t="shared" si="24"/>
        <v>  97,380 </v>
      </c>
      <c r="U101" s="29"/>
      <c r="V101" s="29"/>
      <c r="W101" s="252">
        <v>97380.0</v>
      </c>
      <c r="X101" s="253" t="str">
        <f t="shared" si="25"/>
        <v>  97,380 </v>
      </c>
      <c r="Y101" s="254" t="str">
        <f t="shared" si="26"/>
        <v>TRUE</v>
      </c>
    </row>
    <row r="102" ht="16.5" customHeight="1">
      <c r="A102" s="243">
        <v>2023.0</v>
      </c>
      <c r="B102" s="244" t="s">
        <v>522</v>
      </c>
      <c r="C102" s="245" t="s">
        <v>521</v>
      </c>
      <c r="D102" s="246" t="s">
        <v>384</v>
      </c>
      <c r="E102" s="245" t="s">
        <v>385</v>
      </c>
      <c r="F102" s="247">
        <v>68200.0</v>
      </c>
      <c r="G102" s="248" t="s">
        <v>369</v>
      </c>
      <c r="H102" s="248"/>
      <c r="I102" s="221">
        <v>45084.0</v>
      </c>
      <c r="J102" s="20" t="s">
        <v>346</v>
      </c>
      <c r="K102" s="20"/>
      <c r="L102" s="20"/>
      <c r="M102" s="20"/>
      <c r="N102" s="20"/>
      <c r="O102" s="20"/>
      <c r="P102" s="20" t="s">
        <v>370</v>
      </c>
      <c r="Q102" s="20"/>
      <c r="R102" s="20"/>
      <c r="S102" s="11"/>
      <c r="T102" s="36" t="str">
        <f t="shared" si="24"/>
        <v>  68,200 </v>
      </c>
      <c r="U102" s="29"/>
      <c r="V102" s="29"/>
      <c r="W102" s="252">
        <v>68200.0</v>
      </c>
      <c r="X102" s="253" t="str">
        <f t="shared" si="25"/>
        <v>  68,200 </v>
      </c>
      <c r="Y102" s="254" t="str">
        <f t="shared" si="26"/>
        <v>TRUE</v>
      </c>
    </row>
    <row r="103" ht="16.5" customHeight="1">
      <c r="A103" s="243">
        <v>2023.0</v>
      </c>
      <c r="B103" s="244" t="s">
        <v>503</v>
      </c>
      <c r="C103" s="245" t="s">
        <v>523</v>
      </c>
      <c r="D103" s="246" t="s">
        <v>384</v>
      </c>
      <c r="E103" s="245" t="s">
        <v>385</v>
      </c>
      <c r="F103" s="247">
        <v>10850.0</v>
      </c>
      <c r="G103" s="248" t="s">
        <v>369</v>
      </c>
      <c r="H103" s="248"/>
      <c r="I103" s="221">
        <v>45084.0</v>
      </c>
      <c r="J103" s="20" t="s">
        <v>346</v>
      </c>
      <c r="K103" s="20"/>
      <c r="L103" s="20"/>
      <c r="M103" s="20"/>
      <c r="N103" s="20"/>
      <c r="O103" s="20"/>
      <c r="P103" s="20" t="s">
        <v>370</v>
      </c>
      <c r="Q103" s="20"/>
      <c r="R103" s="20"/>
      <c r="S103" s="11"/>
      <c r="T103" s="36" t="str">
        <f t="shared" si="24"/>
        <v>  10,850 </v>
      </c>
      <c r="U103" s="29"/>
      <c r="V103" s="29"/>
      <c r="W103" s="252">
        <v>10850.0</v>
      </c>
      <c r="X103" s="253" t="str">
        <f t="shared" si="25"/>
        <v>  10,850 </v>
      </c>
      <c r="Y103" s="254" t="str">
        <f t="shared" si="26"/>
        <v>TRUE</v>
      </c>
    </row>
    <row r="104" ht="16.5" customHeight="1">
      <c r="A104" s="243">
        <v>2023.0</v>
      </c>
      <c r="B104" s="244" t="s">
        <v>503</v>
      </c>
      <c r="C104" s="245" t="s">
        <v>524</v>
      </c>
      <c r="D104" s="246" t="s">
        <v>384</v>
      </c>
      <c r="E104" s="245" t="s">
        <v>385</v>
      </c>
      <c r="F104" s="247">
        <v>378600.0</v>
      </c>
      <c r="G104" s="248" t="s">
        <v>369</v>
      </c>
      <c r="H104" s="248"/>
      <c r="I104" s="221">
        <v>45084.0</v>
      </c>
      <c r="J104" s="20" t="s">
        <v>346</v>
      </c>
      <c r="K104" s="20"/>
      <c r="L104" s="20"/>
      <c r="M104" s="20"/>
      <c r="N104" s="20"/>
      <c r="O104" s="20"/>
      <c r="P104" s="20" t="s">
        <v>370</v>
      </c>
      <c r="Q104" s="20"/>
      <c r="R104" s="20"/>
      <c r="S104" s="11"/>
      <c r="T104" s="36" t="str">
        <f t="shared" si="24"/>
        <v>  378,600 </v>
      </c>
      <c r="U104" s="29"/>
      <c r="V104" s="29"/>
      <c r="W104" s="252">
        <v>378600.0</v>
      </c>
      <c r="X104" s="253" t="str">
        <f t="shared" si="25"/>
        <v>  378,600 </v>
      </c>
      <c r="Y104" s="254" t="str">
        <f t="shared" si="26"/>
        <v>TRUE</v>
      </c>
    </row>
    <row r="105" ht="16.5" customHeight="1">
      <c r="A105" s="243">
        <v>2023.0</v>
      </c>
      <c r="B105" s="244" t="s">
        <v>506</v>
      </c>
      <c r="C105" s="245" t="s">
        <v>525</v>
      </c>
      <c r="D105" s="246" t="s">
        <v>384</v>
      </c>
      <c r="E105" s="245" t="s">
        <v>385</v>
      </c>
      <c r="F105" s="247">
        <v>55000.0</v>
      </c>
      <c r="G105" s="248" t="s">
        <v>369</v>
      </c>
      <c r="H105" s="248"/>
      <c r="I105" s="221">
        <v>45084.0</v>
      </c>
      <c r="J105" s="20" t="s">
        <v>346</v>
      </c>
      <c r="K105" s="20"/>
      <c r="L105" s="20"/>
      <c r="M105" s="20"/>
      <c r="N105" s="20"/>
      <c r="O105" s="20"/>
      <c r="P105" s="20" t="s">
        <v>370</v>
      </c>
      <c r="Q105" s="20"/>
      <c r="R105" s="20"/>
      <c r="S105" s="11"/>
      <c r="T105" s="36" t="str">
        <f t="shared" si="24"/>
        <v>  55,000 </v>
      </c>
      <c r="U105" s="29"/>
      <c r="V105" s="29"/>
      <c r="W105" s="252">
        <v>55000.0</v>
      </c>
      <c r="X105" s="253" t="str">
        <f t="shared" si="25"/>
        <v>  55,000 </v>
      </c>
      <c r="Y105" s="254" t="str">
        <f t="shared" si="26"/>
        <v>TRUE</v>
      </c>
    </row>
    <row r="106" ht="16.5" customHeight="1">
      <c r="A106" s="243">
        <v>2023.0</v>
      </c>
      <c r="B106" s="244" t="s">
        <v>506</v>
      </c>
      <c r="C106" s="245" t="s">
        <v>519</v>
      </c>
      <c r="D106" s="246" t="s">
        <v>384</v>
      </c>
      <c r="E106" s="245" t="s">
        <v>385</v>
      </c>
      <c r="F106" s="247">
        <v>187000.0</v>
      </c>
      <c r="G106" s="248" t="s">
        <v>369</v>
      </c>
      <c r="H106" s="248"/>
      <c r="I106" s="221">
        <v>45084.0</v>
      </c>
      <c r="J106" s="20" t="s">
        <v>346</v>
      </c>
      <c r="K106" s="20"/>
      <c r="L106" s="20"/>
      <c r="M106" s="20"/>
      <c r="N106" s="20"/>
      <c r="O106" s="20"/>
      <c r="P106" s="20" t="s">
        <v>370</v>
      </c>
      <c r="Q106" s="20"/>
      <c r="R106" s="20"/>
      <c r="S106" s="11"/>
      <c r="T106" s="36" t="str">
        <f t="shared" si="24"/>
        <v>  187,000 </v>
      </c>
      <c r="U106" s="29"/>
      <c r="V106" s="29"/>
      <c r="W106" s="252">
        <v>187000.0</v>
      </c>
      <c r="X106" s="253" t="str">
        <f t="shared" si="25"/>
        <v>  187,000 </v>
      </c>
      <c r="Y106" s="254" t="str">
        <f t="shared" si="26"/>
        <v>TRUE</v>
      </c>
    </row>
    <row r="107" ht="16.5" customHeight="1">
      <c r="A107" s="243">
        <v>2023.0</v>
      </c>
      <c r="B107" s="244" t="s">
        <v>396</v>
      </c>
      <c r="C107" s="245" t="s">
        <v>521</v>
      </c>
      <c r="D107" s="246" t="s">
        <v>384</v>
      </c>
      <c r="E107" s="245" t="s">
        <v>385</v>
      </c>
      <c r="F107" s="247">
        <v>68200.0</v>
      </c>
      <c r="G107" s="248" t="s">
        <v>369</v>
      </c>
      <c r="H107" s="248"/>
      <c r="I107" s="221">
        <v>45084.0</v>
      </c>
      <c r="J107" s="20" t="s">
        <v>346</v>
      </c>
      <c r="K107" s="20"/>
      <c r="L107" s="20"/>
      <c r="M107" s="20"/>
      <c r="N107" s="20"/>
      <c r="O107" s="20"/>
      <c r="P107" s="20" t="s">
        <v>370</v>
      </c>
      <c r="Q107" s="20"/>
      <c r="R107" s="20"/>
      <c r="S107" s="11"/>
      <c r="T107" s="36" t="str">
        <f t="shared" si="24"/>
        <v>  68,200 </v>
      </c>
      <c r="U107" s="29"/>
      <c r="V107" s="29"/>
      <c r="W107" s="252">
        <v>68200.0</v>
      </c>
      <c r="X107" s="253" t="str">
        <f t="shared" si="25"/>
        <v>  68,200 </v>
      </c>
      <c r="Y107" s="254" t="str">
        <f t="shared" si="26"/>
        <v>TRUE</v>
      </c>
    </row>
    <row r="108" ht="16.5" customHeight="1">
      <c r="A108" s="243">
        <v>2023.0</v>
      </c>
      <c r="B108" s="244" t="s">
        <v>526</v>
      </c>
      <c r="C108" s="245" t="s">
        <v>524</v>
      </c>
      <c r="D108" s="246" t="s">
        <v>384</v>
      </c>
      <c r="E108" s="245" t="s">
        <v>385</v>
      </c>
      <c r="F108" s="247">
        <v>445880.0</v>
      </c>
      <c r="G108" s="248" t="s">
        <v>369</v>
      </c>
      <c r="H108" s="248"/>
      <c r="I108" s="221">
        <v>45084.0</v>
      </c>
      <c r="J108" s="20" t="s">
        <v>346</v>
      </c>
      <c r="K108" s="20"/>
      <c r="L108" s="20"/>
      <c r="M108" s="20"/>
      <c r="N108" s="20"/>
      <c r="O108" s="20"/>
      <c r="P108" s="20" t="s">
        <v>370</v>
      </c>
      <c r="Q108" s="20"/>
      <c r="R108" s="20"/>
      <c r="S108" s="11"/>
      <c r="T108" s="36" t="str">
        <f t="shared" si="24"/>
        <v>  445,880 </v>
      </c>
      <c r="U108" s="29"/>
      <c r="V108" s="29"/>
      <c r="W108" s="255">
        <v>445880.0</v>
      </c>
      <c r="X108" s="256" t="str">
        <f t="shared" si="25"/>
        <v>  445,880 </v>
      </c>
      <c r="Y108" s="257" t="str">
        <f t="shared" si="26"/>
        <v>TRUE</v>
      </c>
    </row>
    <row r="109" ht="16.5" customHeight="1">
      <c r="A109" s="243">
        <v>2023.0</v>
      </c>
      <c r="B109" s="244" t="s">
        <v>527</v>
      </c>
      <c r="C109" s="245" t="s">
        <v>500</v>
      </c>
      <c r="D109" s="246" t="s">
        <v>384</v>
      </c>
      <c r="E109" s="245" t="s">
        <v>385</v>
      </c>
      <c r="F109" s="247">
        <v>60500.0</v>
      </c>
      <c r="G109" s="248" t="s">
        <v>369</v>
      </c>
      <c r="H109" s="248"/>
      <c r="I109" s="221">
        <v>45084.0</v>
      </c>
      <c r="J109" s="20" t="s">
        <v>346</v>
      </c>
      <c r="K109" s="20"/>
      <c r="L109" s="20"/>
      <c r="M109" s="20"/>
      <c r="N109" s="20"/>
      <c r="O109" s="20"/>
      <c r="P109" s="20" t="s">
        <v>370</v>
      </c>
      <c r="Q109" s="20"/>
      <c r="R109" s="20"/>
      <c r="S109" s="11"/>
      <c r="T109" s="36" t="str">
        <f t="shared" si="24"/>
        <v>  60,500 </v>
      </c>
      <c r="U109" s="29"/>
      <c r="V109" s="29"/>
      <c r="W109" s="252">
        <v>68200.0</v>
      </c>
      <c r="X109" s="253" t="str">
        <f t="shared" si="25"/>
        <v>  68,200 </v>
      </c>
      <c r="Y109" s="254" t="str">
        <f t="shared" si="26"/>
        <v>FALSE</v>
      </c>
    </row>
    <row r="110" ht="16.5" customHeight="1">
      <c r="A110" s="243">
        <v>2023.0</v>
      </c>
      <c r="B110" s="244" t="s">
        <v>528</v>
      </c>
      <c r="C110" s="245" t="s">
        <v>521</v>
      </c>
      <c r="D110" s="246" t="s">
        <v>384</v>
      </c>
      <c r="E110" s="245" t="s">
        <v>385</v>
      </c>
      <c r="F110" s="247">
        <v>68200.0</v>
      </c>
      <c r="G110" s="248" t="s">
        <v>369</v>
      </c>
      <c r="H110" s="248"/>
      <c r="I110" s="221">
        <v>45084.0</v>
      </c>
      <c r="J110" s="20" t="s">
        <v>346</v>
      </c>
      <c r="K110" s="20"/>
      <c r="L110" s="20"/>
      <c r="M110" s="20"/>
      <c r="N110" s="20"/>
      <c r="O110" s="20"/>
      <c r="P110" s="20" t="s">
        <v>370</v>
      </c>
      <c r="Q110" s="20"/>
      <c r="R110" s="20"/>
      <c r="S110" s="11"/>
      <c r="T110" s="36" t="str">
        <f t="shared" si="24"/>
        <v>  68,200 </v>
      </c>
      <c r="U110" s="29"/>
      <c r="V110" s="29"/>
      <c r="W110" s="255">
        <v>445880.0</v>
      </c>
      <c r="X110" s="256" t="str">
        <f t="shared" si="25"/>
        <v>  445,880 </v>
      </c>
      <c r="Y110" s="257" t="str">
        <f t="shared" si="26"/>
        <v>FALSE</v>
      </c>
    </row>
    <row r="111" ht="16.5" customHeight="1">
      <c r="A111" s="248">
        <v>2023.0</v>
      </c>
      <c r="B111" s="244" t="s">
        <v>529</v>
      </c>
      <c r="C111" s="245" t="s">
        <v>500</v>
      </c>
      <c r="D111" s="246" t="s">
        <v>384</v>
      </c>
      <c r="E111" s="245" t="s">
        <v>385</v>
      </c>
      <c r="F111" s="247">
        <v>60500.0</v>
      </c>
      <c r="G111" s="248" t="s">
        <v>369</v>
      </c>
      <c r="H111" s="248"/>
      <c r="I111" s="221">
        <v>45084.0</v>
      </c>
      <c r="J111" s="20" t="s">
        <v>346</v>
      </c>
      <c r="K111" s="20"/>
      <c r="L111" s="20"/>
      <c r="M111" s="20"/>
      <c r="N111" s="20"/>
      <c r="O111" s="20"/>
      <c r="P111" s="20" t="s">
        <v>370</v>
      </c>
      <c r="Q111" s="20"/>
      <c r="R111" s="20"/>
      <c r="S111" s="11"/>
      <c r="T111" s="36" t="str">
        <f t="shared" si="24"/>
        <v>  60,500 </v>
      </c>
      <c r="U111" s="29"/>
      <c r="V111" s="29"/>
      <c r="W111" s="252">
        <v>68200.0</v>
      </c>
      <c r="X111" s="253" t="str">
        <f t="shared" si="25"/>
        <v>  68,200 </v>
      </c>
      <c r="Y111" s="295" t="str">
        <f t="shared" si="26"/>
        <v>FALSE</v>
      </c>
    </row>
    <row r="112" ht="16.5" customHeight="1">
      <c r="A112" s="248">
        <v>2023.0</v>
      </c>
      <c r="B112" s="244" t="s">
        <v>530</v>
      </c>
      <c r="C112" s="245" t="s">
        <v>521</v>
      </c>
      <c r="D112" s="246" t="s">
        <v>384</v>
      </c>
      <c r="E112" s="245" t="s">
        <v>385</v>
      </c>
      <c r="F112" s="247">
        <v>68200.0</v>
      </c>
      <c r="G112" s="248" t="s">
        <v>369</v>
      </c>
      <c r="H112" s="248"/>
      <c r="I112" s="221">
        <v>45084.0</v>
      </c>
      <c r="J112" s="20" t="s">
        <v>346</v>
      </c>
      <c r="K112" s="20"/>
      <c r="L112" s="20"/>
      <c r="M112" s="20"/>
      <c r="N112" s="20"/>
      <c r="O112" s="20"/>
      <c r="P112" s="20" t="s">
        <v>370</v>
      </c>
      <c r="Q112" s="20"/>
      <c r="R112" s="20"/>
      <c r="S112" s="11"/>
      <c r="T112" s="36" t="str">
        <f t="shared" si="24"/>
        <v>  68,200 </v>
      </c>
      <c r="U112" s="29"/>
      <c r="V112" s="29"/>
      <c r="W112" s="255">
        <v>445880.0</v>
      </c>
      <c r="X112" s="256" t="str">
        <f t="shared" si="25"/>
        <v>  445,880 </v>
      </c>
      <c r="Y112" s="275" t="str">
        <f t="shared" si="26"/>
        <v>FALSE</v>
      </c>
    </row>
    <row r="113" ht="16.5" customHeight="1">
      <c r="A113" s="248">
        <v>2023.0</v>
      </c>
      <c r="B113" s="244" t="s">
        <v>530</v>
      </c>
      <c r="C113" s="245" t="s">
        <v>531</v>
      </c>
      <c r="D113" s="246" t="s">
        <v>384</v>
      </c>
      <c r="E113" s="245" t="s">
        <v>385</v>
      </c>
      <c r="F113" s="247">
        <v>5.643E7</v>
      </c>
      <c r="G113" s="248" t="s">
        <v>369</v>
      </c>
      <c r="H113" s="248"/>
      <c r="I113" s="221">
        <v>45084.0</v>
      </c>
      <c r="J113" s="20" t="s">
        <v>346</v>
      </c>
      <c r="K113" s="20"/>
      <c r="L113" s="20"/>
      <c r="M113" s="20"/>
      <c r="N113" s="20"/>
      <c r="O113" s="20"/>
      <c r="P113" s="20" t="s">
        <v>370</v>
      </c>
      <c r="Q113" s="20"/>
      <c r="R113" s="20"/>
      <c r="S113" s="11"/>
      <c r="T113" s="36" t="str">
        <f t="shared" si="24"/>
        <v>  56,430,000 </v>
      </c>
      <c r="U113" s="29"/>
      <c r="V113" s="29"/>
      <c r="W113" s="255">
        <v>445880.0</v>
      </c>
      <c r="X113" s="256" t="str">
        <f t="shared" si="25"/>
        <v>  445,880 </v>
      </c>
      <c r="Y113" s="275" t="str">
        <f t="shared" si="26"/>
        <v>FALSE</v>
      </c>
    </row>
    <row r="114" ht="16.5" customHeight="1">
      <c r="A114" s="248">
        <v>2023.0</v>
      </c>
      <c r="B114" s="244" t="s">
        <v>532</v>
      </c>
      <c r="C114" s="245" t="s">
        <v>533</v>
      </c>
      <c r="D114" s="246" t="s">
        <v>384</v>
      </c>
      <c r="E114" s="245" t="s">
        <v>385</v>
      </c>
      <c r="F114" s="247">
        <v>752400.0</v>
      </c>
      <c r="G114" s="248" t="s">
        <v>369</v>
      </c>
      <c r="H114" s="248"/>
      <c r="I114" s="221">
        <v>45084.0</v>
      </c>
      <c r="J114" s="20" t="s">
        <v>346</v>
      </c>
      <c r="K114" s="20"/>
      <c r="L114" s="20"/>
      <c r="M114" s="20"/>
      <c r="N114" s="20"/>
      <c r="O114" s="20"/>
      <c r="P114" s="20" t="s">
        <v>370</v>
      </c>
      <c r="Q114" s="20"/>
      <c r="R114" s="20"/>
      <c r="S114" s="11"/>
      <c r="T114" s="36" t="str">
        <f t="shared" si="24"/>
        <v>  752,400 </v>
      </c>
      <c r="U114" s="29"/>
      <c r="V114" s="29"/>
      <c r="W114" s="255">
        <v>445880.0</v>
      </c>
      <c r="X114" s="256" t="str">
        <f t="shared" si="25"/>
        <v>  445,880 </v>
      </c>
      <c r="Y114" s="275" t="str">
        <f t="shared" si="26"/>
        <v>FALSE</v>
      </c>
    </row>
    <row r="115" ht="16.5" customHeight="1">
      <c r="A115" s="248">
        <v>2023.0</v>
      </c>
      <c r="B115" s="244" t="s">
        <v>534</v>
      </c>
      <c r="C115" s="245" t="s">
        <v>535</v>
      </c>
      <c r="D115" s="246" t="s">
        <v>384</v>
      </c>
      <c r="E115" s="245" t="s">
        <v>385</v>
      </c>
      <c r="F115" s="247">
        <v>561000.0</v>
      </c>
      <c r="G115" s="248" t="s">
        <v>369</v>
      </c>
      <c r="H115" s="248"/>
      <c r="I115" s="221">
        <v>45084.0</v>
      </c>
      <c r="J115" s="20" t="s">
        <v>346</v>
      </c>
      <c r="K115" s="20"/>
      <c r="L115" s="20"/>
      <c r="M115" s="20"/>
      <c r="N115" s="20"/>
      <c r="O115" s="20"/>
      <c r="P115" s="20" t="s">
        <v>370</v>
      </c>
      <c r="Q115" s="20"/>
      <c r="R115" s="20"/>
      <c r="S115" s="11"/>
      <c r="T115" s="36" t="str">
        <f t="shared" si="24"/>
        <v>  561,000 </v>
      </c>
      <c r="U115" s="29"/>
      <c r="V115" s="29"/>
      <c r="W115" s="255">
        <v>445880.0</v>
      </c>
      <c r="X115" s="256" t="str">
        <f t="shared" si="25"/>
        <v>  445,880 </v>
      </c>
      <c r="Y115" s="275" t="str">
        <f t="shared" si="26"/>
        <v>FALSE</v>
      </c>
    </row>
    <row r="116" ht="16.5" customHeight="1">
      <c r="A116" s="248">
        <v>2023.0</v>
      </c>
      <c r="B116" s="244" t="s">
        <v>534</v>
      </c>
      <c r="C116" s="245" t="s">
        <v>536</v>
      </c>
      <c r="D116" s="246" t="s">
        <v>384</v>
      </c>
      <c r="E116" s="245" t="s">
        <v>385</v>
      </c>
      <c r="F116" s="247">
        <v>4844930.0</v>
      </c>
      <c r="G116" s="248" t="s">
        <v>369</v>
      </c>
      <c r="H116" s="248"/>
      <c r="I116" s="221">
        <v>45084.0</v>
      </c>
      <c r="J116" s="20" t="s">
        <v>346</v>
      </c>
      <c r="K116" s="20"/>
      <c r="L116" s="20"/>
      <c r="M116" s="20"/>
      <c r="N116" s="20"/>
      <c r="O116" s="20"/>
      <c r="P116" s="20" t="s">
        <v>370</v>
      </c>
      <c r="Q116" s="20"/>
      <c r="R116" s="20"/>
      <c r="S116" s="11"/>
      <c r="T116" s="36" t="str">
        <f t="shared" si="24"/>
        <v>  4,844,930 </v>
      </c>
      <c r="U116" s="29"/>
      <c r="V116" s="29"/>
      <c r="W116" s="252">
        <v>68200.0</v>
      </c>
      <c r="X116" s="253" t="str">
        <f t="shared" si="25"/>
        <v>  68,200 </v>
      </c>
      <c r="Y116" s="295" t="str">
        <f t="shared" si="26"/>
        <v>FALSE</v>
      </c>
    </row>
    <row r="117" ht="16.5" customHeight="1">
      <c r="A117" s="248">
        <v>2023.0</v>
      </c>
      <c r="B117" s="244" t="s">
        <v>534</v>
      </c>
      <c r="C117" s="245" t="s">
        <v>537</v>
      </c>
      <c r="D117" s="246" t="s">
        <v>384</v>
      </c>
      <c r="E117" s="245" t="s">
        <v>385</v>
      </c>
      <c r="F117" s="247">
        <v>165000.0</v>
      </c>
      <c r="G117" s="248" t="s">
        <v>369</v>
      </c>
      <c r="H117" s="248"/>
      <c r="I117" s="221">
        <v>45084.0</v>
      </c>
      <c r="J117" s="20" t="s">
        <v>346</v>
      </c>
      <c r="K117" s="20"/>
      <c r="L117" s="20"/>
      <c r="M117" s="20"/>
      <c r="N117" s="20"/>
      <c r="O117" s="20"/>
      <c r="P117" s="20" t="s">
        <v>370</v>
      </c>
      <c r="Q117" s="20"/>
      <c r="R117" s="20"/>
      <c r="S117" s="11"/>
      <c r="T117" s="36" t="str">
        <f t="shared" si="24"/>
        <v>  165,000 </v>
      </c>
      <c r="U117" s="29"/>
      <c r="V117" s="29"/>
      <c r="W117" s="252">
        <v>68200.0</v>
      </c>
      <c r="X117" s="253" t="str">
        <f t="shared" si="25"/>
        <v>  68,200 </v>
      </c>
      <c r="Y117" s="295" t="str">
        <f t="shared" si="26"/>
        <v>FALSE</v>
      </c>
    </row>
    <row r="118" ht="16.5" customHeight="1">
      <c r="A118" s="248">
        <v>2023.0</v>
      </c>
      <c r="B118" s="244" t="s">
        <v>538</v>
      </c>
      <c r="C118" s="245" t="s">
        <v>539</v>
      </c>
      <c r="D118" s="246"/>
      <c r="E118" s="245"/>
      <c r="F118" s="247">
        <v>660000.0</v>
      </c>
      <c r="G118" s="248"/>
      <c r="H118" s="248"/>
      <c r="I118" s="221"/>
      <c r="J118" s="20"/>
      <c r="K118" s="20"/>
      <c r="L118" s="20"/>
      <c r="M118" s="20"/>
      <c r="N118" s="20"/>
      <c r="O118" s="20"/>
      <c r="P118" s="20"/>
      <c r="Q118" s="20"/>
      <c r="R118" s="20"/>
      <c r="S118" s="11"/>
      <c r="T118" s="36" t="str">
        <f t="shared" si="24"/>
        <v>  660,000 </v>
      </c>
      <c r="U118" s="29"/>
      <c r="V118" s="29"/>
      <c r="W118" s="252"/>
      <c r="X118" s="253"/>
      <c r="Y118" s="295"/>
    </row>
    <row r="119" ht="16.5" customHeight="1">
      <c r="A119" s="248">
        <v>2023.0</v>
      </c>
      <c r="B119" s="244" t="s">
        <v>540</v>
      </c>
      <c r="C119" s="245" t="s">
        <v>541</v>
      </c>
      <c r="D119" s="246" t="s">
        <v>384</v>
      </c>
      <c r="E119" s="245" t="s">
        <v>385</v>
      </c>
      <c r="F119" s="247">
        <v>1.0E8</v>
      </c>
      <c r="G119" s="248" t="s">
        <v>369</v>
      </c>
      <c r="H119" s="248"/>
      <c r="I119" s="221">
        <v>45084.0</v>
      </c>
      <c r="J119" s="20" t="s">
        <v>346</v>
      </c>
      <c r="K119" s="20"/>
      <c r="L119" s="20"/>
      <c r="M119" s="20"/>
      <c r="N119" s="20"/>
      <c r="O119" s="20"/>
      <c r="P119" s="20" t="s">
        <v>370</v>
      </c>
      <c r="Q119" s="20"/>
      <c r="R119" s="20"/>
      <c r="S119" s="11"/>
      <c r="T119" s="36" t="str">
        <f t="shared" si="24"/>
        <v>  100,000,000 </v>
      </c>
      <c r="U119" s="29"/>
      <c r="V119" s="29"/>
      <c r="W119" s="252">
        <v>68200.0</v>
      </c>
      <c r="X119" s="253" t="str">
        <f>SUM(U119:W119)</f>
        <v>  68,200 </v>
      </c>
      <c r="Y119" s="295" t="str">
        <f>F119=X119</f>
        <v>FALSE</v>
      </c>
    </row>
    <row r="120" ht="16.5" customHeight="1">
      <c r="A120" s="248">
        <v>2024.0</v>
      </c>
      <c r="B120" s="244" t="s">
        <v>542</v>
      </c>
      <c r="C120" s="245" t="s">
        <v>543</v>
      </c>
      <c r="D120" s="246" t="s">
        <v>384</v>
      </c>
      <c r="E120" s="245" t="s">
        <v>385</v>
      </c>
      <c r="F120" s="247">
        <v>2618000.0</v>
      </c>
      <c r="G120" s="248"/>
      <c r="H120" s="248"/>
      <c r="I120" s="221"/>
      <c r="J120" s="20"/>
      <c r="K120" s="20"/>
      <c r="L120" s="20"/>
      <c r="M120" s="20"/>
      <c r="N120" s="20"/>
      <c r="O120" s="20"/>
      <c r="P120" s="20"/>
      <c r="Q120" s="20"/>
      <c r="R120" s="20"/>
      <c r="S120" s="11"/>
      <c r="T120" s="36" t="str">
        <f t="shared" si="24"/>
        <v>  2,618,000 </v>
      </c>
      <c r="U120" s="29"/>
      <c r="V120" s="29"/>
      <c r="W120" s="252"/>
      <c r="X120" s="253"/>
      <c r="Y120" s="295"/>
    </row>
    <row r="121" ht="16.5" customHeight="1">
      <c r="A121" s="248">
        <v>2024.0</v>
      </c>
      <c r="B121" s="244" t="s">
        <v>542</v>
      </c>
      <c r="C121" s="245" t="s">
        <v>544</v>
      </c>
      <c r="D121" s="246" t="s">
        <v>384</v>
      </c>
      <c r="E121" s="245" t="s">
        <v>385</v>
      </c>
      <c r="F121" s="247">
        <v>1122000.0</v>
      </c>
      <c r="G121" s="248" t="s">
        <v>369</v>
      </c>
      <c r="H121" s="248"/>
      <c r="I121" s="221">
        <v>45084.0</v>
      </c>
      <c r="J121" s="20" t="s">
        <v>346</v>
      </c>
      <c r="K121" s="20"/>
      <c r="L121" s="20"/>
      <c r="M121" s="20"/>
      <c r="N121" s="20"/>
      <c r="O121" s="20"/>
      <c r="P121" s="20" t="s">
        <v>370</v>
      </c>
      <c r="Q121" s="20"/>
      <c r="R121" s="20"/>
      <c r="S121" s="11"/>
      <c r="T121" s="36" t="str">
        <f t="shared" si="24"/>
        <v>  1,122,000 </v>
      </c>
      <c r="U121" s="29"/>
      <c r="V121" s="29"/>
      <c r="W121" s="252">
        <v>68200.0</v>
      </c>
      <c r="X121" s="253" t="str">
        <f t="shared" ref="X121:X123" si="27">SUM(U121:W121)</f>
        <v>  68,200 </v>
      </c>
      <c r="Y121" s="295" t="str">
        <f t="shared" ref="Y121:Y123" si="28">F121=X121</f>
        <v>FALSE</v>
      </c>
    </row>
    <row r="122" ht="16.5" customHeight="1">
      <c r="A122" s="248">
        <v>2024.0</v>
      </c>
      <c r="B122" s="244" t="s">
        <v>468</v>
      </c>
      <c r="C122" s="245" t="s">
        <v>545</v>
      </c>
      <c r="D122" s="246" t="s">
        <v>384</v>
      </c>
      <c r="E122" s="245" t="s">
        <v>385</v>
      </c>
      <c r="F122" s="247">
        <v>2137160.0</v>
      </c>
      <c r="G122" s="248" t="s">
        <v>369</v>
      </c>
      <c r="H122" s="248"/>
      <c r="I122" s="221">
        <v>45084.0</v>
      </c>
      <c r="J122" s="20" t="s">
        <v>346</v>
      </c>
      <c r="K122" s="20"/>
      <c r="L122" s="20"/>
      <c r="M122" s="20"/>
      <c r="N122" s="20"/>
      <c r="O122" s="20"/>
      <c r="P122" s="20" t="s">
        <v>370</v>
      </c>
      <c r="Q122" s="20"/>
      <c r="R122" s="20"/>
      <c r="S122" s="11"/>
      <c r="T122" s="36" t="str">
        <f t="shared" si="24"/>
        <v>  2,137,160 </v>
      </c>
      <c r="U122" s="29"/>
      <c r="V122" s="29"/>
      <c r="W122" s="252">
        <v>68200.0</v>
      </c>
      <c r="X122" s="253" t="str">
        <f t="shared" si="27"/>
        <v>  68,200 </v>
      </c>
      <c r="Y122" s="295" t="str">
        <f t="shared" si="28"/>
        <v>FALSE</v>
      </c>
    </row>
    <row r="123" ht="16.5" customHeight="1">
      <c r="A123" s="248">
        <v>2024.0</v>
      </c>
      <c r="B123" s="244" t="s">
        <v>546</v>
      </c>
      <c r="C123" s="245" t="s">
        <v>547</v>
      </c>
      <c r="D123" s="246" t="s">
        <v>384</v>
      </c>
      <c r="E123" s="245" t="s">
        <v>385</v>
      </c>
      <c r="F123" s="247">
        <v>1.3139678E8</v>
      </c>
      <c r="G123" s="248" t="s">
        <v>369</v>
      </c>
      <c r="H123" s="248"/>
      <c r="I123" s="221">
        <v>45084.0</v>
      </c>
      <c r="J123" s="20" t="s">
        <v>346</v>
      </c>
      <c r="K123" s="20"/>
      <c r="L123" s="20"/>
      <c r="M123" s="20"/>
      <c r="N123" s="20"/>
      <c r="O123" s="20"/>
      <c r="P123" s="20" t="s">
        <v>370</v>
      </c>
      <c r="Q123" s="20"/>
      <c r="R123" s="20"/>
      <c r="S123" s="15"/>
      <c r="T123" s="36" t="str">
        <f t="shared" si="24"/>
        <v>  131,396,780 </v>
      </c>
      <c r="U123" s="29"/>
      <c r="V123" s="29"/>
      <c r="W123" s="252">
        <v>68200.0</v>
      </c>
      <c r="X123" s="253" t="str">
        <f t="shared" si="27"/>
        <v>  68,200 </v>
      </c>
      <c r="Y123" s="295" t="str">
        <f t="shared" si="28"/>
        <v>FALSE</v>
      </c>
    </row>
    <row r="124" ht="30.0" customHeight="1">
      <c r="A124" s="213" t="s">
        <v>548</v>
      </c>
      <c r="B124" s="32"/>
      <c r="C124" s="33"/>
      <c r="D124" s="215"/>
      <c r="E124" s="215"/>
      <c r="F124" s="296" t="str">
        <f>SUM(F76:F123)</f>
        <v>931,504,250</v>
      </c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6" t="str">
        <f t="shared" ref="T124:V124" si="29">SUM(T76:T123)</f>
        <v>430,813,060</v>
      </c>
      <c r="U124" s="296" t="str">
        <f t="shared" si="29"/>
        <v>30,300,000</v>
      </c>
      <c r="V124" s="296" t="str">
        <f t="shared" si="29"/>
        <v>470,391,190</v>
      </c>
      <c r="W124" s="83"/>
      <c r="X124" s="83"/>
      <c r="Y124" s="83"/>
      <c r="Z124" s="83"/>
      <c r="AA124" s="83"/>
      <c r="AB124" s="83"/>
    </row>
    <row r="125" ht="16.5" customHeight="1">
      <c r="A125" s="243">
        <v>2023.0</v>
      </c>
      <c r="B125" s="298" t="s">
        <v>464</v>
      </c>
      <c r="C125" s="17" t="s">
        <v>549</v>
      </c>
      <c r="D125" s="16" t="s">
        <v>367</v>
      </c>
      <c r="E125" s="17" t="s">
        <v>368</v>
      </c>
      <c r="F125" s="247">
        <v>5.5E7</v>
      </c>
      <c r="G125" s="299" t="s">
        <v>369</v>
      </c>
      <c r="H125" s="299"/>
      <c r="I125" s="300">
        <v>44986.0</v>
      </c>
      <c r="J125" s="301" t="s">
        <v>346</v>
      </c>
      <c r="K125" s="301"/>
      <c r="L125" s="301"/>
      <c r="M125" s="301"/>
      <c r="N125" s="301"/>
      <c r="O125" s="301"/>
      <c r="P125" s="302" t="str">
        <f>TODAY()</f>
        <v>5/18/2026</v>
      </c>
      <c r="Q125" s="302">
        <v>45025.0</v>
      </c>
      <c r="R125" s="301" t="str">
        <f>P125-Q125</f>
        <v>1135</v>
      </c>
      <c r="S125" s="303" t="s">
        <v>550</v>
      </c>
      <c r="T125" s="38" t="str">
        <f t="shared" ref="T125:T126" si="30">F125-U125-V125</f>
        <v>  55,000,000 </v>
      </c>
      <c r="U125" s="38"/>
      <c r="V125" s="38"/>
      <c r="W125" s="249">
        <v>5.5E7</v>
      </c>
      <c r="X125" s="250" t="str">
        <f t="shared" ref="X125:X126" si="31">SUM(U125:W125)</f>
        <v>  55,000,000 </v>
      </c>
      <c r="Y125" s="251" t="str">
        <f t="shared" ref="Y125:Y126" si="32">F125=X125</f>
        <v>TRUE</v>
      </c>
    </row>
    <row r="126" ht="16.5" customHeight="1">
      <c r="A126" s="243">
        <v>2023.0</v>
      </c>
      <c r="B126" s="298" t="s">
        <v>468</v>
      </c>
      <c r="C126" s="17" t="s">
        <v>551</v>
      </c>
      <c r="D126" s="16" t="s">
        <v>367</v>
      </c>
      <c r="E126" s="17" t="s">
        <v>368</v>
      </c>
      <c r="F126" s="247">
        <v>5.5E7</v>
      </c>
      <c r="G126" s="299" t="s">
        <v>369</v>
      </c>
      <c r="H126" s="299"/>
      <c r="I126" s="300">
        <v>45047.0</v>
      </c>
      <c r="J126" s="301" t="s">
        <v>346</v>
      </c>
      <c r="K126" s="301"/>
      <c r="L126" s="301"/>
      <c r="M126" s="301"/>
      <c r="N126" s="301"/>
      <c r="O126" s="301"/>
      <c r="P126" s="301"/>
      <c r="Q126" s="301"/>
      <c r="R126" s="301"/>
      <c r="S126" s="15"/>
      <c r="T126" s="38" t="str">
        <f t="shared" si="30"/>
        <v>  55,000,000 </v>
      </c>
      <c r="U126" s="38"/>
      <c r="V126" s="38"/>
      <c r="W126" s="255">
        <v>5.5E7</v>
      </c>
      <c r="X126" s="256" t="str">
        <f t="shared" si="31"/>
        <v>  55,000,000 </v>
      </c>
      <c r="Y126" s="257" t="str">
        <f t="shared" si="32"/>
        <v>TRUE</v>
      </c>
    </row>
    <row r="127" ht="16.5" customHeight="1">
      <c r="A127" s="16">
        <v>2025.0</v>
      </c>
      <c r="B127" s="298" t="s">
        <v>389</v>
      </c>
      <c r="C127" s="20" t="s">
        <v>552</v>
      </c>
      <c r="D127" s="20"/>
      <c r="E127" s="20"/>
      <c r="F127" s="29">
        <v>5.6325033E7</v>
      </c>
      <c r="G127" s="20"/>
      <c r="H127" s="20"/>
      <c r="I127" s="221"/>
      <c r="J127" s="20"/>
      <c r="K127" s="20"/>
      <c r="L127" s="20"/>
      <c r="M127" s="29"/>
      <c r="N127" s="20"/>
      <c r="O127" s="20"/>
      <c r="P127" s="20"/>
      <c r="Q127" s="20"/>
      <c r="R127" s="20"/>
      <c r="S127" s="20"/>
      <c r="T127" s="29">
        <v>5.6325033E7</v>
      </c>
      <c r="U127" s="29"/>
      <c r="V127" s="29"/>
      <c r="W127" s="46"/>
      <c r="X127" s="46"/>
    </row>
    <row r="128" ht="30.0" customHeight="1">
      <c r="A128" s="213" t="s">
        <v>553</v>
      </c>
      <c r="B128" s="32"/>
      <c r="C128" s="33"/>
      <c r="D128" s="215"/>
      <c r="E128" s="215"/>
      <c r="F128" s="296" t="str">
        <f>SUM(F125:F127)</f>
        <v>166,325,033</v>
      </c>
      <c r="G128" s="297"/>
      <c r="H128" s="297"/>
      <c r="I128" s="304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6" t="str">
        <f>SUM(T125:T127)</f>
        <v>166,325,033</v>
      </c>
      <c r="U128" s="296"/>
      <c r="V128" s="296"/>
      <c r="W128" s="305"/>
      <c r="X128" s="306"/>
      <c r="Y128" s="307"/>
      <c r="Z128" s="83"/>
      <c r="AA128" s="83"/>
      <c r="AB128" s="83"/>
    </row>
    <row r="129" ht="16.5" customHeight="1">
      <c r="A129" s="243">
        <v>2021.0</v>
      </c>
      <c r="B129" s="244" t="s">
        <v>554</v>
      </c>
      <c r="C129" s="245" t="s">
        <v>555</v>
      </c>
      <c r="D129" s="246"/>
      <c r="E129" s="245"/>
      <c r="F129" s="247">
        <v>1760000.0</v>
      </c>
      <c r="G129" s="248" t="s">
        <v>369</v>
      </c>
      <c r="H129" s="248"/>
      <c r="I129" s="221">
        <v>44531.0</v>
      </c>
      <c r="J129" s="20" t="s">
        <v>346</v>
      </c>
      <c r="K129" s="20"/>
      <c r="L129" s="20"/>
      <c r="M129" s="20"/>
      <c r="N129" s="20"/>
      <c r="O129" s="20"/>
      <c r="P129" s="20"/>
      <c r="Q129" s="20"/>
      <c r="R129" s="20"/>
      <c r="S129" s="6" t="s">
        <v>556</v>
      </c>
      <c r="T129" s="36" t="str">
        <f t="shared" ref="T129:T137" si="33">F129-U129-V129</f>
        <v>  1,760,000 </v>
      </c>
      <c r="U129" s="29"/>
      <c r="V129" s="29"/>
      <c r="W129" s="249">
        <v>1760000.0</v>
      </c>
      <c r="X129" s="250" t="str">
        <f t="shared" ref="X129:X137" si="34">SUM(U129:W129)</f>
        <v>  1,760,000 </v>
      </c>
      <c r="Y129" s="251" t="str">
        <f t="shared" ref="Y129:Y137" si="35">F129=X129</f>
        <v>TRUE</v>
      </c>
    </row>
    <row r="130" ht="16.5" customHeight="1">
      <c r="A130" s="243">
        <v>2023.0</v>
      </c>
      <c r="B130" s="244" t="s">
        <v>416</v>
      </c>
      <c r="C130" s="245" t="s">
        <v>557</v>
      </c>
      <c r="D130" s="246" t="s">
        <v>367</v>
      </c>
      <c r="E130" s="245" t="s">
        <v>368</v>
      </c>
      <c r="F130" s="247">
        <v>6149000.0</v>
      </c>
      <c r="G130" s="248" t="s">
        <v>369</v>
      </c>
      <c r="H130" s="248"/>
      <c r="I130" s="221">
        <v>45017.0</v>
      </c>
      <c r="J130" s="20" t="s">
        <v>346</v>
      </c>
      <c r="K130" s="20"/>
      <c r="L130" s="20"/>
      <c r="M130" s="20"/>
      <c r="N130" s="20"/>
      <c r="O130" s="20"/>
      <c r="P130" s="20" t="s">
        <v>370</v>
      </c>
      <c r="Q130" s="20"/>
      <c r="R130" s="20"/>
      <c r="S130" s="11"/>
      <c r="T130" s="36" t="str">
        <f t="shared" si="33"/>
        <v>  6,149,000 </v>
      </c>
      <c r="U130" s="29"/>
      <c r="V130" s="29"/>
      <c r="W130" s="252">
        <v>6149000.0</v>
      </c>
      <c r="X130" s="253" t="str">
        <f t="shared" si="34"/>
        <v>  6,149,000 </v>
      </c>
      <c r="Y130" s="254" t="str">
        <f t="shared" si="35"/>
        <v>TRUE</v>
      </c>
    </row>
    <row r="131" ht="16.5" customHeight="1">
      <c r="A131" s="243">
        <v>2023.0</v>
      </c>
      <c r="B131" s="244" t="s">
        <v>481</v>
      </c>
      <c r="C131" s="245" t="s">
        <v>558</v>
      </c>
      <c r="D131" s="246" t="s">
        <v>367</v>
      </c>
      <c r="E131" s="245" t="s">
        <v>368</v>
      </c>
      <c r="F131" s="247">
        <v>5775000.0</v>
      </c>
      <c r="G131" s="248" t="s">
        <v>369</v>
      </c>
      <c r="H131" s="248"/>
      <c r="I131" s="221">
        <v>45017.0</v>
      </c>
      <c r="J131" s="20" t="s">
        <v>346</v>
      </c>
      <c r="K131" s="20"/>
      <c r="L131" s="20"/>
      <c r="M131" s="20"/>
      <c r="N131" s="20"/>
      <c r="O131" s="20"/>
      <c r="P131" s="20"/>
      <c r="Q131" s="20"/>
      <c r="R131" s="20"/>
      <c r="S131" s="11"/>
      <c r="T131" s="36" t="str">
        <f t="shared" si="33"/>
        <v>  5,775,000 </v>
      </c>
      <c r="U131" s="29"/>
      <c r="V131" s="29"/>
      <c r="W131" s="252">
        <v>5775000.0</v>
      </c>
      <c r="X131" s="253" t="str">
        <f t="shared" si="34"/>
        <v>  5,775,000 </v>
      </c>
      <c r="Y131" s="254" t="str">
        <f t="shared" si="35"/>
        <v>TRUE</v>
      </c>
    </row>
    <row r="132" ht="16.5" customHeight="1">
      <c r="A132" s="243">
        <v>2023.0</v>
      </c>
      <c r="B132" s="244" t="s">
        <v>559</v>
      </c>
      <c r="C132" s="245" t="s">
        <v>560</v>
      </c>
      <c r="D132" s="246" t="s">
        <v>367</v>
      </c>
      <c r="E132" s="245" t="s">
        <v>368</v>
      </c>
      <c r="F132" s="247">
        <v>975000.0</v>
      </c>
      <c r="G132" s="248" t="s">
        <v>369</v>
      </c>
      <c r="H132" s="248"/>
      <c r="I132" s="221">
        <v>45017.0</v>
      </c>
      <c r="J132" s="20" t="s">
        <v>346</v>
      </c>
      <c r="K132" s="20"/>
      <c r="L132" s="20"/>
      <c r="M132" s="20"/>
      <c r="N132" s="20"/>
      <c r="O132" s="20"/>
      <c r="P132" s="20" t="s">
        <v>370</v>
      </c>
      <c r="Q132" s="20"/>
      <c r="R132" s="20"/>
      <c r="S132" s="11"/>
      <c r="T132" s="36" t="str">
        <f t="shared" si="33"/>
        <v>  975,000 </v>
      </c>
      <c r="U132" s="29"/>
      <c r="V132" s="29"/>
      <c r="W132" s="252">
        <v>975000.0</v>
      </c>
      <c r="X132" s="253" t="str">
        <f t="shared" si="34"/>
        <v>  975,000 </v>
      </c>
      <c r="Y132" s="254" t="str">
        <f t="shared" si="35"/>
        <v>TRUE</v>
      </c>
    </row>
    <row r="133" ht="16.5" customHeight="1">
      <c r="A133" s="243">
        <v>2023.0</v>
      </c>
      <c r="B133" s="244" t="s">
        <v>466</v>
      </c>
      <c r="C133" s="245" t="s">
        <v>561</v>
      </c>
      <c r="D133" s="246" t="s">
        <v>367</v>
      </c>
      <c r="E133" s="245" t="s">
        <v>368</v>
      </c>
      <c r="F133" s="247">
        <v>325000.0</v>
      </c>
      <c r="G133" s="248" t="s">
        <v>369</v>
      </c>
      <c r="H133" s="248"/>
      <c r="I133" s="221">
        <v>45017.0</v>
      </c>
      <c r="J133" s="20" t="s">
        <v>346</v>
      </c>
      <c r="K133" s="20"/>
      <c r="L133" s="20"/>
      <c r="M133" s="20"/>
      <c r="N133" s="20"/>
      <c r="O133" s="20"/>
      <c r="P133" s="20" t="s">
        <v>370</v>
      </c>
      <c r="Q133" s="20"/>
      <c r="R133" s="20"/>
      <c r="S133" s="11"/>
      <c r="T133" s="36" t="str">
        <f t="shared" si="33"/>
        <v>  325,000 </v>
      </c>
      <c r="U133" s="29"/>
      <c r="V133" s="29"/>
      <c r="W133" s="308">
        <v>325000.0</v>
      </c>
      <c r="X133" s="253" t="str">
        <f t="shared" si="34"/>
        <v>  325,000 </v>
      </c>
      <c r="Y133" s="254" t="str">
        <f t="shared" si="35"/>
        <v>TRUE</v>
      </c>
      <c r="Z133" s="229"/>
    </row>
    <row r="134" ht="16.5" customHeight="1">
      <c r="A134" s="243">
        <v>2023.0</v>
      </c>
      <c r="B134" s="244" t="s">
        <v>483</v>
      </c>
      <c r="C134" s="245" t="s">
        <v>562</v>
      </c>
      <c r="D134" s="246" t="s">
        <v>367</v>
      </c>
      <c r="E134" s="245" t="s">
        <v>368</v>
      </c>
      <c r="F134" s="247">
        <v>1300000.0</v>
      </c>
      <c r="G134" s="248" t="s">
        <v>369</v>
      </c>
      <c r="H134" s="248"/>
      <c r="I134" s="221">
        <v>45017.0</v>
      </c>
      <c r="J134" s="20" t="s">
        <v>346</v>
      </c>
      <c r="K134" s="20"/>
      <c r="L134" s="20"/>
      <c r="M134" s="20"/>
      <c r="N134" s="20"/>
      <c r="O134" s="20"/>
      <c r="P134" s="20" t="s">
        <v>370</v>
      </c>
      <c r="Q134" s="20"/>
      <c r="R134" s="20"/>
      <c r="S134" s="11"/>
      <c r="T134" s="36" t="str">
        <f t="shared" si="33"/>
        <v>  1,300,000 </v>
      </c>
      <c r="U134" s="29"/>
      <c r="V134" s="29"/>
      <c r="W134" s="252">
        <v>1300000.0</v>
      </c>
      <c r="X134" s="253" t="str">
        <f t="shared" si="34"/>
        <v>  1,300,000 </v>
      </c>
      <c r="Y134" s="254" t="str">
        <f t="shared" si="35"/>
        <v>TRUE</v>
      </c>
    </row>
    <row r="135" ht="16.5" customHeight="1">
      <c r="A135" s="243">
        <v>2023.0</v>
      </c>
      <c r="B135" s="244" t="s">
        <v>563</v>
      </c>
      <c r="C135" s="245" t="s">
        <v>564</v>
      </c>
      <c r="D135" s="246" t="s">
        <v>367</v>
      </c>
      <c r="E135" s="245" t="s">
        <v>368</v>
      </c>
      <c r="F135" s="247">
        <v>7722000.0</v>
      </c>
      <c r="G135" s="248" t="s">
        <v>369</v>
      </c>
      <c r="H135" s="248"/>
      <c r="I135" s="221">
        <v>45047.0</v>
      </c>
      <c r="J135" s="20" t="s">
        <v>346</v>
      </c>
      <c r="K135" s="20"/>
      <c r="L135" s="20"/>
      <c r="M135" s="20"/>
      <c r="N135" s="20"/>
      <c r="O135" s="20"/>
      <c r="P135" s="20" t="s">
        <v>370</v>
      </c>
      <c r="Q135" s="20"/>
      <c r="R135" s="20"/>
      <c r="S135" s="11"/>
      <c r="T135" s="36" t="str">
        <f t="shared" si="33"/>
        <v>  7,722,000 </v>
      </c>
      <c r="U135" s="29"/>
      <c r="V135" s="29"/>
      <c r="W135" s="252">
        <v>7722000.0</v>
      </c>
      <c r="X135" s="253" t="str">
        <f t="shared" si="34"/>
        <v>  7,722,000 </v>
      </c>
      <c r="Y135" s="254" t="str">
        <f t="shared" si="35"/>
        <v>TRUE</v>
      </c>
    </row>
    <row r="136" ht="16.5" customHeight="1">
      <c r="A136" s="243">
        <v>2023.0</v>
      </c>
      <c r="B136" s="244" t="s">
        <v>503</v>
      </c>
      <c r="C136" s="245" t="s">
        <v>565</v>
      </c>
      <c r="D136" s="246">
        <v>98001.0</v>
      </c>
      <c r="E136" s="245" t="s">
        <v>368</v>
      </c>
      <c r="F136" s="247">
        <v>1000000.0</v>
      </c>
      <c r="G136" s="248" t="s">
        <v>369</v>
      </c>
      <c r="H136" s="248"/>
      <c r="I136" s="221">
        <v>45078.0</v>
      </c>
      <c r="J136" s="20" t="s">
        <v>346</v>
      </c>
      <c r="K136" s="20"/>
      <c r="L136" s="20"/>
      <c r="M136" s="20"/>
      <c r="N136" s="20"/>
      <c r="O136" s="20"/>
      <c r="P136" s="20" t="s">
        <v>370</v>
      </c>
      <c r="Q136" s="20"/>
      <c r="R136" s="20"/>
      <c r="S136" s="11"/>
      <c r="T136" s="36" t="str">
        <f t="shared" si="33"/>
        <v>  1,000,000 </v>
      </c>
      <c r="U136" s="29"/>
      <c r="V136" s="29"/>
      <c r="W136" s="255">
        <v>1000000.0</v>
      </c>
      <c r="X136" s="256" t="str">
        <f t="shared" si="34"/>
        <v>  1,000,000 </v>
      </c>
      <c r="Y136" s="257" t="str">
        <f t="shared" si="35"/>
        <v>TRUE</v>
      </c>
    </row>
    <row r="137" ht="16.5" customHeight="1">
      <c r="A137" s="248">
        <v>2023.0</v>
      </c>
      <c r="B137" s="244" t="s">
        <v>534</v>
      </c>
      <c r="C137" s="245" t="s">
        <v>566</v>
      </c>
      <c r="D137" s="246" t="s">
        <v>384</v>
      </c>
      <c r="E137" s="245" t="s">
        <v>385</v>
      </c>
      <c r="F137" s="247">
        <v>520000.0</v>
      </c>
      <c r="G137" s="248" t="s">
        <v>369</v>
      </c>
      <c r="H137" s="248"/>
      <c r="I137" s="221">
        <v>45084.0</v>
      </c>
      <c r="J137" s="20" t="s">
        <v>346</v>
      </c>
      <c r="K137" s="20"/>
      <c r="L137" s="20"/>
      <c r="M137" s="20"/>
      <c r="N137" s="20"/>
      <c r="O137" s="20"/>
      <c r="P137" s="20" t="s">
        <v>370</v>
      </c>
      <c r="Q137" s="20"/>
      <c r="R137" s="20"/>
      <c r="S137" s="15"/>
      <c r="T137" s="36" t="str">
        <f t="shared" si="33"/>
        <v>  520,000 </v>
      </c>
      <c r="U137" s="29"/>
      <c r="V137" s="29"/>
      <c r="W137" s="252">
        <v>68200.0</v>
      </c>
      <c r="X137" s="253" t="str">
        <f t="shared" si="34"/>
        <v>  68,200 </v>
      </c>
      <c r="Y137" s="295" t="str">
        <f t="shared" si="35"/>
        <v>FALSE</v>
      </c>
    </row>
    <row r="138" ht="30.0" customHeight="1">
      <c r="A138" s="213" t="s">
        <v>567</v>
      </c>
      <c r="B138" s="32"/>
      <c r="C138" s="33"/>
      <c r="D138" s="309"/>
      <c r="E138" s="309"/>
      <c r="F138" s="296" t="str">
        <f>SUM(F129:F137)</f>
        <v>25,526,000</v>
      </c>
      <c r="G138" s="297"/>
      <c r="H138" s="297"/>
      <c r="I138" s="304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6" t="str">
        <f>SUM(T129:T137)</f>
        <v>25,526,000</v>
      </c>
      <c r="U138" s="296"/>
      <c r="V138" s="296"/>
      <c r="W138" s="305"/>
      <c r="X138" s="306"/>
      <c r="Y138" s="307"/>
      <c r="Z138" s="83"/>
      <c r="AA138" s="83"/>
      <c r="AB138" s="83"/>
    </row>
    <row r="139" ht="36.75" customHeight="1">
      <c r="A139" s="276" t="s">
        <v>568</v>
      </c>
      <c r="B139" s="32"/>
      <c r="C139" s="33"/>
      <c r="D139" s="283"/>
      <c r="E139" s="284"/>
      <c r="F139" s="277" t="str">
        <f>SUM(F138,F128,F124)</f>
        <v>1,123,355,283</v>
      </c>
      <c r="G139" s="285"/>
      <c r="H139" s="285"/>
      <c r="I139" s="286"/>
      <c r="J139" s="287"/>
      <c r="K139" s="287"/>
      <c r="L139" s="287"/>
      <c r="M139" s="288"/>
      <c r="N139" s="288"/>
      <c r="O139" s="287"/>
      <c r="P139" s="289"/>
      <c r="Q139" s="289"/>
      <c r="R139" s="287"/>
      <c r="S139" s="283"/>
      <c r="T139" s="277" t="str">
        <f t="shared" ref="T139:V139" si="36">SUM(T138,T128,T124)</f>
        <v>622,664,093</v>
      </c>
      <c r="U139" s="277" t="str">
        <f t="shared" si="36"/>
        <v>30,300,000</v>
      </c>
      <c r="V139" s="277" t="str">
        <f t="shared" si="36"/>
        <v>470,391,190</v>
      </c>
      <c r="W139" s="269"/>
      <c r="X139" s="270"/>
      <c r="Y139" s="271"/>
    </row>
    <row r="140" ht="16.5" customHeight="1">
      <c r="A140" s="243">
        <v>2023.0</v>
      </c>
      <c r="B140" s="244" t="s">
        <v>372</v>
      </c>
      <c r="C140" s="245" t="s">
        <v>569</v>
      </c>
      <c r="D140" s="246" t="s">
        <v>367</v>
      </c>
      <c r="E140" s="245" t="s">
        <v>368</v>
      </c>
      <c r="F140" s="247">
        <v>1626900.0</v>
      </c>
      <c r="G140" s="248" t="s">
        <v>369</v>
      </c>
      <c r="H140" s="248"/>
      <c r="I140" s="221">
        <v>44986.0</v>
      </c>
      <c r="J140" s="20" t="s">
        <v>347</v>
      </c>
      <c r="K140" s="20"/>
      <c r="L140" s="20"/>
      <c r="M140" s="20"/>
      <c r="N140" s="20"/>
      <c r="O140" s="20"/>
      <c r="P140" s="20" t="s">
        <v>370</v>
      </c>
      <c r="Q140" s="20"/>
      <c r="R140" s="20"/>
      <c r="S140" s="6" t="s">
        <v>570</v>
      </c>
      <c r="T140" s="36" t="str">
        <f t="shared" ref="T140:T146" si="37">F140-U140-V140</f>
        <v>  1,626,900 </v>
      </c>
      <c r="U140" s="29"/>
      <c r="V140" s="29"/>
      <c r="W140" s="249">
        <v>1626900.0</v>
      </c>
      <c r="X140" s="250" t="str">
        <f t="shared" ref="X140:X146" si="38">SUM(U140:W140)</f>
        <v>  1,626,900 </v>
      </c>
      <c r="Y140" s="251" t="str">
        <f t="shared" ref="Y140:Y146" si="39">F140=X140</f>
        <v>TRUE</v>
      </c>
    </row>
    <row r="141" ht="16.5" customHeight="1">
      <c r="A141" s="243">
        <v>2023.0</v>
      </c>
      <c r="B141" s="244" t="s">
        <v>571</v>
      </c>
      <c r="C141" s="245" t="s">
        <v>572</v>
      </c>
      <c r="D141" s="246" t="s">
        <v>367</v>
      </c>
      <c r="E141" s="245" t="s">
        <v>368</v>
      </c>
      <c r="F141" s="247">
        <v>1.65E7</v>
      </c>
      <c r="G141" s="248" t="s">
        <v>369</v>
      </c>
      <c r="H141" s="248"/>
      <c r="I141" s="221">
        <v>45017.0</v>
      </c>
      <c r="J141" s="20" t="s">
        <v>347</v>
      </c>
      <c r="K141" s="20"/>
      <c r="L141" s="20"/>
      <c r="M141" s="20"/>
      <c r="N141" s="20"/>
      <c r="O141" s="20"/>
      <c r="P141" s="20"/>
      <c r="Q141" s="20"/>
      <c r="R141" s="20"/>
      <c r="S141" s="11"/>
      <c r="T141" s="36" t="str">
        <f t="shared" si="37"/>
        <v>  16,500,000 </v>
      </c>
      <c r="U141" s="29"/>
      <c r="V141" s="29"/>
      <c r="W141" s="252">
        <v>1.65E7</v>
      </c>
      <c r="X141" s="253" t="str">
        <f t="shared" si="38"/>
        <v>  16,500,000 </v>
      </c>
      <c r="Y141" s="254" t="str">
        <f t="shared" si="39"/>
        <v>TRUE</v>
      </c>
    </row>
    <row r="142" ht="16.5" customHeight="1">
      <c r="A142" s="243">
        <v>2023.0</v>
      </c>
      <c r="B142" s="244" t="s">
        <v>573</v>
      </c>
      <c r="C142" s="245" t="s">
        <v>574</v>
      </c>
      <c r="D142" s="246" t="s">
        <v>367</v>
      </c>
      <c r="E142" s="245" t="s">
        <v>368</v>
      </c>
      <c r="F142" s="247">
        <v>495000.0</v>
      </c>
      <c r="G142" s="248" t="s">
        <v>369</v>
      </c>
      <c r="H142" s="248"/>
      <c r="I142" s="221">
        <v>45047.0</v>
      </c>
      <c r="J142" s="20" t="s">
        <v>347</v>
      </c>
      <c r="K142" s="20"/>
      <c r="L142" s="20"/>
      <c r="M142" s="20"/>
      <c r="N142" s="20"/>
      <c r="O142" s="20"/>
      <c r="P142" s="20" t="s">
        <v>370</v>
      </c>
      <c r="Q142" s="20"/>
      <c r="R142" s="20"/>
      <c r="S142" s="11"/>
      <c r="T142" s="36" t="str">
        <f t="shared" si="37"/>
        <v>  495,000 </v>
      </c>
      <c r="U142" s="29"/>
      <c r="V142" s="29"/>
      <c r="W142" s="252">
        <v>495000.0</v>
      </c>
      <c r="X142" s="253" t="str">
        <f t="shared" si="38"/>
        <v>  495,000 </v>
      </c>
      <c r="Y142" s="254" t="str">
        <f t="shared" si="39"/>
        <v>TRUE</v>
      </c>
    </row>
    <row r="143" ht="16.5" customHeight="1">
      <c r="A143" s="243">
        <v>2023.0</v>
      </c>
      <c r="B143" s="244" t="s">
        <v>499</v>
      </c>
      <c r="C143" s="245" t="s">
        <v>575</v>
      </c>
      <c r="D143" s="246" t="s">
        <v>367</v>
      </c>
      <c r="E143" s="245" t="s">
        <v>368</v>
      </c>
      <c r="F143" s="247">
        <v>67500.0</v>
      </c>
      <c r="G143" s="248" t="s">
        <v>369</v>
      </c>
      <c r="H143" s="248"/>
      <c r="I143" s="221">
        <v>45047.0</v>
      </c>
      <c r="J143" s="20" t="s">
        <v>347</v>
      </c>
      <c r="K143" s="20"/>
      <c r="L143" s="20"/>
      <c r="M143" s="20"/>
      <c r="N143" s="20"/>
      <c r="O143" s="20"/>
      <c r="P143" s="20" t="s">
        <v>370</v>
      </c>
      <c r="Q143" s="20"/>
      <c r="R143" s="20"/>
      <c r="S143" s="11"/>
      <c r="T143" s="36" t="str">
        <f t="shared" si="37"/>
        <v>  67,500 </v>
      </c>
      <c r="U143" s="29"/>
      <c r="V143" s="29"/>
      <c r="W143" s="252">
        <v>67500.0</v>
      </c>
      <c r="X143" s="253" t="str">
        <f t="shared" si="38"/>
        <v>  67,500 </v>
      </c>
      <c r="Y143" s="254" t="str">
        <f t="shared" si="39"/>
        <v>TRUE</v>
      </c>
    </row>
    <row r="144" ht="16.5" customHeight="1">
      <c r="A144" s="243">
        <v>2023.0</v>
      </c>
      <c r="B144" s="244" t="s">
        <v>576</v>
      </c>
      <c r="C144" s="245" t="s">
        <v>577</v>
      </c>
      <c r="D144" s="246">
        <v>98001.0</v>
      </c>
      <c r="E144" s="245" t="s">
        <v>368</v>
      </c>
      <c r="F144" s="247">
        <v>3887595.0</v>
      </c>
      <c r="G144" s="248" t="s">
        <v>369</v>
      </c>
      <c r="H144" s="248"/>
      <c r="I144" s="221">
        <v>45078.0</v>
      </c>
      <c r="J144" s="20" t="s">
        <v>347</v>
      </c>
      <c r="K144" s="20"/>
      <c r="L144" s="20"/>
      <c r="M144" s="20"/>
      <c r="N144" s="20"/>
      <c r="O144" s="20"/>
      <c r="P144" s="20" t="s">
        <v>370</v>
      </c>
      <c r="Q144" s="20"/>
      <c r="R144" s="20"/>
      <c r="S144" s="11"/>
      <c r="T144" s="36" t="str">
        <f t="shared" si="37"/>
        <v>  3,887,595 </v>
      </c>
      <c r="U144" s="29"/>
      <c r="V144" s="29"/>
      <c r="W144" s="252">
        <v>3887595.0</v>
      </c>
      <c r="X144" s="253" t="str">
        <f t="shared" si="38"/>
        <v>  3,887,595 </v>
      </c>
      <c r="Y144" s="254" t="str">
        <f t="shared" si="39"/>
        <v>TRUE</v>
      </c>
    </row>
    <row r="145" ht="16.5" customHeight="1">
      <c r="A145" s="243">
        <v>2023.0</v>
      </c>
      <c r="B145" s="244" t="s">
        <v>526</v>
      </c>
      <c r="C145" s="245" t="s">
        <v>578</v>
      </c>
      <c r="D145" s="246" t="s">
        <v>384</v>
      </c>
      <c r="E145" s="245" t="s">
        <v>385</v>
      </c>
      <c r="F145" s="247">
        <v>5500000.0</v>
      </c>
      <c r="G145" s="248" t="s">
        <v>369</v>
      </c>
      <c r="H145" s="248"/>
      <c r="I145" s="221">
        <v>45084.0</v>
      </c>
      <c r="J145" s="20" t="s">
        <v>347</v>
      </c>
      <c r="K145" s="20"/>
      <c r="L145" s="20"/>
      <c r="M145" s="20"/>
      <c r="N145" s="20"/>
      <c r="O145" s="20"/>
      <c r="P145" s="20"/>
      <c r="Q145" s="20"/>
      <c r="R145" s="20"/>
      <c r="S145" s="11"/>
      <c r="T145" s="36" t="str">
        <f t="shared" si="37"/>
        <v>  5,500,000 </v>
      </c>
      <c r="U145" s="29"/>
      <c r="V145" s="29"/>
      <c r="W145" s="255">
        <v>5500000.0</v>
      </c>
      <c r="X145" s="256" t="str">
        <f t="shared" si="38"/>
        <v>  5,500,000 </v>
      </c>
      <c r="Y145" s="257" t="str">
        <f t="shared" si="39"/>
        <v>TRUE</v>
      </c>
    </row>
    <row r="146" ht="16.5" customHeight="1">
      <c r="A146" s="248">
        <v>2023.0</v>
      </c>
      <c r="B146" s="244" t="s">
        <v>579</v>
      </c>
      <c r="C146" s="245" t="s">
        <v>580</v>
      </c>
      <c r="D146" s="246" t="s">
        <v>384</v>
      </c>
      <c r="E146" s="245" t="s">
        <v>385</v>
      </c>
      <c r="F146" s="247">
        <v>2.75E7</v>
      </c>
      <c r="G146" s="248" t="s">
        <v>369</v>
      </c>
      <c r="H146" s="248"/>
      <c r="I146" s="221">
        <v>45084.0</v>
      </c>
      <c r="J146" s="20" t="s">
        <v>347</v>
      </c>
      <c r="K146" s="20"/>
      <c r="L146" s="20"/>
      <c r="M146" s="20"/>
      <c r="N146" s="20"/>
      <c r="O146" s="20"/>
      <c r="P146" s="20"/>
      <c r="Q146" s="20"/>
      <c r="R146" s="20"/>
      <c r="S146" s="15"/>
      <c r="T146" s="36" t="str">
        <f t="shared" si="37"/>
        <v>  27,500,000 </v>
      </c>
      <c r="U146" s="29"/>
      <c r="V146" s="29"/>
      <c r="W146" s="255">
        <v>5500000.0</v>
      </c>
      <c r="X146" s="256" t="str">
        <f t="shared" si="38"/>
        <v>  5,500,000 </v>
      </c>
      <c r="Y146" s="275" t="str">
        <f t="shared" si="39"/>
        <v>FALSE</v>
      </c>
    </row>
    <row r="147" ht="36.75" customHeight="1">
      <c r="A147" s="276" t="s">
        <v>581</v>
      </c>
      <c r="B147" s="32"/>
      <c r="C147" s="33"/>
      <c r="D147" s="283"/>
      <c r="E147" s="284"/>
      <c r="F147" s="277" t="str">
        <f>SUM(F140:F146)</f>
        <v>55,576,995</v>
      </c>
      <c r="G147" s="285"/>
      <c r="H147" s="285"/>
      <c r="I147" s="286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90" t="str">
        <f t="shared" ref="T147:V147" si="40">SUM(T140:T146)</f>
        <v>  55,576,995 </v>
      </c>
      <c r="U147" s="290" t="str">
        <f t="shared" si="40"/>
        <v>  - </v>
      </c>
      <c r="V147" s="290" t="str">
        <f t="shared" si="40"/>
        <v>  - </v>
      </c>
      <c r="W147" s="269"/>
      <c r="X147" s="270"/>
      <c r="Y147" s="271"/>
    </row>
    <row r="148" ht="16.5" customHeight="1">
      <c r="A148" s="243">
        <v>2023.0</v>
      </c>
      <c r="B148" s="244" t="s">
        <v>582</v>
      </c>
      <c r="C148" s="245" t="s">
        <v>583</v>
      </c>
      <c r="D148" s="246" t="s">
        <v>367</v>
      </c>
      <c r="E148" s="245" t="s">
        <v>368</v>
      </c>
      <c r="F148" s="247">
        <v>1.97E7</v>
      </c>
      <c r="G148" s="248"/>
      <c r="H148" s="248"/>
      <c r="I148" s="221"/>
      <c r="J148" s="20" t="s">
        <v>348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36" t="str">
        <f t="shared" ref="T148:T150" si="41">F148-U148-V148</f>
        <v>  - </v>
      </c>
      <c r="U148" s="29"/>
      <c r="V148" s="29">
        <v>1.97E7</v>
      </c>
      <c r="W148" s="269"/>
      <c r="X148" s="270"/>
      <c r="Y148" s="271"/>
    </row>
    <row r="149" ht="16.5" customHeight="1">
      <c r="A149" s="243">
        <v>2023.0</v>
      </c>
      <c r="B149" s="244" t="s">
        <v>584</v>
      </c>
      <c r="C149" s="245" t="s">
        <v>585</v>
      </c>
      <c r="D149" s="246" t="s">
        <v>367</v>
      </c>
      <c r="E149" s="245" t="s">
        <v>368</v>
      </c>
      <c r="F149" s="247">
        <v>1.7898E8</v>
      </c>
      <c r="G149" s="248" t="s">
        <v>369</v>
      </c>
      <c r="H149" s="248"/>
      <c r="I149" s="221">
        <v>45017.0</v>
      </c>
      <c r="J149" s="20" t="s">
        <v>348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36" t="str">
        <f t="shared" si="41"/>
        <v>  8,680,000 </v>
      </c>
      <c r="U149" s="29"/>
      <c r="V149" s="29">
        <v>1.703E8</v>
      </c>
      <c r="W149" s="252">
        <v>8680000.0</v>
      </c>
      <c r="X149" s="253" t="str">
        <f t="shared" ref="X149:X150" si="42">SUM(U149:W149)</f>
        <v>  178,980,000 </v>
      </c>
      <c r="Y149" s="254" t="str">
        <f t="shared" ref="Y149:Y150" si="43">F149=X149</f>
        <v>TRUE</v>
      </c>
    </row>
    <row r="150" ht="16.5" customHeight="1">
      <c r="A150" s="243">
        <v>2023.0</v>
      </c>
      <c r="B150" s="244" t="s">
        <v>586</v>
      </c>
      <c r="C150" s="245" t="s">
        <v>587</v>
      </c>
      <c r="D150" s="246">
        <v>98001.0</v>
      </c>
      <c r="E150" s="245" t="s">
        <v>368</v>
      </c>
      <c r="F150" s="247">
        <v>3897890.0</v>
      </c>
      <c r="G150" s="248" t="s">
        <v>369</v>
      </c>
      <c r="H150" s="248"/>
      <c r="I150" s="221">
        <v>45078.0</v>
      </c>
      <c r="J150" s="20" t="s">
        <v>348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36" t="str">
        <f t="shared" si="41"/>
        <v>  3,897,890 </v>
      </c>
      <c r="U150" s="29"/>
      <c r="V150" s="29"/>
      <c r="W150" s="255">
        <v>3897890.0</v>
      </c>
      <c r="X150" s="256" t="str">
        <f t="shared" si="42"/>
        <v>  3,897,890 </v>
      </c>
      <c r="Y150" s="257" t="str">
        <f t="shared" si="43"/>
        <v>TRUE</v>
      </c>
    </row>
    <row r="151" ht="36.75" customHeight="1">
      <c r="A151" s="276" t="s">
        <v>588</v>
      </c>
      <c r="B151" s="32"/>
      <c r="C151" s="33"/>
      <c r="D151" s="283"/>
      <c r="E151" s="284"/>
      <c r="F151" s="277" t="str">
        <f>SUM(F148:F150)</f>
        <v>202,577,890</v>
      </c>
      <c r="G151" s="285"/>
      <c r="H151" s="285"/>
      <c r="I151" s="286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90" t="str">
        <f>SUM(T148:T150)</f>
        <v>  12,577,890 </v>
      </c>
      <c r="U151" s="290" t="str">
        <f t="shared" ref="U151:V151" si="44">SUM(U144:U150)</f>
        <v>  - </v>
      </c>
      <c r="V151" s="290" t="str">
        <f t="shared" si="44"/>
        <v>  190,000,000 </v>
      </c>
      <c r="W151" s="269"/>
      <c r="X151" s="270"/>
      <c r="Y151" s="271"/>
    </row>
    <row r="152" ht="33.0" customHeight="1">
      <c r="A152" s="310" t="s">
        <v>589</v>
      </c>
      <c r="B152" s="32"/>
      <c r="C152" s="33"/>
      <c r="D152" s="311"/>
      <c r="E152" s="312"/>
      <c r="F152" s="313" t="str">
        <f>SUM(F151,F147,F139,F75,F63,F60,F26,F21)</f>
        <v>49,696,837,786</v>
      </c>
      <c r="G152" s="314"/>
      <c r="H152" s="314"/>
      <c r="I152" s="315"/>
      <c r="J152" s="314"/>
      <c r="K152" s="314"/>
      <c r="L152" s="314"/>
      <c r="M152" s="316"/>
      <c r="N152" s="314"/>
      <c r="O152" s="314"/>
      <c r="P152" s="314"/>
      <c r="Q152" s="314"/>
      <c r="R152" s="314"/>
      <c r="S152" s="314"/>
      <c r="T152" s="313" t="str">
        <f t="shared" ref="T152:V152" si="45">SUM(T151,T147,T139,T75,T63,T60,T26,T21)</f>
        <v>14,917,479,901</v>
      </c>
      <c r="U152" s="313" t="str">
        <f t="shared" si="45"/>
        <v>34,115,116,695</v>
      </c>
      <c r="V152" s="313" t="str">
        <f t="shared" si="45"/>
        <v>664,241,190</v>
      </c>
      <c r="W152" s="317" t="str">
        <f t="shared" ref="W152:X152" si="46">SUM(W15:W150)</f>
        <v>  13,100,158,252 </v>
      </c>
      <c r="X152" s="318" t="str">
        <f t="shared" si="46"/>
        <v>  47,859,816,137 </v>
      </c>
      <c r="Y152" s="242"/>
    </row>
    <row r="153" ht="37.5" customHeight="1">
      <c r="A153" s="310" t="s">
        <v>590</v>
      </c>
      <c r="B153" s="32"/>
      <c r="C153" s="33"/>
      <c r="D153" s="311"/>
      <c r="E153" s="312"/>
      <c r="F153" s="313" t="str">
        <f>F152-27715000000</f>
        <v>21,981,837,786</v>
      </c>
      <c r="G153" s="319"/>
      <c r="H153" s="319"/>
      <c r="I153" s="315"/>
      <c r="J153" s="314"/>
      <c r="K153" s="314"/>
      <c r="L153" s="314"/>
      <c r="M153" s="316"/>
      <c r="N153" s="314"/>
      <c r="O153" s="314"/>
      <c r="P153" s="314"/>
      <c r="Q153" s="314"/>
      <c r="R153" s="314"/>
      <c r="S153" s="314"/>
      <c r="T153" s="313" t="str">
        <f>T152</f>
        <v>14,917,479,901</v>
      </c>
      <c r="U153" s="316" t="str">
        <f>U152-27715000000</f>
        <v>  6,400,116,695 </v>
      </c>
      <c r="V153" s="316" t="str">
        <f>V152</f>
        <v>  664,241,190 </v>
      </c>
      <c r="W153" s="46"/>
      <c r="X153" s="46"/>
    </row>
    <row r="154" ht="36.0" customHeight="1">
      <c r="A154" s="320" t="s">
        <v>591</v>
      </c>
      <c r="B154" s="32"/>
      <c r="C154" s="33"/>
      <c r="D154" s="20"/>
      <c r="E154" s="20"/>
      <c r="F154" s="321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3"/>
      <c r="W154" s="46"/>
      <c r="X154" s="46"/>
    </row>
    <row r="155" ht="16.5" customHeight="1">
      <c r="A155" s="16">
        <v>2023.0</v>
      </c>
      <c r="B155" s="322" t="s">
        <v>386</v>
      </c>
      <c r="C155" s="245" t="s">
        <v>592</v>
      </c>
      <c r="D155" s="20"/>
      <c r="E155" s="20"/>
      <c r="F155" s="38">
        <v>6.828217827E9</v>
      </c>
      <c r="G155" s="20"/>
      <c r="H155" s="20"/>
      <c r="I155" s="221"/>
      <c r="J155" s="20"/>
      <c r="K155" s="20"/>
      <c r="L155" s="20"/>
      <c r="M155" s="29"/>
      <c r="N155" s="20"/>
      <c r="O155" s="20"/>
      <c r="P155" s="20"/>
      <c r="Q155" s="20"/>
      <c r="R155" s="20"/>
      <c r="S155" s="20"/>
      <c r="T155" s="38">
        <v>6.828217827E9</v>
      </c>
      <c r="U155" s="29"/>
      <c r="V155" s="29"/>
      <c r="W155" s="46"/>
      <c r="X155" s="46"/>
    </row>
    <row r="156" ht="16.5" customHeight="1">
      <c r="A156" s="16">
        <v>2023.0</v>
      </c>
      <c r="B156" s="322" t="s">
        <v>382</v>
      </c>
      <c r="C156" s="245" t="s">
        <v>593</v>
      </c>
      <c r="D156" s="20"/>
      <c r="E156" s="20"/>
      <c r="F156" s="38">
        <v>1.3486955029E10</v>
      </c>
      <c r="G156" s="20"/>
      <c r="H156" s="20"/>
      <c r="I156" s="221"/>
      <c r="J156" s="20"/>
      <c r="K156" s="20"/>
      <c r="L156" s="20"/>
      <c r="M156" s="29"/>
      <c r="N156" s="20"/>
      <c r="O156" s="20"/>
      <c r="P156" s="20"/>
      <c r="Q156" s="20"/>
      <c r="R156" s="20"/>
      <c r="S156" s="20"/>
      <c r="T156" s="38">
        <v>1.3486955029E10</v>
      </c>
      <c r="U156" s="29"/>
      <c r="V156" s="29"/>
      <c r="W156" s="46"/>
      <c r="X156" s="46"/>
    </row>
    <row r="157" ht="16.5" customHeight="1">
      <c r="A157" s="16">
        <v>2024.0</v>
      </c>
      <c r="B157" s="322" t="s">
        <v>386</v>
      </c>
      <c r="C157" s="245" t="s">
        <v>594</v>
      </c>
      <c r="D157" s="20"/>
      <c r="E157" s="20"/>
      <c r="F157" s="38">
        <v>1.3332551504E10</v>
      </c>
      <c r="G157" s="20"/>
      <c r="H157" s="20"/>
      <c r="I157" s="221"/>
      <c r="J157" s="20"/>
      <c r="K157" s="20"/>
      <c r="L157" s="20"/>
      <c r="M157" s="29"/>
      <c r="N157" s="20"/>
      <c r="O157" s="20"/>
      <c r="P157" s="20"/>
      <c r="Q157" s="20"/>
      <c r="R157" s="20"/>
      <c r="S157" s="20"/>
      <c r="T157" s="38">
        <v>1.3332551504E10</v>
      </c>
      <c r="U157" s="29"/>
      <c r="V157" s="29"/>
      <c r="W157" s="46"/>
      <c r="X157" s="46"/>
    </row>
    <row r="158" ht="16.5" customHeight="1">
      <c r="A158" s="16">
        <v>2024.0</v>
      </c>
      <c r="B158" s="322" t="s">
        <v>382</v>
      </c>
      <c r="C158" s="245" t="s">
        <v>595</v>
      </c>
      <c r="D158" s="20"/>
      <c r="E158" s="20"/>
      <c r="F158" s="38">
        <v>1.3184718343E10</v>
      </c>
      <c r="G158" s="20"/>
      <c r="H158" s="20"/>
      <c r="I158" s="221"/>
      <c r="J158" s="20"/>
      <c r="K158" s="20"/>
      <c r="L158" s="20"/>
      <c r="M158" s="29"/>
      <c r="N158" s="20"/>
      <c r="O158" s="20"/>
      <c r="P158" s="20"/>
      <c r="Q158" s="20"/>
      <c r="R158" s="20"/>
      <c r="S158" s="20"/>
      <c r="T158" s="38">
        <v>1.3184718343E10</v>
      </c>
      <c r="U158" s="29"/>
      <c r="V158" s="29"/>
      <c r="W158" s="46"/>
      <c r="X158" s="46"/>
    </row>
    <row r="159" ht="32.25" customHeight="1">
      <c r="A159" s="213" t="s">
        <v>388</v>
      </c>
      <c r="B159" s="32"/>
      <c r="C159" s="33"/>
      <c r="D159" s="214"/>
      <c r="E159" s="214"/>
      <c r="F159" s="323" t="str">
        <f>SUM(F155:F158)</f>
        <v>  46,832,442,703 </v>
      </c>
      <c r="G159" s="214"/>
      <c r="H159" s="214"/>
      <c r="I159" s="324"/>
      <c r="J159" s="214"/>
      <c r="K159" s="214"/>
      <c r="L159" s="214"/>
      <c r="M159" s="325"/>
      <c r="N159" s="214"/>
      <c r="O159" s="214"/>
      <c r="P159" s="214"/>
      <c r="Q159" s="214"/>
      <c r="R159" s="214"/>
      <c r="S159" s="214"/>
      <c r="T159" s="326" t="str">
        <f>SUM(T155:T158)</f>
        <v>  46,832,442,703 </v>
      </c>
      <c r="U159" s="325"/>
      <c r="V159" s="325"/>
      <c r="W159" s="46"/>
      <c r="X159" s="46"/>
    </row>
    <row r="160" ht="16.5" customHeight="1">
      <c r="A160" s="16">
        <v>2023.0</v>
      </c>
      <c r="B160" s="322" t="s">
        <v>386</v>
      </c>
      <c r="C160" s="245" t="s">
        <v>596</v>
      </c>
      <c r="D160" s="20"/>
      <c r="E160" s="20"/>
      <c r="F160" s="38" t="str">
        <f t="shared" ref="F160:F163" si="47">F155*($AA$11-Z160)*6.5%/365</f>
        <v>  1,420,269,308 </v>
      </c>
      <c r="G160" s="20"/>
      <c r="H160" s="20"/>
      <c r="I160" s="221"/>
      <c r="J160" s="20"/>
      <c r="K160" s="20"/>
      <c r="L160" s="20"/>
      <c r="M160" s="29"/>
      <c r="N160" s="20"/>
      <c r="O160" s="20"/>
      <c r="P160" s="20"/>
      <c r="Q160" s="20"/>
      <c r="R160" s="20"/>
      <c r="S160" s="20"/>
      <c r="T160" s="38" t="str">
        <f t="shared" ref="T160:T162" si="48">F160</f>
        <v>  1,420,269,308 </v>
      </c>
      <c r="U160" s="29"/>
      <c r="V160" s="29"/>
      <c r="W160" s="46"/>
      <c r="X160" s="46"/>
      <c r="Z160" s="327">
        <v>44992.0</v>
      </c>
    </row>
    <row r="161" ht="16.5" customHeight="1">
      <c r="A161" s="16">
        <v>2023.0</v>
      </c>
      <c r="B161" s="322" t="s">
        <v>382</v>
      </c>
      <c r="C161" s="245" t="s">
        <v>597</v>
      </c>
      <c r="D161" s="20"/>
      <c r="E161" s="20"/>
      <c r="F161" s="38" t="str">
        <f t="shared" si="47"/>
        <v>  2,363,357,928 </v>
      </c>
      <c r="G161" s="20"/>
      <c r="H161" s="20"/>
      <c r="I161" s="221"/>
      <c r="J161" s="20"/>
      <c r="K161" s="20"/>
      <c r="L161" s="20"/>
      <c r="M161" s="29"/>
      <c r="N161" s="20"/>
      <c r="O161" s="20"/>
      <c r="P161" s="20"/>
      <c r="Q161" s="20"/>
      <c r="R161" s="20"/>
      <c r="S161" s="20"/>
      <c r="T161" s="38" t="str">
        <f t="shared" si="48"/>
        <v>  2,363,357,928 </v>
      </c>
      <c r="U161" s="29"/>
      <c r="V161" s="29"/>
      <c r="W161" s="46"/>
      <c r="X161" s="46"/>
      <c r="Z161" s="327">
        <v>45176.0</v>
      </c>
    </row>
    <row r="162" ht="16.5" customHeight="1">
      <c r="A162" s="16">
        <v>2024.0</v>
      </c>
      <c r="B162" s="322" t="s">
        <v>386</v>
      </c>
      <c r="C162" s="245" t="s">
        <v>598</v>
      </c>
      <c r="D162" s="20"/>
      <c r="E162" s="20"/>
      <c r="F162" s="38" t="str">
        <f t="shared" si="47"/>
        <v>  1,904,180,575 </v>
      </c>
      <c r="G162" s="20"/>
      <c r="H162" s="20"/>
      <c r="I162" s="221"/>
      <c r="J162" s="20"/>
      <c r="K162" s="20"/>
      <c r="L162" s="20"/>
      <c r="M162" s="29"/>
      <c r="N162" s="20"/>
      <c r="O162" s="20"/>
      <c r="P162" s="20"/>
      <c r="Q162" s="20"/>
      <c r="R162" s="20"/>
      <c r="S162" s="20"/>
      <c r="T162" s="38" t="str">
        <f t="shared" si="48"/>
        <v>  1,904,180,575 </v>
      </c>
      <c r="U162" s="29"/>
      <c r="V162" s="29"/>
      <c r="W162" s="46"/>
      <c r="X162" s="46"/>
      <c r="Z162" s="327">
        <v>45358.0</v>
      </c>
    </row>
    <row r="163" ht="16.5" customHeight="1">
      <c r="A163" s="16">
        <v>2024.0</v>
      </c>
      <c r="B163" s="322" t="s">
        <v>382</v>
      </c>
      <c r="C163" s="245" t="s">
        <v>599</v>
      </c>
      <c r="D163" s="20"/>
      <c r="E163" s="20"/>
      <c r="F163" s="38" t="str">
        <f t="shared" si="47"/>
        <v>  1,451,041,468 </v>
      </c>
      <c r="G163" s="20"/>
      <c r="H163" s="20"/>
      <c r="I163" s="221"/>
      <c r="J163" s="20"/>
      <c r="K163" s="20"/>
      <c r="L163" s="20"/>
      <c r="M163" s="29"/>
      <c r="N163" s="20"/>
      <c r="O163" s="20"/>
      <c r="P163" s="20"/>
      <c r="Q163" s="20"/>
      <c r="R163" s="20"/>
      <c r="S163" s="20"/>
      <c r="T163" s="38" t="str">
        <f>+F163</f>
        <v>  1,451,041,468 </v>
      </c>
      <c r="U163" s="29"/>
      <c r="V163" s="29"/>
      <c r="W163" s="46"/>
      <c r="X163" s="46"/>
      <c r="Z163" s="327">
        <v>45542.0</v>
      </c>
    </row>
    <row r="164" ht="33.75" customHeight="1">
      <c r="A164" s="213" t="s">
        <v>600</v>
      </c>
      <c r="B164" s="32"/>
      <c r="C164" s="33"/>
      <c r="D164" s="214"/>
      <c r="E164" s="214"/>
      <c r="F164" s="323" t="str">
        <f>SUM(F160:F163)</f>
        <v>  7,138,849,279 </v>
      </c>
      <c r="G164" s="214"/>
      <c r="H164" s="214"/>
      <c r="I164" s="324"/>
      <c r="J164" s="214"/>
      <c r="K164" s="214"/>
      <c r="L164" s="214"/>
      <c r="M164" s="325"/>
      <c r="N164" s="214"/>
      <c r="O164" s="214"/>
      <c r="P164" s="214"/>
      <c r="Q164" s="214"/>
      <c r="R164" s="214"/>
      <c r="S164" s="214"/>
      <c r="T164" s="326" t="str">
        <f>SUM(T160:T163)</f>
        <v>  7,138,849,279 </v>
      </c>
      <c r="U164" s="325"/>
      <c r="V164" s="325"/>
      <c r="W164" s="46"/>
      <c r="X164" s="46"/>
    </row>
    <row r="165" ht="16.5" customHeight="1">
      <c r="A165" s="213"/>
      <c r="B165" s="328"/>
      <c r="C165" s="329" t="s">
        <v>601</v>
      </c>
      <c r="D165" s="214"/>
      <c r="E165" s="214"/>
      <c r="F165" s="38" t="str">
        <f t="shared" ref="F165:F168" si="49">+F155*4.6%/2</f>
        <v>  157,049,010 </v>
      </c>
      <c r="G165" s="214"/>
      <c r="H165" s="214"/>
      <c r="I165" s="324"/>
      <c r="J165" s="214"/>
      <c r="K165" s="214"/>
      <c r="L165" s="214"/>
      <c r="M165" s="325"/>
      <c r="N165" s="214"/>
      <c r="O165" s="214"/>
      <c r="P165" s="214"/>
      <c r="Q165" s="214"/>
      <c r="R165" s="214"/>
      <c r="S165" s="214"/>
      <c r="T165" s="38" t="str">
        <f t="shared" ref="T165:T168" si="50">+F165</f>
        <v>  157,049,010 </v>
      </c>
      <c r="U165" s="325"/>
      <c r="V165" s="325" t="s">
        <v>602</v>
      </c>
      <c r="W165" s="46"/>
      <c r="X165" s="46"/>
    </row>
    <row r="166" ht="16.5" customHeight="1">
      <c r="A166" s="213"/>
      <c r="B166" s="328"/>
      <c r="C166" s="329" t="s">
        <v>603</v>
      </c>
      <c r="D166" s="214"/>
      <c r="E166" s="214"/>
      <c r="F166" s="38" t="str">
        <f t="shared" si="49"/>
        <v>  310,199,966 </v>
      </c>
      <c r="G166" s="214"/>
      <c r="H166" s="214"/>
      <c r="I166" s="324"/>
      <c r="J166" s="214"/>
      <c r="K166" s="214"/>
      <c r="L166" s="214"/>
      <c r="M166" s="325"/>
      <c r="N166" s="214"/>
      <c r="O166" s="214"/>
      <c r="P166" s="214"/>
      <c r="Q166" s="214"/>
      <c r="R166" s="214"/>
      <c r="S166" s="214"/>
      <c r="T166" s="38" t="str">
        <f t="shared" si="50"/>
        <v>  310,199,966 </v>
      </c>
      <c r="U166" s="325"/>
      <c r="V166" s="325"/>
      <c r="W166" s="46"/>
      <c r="X166" s="46"/>
      <c r="Z166" s="46"/>
      <c r="AB166" s="330"/>
    </row>
    <row r="167" ht="16.5" customHeight="1">
      <c r="A167" s="213"/>
      <c r="B167" s="328"/>
      <c r="C167" s="329" t="s">
        <v>604</v>
      </c>
      <c r="D167" s="214"/>
      <c r="E167" s="214"/>
      <c r="F167" s="38" t="str">
        <f t="shared" si="49"/>
        <v>  306,648,685 </v>
      </c>
      <c r="G167" s="214"/>
      <c r="H167" s="214"/>
      <c r="I167" s="324"/>
      <c r="J167" s="214"/>
      <c r="K167" s="214"/>
      <c r="L167" s="214"/>
      <c r="M167" s="325"/>
      <c r="N167" s="214"/>
      <c r="O167" s="214"/>
      <c r="P167" s="214"/>
      <c r="Q167" s="214"/>
      <c r="R167" s="214"/>
      <c r="S167" s="214"/>
      <c r="T167" s="38" t="str">
        <f t="shared" si="50"/>
        <v>  306,648,685 </v>
      </c>
      <c r="U167" s="325"/>
      <c r="V167" s="325"/>
      <c r="W167" s="46"/>
      <c r="X167" s="46"/>
    </row>
    <row r="168" ht="16.5" customHeight="1">
      <c r="A168" s="213"/>
      <c r="B168" s="328"/>
      <c r="C168" s="329" t="s">
        <v>605</v>
      </c>
      <c r="D168" s="214"/>
      <c r="E168" s="214"/>
      <c r="F168" s="38" t="str">
        <f t="shared" si="49"/>
        <v>  303,248,522 </v>
      </c>
      <c r="G168" s="214"/>
      <c r="H168" s="214"/>
      <c r="I168" s="324"/>
      <c r="J168" s="214"/>
      <c r="K168" s="214"/>
      <c r="L168" s="214"/>
      <c r="M168" s="325"/>
      <c r="N168" s="214"/>
      <c r="O168" s="214"/>
      <c r="P168" s="214"/>
      <c r="Q168" s="214"/>
      <c r="R168" s="214"/>
      <c r="S168" s="214"/>
      <c r="T168" s="38" t="str">
        <f t="shared" si="50"/>
        <v>  303,248,522 </v>
      </c>
      <c r="U168" s="325"/>
      <c r="V168" s="325"/>
      <c r="W168" s="46"/>
      <c r="X168" s="46"/>
    </row>
    <row r="169" ht="33.75" customHeight="1">
      <c r="A169" s="213" t="s">
        <v>606</v>
      </c>
      <c r="B169" s="32"/>
      <c r="C169" s="33"/>
      <c r="D169" s="214"/>
      <c r="E169" s="214"/>
      <c r="F169" s="326" t="str">
        <f t="shared" ref="F169:T169" si="51">SUM(F165:F168)</f>
        <v>  1,077,146,182 </v>
      </c>
      <c r="G169" s="326" t="str">
        <f t="shared" si="51"/>
        <v>  - </v>
      </c>
      <c r="H169" s="326" t="str">
        <f t="shared" si="51"/>
        <v>  - </v>
      </c>
      <c r="I169" s="326" t="str">
        <f t="shared" si="51"/>
        <v>  - </v>
      </c>
      <c r="J169" s="326" t="str">
        <f t="shared" si="51"/>
        <v>  - </v>
      </c>
      <c r="K169" s="326" t="str">
        <f t="shared" si="51"/>
        <v>  - </v>
      </c>
      <c r="L169" s="326" t="str">
        <f t="shared" si="51"/>
        <v>  - </v>
      </c>
      <c r="M169" s="326" t="str">
        <f t="shared" si="51"/>
        <v>  - </v>
      </c>
      <c r="N169" s="326" t="str">
        <f t="shared" si="51"/>
        <v>  - </v>
      </c>
      <c r="O169" s="326" t="str">
        <f t="shared" si="51"/>
        <v>  - </v>
      </c>
      <c r="P169" s="326" t="str">
        <f t="shared" si="51"/>
        <v>  - </v>
      </c>
      <c r="Q169" s="326" t="str">
        <f t="shared" si="51"/>
        <v>  - </v>
      </c>
      <c r="R169" s="326" t="str">
        <f t="shared" si="51"/>
        <v>  - </v>
      </c>
      <c r="S169" s="326" t="str">
        <f t="shared" si="51"/>
        <v>  - </v>
      </c>
      <c r="T169" s="326" t="str">
        <f t="shared" si="51"/>
        <v>  1,077,146,182 </v>
      </c>
      <c r="U169" s="325"/>
      <c r="V169" s="325"/>
      <c r="W169" s="46"/>
      <c r="X169" s="46"/>
    </row>
    <row r="170" ht="16.5" customHeight="1">
      <c r="A170" s="16"/>
      <c r="B170" s="322"/>
      <c r="C170" s="245"/>
      <c r="D170" s="20"/>
      <c r="E170" s="20"/>
      <c r="F170" s="38"/>
      <c r="G170" s="20"/>
      <c r="H170" s="20"/>
      <c r="I170" s="221"/>
      <c r="J170" s="20"/>
      <c r="K170" s="20"/>
      <c r="L170" s="20"/>
      <c r="M170" s="29"/>
      <c r="N170" s="20"/>
      <c r="O170" s="20"/>
      <c r="P170" s="20"/>
      <c r="Q170" s="20"/>
      <c r="R170" s="20"/>
      <c r="S170" s="20"/>
      <c r="T170" s="38"/>
      <c r="U170" s="29"/>
      <c r="V170" s="29"/>
      <c r="W170" s="46"/>
      <c r="X170" s="46"/>
    </row>
    <row r="171" ht="16.5" customHeight="1">
      <c r="A171" s="16"/>
      <c r="B171" s="322"/>
      <c r="C171" s="245" t="s">
        <v>607</v>
      </c>
      <c r="D171" s="20"/>
      <c r="E171" s="20"/>
      <c r="F171" s="38">
        <v>3.3877E8</v>
      </c>
      <c r="G171" s="20"/>
      <c r="H171" s="20"/>
      <c r="I171" s="221"/>
      <c r="J171" s="20"/>
      <c r="K171" s="20"/>
      <c r="L171" s="20"/>
      <c r="M171" s="29"/>
      <c r="N171" s="20"/>
      <c r="O171" s="20"/>
      <c r="P171" s="20"/>
      <c r="Q171" s="20"/>
      <c r="R171" s="20"/>
      <c r="S171" s="20"/>
      <c r="T171" s="38">
        <v>3.3877E8</v>
      </c>
      <c r="U171" s="29"/>
      <c r="V171" s="29"/>
      <c r="W171" s="46"/>
      <c r="X171" s="46"/>
    </row>
    <row r="172" ht="16.5" customHeight="1">
      <c r="A172" s="16"/>
      <c r="B172" s="322"/>
      <c r="C172" s="20" t="s">
        <v>608</v>
      </c>
      <c r="D172" s="20"/>
      <c r="E172" s="20"/>
      <c r="F172" s="29">
        <v>3.19E7</v>
      </c>
      <c r="G172" s="20"/>
      <c r="H172" s="20"/>
      <c r="I172" s="221"/>
      <c r="J172" s="20"/>
      <c r="K172" s="20"/>
      <c r="L172" s="20"/>
      <c r="M172" s="29"/>
      <c r="N172" s="20"/>
      <c r="O172" s="20"/>
      <c r="P172" s="20"/>
      <c r="Q172" s="20"/>
      <c r="R172" s="20"/>
      <c r="S172" s="20"/>
      <c r="T172" s="29">
        <v>3.19E7</v>
      </c>
      <c r="U172" s="29"/>
      <c r="V172" s="29"/>
      <c r="W172" s="46"/>
      <c r="X172" s="46"/>
    </row>
    <row r="173" ht="16.5" customHeight="1">
      <c r="A173" s="16"/>
      <c r="B173" s="322"/>
      <c r="C173" s="20" t="s">
        <v>609</v>
      </c>
      <c r="D173" s="20"/>
      <c r="E173" s="20"/>
      <c r="F173" s="325">
        <v>1.0945E8</v>
      </c>
      <c r="G173" s="214"/>
      <c r="H173" s="214"/>
      <c r="I173" s="324"/>
      <c r="J173" s="214"/>
      <c r="K173" s="214"/>
      <c r="L173" s="214"/>
      <c r="M173" s="325"/>
      <c r="N173" s="214"/>
      <c r="O173" s="214"/>
      <c r="P173" s="214"/>
      <c r="Q173" s="214"/>
      <c r="R173" s="214"/>
      <c r="S173" s="214"/>
      <c r="T173" s="325">
        <v>1.0945E8</v>
      </c>
      <c r="U173" s="29"/>
      <c r="V173" s="29" t="s">
        <v>610</v>
      </c>
      <c r="W173" s="46"/>
      <c r="X173" s="46"/>
      <c r="Z173" t="s">
        <v>611</v>
      </c>
    </row>
    <row r="174" ht="16.5" customHeight="1">
      <c r="A174" s="16"/>
      <c r="B174" s="322"/>
      <c r="C174" s="20" t="s">
        <v>612</v>
      </c>
      <c r="D174" s="20"/>
      <c r="E174" s="20"/>
      <c r="F174" s="29">
        <v>6017000.0</v>
      </c>
      <c r="G174" s="20"/>
      <c r="H174" s="20"/>
      <c r="I174" s="221"/>
      <c r="J174" s="20"/>
      <c r="K174" s="20"/>
      <c r="L174" s="20"/>
      <c r="M174" s="29"/>
      <c r="N174" s="20"/>
      <c r="O174" s="20"/>
      <c r="P174" s="20"/>
      <c r="Q174" s="20"/>
      <c r="R174" s="20"/>
      <c r="S174" s="20"/>
      <c r="T174" s="29">
        <v>6017000.0</v>
      </c>
      <c r="U174" s="29"/>
      <c r="V174" s="29"/>
      <c r="W174" s="46"/>
      <c r="X174" s="46"/>
    </row>
    <row r="175" ht="16.5" customHeight="1">
      <c r="A175" s="16"/>
      <c r="B175" s="322"/>
      <c r="C175" s="20" t="s">
        <v>613</v>
      </c>
      <c r="D175" s="20"/>
      <c r="E175" s="20"/>
      <c r="F175" s="29">
        <v>1.518E7</v>
      </c>
      <c r="G175" s="20"/>
      <c r="H175" s="20"/>
      <c r="I175" s="221"/>
      <c r="J175" s="20"/>
      <c r="K175" s="20"/>
      <c r="L175" s="20"/>
      <c r="M175" s="29"/>
      <c r="N175" s="20"/>
      <c r="O175" s="20"/>
      <c r="P175" s="20"/>
      <c r="Q175" s="20"/>
      <c r="R175" s="20"/>
      <c r="S175" s="20"/>
      <c r="T175" s="29">
        <v>1.518E7</v>
      </c>
      <c r="U175" s="29"/>
      <c r="V175" s="29"/>
      <c r="W175" s="46"/>
      <c r="X175" s="46"/>
    </row>
    <row r="176" ht="16.5" customHeight="1">
      <c r="A176" s="16"/>
      <c r="B176" s="322"/>
      <c r="C176" s="20" t="s">
        <v>614</v>
      </c>
      <c r="D176" s="20"/>
      <c r="E176" s="20"/>
      <c r="F176" s="29">
        <v>9286200.0</v>
      </c>
      <c r="G176" s="20"/>
      <c r="H176" s="20"/>
      <c r="I176" s="221"/>
      <c r="J176" s="20"/>
      <c r="K176" s="20"/>
      <c r="L176" s="20"/>
      <c r="M176" s="29"/>
      <c r="N176" s="20"/>
      <c r="O176" s="20"/>
      <c r="P176" s="20"/>
      <c r="Q176" s="20"/>
      <c r="R176" s="20"/>
      <c r="S176" s="20"/>
      <c r="T176" s="29">
        <v>9286200.0</v>
      </c>
      <c r="U176" s="29"/>
      <c r="V176" s="29"/>
      <c r="W176" s="46"/>
      <c r="X176" s="46"/>
    </row>
    <row r="177" ht="33.0" customHeight="1">
      <c r="A177" s="258" t="s">
        <v>476</v>
      </c>
      <c r="B177" s="32"/>
      <c r="C177" s="33"/>
      <c r="D177" s="214"/>
      <c r="E177" s="214"/>
      <c r="F177" s="325" t="str">
        <f>SUM(F171:F176)</f>
        <v>  510,603,200 </v>
      </c>
      <c r="G177" s="214"/>
      <c r="H177" s="214"/>
      <c r="I177" s="324"/>
      <c r="J177" s="214"/>
      <c r="K177" s="214"/>
      <c r="L177" s="214"/>
      <c r="M177" s="325"/>
      <c r="N177" s="214"/>
      <c r="O177" s="214"/>
      <c r="P177" s="214"/>
      <c r="Q177" s="214"/>
      <c r="R177" s="214"/>
      <c r="S177" s="214"/>
      <c r="T177" s="325" t="str">
        <f>SUM(T171:T176)</f>
        <v>  510,603,200 </v>
      </c>
      <c r="U177" s="325">
        <v>0.0</v>
      </c>
      <c r="V177" s="325">
        <v>0.0</v>
      </c>
      <c r="W177" s="46"/>
      <c r="X177" s="46"/>
    </row>
    <row r="178" ht="16.5" customHeight="1">
      <c r="A178" s="16"/>
      <c r="B178" s="322"/>
      <c r="C178" s="20" t="s">
        <v>615</v>
      </c>
      <c r="D178" s="20"/>
      <c r="E178" s="20"/>
      <c r="F178" s="325">
        <v>5.5E7</v>
      </c>
      <c r="G178" s="214"/>
      <c r="H178" s="214"/>
      <c r="I178" s="324"/>
      <c r="J178" s="214"/>
      <c r="K178" s="214"/>
      <c r="L178" s="214"/>
      <c r="M178" s="325"/>
      <c r="N178" s="214"/>
      <c r="O178" s="214"/>
      <c r="P178" s="214"/>
      <c r="Q178" s="214"/>
      <c r="R178" s="214"/>
      <c r="S178" s="214"/>
      <c r="T178" s="325">
        <v>5.5E7</v>
      </c>
      <c r="U178" s="29"/>
      <c r="V178" s="29" t="s">
        <v>616</v>
      </c>
      <c r="W178" s="46"/>
      <c r="X178" s="46"/>
      <c r="Z178" t="s">
        <v>617</v>
      </c>
    </row>
    <row r="179" ht="16.5" customHeight="1">
      <c r="A179" s="16"/>
      <c r="B179" s="322"/>
      <c r="C179" s="20" t="s">
        <v>618</v>
      </c>
      <c r="D179" s="20"/>
      <c r="E179" s="20"/>
      <c r="F179" s="29">
        <v>440000.0</v>
      </c>
      <c r="G179" s="20"/>
      <c r="H179" s="20"/>
      <c r="I179" s="221"/>
      <c r="J179" s="20"/>
      <c r="K179" s="20"/>
      <c r="L179" s="20"/>
      <c r="M179" s="29"/>
      <c r="N179" s="20"/>
      <c r="O179" s="20"/>
      <c r="P179" s="20"/>
      <c r="Q179" s="20"/>
      <c r="R179" s="20"/>
      <c r="S179" s="20"/>
      <c r="T179" s="29">
        <v>330000.0</v>
      </c>
      <c r="U179" s="29"/>
      <c r="V179" s="29"/>
      <c r="W179" s="46"/>
      <c r="X179" s="46"/>
    </row>
    <row r="180" ht="16.5" customHeight="1">
      <c r="A180" s="16"/>
      <c r="B180" s="322"/>
      <c r="C180" s="20" t="s">
        <v>619</v>
      </c>
      <c r="D180" s="20"/>
      <c r="E180" s="20"/>
      <c r="F180" s="29">
        <v>7000000.0</v>
      </c>
      <c r="G180" s="20"/>
      <c r="H180" s="20"/>
      <c r="I180" s="221"/>
      <c r="J180" s="20"/>
      <c r="K180" s="20"/>
      <c r="L180" s="20"/>
      <c r="M180" s="29"/>
      <c r="N180" s="20"/>
      <c r="O180" s="20"/>
      <c r="P180" s="20"/>
      <c r="Q180" s="20"/>
      <c r="R180" s="20"/>
      <c r="S180" s="20"/>
      <c r="T180" s="29">
        <v>7000000.0</v>
      </c>
      <c r="U180" s="29"/>
      <c r="V180" s="29"/>
      <c r="W180" s="46"/>
      <c r="X180" s="46"/>
    </row>
    <row r="181" ht="16.5" customHeight="1">
      <c r="A181" s="16"/>
      <c r="B181" s="322"/>
      <c r="C181" s="20" t="s">
        <v>620</v>
      </c>
      <c r="D181" s="20"/>
      <c r="E181" s="20"/>
      <c r="F181" s="29">
        <v>8525000.0</v>
      </c>
      <c r="G181" s="20"/>
      <c r="H181" s="20"/>
      <c r="I181" s="221"/>
      <c r="J181" s="20"/>
      <c r="K181" s="20"/>
      <c r="L181" s="20"/>
      <c r="M181" s="29"/>
      <c r="N181" s="20"/>
      <c r="O181" s="20"/>
      <c r="P181" s="20"/>
      <c r="Q181" s="20"/>
      <c r="R181" s="20"/>
      <c r="S181" s="20"/>
      <c r="T181" s="29">
        <v>8525000.0</v>
      </c>
      <c r="U181" s="29"/>
      <c r="V181" s="29"/>
      <c r="W181" s="46"/>
      <c r="X181" s="46"/>
    </row>
    <row r="182" ht="16.5" customHeight="1">
      <c r="A182" s="16"/>
      <c r="B182" s="322"/>
      <c r="C182" s="20" t="s">
        <v>621</v>
      </c>
      <c r="D182" s="20"/>
      <c r="E182" s="20"/>
      <c r="F182" s="29">
        <v>292500.0</v>
      </c>
      <c r="G182" s="20"/>
      <c r="H182" s="20"/>
      <c r="I182" s="221"/>
      <c r="J182" s="20"/>
      <c r="K182" s="20"/>
      <c r="L182" s="20"/>
      <c r="M182" s="29"/>
      <c r="N182" s="20"/>
      <c r="O182" s="20"/>
      <c r="P182" s="20"/>
      <c r="Q182" s="20"/>
      <c r="R182" s="20"/>
      <c r="S182" s="20"/>
      <c r="T182" s="29">
        <v>292500.0</v>
      </c>
      <c r="U182" s="29"/>
      <c r="V182" s="29"/>
      <c r="W182" s="46"/>
      <c r="X182" s="46"/>
    </row>
    <row r="183" ht="33.0" customHeight="1">
      <c r="A183" s="258" t="s">
        <v>568</v>
      </c>
      <c r="B183" s="32"/>
      <c r="C183" s="33"/>
      <c r="D183" s="214"/>
      <c r="E183" s="214"/>
      <c r="F183" s="325" t="str">
        <f>SUM(F178:F182)</f>
        <v>  71,257,500 </v>
      </c>
      <c r="G183" s="214"/>
      <c r="H183" s="214"/>
      <c r="I183" s="324"/>
      <c r="J183" s="214"/>
      <c r="K183" s="214"/>
      <c r="L183" s="214"/>
      <c r="M183" s="325"/>
      <c r="N183" s="214"/>
      <c r="O183" s="214"/>
      <c r="P183" s="214"/>
      <c r="Q183" s="214"/>
      <c r="R183" s="214"/>
      <c r="S183" s="214"/>
      <c r="T183" s="325" t="str">
        <f t="shared" ref="T183:U183" si="52">SUM(T178:T182)</f>
        <v>  71,147,500 </v>
      </c>
      <c r="U183" s="325" t="str">
        <f t="shared" si="52"/>
        <v>  - </v>
      </c>
      <c r="V183" s="325"/>
      <c r="W183" s="46"/>
      <c r="X183" s="46"/>
    </row>
    <row r="184" ht="36.0" customHeight="1">
      <c r="A184" s="310" t="s">
        <v>622</v>
      </c>
      <c r="B184" s="32"/>
      <c r="C184" s="33"/>
      <c r="D184" s="311"/>
      <c r="E184" s="312"/>
      <c r="F184" s="313" t="str">
        <f t="shared" ref="F184:T184" si="53">+F183+F177+F169+F164+F159</f>
        <v>55,630,298,864</v>
      </c>
      <c r="G184" s="313" t="str">
        <f t="shared" si="53"/>
        <v>0</v>
      </c>
      <c r="H184" s="313" t="str">
        <f t="shared" si="53"/>
        <v>0</v>
      </c>
      <c r="I184" s="313" t="str">
        <f t="shared" si="53"/>
        <v>0</v>
      </c>
      <c r="J184" s="313" t="str">
        <f t="shared" si="53"/>
        <v>0</v>
      </c>
      <c r="K184" s="313" t="str">
        <f t="shared" si="53"/>
        <v>0</v>
      </c>
      <c r="L184" s="313" t="str">
        <f t="shared" si="53"/>
        <v>0</v>
      </c>
      <c r="M184" s="313" t="str">
        <f t="shared" si="53"/>
        <v>0</v>
      </c>
      <c r="N184" s="313" t="str">
        <f t="shared" si="53"/>
        <v>0</v>
      </c>
      <c r="O184" s="313" t="str">
        <f t="shared" si="53"/>
        <v>0</v>
      </c>
      <c r="P184" s="313" t="str">
        <f t="shared" si="53"/>
        <v>0</v>
      </c>
      <c r="Q184" s="313" t="str">
        <f t="shared" si="53"/>
        <v>0</v>
      </c>
      <c r="R184" s="313" t="str">
        <f t="shared" si="53"/>
        <v>0</v>
      </c>
      <c r="S184" s="313" t="str">
        <f t="shared" si="53"/>
        <v>0</v>
      </c>
      <c r="T184" s="313" t="str">
        <f t="shared" si="53"/>
        <v>55,630,188,864</v>
      </c>
      <c r="U184" s="313"/>
      <c r="V184" s="313"/>
      <c r="W184" s="46"/>
      <c r="X184" s="46"/>
    </row>
    <row r="185" ht="16.5" customHeight="1">
      <c r="A185" s="45"/>
      <c r="B185" s="227"/>
      <c r="F185" s="46" t="str">
        <f>+F184=F11</f>
        <v> TRUE</v>
      </c>
      <c r="I185" s="229"/>
      <c r="M185" s="46"/>
      <c r="U185" s="46"/>
      <c r="V185" s="46"/>
      <c r="W185" s="46"/>
      <c r="X185" s="46"/>
    </row>
  </sheetData>
  <mergeCells count="43">
    <mergeCell ref="A164:C164"/>
    <mergeCell ref="A169:C169"/>
    <mergeCell ref="A184:C184"/>
    <mergeCell ref="A183:C183"/>
    <mergeCell ref="S140:S146"/>
    <mergeCell ref="A147:C147"/>
    <mergeCell ref="A151:C151"/>
    <mergeCell ref="A152:C152"/>
    <mergeCell ref="A153:C153"/>
    <mergeCell ref="F154:V154"/>
    <mergeCell ref="A177:C177"/>
    <mergeCell ref="A139:C139"/>
    <mergeCell ref="S125:S126"/>
    <mergeCell ref="S129:S137"/>
    <mergeCell ref="S15:S20"/>
    <mergeCell ref="S22:S25"/>
    <mergeCell ref="S27:S59"/>
    <mergeCell ref="S63:S72"/>
    <mergeCell ref="A159:C159"/>
    <mergeCell ref="A75:C75"/>
    <mergeCell ref="S76:S79"/>
    <mergeCell ref="S80:S82"/>
    <mergeCell ref="Z80:Z81"/>
    <mergeCell ref="S83:S92"/>
    <mergeCell ref="S93:S123"/>
    <mergeCell ref="A73:C73"/>
    <mergeCell ref="A26:C26"/>
    <mergeCell ref="A60:C60"/>
    <mergeCell ref="A64:E64"/>
    <mergeCell ref="A9:C9"/>
    <mergeCell ref="A8:C8"/>
    <mergeCell ref="A1:C1"/>
    <mergeCell ref="A2:B4"/>
    <mergeCell ref="A5:C5"/>
    <mergeCell ref="A6:C6"/>
    <mergeCell ref="A7:C7"/>
    <mergeCell ref="A154:C154"/>
    <mergeCell ref="A124:C124"/>
    <mergeCell ref="A128:C128"/>
    <mergeCell ref="A138:C138"/>
    <mergeCell ref="A11:C11"/>
    <mergeCell ref="A21:C21"/>
    <mergeCell ref="A63:C6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7.43"/>
    <col customWidth="1" min="3" max="3" width="16.57"/>
    <col customWidth="1" min="4" max="4" width="5.43"/>
    <col customWidth="1" hidden="1" min="5" max="5" width="10.43"/>
    <col customWidth="1" hidden="1" min="6" max="6" width="9.43"/>
    <col customWidth="1" min="7" max="7" width="12.57"/>
    <col customWidth="1" hidden="1" min="8" max="8" width="12.57"/>
    <col customWidth="1" hidden="1" min="9" max="9" width="20.86"/>
    <col customWidth="1" hidden="1" min="10" max="10" width="13.57"/>
    <col customWidth="1" hidden="1" min="11" max="12" width="11.0"/>
    <col customWidth="1" hidden="1" min="13" max="13" width="13.57"/>
    <col customWidth="1" min="14" max="14" width="21.14"/>
    <col customWidth="1" hidden="1" min="15" max="15" width="20.86"/>
    <col customWidth="1" hidden="1" min="16" max="16" width="13.0"/>
    <col customWidth="1" hidden="1" min="17" max="18" width="11.86"/>
    <col customWidth="1" hidden="1" min="19" max="19" width="13.0"/>
    <col customWidth="1" min="20" max="20" width="26.71"/>
    <col customWidth="1" min="21" max="21" width="16.86"/>
    <col customWidth="1" min="22" max="22" width="7.43"/>
    <col customWidth="1" hidden="1" min="23" max="24" width="22.0"/>
    <col customWidth="1" hidden="1" min="25" max="25" width="11.14"/>
    <col customWidth="1" min="26" max="26" width="15.57"/>
    <col customWidth="1" min="27" max="27" width="16.86"/>
    <col customWidth="1" min="28" max="28" width="5.43"/>
    <col customWidth="1" min="29" max="29" width="12.43"/>
    <col customWidth="1" min="30" max="30" width="16.86"/>
    <col customWidth="1" min="31" max="31" width="12.43"/>
    <col customWidth="1" min="32" max="32" width="16.86"/>
    <col customWidth="1" min="33" max="33" width="16.57"/>
    <col customWidth="1" hidden="1" min="34" max="34" width="19.14"/>
    <col customWidth="1" min="35" max="35" width="15.14"/>
    <col customWidth="1" min="36" max="37" width="16.14"/>
    <col customWidth="1" min="38" max="38" width="11.29"/>
    <col customWidth="1" hidden="1" min="39" max="39" width="9.86"/>
    <col customWidth="1" hidden="1" min="40" max="40" width="11.29"/>
    <col customWidth="1" min="41" max="41" width="9.14"/>
    <col customWidth="1" hidden="1" min="42" max="42" width="20.71"/>
    <col customWidth="1" min="43" max="43" width="11.29"/>
    <col customWidth="1" min="44" max="44" width="20.71"/>
    <col customWidth="1" min="45" max="45" width="14.86"/>
    <col customWidth="1" min="46" max="46" width="15.57"/>
    <col customWidth="1" min="47" max="47" width="12.57"/>
    <col customWidth="1" min="48" max="50" width="16.86"/>
    <col customWidth="1" min="51" max="51" width="14.0"/>
    <col customWidth="1" min="52" max="52" width="16.86"/>
    <col customWidth="1" min="53" max="53" width="19.43"/>
    <col customWidth="1" min="54" max="54" width="21.57"/>
    <col customWidth="1" min="55" max="55" width="18.43"/>
    <col customWidth="1" min="56" max="56" width="17.0"/>
    <col customWidth="1" min="57" max="57" width="18.86"/>
    <col customWidth="1" min="58" max="58" width="23.0"/>
    <col customWidth="1" min="59" max="59" width="18.14"/>
    <col customWidth="1" min="60" max="60" width="13.0"/>
    <col customWidth="1" min="61" max="61" width="19.0"/>
    <col customWidth="1" min="62" max="62" width="21.0"/>
    <col customWidth="1" min="63" max="63" width="12.0"/>
    <col customWidth="1" min="64" max="64" width="16.86"/>
    <col customWidth="1" min="65" max="65" width="12.57"/>
  </cols>
  <sheetData>
    <row r="1" ht="16.5" customHeight="1">
      <c r="A1" s="47" t="s">
        <v>623</v>
      </c>
      <c r="AM1" s="45"/>
      <c r="AN1" s="45"/>
      <c r="AQ1" s="45"/>
    </row>
    <row r="2" ht="16.5" customHeight="1">
      <c r="AC2" s="331" t="s">
        <v>624</v>
      </c>
      <c r="AD2" s="68"/>
      <c r="AE2" s="331" t="s">
        <v>624</v>
      </c>
      <c r="AF2" s="68"/>
      <c r="AM2" s="45"/>
      <c r="AN2" s="45"/>
      <c r="AQ2" s="45"/>
    </row>
    <row r="3" ht="16.5" customHeight="1">
      <c r="AM3" s="45"/>
      <c r="AN3" s="45"/>
      <c r="AQ3" s="45"/>
    </row>
    <row r="4" ht="16.5" customHeight="1">
      <c r="A4" s="145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  <c r="AJ4" s="332"/>
      <c r="AK4" s="333" t="s">
        <v>625</v>
      </c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334"/>
      <c r="AZ4" s="335" t="s">
        <v>626</v>
      </c>
      <c r="BA4" s="97"/>
      <c r="BB4" s="98"/>
    </row>
    <row r="5" ht="16.5" customHeight="1">
      <c r="A5" s="336" t="s">
        <v>48</v>
      </c>
      <c r="B5" s="336" t="s">
        <v>627</v>
      </c>
      <c r="C5" s="336" t="s">
        <v>298</v>
      </c>
      <c r="D5" s="336" t="s">
        <v>628</v>
      </c>
      <c r="E5" s="337" t="s">
        <v>629</v>
      </c>
      <c r="F5" s="33"/>
      <c r="G5" s="336" t="s">
        <v>630</v>
      </c>
      <c r="H5" s="338" t="s">
        <v>631</v>
      </c>
      <c r="I5" s="338" t="s">
        <v>632</v>
      </c>
      <c r="J5" s="337" t="s">
        <v>633</v>
      </c>
      <c r="K5" s="32"/>
      <c r="L5" s="32"/>
      <c r="M5" s="33"/>
      <c r="N5" s="339" t="s">
        <v>634</v>
      </c>
      <c r="O5" s="336" t="s">
        <v>635</v>
      </c>
      <c r="P5" s="340" t="s">
        <v>636</v>
      </c>
      <c r="Q5" s="32"/>
      <c r="R5" s="32"/>
      <c r="S5" s="33"/>
      <c r="T5" s="341" t="s">
        <v>637</v>
      </c>
      <c r="U5" s="342" t="s">
        <v>638</v>
      </c>
      <c r="V5" s="343" t="s">
        <v>639</v>
      </c>
      <c r="W5" s="344" t="s">
        <v>640</v>
      </c>
      <c r="X5" s="344" t="s">
        <v>99</v>
      </c>
      <c r="Y5" s="344" t="s">
        <v>641</v>
      </c>
      <c r="Z5" s="345" t="s">
        <v>277</v>
      </c>
      <c r="AA5" s="32"/>
      <c r="AB5" s="33"/>
      <c r="AC5" s="345" t="s">
        <v>642</v>
      </c>
      <c r="AD5" s="33"/>
      <c r="AE5" s="345" t="s">
        <v>278</v>
      </c>
      <c r="AF5" s="33"/>
      <c r="AG5" s="343" t="s">
        <v>643</v>
      </c>
      <c r="AH5" s="346" t="s">
        <v>644</v>
      </c>
      <c r="AI5" s="346" t="s">
        <v>645</v>
      </c>
      <c r="AJ5" s="347" t="s">
        <v>101</v>
      </c>
      <c r="AK5" s="348" t="s">
        <v>646</v>
      </c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49"/>
      <c r="AZ5" s="350" t="s">
        <v>647</v>
      </c>
      <c r="BA5" s="351" t="s">
        <v>648</v>
      </c>
      <c r="BB5" s="352"/>
      <c r="BK5" s="148"/>
    </row>
    <row r="6" ht="16.5" customHeight="1">
      <c r="A6" s="15"/>
      <c r="B6" s="15"/>
      <c r="C6" s="15"/>
      <c r="D6" s="15"/>
      <c r="E6" s="353" t="s">
        <v>649</v>
      </c>
      <c r="F6" s="353" t="s">
        <v>650</v>
      </c>
      <c r="G6" s="15"/>
      <c r="H6" s="15"/>
      <c r="I6" s="15"/>
      <c r="J6" s="353" t="s">
        <v>651</v>
      </c>
      <c r="K6" s="353" t="s">
        <v>11</v>
      </c>
      <c r="L6" s="353" t="s">
        <v>652</v>
      </c>
      <c r="M6" s="353" t="s">
        <v>22</v>
      </c>
      <c r="N6" s="15"/>
      <c r="O6" s="15"/>
      <c r="P6" s="354" t="s">
        <v>651</v>
      </c>
      <c r="Q6" s="354" t="s">
        <v>11</v>
      </c>
      <c r="R6" s="354" t="s">
        <v>652</v>
      </c>
      <c r="S6" s="354" t="s">
        <v>22</v>
      </c>
      <c r="T6" s="15"/>
      <c r="U6" s="15"/>
      <c r="V6" s="15"/>
      <c r="W6" s="15"/>
      <c r="X6" s="15"/>
      <c r="Y6" s="15"/>
      <c r="Z6" s="355" t="s">
        <v>653</v>
      </c>
      <c r="AA6" s="355" t="s">
        <v>654</v>
      </c>
      <c r="AB6" s="355" t="s">
        <v>655</v>
      </c>
      <c r="AC6" s="355" t="s">
        <v>656</v>
      </c>
      <c r="AD6" s="355" t="s">
        <v>654</v>
      </c>
      <c r="AE6" s="355" t="s">
        <v>656</v>
      </c>
      <c r="AF6" s="355" t="s">
        <v>654</v>
      </c>
      <c r="AG6" s="15"/>
      <c r="AH6" s="15"/>
      <c r="AI6" s="15"/>
      <c r="AJ6" s="356"/>
      <c r="AK6" s="357" t="s">
        <v>628</v>
      </c>
      <c r="AL6" s="357" t="s">
        <v>657</v>
      </c>
      <c r="AM6" s="358" t="s">
        <v>640</v>
      </c>
      <c r="AN6" s="358" t="s">
        <v>259</v>
      </c>
      <c r="AO6" s="359" t="s">
        <v>658</v>
      </c>
      <c r="AP6" s="358" t="s">
        <v>69</v>
      </c>
      <c r="AQ6" s="358" t="s">
        <v>659</v>
      </c>
      <c r="AR6" s="360" t="s">
        <v>660</v>
      </c>
      <c r="AS6" s="361" t="s">
        <v>5</v>
      </c>
      <c r="AT6" s="361" t="s">
        <v>661</v>
      </c>
      <c r="AU6" s="357" t="s">
        <v>662</v>
      </c>
      <c r="AV6" s="362" t="s">
        <v>663</v>
      </c>
      <c r="AW6" s="361" t="s">
        <v>664</v>
      </c>
      <c r="AX6" s="363" t="s">
        <v>303</v>
      </c>
      <c r="AY6" s="364" t="s">
        <v>101</v>
      </c>
      <c r="AZ6" s="365"/>
      <c r="BA6" s="366" t="s">
        <v>665</v>
      </c>
      <c r="BB6" s="366" t="s">
        <v>666</v>
      </c>
    </row>
    <row r="7" ht="16.5" customHeight="1">
      <c r="A7" s="367">
        <v>1.0</v>
      </c>
      <c r="B7" s="368"/>
      <c r="C7" s="369" t="s">
        <v>667</v>
      </c>
      <c r="D7" s="367">
        <v>103.0</v>
      </c>
      <c r="E7" s="370">
        <v>0.8538526469577596</v>
      </c>
      <c r="F7" s="370">
        <v>0.14614735304224033</v>
      </c>
      <c r="G7" s="371">
        <v>8.742249999999999</v>
      </c>
      <c r="H7" s="372">
        <v>13.2858</v>
      </c>
      <c r="I7" s="373">
        <v>4.115E8</v>
      </c>
      <c r="J7" s="373" t="str">
        <f t="shared" ref="J7:J12" si="1">ROUND(I7*E7,-3)</f>
        <v>351,360,000 </v>
      </c>
      <c r="K7" s="373" t="str">
        <f t="shared" ref="K7:K12" si="2">ROUND(I7*F7,-3)</f>
        <v>60,140,000 </v>
      </c>
      <c r="L7" s="373" t="str">
        <f t="shared" ref="L7:L12" si="3">ROUND(J7*10%,-3)</f>
        <v>35,136,000 </v>
      </c>
      <c r="M7" s="373" t="str">
        <f t="shared" ref="M7:M12" si="4">SUM(J7:L7)</f>
        <v>446,636,000 </v>
      </c>
      <c r="N7" s="374" t="str">
        <f t="shared" ref="N7:N12" si="5">(M7)</f>
        <v>446,636,000 </v>
      </c>
      <c r="O7" s="374"/>
      <c r="P7" s="375" t="str">
        <f t="shared" ref="P7:P12" si="6">ROUND(O7*E7,-3)</f>
        <v>  - </v>
      </c>
      <c r="Q7" s="375" t="str">
        <f t="shared" ref="Q7:Q12" si="7">ROUND(O7*F7,-3)</f>
        <v>  - </v>
      </c>
      <c r="R7" s="375" t="str">
        <f t="shared" ref="R7:R12" si="8">ROUND(P7*0.1,-3)</f>
        <v>  - </v>
      </c>
      <c r="S7" s="375" t="str">
        <f t="shared" ref="S7:S12" si="9">SUM(P7:R7)</f>
        <v>  - </v>
      </c>
      <c r="T7" s="376" t="str">
        <f t="shared" ref="T7:T12" si="10">N7*(1-0.22)</f>
        <v>  348,376,080 </v>
      </c>
      <c r="U7" s="375" t="str">
        <f t="shared" ref="U7:U12" si="11">N7-T7</f>
        <v>  98,259,920 </v>
      </c>
      <c r="V7" s="377" t="str">
        <f t="shared" ref="V7:V12" si="12">U7/N7</f>
        <v>22%</v>
      </c>
      <c r="W7" s="378"/>
      <c r="X7" s="378"/>
      <c r="Y7" s="379"/>
      <c r="Z7" s="380"/>
      <c r="AA7" s="381"/>
      <c r="AB7" s="377" t="str">
        <f t="shared" ref="AB7:AB12" si="13">AA7/T7</f>
        <v>0%</v>
      </c>
      <c r="AC7" s="380"/>
      <c r="AD7" s="380"/>
      <c r="AE7" s="380"/>
      <c r="AF7" s="380"/>
      <c r="AG7" s="376" t="str">
        <f t="shared" ref="AG7:AG12" si="14">T7-AH7</f>
        <v>  348,376,080 </v>
      </c>
      <c r="AH7" s="376" t="str">
        <f t="shared" ref="AH7:AH12" si="15">AA7+AF7</f>
        <v>  - </v>
      </c>
      <c r="AI7" s="380">
        <v>45505.0</v>
      </c>
      <c r="AJ7" s="382"/>
      <c r="AK7" s="383">
        <v>103.0</v>
      </c>
      <c r="AL7" s="383" t="s">
        <v>625</v>
      </c>
      <c r="AM7" s="9" t="s">
        <v>668</v>
      </c>
      <c r="AN7" s="9"/>
      <c r="AO7" s="384" t="s">
        <v>669</v>
      </c>
      <c r="AP7" s="385" t="s">
        <v>670</v>
      </c>
      <c r="AQ7" s="385">
        <v>47330.0</v>
      </c>
      <c r="AR7" s="386" t="str">
        <f t="shared" ref="AR7:AR8" si="16">(AQ7-TODAY())</f>
        <v>1170일</v>
      </c>
      <c r="AS7" s="387">
        <v>3.0E7</v>
      </c>
      <c r="AT7" s="387">
        <v>1850000.0</v>
      </c>
      <c r="AU7" s="388" t="str">
        <f t="shared" ref="AU7:AU12" si="17">AT7*12/(N7-AS7)</f>
        <v>5.33%</v>
      </c>
      <c r="AV7" s="389" t="str">
        <f t="shared" ref="AV7:AV12" si="18">AT7*12/(T7-AS7)</f>
        <v>6.97%</v>
      </c>
      <c r="AW7" s="390" t="s">
        <v>671</v>
      </c>
      <c r="AX7" s="391">
        <v>0.0</v>
      </c>
      <c r="AY7" s="392"/>
      <c r="AZ7" s="393" t="str">
        <f t="shared" ref="AZ7:AZ12" si="19">(T7-(N7*65%))*1.1</f>
        <v>  63,868,948 </v>
      </c>
      <c r="BA7" s="29" t="str">
        <f t="shared" ref="BA7:BA12" si="20">AZ7-BB7</f>
        <v>  52,043,948 </v>
      </c>
      <c r="BB7" s="29" t="str">
        <f t="shared" ref="BB7:BB12" si="21">(AS7+(AT7*100))*5%*1.1</f>
        <v>  11,825,000 </v>
      </c>
    </row>
    <row r="8" ht="16.5" customHeight="1">
      <c r="A8" s="16" t="str">
        <f t="shared" ref="A8:A12" si="22">A7+1</f>
        <v>2</v>
      </c>
      <c r="B8" s="394"/>
      <c r="C8" s="11"/>
      <c r="D8" s="395">
        <v>105.0</v>
      </c>
      <c r="E8" s="396">
        <v>0.853833492333955</v>
      </c>
      <c r="F8" s="396">
        <v>0.1461665076660451</v>
      </c>
      <c r="G8" s="397">
        <v>10.729674999999999</v>
      </c>
      <c r="H8" s="398">
        <v>16.307775</v>
      </c>
      <c r="I8" s="399">
        <v>4.49E8</v>
      </c>
      <c r="J8" s="399" t="str">
        <f t="shared" si="1"/>
        <v>383,371,000 </v>
      </c>
      <c r="K8" s="399" t="str">
        <f t="shared" si="2"/>
        <v>65,629,000 </v>
      </c>
      <c r="L8" s="399" t="str">
        <f t="shared" si="3"/>
        <v>38,337,000 </v>
      </c>
      <c r="M8" s="399" t="str">
        <f t="shared" si="4"/>
        <v>487,337,000 </v>
      </c>
      <c r="N8" s="13" t="str">
        <f t="shared" si="5"/>
        <v>487,337,000 </v>
      </c>
      <c r="O8" s="21"/>
      <c r="P8" s="387" t="str">
        <f t="shared" si="6"/>
        <v>  - </v>
      </c>
      <c r="Q8" s="387" t="str">
        <f t="shared" si="7"/>
        <v>  - </v>
      </c>
      <c r="R8" s="387" t="str">
        <f t="shared" si="8"/>
        <v>  - </v>
      </c>
      <c r="S8" s="387" t="str">
        <f t="shared" si="9"/>
        <v>  - </v>
      </c>
      <c r="T8" s="384" t="str">
        <f t="shared" si="10"/>
        <v>  380,122,860 </v>
      </c>
      <c r="U8" s="387" t="str">
        <f t="shared" si="11"/>
        <v>  107,214,140 </v>
      </c>
      <c r="V8" s="400" t="str">
        <f t="shared" si="12"/>
        <v>22%</v>
      </c>
      <c r="W8" s="401"/>
      <c r="X8" s="401"/>
      <c r="Y8" s="401"/>
      <c r="Z8" s="384"/>
      <c r="AA8" s="400"/>
      <c r="AB8" s="74" t="str">
        <f t="shared" si="13"/>
        <v>0%</v>
      </c>
      <c r="AC8" s="400"/>
      <c r="AD8" s="400"/>
      <c r="AE8" s="400"/>
      <c r="AF8" s="400"/>
      <c r="AG8" s="384" t="str">
        <f t="shared" si="14"/>
        <v>  380,122,860 </v>
      </c>
      <c r="AH8" s="384" t="str">
        <f t="shared" si="15"/>
        <v>  - </v>
      </c>
      <c r="AI8" s="402">
        <v>45505.0</v>
      </c>
      <c r="AJ8" s="403"/>
      <c r="AK8" s="404">
        <v>105.0</v>
      </c>
      <c r="AL8" s="404" t="s">
        <v>625</v>
      </c>
      <c r="AM8" s="9" t="s">
        <v>668</v>
      </c>
      <c r="AN8" s="9"/>
      <c r="AO8" s="384" t="s">
        <v>669</v>
      </c>
      <c r="AP8" s="405" t="s">
        <v>670</v>
      </c>
      <c r="AQ8" s="405">
        <v>47330.0</v>
      </c>
      <c r="AR8" s="386" t="str">
        <f t="shared" si="16"/>
        <v>1170일</v>
      </c>
      <c r="AS8" s="387">
        <v>3.0E7</v>
      </c>
      <c r="AT8" s="387">
        <v>1600000.0</v>
      </c>
      <c r="AU8" s="388" t="str">
        <f t="shared" si="17"/>
        <v>4.20%</v>
      </c>
      <c r="AV8" s="389" t="str">
        <f t="shared" si="18"/>
        <v>5.48%</v>
      </c>
      <c r="AW8" s="390" t="s">
        <v>671</v>
      </c>
      <c r="AX8" s="391">
        <v>0.0</v>
      </c>
      <c r="AY8" s="392"/>
      <c r="AZ8" s="393" t="str">
        <f t="shared" si="19"/>
        <v>  69,689,191 </v>
      </c>
      <c r="BA8" s="29" t="str">
        <f t="shared" si="20"/>
        <v>  59,239,191 </v>
      </c>
      <c r="BB8" s="29" t="str">
        <f t="shared" si="21"/>
        <v>  10,450,000 </v>
      </c>
    </row>
    <row r="9" ht="16.5" customHeight="1">
      <c r="A9" s="16" t="str">
        <f t="shared" si="22"/>
        <v>3</v>
      </c>
      <c r="B9" s="394"/>
      <c r="C9" s="11"/>
      <c r="D9" s="395">
        <v>108.0</v>
      </c>
      <c r="E9" s="396">
        <v>0.853833492333955</v>
      </c>
      <c r="F9" s="396">
        <v>0.1461665076660451</v>
      </c>
      <c r="G9" s="397">
        <v>10.729674999999999</v>
      </c>
      <c r="H9" s="398">
        <v>16.307775</v>
      </c>
      <c r="I9" s="399">
        <v>4.49E8</v>
      </c>
      <c r="J9" s="399" t="str">
        <f t="shared" si="1"/>
        <v>383,371,000 </v>
      </c>
      <c r="K9" s="399" t="str">
        <f t="shared" si="2"/>
        <v>65,629,000 </v>
      </c>
      <c r="L9" s="399" t="str">
        <f t="shared" si="3"/>
        <v>38,337,000 </v>
      </c>
      <c r="M9" s="399" t="str">
        <f t="shared" si="4"/>
        <v>487,337,000 </v>
      </c>
      <c r="N9" s="13" t="str">
        <f t="shared" si="5"/>
        <v>487,337,000 </v>
      </c>
      <c r="O9" s="21"/>
      <c r="P9" s="387" t="str">
        <f t="shared" si="6"/>
        <v>  - </v>
      </c>
      <c r="Q9" s="387" t="str">
        <f t="shared" si="7"/>
        <v>  - </v>
      </c>
      <c r="R9" s="387" t="str">
        <f t="shared" si="8"/>
        <v>  - </v>
      </c>
      <c r="S9" s="387" t="str">
        <f t="shared" si="9"/>
        <v>  - </v>
      </c>
      <c r="T9" s="384" t="str">
        <f t="shared" si="10"/>
        <v>  380,122,860 </v>
      </c>
      <c r="U9" s="387" t="str">
        <f t="shared" si="11"/>
        <v>  107,214,140 </v>
      </c>
      <c r="V9" s="400" t="str">
        <f t="shared" si="12"/>
        <v>22%</v>
      </c>
      <c r="W9" s="401"/>
      <c r="X9" s="401"/>
      <c r="Y9" s="401"/>
      <c r="Z9" s="400"/>
      <c r="AA9" s="400"/>
      <c r="AB9" s="74" t="str">
        <f t="shared" si="13"/>
        <v>0%</v>
      </c>
      <c r="AC9" s="400"/>
      <c r="AD9" s="400"/>
      <c r="AE9" s="400"/>
      <c r="AF9" s="400"/>
      <c r="AG9" s="384" t="str">
        <f t="shared" si="14"/>
        <v>  380,122,860 </v>
      </c>
      <c r="AH9" s="384" t="str">
        <f t="shared" si="15"/>
        <v>  - </v>
      </c>
      <c r="AI9" s="36"/>
      <c r="AJ9" s="403"/>
      <c r="AK9" s="404">
        <v>108.0</v>
      </c>
      <c r="AL9" s="404"/>
      <c r="AM9" s="406"/>
      <c r="AN9" s="406"/>
      <c r="AO9" s="36"/>
      <c r="AP9" s="406"/>
      <c r="AQ9" s="406"/>
      <c r="AR9" s="405"/>
      <c r="AS9" s="21"/>
      <c r="AT9" s="406"/>
      <c r="AU9" s="388" t="str">
        <f t="shared" si="17"/>
        <v>0.00%</v>
      </c>
      <c r="AV9" s="389" t="str">
        <f t="shared" si="18"/>
        <v>0.00%</v>
      </c>
      <c r="AW9" s="407"/>
      <c r="AX9" s="408"/>
      <c r="AY9" s="409"/>
      <c r="AZ9" s="393" t="str">
        <f t="shared" si="19"/>
        <v>  69,689,191 </v>
      </c>
      <c r="BA9" s="29" t="str">
        <f t="shared" si="20"/>
        <v>  69,689,191 </v>
      </c>
      <c r="BB9" s="29" t="str">
        <f t="shared" si="21"/>
        <v>  - </v>
      </c>
    </row>
    <row r="10" ht="16.5" customHeight="1">
      <c r="A10" s="16" t="str">
        <f t="shared" si="22"/>
        <v>4</v>
      </c>
      <c r="B10" s="394"/>
      <c r="C10" s="11"/>
      <c r="D10" s="395">
        <v>109.0</v>
      </c>
      <c r="E10" s="396">
        <v>0.853833492333955</v>
      </c>
      <c r="F10" s="396">
        <v>0.1461665076660451</v>
      </c>
      <c r="G10" s="397">
        <v>10.729674999999999</v>
      </c>
      <c r="H10" s="398">
        <v>16.307775</v>
      </c>
      <c r="I10" s="399">
        <v>4.49E8</v>
      </c>
      <c r="J10" s="399" t="str">
        <f t="shared" si="1"/>
        <v>383,371,000 </v>
      </c>
      <c r="K10" s="399" t="str">
        <f t="shared" si="2"/>
        <v>65,629,000 </v>
      </c>
      <c r="L10" s="399" t="str">
        <f t="shared" si="3"/>
        <v>38,337,000 </v>
      </c>
      <c r="M10" s="399" t="str">
        <f t="shared" si="4"/>
        <v>487,337,000 </v>
      </c>
      <c r="N10" s="13" t="str">
        <f t="shared" si="5"/>
        <v>487,337,000 </v>
      </c>
      <c r="O10" s="21"/>
      <c r="P10" s="387" t="str">
        <f t="shared" si="6"/>
        <v>  - </v>
      </c>
      <c r="Q10" s="387" t="str">
        <f t="shared" si="7"/>
        <v>  - </v>
      </c>
      <c r="R10" s="387" t="str">
        <f t="shared" si="8"/>
        <v>  - </v>
      </c>
      <c r="S10" s="387" t="str">
        <f t="shared" si="9"/>
        <v>  - </v>
      </c>
      <c r="T10" s="384" t="str">
        <f t="shared" si="10"/>
        <v>  380,122,860 </v>
      </c>
      <c r="U10" s="387" t="str">
        <f t="shared" si="11"/>
        <v>  107,214,140 </v>
      </c>
      <c r="V10" s="400" t="str">
        <f t="shared" si="12"/>
        <v>22%</v>
      </c>
      <c r="W10" s="401"/>
      <c r="X10" s="401"/>
      <c r="Y10" s="401"/>
      <c r="Z10" s="400"/>
      <c r="AA10" s="400"/>
      <c r="AB10" s="74" t="str">
        <f t="shared" si="13"/>
        <v>0%</v>
      </c>
      <c r="AC10" s="400"/>
      <c r="AD10" s="400"/>
      <c r="AE10" s="400"/>
      <c r="AF10" s="400"/>
      <c r="AG10" s="384" t="str">
        <f t="shared" si="14"/>
        <v>  380,122,860 </v>
      </c>
      <c r="AH10" s="384" t="str">
        <f t="shared" si="15"/>
        <v>  - </v>
      </c>
      <c r="AI10" s="36"/>
      <c r="AJ10" s="403"/>
      <c r="AK10" s="410">
        <v>109.0</v>
      </c>
      <c r="AL10" s="404" t="s">
        <v>625</v>
      </c>
      <c r="AM10" s="411"/>
      <c r="AN10" s="406"/>
      <c r="AO10" s="36" t="s">
        <v>672</v>
      </c>
      <c r="AP10" s="406"/>
      <c r="AQ10" s="405">
        <v>46599.0</v>
      </c>
      <c r="AR10" s="386" t="str">
        <f>(AQ10-TODAY())</f>
        <v>439일</v>
      </c>
      <c r="AS10" s="21">
        <v>3.0E7</v>
      </c>
      <c r="AT10" s="406">
        <v>1300000.0</v>
      </c>
      <c r="AU10" s="388" t="str">
        <f t="shared" si="17"/>
        <v>3.41%</v>
      </c>
      <c r="AV10" s="389" t="str">
        <f t="shared" si="18"/>
        <v>4.46%</v>
      </c>
      <c r="AW10" s="407" t="s">
        <v>673</v>
      </c>
      <c r="AX10" s="408"/>
      <c r="AY10" s="412" t="s">
        <v>674</v>
      </c>
      <c r="AZ10" s="393" t="str">
        <f t="shared" si="19"/>
        <v>  69,689,191 </v>
      </c>
      <c r="BA10" s="29" t="str">
        <f t="shared" si="20"/>
        <v>  60,889,191 </v>
      </c>
      <c r="BB10" s="29" t="str">
        <f t="shared" si="21"/>
        <v>  8,800,000 </v>
      </c>
    </row>
    <row r="11" ht="16.5" customHeight="1">
      <c r="A11" s="16" t="str">
        <f t="shared" si="22"/>
        <v>5</v>
      </c>
      <c r="B11" s="394"/>
      <c r="C11" s="11"/>
      <c r="D11" s="395">
        <v>110.0</v>
      </c>
      <c r="E11" s="396">
        <v>0.853833492333955</v>
      </c>
      <c r="F11" s="396">
        <v>0.1461665076660451</v>
      </c>
      <c r="G11" s="397">
        <v>10.729674999999999</v>
      </c>
      <c r="H11" s="398">
        <v>16.307775</v>
      </c>
      <c r="I11" s="399">
        <v>4.49E8</v>
      </c>
      <c r="J11" s="399" t="str">
        <f t="shared" si="1"/>
        <v>383,371,000 </v>
      </c>
      <c r="K11" s="399" t="str">
        <f t="shared" si="2"/>
        <v>65,629,000 </v>
      </c>
      <c r="L11" s="399" t="str">
        <f t="shared" si="3"/>
        <v>38,337,000 </v>
      </c>
      <c r="M11" s="399" t="str">
        <f t="shared" si="4"/>
        <v>487,337,000 </v>
      </c>
      <c r="N11" s="13" t="str">
        <f t="shared" si="5"/>
        <v>487,337,000 </v>
      </c>
      <c r="O11" s="21"/>
      <c r="P11" s="387" t="str">
        <f t="shared" si="6"/>
        <v>  - </v>
      </c>
      <c r="Q11" s="387" t="str">
        <f t="shared" si="7"/>
        <v>  - </v>
      </c>
      <c r="R11" s="387" t="str">
        <f t="shared" si="8"/>
        <v>  - </v>
      </c>
      <c r="S11" s="387" t="str">
        <f t="shared" si="9"/>
        <v>  - </v>
      </c>
      <c r="T11" s="384" t="str">
        <f t="shared" si="10"/>
        <v>  380,122,860 </v>
      </c>
      <c r="U11" s="387" t="str">
        <f t="shared" si="11"/>
        <v>  107,214,140 </v>
      </c>
      <c r="V11" s="400" t="str">
        <f t="shared" si="12"/>
        <v>22%</v>
      </c>
      <c r="W11" s="401"/>
      <c r="X11" s="401"/>
      <c r="Y11" s="401"/>
      <c r="Z11" s="400"/>
      <c r="AA11" s="400"/>
      <c r="AB11" s="74" t="str">
        <f t="shared" si="13"/>
        <v>0%</v>
      </c>
      <c r="AC11" s="400"/>
      <c r="AD11" s="400"/>
      <c r="AE11" s="400"/>
      <c r="AF11" s="400"/>
      <c r="AG11" s="384" t="str">
        <f t="shared" si="14"/>
        <v>  380,122,860 </v>
      </c>
      <c r="AH11" s="384" t="str">
        <f t="shared" si="15"/>
        <v>  - </v>
      </c>
      <c r="AI11" s="36"/>
      <c r="AJ11" s="403"/>
      <c r="AK11" s="410">
        <v>110.0</v>
      </c>
      <c r="AL11" s="410"/>
      <c r="AM11" s="411"/>
      <c r="AN11" s="406"/>
      <c r="AO11" s="36"/>
      <c r="AP11" s="406"/>
      <c r="AQ11" s="406"/>
      <c r="AR11" s="405"/>
      <c r="AS11" s="21"/>
      <c r="AT11" s="406"/>
      <c r="AU11" s="388" t="str">
        <f t="shared" si="17"/>
        <v>0.00%</v>
      </c>
      <c r="AV11" s="389" t="str">
        <f t="shared" si="18"/>
        <v>0.00%</v>
      </c>
      <c r="AW11" s="407"/>
      <c r="AX11" s="408"/>
      <c r="AY11" s="409"/>
      <c r="AZ11" s="393" t="str">
        <f t="shared" si="19"/>
        <v>  69,689,191 </v>
      </c>
      <c r="BA11" s="29" t="str">
        <f t="shared" si="20"/>
        <v>  69,689,191 </v>
      </c>
      <c r="BB11" s="29" t="str">
        <f t="shared" si="21"/>
        <v>  - </v>
      </c>
    </row>
    <row r="12" ht="16.5" customHeight="1">
      <c r="A12" s="16" t="str">
        <f t="shared" si="22"/>
        <v>6</v>
      </c>
      <c r="B12" s="394"/>
      <c r="C12" s="11"/>
      <c r="D12" s="395">
        <v>111.0</v>
      </c>
      <c r="E12" s="396">
        <v>0.853833492333955</v>
      </c>
      <c r="F12" s="396">
        <v>0.1461665076660451</v>
      </c>
      <c r="G12" s="397">
        <v>10.729674999999999</v>
      </c>
      <c r="H12" s="398">
        <v>16.307775</v>
      </c>
      <c r="I12" s="399">
        <v>4.571E8</v>
      </c>
      <c r="J12" s="399" t="str">
        <f t="shared" si="1"/>
        <v>390,287,000 </v>
      </c>
      <c r="K12" s="399" t="str">
        <f t="shared" si="2"/>
        <v>66,813,000 </v>
      </c>
      <c r="L12" s="399" t="str">
        <f t="shared" si="3"/>
        <v>39,029,000 </v>
      </c>
      <c r="M12" s="399" t="str">
        <f t="shared" si="4"/>
        <v>496,129,000 </v>
      </c>
      <c r="N12" s="13" t="str">
        <f t="shared" si="5"/>
        <v>496,129,000 </v>
      </c>
      <c r="O12" s="21"/>
      <c r="P12" s="387" t="str">
        <f t="shared" si="6"/>
        <v>  - </v>
      </c>
      <c r="Q12" s="387" t="str">
        <f t="shared" si="7"/>
        <v>  - </v>
      </c>
      <c r="R12" s="387" t="str">
        <f t="shared" si="8"/>
        <v>  - </v>
      </c>
      <c r="S12" s="387" t="str">
        <f t="shared" si="9"/>
        <v>  - </v>
      </c>
      <c r="T12" s="384" t="str">
        <f t="shared" si="10"/>
        <v>  386,980,620 </v>
      </c>
      <c r="U12" s="387" t="str">
        <f t="shared" si="11"/>
        <v>  109,148,380 </v>
      </c>
      <c r="V12" s="400" t="str">
        <f t="shared" si="12"/>
        <v>22%</v>
      </c>
      <c r="W12" s="401"/>
      <c r="X12" s="401"/>
      <c r="Y12" s="401"/>
      <c r="Z12" s="400"/>
      <c r="AA12" s="400"/>
      <c r="AB12" s="74" t="str">
        <f t="shared" si="13"/>
        <v>0%</v>
      </c>
      <c r="AC12" s="400"/>
      <c r="AD12" s="400"/>
      <c r="AE12" s="400"/>
      <c r="AF12" s="400"/>
      <c r="AG12" s="384" t="str">
        <f t="shared" si="14"/>
        <v>  386,980,620 </v>
      </c>
      <c r="AH12" s="384" t="str">
        <f t="shared" si="15"/>
        <v>  - </v>
      </c>
      <c r="AI12" s="36"/>
      <c r="AJ12" s="403"/>
      <c r="AK12" s="410">
        <v>111.0</v>
      </c>
      <c r="AL12" s="410"/>
      <c r="AM12" s="411"/>
      <c r="AN12" s="406"/>
      <c r="AO12" s="36"/>
      <c r="AP12" s="406"/>
      <c r="AQ12" s="406"/>
      <c r="AR12" s="405"/>
      <c r="AS12" s="413"/>
      <c r="AT12" s="414"/>
      <c r="AU12" s="388" t="str">
        <f t="shared" si="17"/>
        <v>0.00%</v>
      </c>
      <c r="AV12" s="389" t="str">
        <f t="shared" si="18"/>
        <v>0.00%</v>
      </c>
      <c r="AW12" s="415"/>
      <c r="AX12" s="416"/>
      <c r="AY12" s="417"/>
      <c r="AZ12" s="393" t="str">
        <f t="shared" si="19"/>
        <v>  70,946,447 </v>
      </c>
      <c r="BA12" s="29" t="str">
        <f t="shared" si="20"/>
        <v>  70,946,447 </v>
      </c>
      <c r="BB12" s="29" t="str">
        <f t="shared" si="21"/>
        <v>  - </v>
      </c>
    </row>
    <row r="13" ht="16.5" customHeight="1">
      <c r="A13" s="418"/>
      <c r="B13" s="419"/>
      <c r="C13" s="11"/>
      <c r="D13" s="420" t="s">
        <v>279</v>
      </c>
      <c r="E13" s="421"/>
      <c r="F13" s="421"/>
      <c r="G13" s="422">
        <v>151.25000000000003</v>
      </c>
      <c r="H13" s="423">
        <v>229.88487499999994</v>
      </c>
      <c r="I13" s="424">
        <v>6.4876E9</v>
      </c>
      <c r="J13" s="424"/>
      <c r="K13" s="424"/>
      <c r="L13" s="424"/>
      <c r="M13" s="424"/>
      <c r="N13" s="425" t="str">
        <f t="shared" ref="N13:O13" si="23">SUM(N7:N12)</f>
        <v>2,892,113,000 </v>
      </c>
      <c r="O13" s="426" t="str">
        <f t="shared" si="23"/>
        <v>0 </v>
      </c>
      <c r="P13" s="427"/>
      <c r="Q13" s="427"/>
      <c r="R13" s="428"/>
      <c r="S13" s="428"/>
      <c r="T13" s="429" t="str">
        <f t="shared" ref="T13:U13" si="24">SUM(T7:T12)</f>
        <v>  2,255,848,140 </v>
      </c>
      <c r="U13" s="428" t="str">
        <f t="shared" si="24"/>
        <v>  636,264,860 </v>
      </c>
      <c r="V13" s="430"/>
      <c r="W13" s="431"/>
      <c r="X13" s="431"/>
      <c r="Y13" s="431"/>
      <c r="Z13" s="430"/>
      <c r="AA13" s="425" t="str">
        <f>SUM(AA7:AA12)</f>
        <v>0 </v>
      </c>
      <c r="AB13" s="430"/>
      <c r="AC13" s="430"/>
      <c r="AD13" s="425" t="str">
        <f>SUM(AD7:AD12)</f>
        <v>0 </v>
      </c>
      <c r="AE13" s="430"/>
      <c r="AF13" s="425" t="str">
        <f t="shared" ref="AF13:AH13" si="25">SUM(AF7:AF12)</f>
        <v>0 </v>
      </c>
      <c r="AG13" s="429" t="str">
        <f t="shared" si="25"/>
        <v>  2,255,848,140 </v>
      </c>
      <c r="AH13" s="429" t="str">
        <f t="shared" si="25"/>
        <v>  - </v>
      </c>
      <c r="AI13" s="429"/>
      <c r="AJ13" s="432"/>
      <c r="AK13" s="433"/>
      <c r="AL13" s="433"/>
      <c r="AM13" s="434"/>
      <c r="AN13" s="429"/>
      <c r="AO13" s="429"/>
      <c r="AP13" s="429"/>
      <c r="AQ13" s="429"/>
      <c r="AR13" s="435"/>
      <c r="AS13" s="436" t="str">
        <f t="shared" ref="AS13:AT13" si="26">SUM(AS7:AS12)</f>
        <v>90,000,000 </v>
      </c>
      <c r="AT13" s="436" t="str">
        <f t="shared" si="26"/>
        <v>4,750,000 </v>
      </c>
      <c r="AU13" s="436"/>
      <c r="AV13" s="437"/>
      <c r="AW13" s="438"/>
      <c r="AX13" s="439"/>
      <c r="AY13" s="440"/>
      <c r="AZ13" s="441" t="str">
        <f>SUM(AZ7:AZ12)</f>
        <v>  413,572,159 </v>
      </c>
      <c r="BA13" s="442"/>
      <c r="BB13" s="442"/>
    </row>
    <row r="14" ht="16.5" customHeight="1">
      <c r="A14" s="16">
        <v>7.0</v>
      </c>
      <c r="B14" s="394"/>
      <c r="C14" s="11"/>
      <c r="D14" s="395">
        <v>203.0</v>
      </c>
      <c r="E14" s="396">
        <v>0.8705105532802064</v>
      </c>
      <c r="F14" s="396">
        <v>0.12948944671979357</v>
      </c>
      <c r="G14" s="397">
        <v>21.534975</v>
      </c>
      <c r="H14" s="398">
        <v>37.661249999999995</v>
      </c>
      <c r="I14" s="399">
        <v>3.932E8</v>
      </c>
      <c r="J14" s="399" t="str">
        <f t="shared" ref="J14:J19" si="27">ROUND(I14*E14,-3)</f>
        <v>342,285,000 </v>
      </c>
      <c r="K14" s="399" t="str">
        <f t="shared" ref="K14:K19" si="28">ROUND(I14*F14,-3)</f>
        <v>50,915,000 </v>
      </c>
      <c r="L14" s="399" t="str">
        <f t="shared" ref="L14:L19" si="29">ROUND(J14*10%,-3)</f>
        <v>34,229,000 </v>
      </c>
      <c r="M14" s="399" t="str">
        <f t="shared" ref="M14:M19" si="30">SUM(J14:L14)</f>
        <v>427,429,000 </v>
      </c>
      <c r="N14" s="13" t="str">
        <f t="shared" ref="N14:N19" si="31">(M14)</f>
        <v>427,429,000 </v>
      </c>
      <c r="O14" s="21"/>
      <c r="P14" s="387" t="str">
        <f t="shared" ref="P14:P19" si="32">ROUND(O14*E14,-3)</f>
        <v>  - </v>
      </c>
      <c r="Q14" s="387" t="str">
        <f t="shared" ref="Q14:Q19" si="33">ROUND(O14*F14,-3)</f>
        <v>  - </v>
      </c>
      <c r="R14" s="387" t="str">
        <f t="shared" ref="R14:R19" si="34">ROUND(P14*0.1,-3)</f>
        <v>  - </v>
      </c>
      <c r="S14" s="387" t="str">
        <f t="shared" ref="S14:S19" si="35">SUM(P14:R14)</f>
        <v>  - </v>
      </c>
      <c r="T14" s="384" t="str">
        <f t="shared" ref="T14:T19" si="36">N14*(1-0.22)</f>
        <v>  333,394,620 </v>
      </c>
      <c r="U14" s="387" t="str">
        <f t="shared" ref="U14:U19" si="37">N14-T14</f>
        <v>  94,034,380 </v>
      </c>
      <c r="V14" s="400" t="str">
        <f t="shared" ref="V14:V19" si="38">U14/N14</f>
        <v>22%</v>
      </c>
      <c r="W14" s="443"/>
      <c r="X14" s="443"/>
      <c r="Y14" s="401"/>
      <c r="Z14" s="400"/>
      <c r="AA14" s="400"/>
      <c r="AB14" s="74" t="str">
        <f t="shared" ref="AB14:AB19" si="39">AA14/T14</f>
        <v>0%</v>
      </c>
      <c r="AC14" s="400"/>
      <c r="AD14" s="400"/>
      <c r="AE14" s="400"/>
      <c r="AF14" s="400"/>
      <c r="AG14" s="384" t="str">
        <f t="shared" ref="AG14:AG19" si="40">T14-AH14</f>
        <v>  333,394,620 </v>
      </c>
      <c r="AH14" s="384" t="str">
        <f t="shared" ref="AH14:AH19" si="41">AA14+AF14</f>
        <v>  - </v>
      </c>
      <c r="AI14" s="400"/>
      <c r="AJ14" s="444"/>
      <c r="AK14" s="383">
        <v>203.0</v>
      </c>
      <c r="AL14" s="383"/>
      <c r="AM14" s="445"/>
      <c r="AN14" s="446"/>
      <c r="AO14" s="400"/>
      <c r="AP14" s="447"/>
      <c r="AQ14" s="447"/>
      <c r="AR14" s="385"/>
      <c r="AS14" s="406"/>
      <c r="AT14" s="406"/>
      <c r="AU14" s="388" t="str">
        <f t="shared" ref="AU14:AU19" si="42">AT14*12/(N14-AS14)</f>
        <v>0.00%</v>
      </c>
      <c r="AV14" s="389" t="str">
        <f t="shared" ref="AV14:AV19" si="43">AT14*12/(T14-AS14)</f>
        <v>0.00%</v>
      </c>
      <c r="AW14" s="407"/>
      <c r="AX14" s="408"/>
      <c r="AY14" s="409"/>
      <c r="AZ14" s="393" t="str">
        <f t="shared" ref="AZ14:AZ19" si="44">(T14-(N14*65%))*1.1</f>
        <v>  61,122,347 </v>
      </c>
      <c r="BA14" s="29" t="str">
        <f t="shared" ref="BA14:BA19" si="45">AZ14-BB14</f>
        <v>  61,122,347 </v>
      </c>
      <c r="BB14" s="29" t="str">
        <f t="shared" ref="BB14:BB19" si="46">(AS14+(AT14*100))*5%*1.1</f>
        <v>  - </v>
      </c>
    </row>
    <row r="15" ht="16.5" customHeight="1">
      <c r="A15" s="16" t="str">
        <f t="shared" ref="A15:A19" si="47">A14+1</f>
        <v>8</v>
      </c>
      <c r="B15" s="394"/>
      <c r="C15" s="11"/>
      <c r="D15" s="395">
        <v>204.0</v>
      </c>
      <c r="E15" s="396">
        <v>0.8704877088642934</v>
      </c>
      <c r="F15" s="396">
        <v>0.12951229113570656</v>
      </c>
      <c r="G15" s="397">
        <v>21.97965</v>
      </c>
      <c r="H15" s="398">
        <v>38.438674999999996</v>
      </c>
      <c r="I15" s="399">
        <v>4.113E8</v>
      </c>
      <c r="J15" s="399" t="str">
        <f t="shared" si="27"/>
        <v>358,032,000 </v>
      </c>
      <c r="K15" s="399" t="str">
        <f t="shared" si="28"/>
        <v>53,268,000 </v>
      </c>
      <c r="L15" s="399" t="str">
        <f t="shared" si="29"/>
        <v>35,803,000 </v>
      </c>
      <c r="M15" s="399" t="str">
        <f t="shared" si="30"/>
        <v>447,103,000 </v>
      </c>
      <c r="N15" s="13" t="str">
        <f t="shared" si="31"/>
        <v>447,103,000 </v>
      </c>
      <c r="O15" s="21"/>
      <c r="P15" s="387" t="str">
        <f t="shared" si="32"/>
        <v>  - </v>
      </c>
      <c r="Q15" s="387" t="str">
        <f t="shared" si="33"/>
        <v>  - </v>
      </c>
      <c r="R15" s="387" t="str">
        <f t="shared" si="34"/>
        <v>  - </v>
      </c>
      <c r="S15" s="387" t="str">
        <f t="shared" si="35"/>
        <v>  - </v>
      </c>
      <c r="T15" s="384" t="str">
        <f t="shared" si="36"/>
        <v>  348,740,340 </v>
      </c>
      <c r="U15" s="387" t="str">
        <f t="shared" si="37"/>
        <v>  98,362,660 </v>
      </c>
      <c r="V15" s="400" t="str">
        <f t="shared" si="38"/>
        <v>22%</v>
      </c>
      <c r="W15" s="401"/>
      <c r="X15" s="401"/>
      <c r="Y15" s="401"/>
      <c r="Z15" s="400"/>
      <c r="AA15" s="400"/>
      <c r="AB15" s="74" t="str">
        <f t="shared" si="39"/>
        <v>0%</v>
      </c>
      <c r="AC15" s="400"/>
      <c r="AD15" s="400"/>
      <c r="AE15" s="400"/>
      <c r="AF15" s="400"/>
      <c r="AG15" s="384" t="str">
        <f t="shared" si="40"/>
        <v>  348,740,340 </v>
      </c>
      <c r="AH15" s="384" t="str">
        <f t="shared" si="41"/>
        <v>  - </v>
      </c>
      <c r="AI15" s="400"/>
      <c r="AJ15" s="444"/>
      <c r="AK15" s="383">
        <v>204.0</v>
      </c>
      <c r="AL15" s="383"/>
      <c r="AM15" s="448"/>
      <c r="AN15" s="447"/>
      <c r="AO15" s="400"/>
      <c r="AP15" s="447"/>
      <c r="AQ15" s="447"/>
      <c r="AR15" s="385"/>
      <c r="AS15" s="414"/>
      <c r="AT15" s="414"/>
      <c r="AU15" s="388" t="str">
        <f t="shared" si="42"/>
        <v>0.00%</v>
      </c>
      <c r="AV15" s="389" t="str">
        <f t="shared" si="43"/>
        <v>0.00%</v>
      </c>
      <c r="AW15" s="415"/>
      <c r="AX15" s="416"/>
      <c r="AY15" s="417"/>
      <c r="AZ15" s="393" t="str">
        <f t="shared" si="44"/>
        <v>  63,935,729 </v>
      </c>
      <c r="BA15" s="29" t="str">
        <f t="shared" si="45"/>
        <v>  63,935,729 </v>
      </c>
      <c r="BB15" s="29" t="str">
        <f t="shared" si="46"/>
        <v>  - </v>
      </c>
    </row>
    <row r="16" ht="16.5" customHeight="1">
      <c r="A16" s="16" t="str">
        <f t="shared" si="47"/>
        <v>9</v>
      </c>
      <c r="B16" s="394"/>
      <c r="C16" s="11"/>
      <c r="D16" s="449">
        <v>205.0</v>
      </c>
      <c r="E16" s="450">
        <v>0.8704877088642934</v>
      </c>
      <c r="F16" s="450">
        <v>0.12951229113570656</v>
      </c>
      <c r="G16" s="451">
        <v>21.97965</v>
      </c>
      <c r="H16" s="452">
        <v>38.438674999999996</v>
      </c>
      <c r="I16" s="453">
        <v>4.113E8</v>
      </c>
      <c r="J16" s="399" t="str">
        <f t="shared" si="27"/>
        <v>358,032,000 </v>
      </c>
      <c r="K16" s="399" t="str">
        <f t="shared" si="28"/>
        <v>53,268,000 </v>
      </c>
      <c r="L16" s="399" t="str">
        <f t="shared" si="29"/>
        <v>35,803,000 </v>
      </c>
      <c r="M16" s="399" t="str">
        <f t="shared" si="30"/>
        <v>447,103,000 </v>
      </c>
      <c r="N16" s="13" t="str">
        <f t="shared" si="31"/>
        <v>447,103,000 </v>
      </c>
      <c r="O16" s="21"/>
      <c r="P16" s="387" t="str">
        <f t="shared" si="32"/>
        <v>  - </v>
      </c>
      <c r="Q16" s="387" t="str">
        <f t="shared" si="33"/>
        <v>  - </v>
      </c>
      <c r="R16" s="387" t="str">
        <f t="shared" si="34"/>
        <v>  - </v>
      </c>
      <c r="S16" s="387" t="str">
        <f t="shared" si="35"/>
        <v>  - </v>
      </c>
      <c r="T16" s="384" t="str">
        <f t="shared" si="36"/>
        <v>  348,740,340 </v>
      </c>
      <c r="U16" s="387" t="str">
        <f t="shared" si="37"/>
        <v>  98,362,660 </v>
      </c>
      <c r="V16" s="400" t="str">
        <f t="shared" si="38"/>
        <v>22%</v>
      </c>
      <c r="W16" s="401"/>
      <c r="X16" s="401"/>
      <c r="Y16" s="401" t="s">
        <v>88</v>
      </c>
      <c r="Z16" s="400"/>
      <c r="AA16" s="400"/>
      <c r="AB16" s="74" t="str">
        <f t="shared" si="39"/>
        <v>0%</v>
      </c>
      <c r="AC16" s="400"/>
      <c r="AD16" s="400"/>
      <c r="AE16" s="400"/>
      <c r="AF16" s="400"/>
      <c r="AG16" s="384" t="str">
        <f t="shared" si="40"/>
        <v>  348,740,340 </v>
      </c>
      <c r="AH16" s="384" t="str">
        <f t="shared" si="41"/>
        <v>  - </v>
      </c>
      <c r="AI16" s="400"/>
      <c r="AJ16" s="444"/>
      <c r="AK16" s="383">
        <v>205.0</v>
      </c>
      <c r="AL16" s="383"/>
      <c r="AM16" s="448"/>
      <c r="AN16" s="447"/>
      <c r="AO16" s="400"/>
      <c r="AP16" s="447"/>
      <c r="AQ16" s="447"/>
      <c r="AR16" s="385"/>
      <c r="AS16" s="414"/>
      <c r="AT16" s="414"/>
      <c r="AU16" s="388" t="str">
        <f t="shared" si="42"/>
        <v>0.00%</v>
      </c>
      <c r="AV16" s="389" t="str">
        <f t="shared" si="43"/>
        <v>0.00%</v>
      </c>
      <c r="AW16" s="415"/>
      <c r="AX16" s="416"/>
      <c r="AY16" s="417"/>
      <c r="AZ16" s="393" t="str">
        <f t="shared" si="44"/>
        <v>  63,935,729 </v>
      </c>
      <c r="BA16" s="29" t="str">
        <f t="shared" si="45"/>
        <v>  63,935,729 </v>
      </c>
      <c r="BB16" s="29" t="str">
        <f t="shared" si="46"/>
        <v>  - </v>
      </c>
    </row>
    <row r="17" ht="16.5" customHeight="1">
      <c r="A17" s="16" t="str">
        <f t="shared" si="47"/>
        <v>10</v>
      </c>
      <c r="B17" s="394"/>
      <c r="C17" s="11"/>
      <c r="D17" s="449">
        <v>206.0</v>
      </c>
      <c r="E17" s="450">
        <v>0.8704877088642934</v>
      </c>
      <c r="F17" s="450">
        <v>0.12951229113570656</v>
      </c>
      <c r="G17" s="451">
        <v>21.97965</v>
      </c>
      <c r="H17" s="452">
        <v>38.438674999999996</v>
      </c>
      <c r="I17" s="453">
        <v>4.113E8</v>
      </c>
      <c r="J17" s="399" t="str">
        <f t="shared" si="27"/>
        <v>358,032,000 </v>
      </c>
      <c r="K17" s="399" t="str">
        <f t="shared" si="28"/>
        <v>53,268,000 </v>
      </c>
      <c r="L17" s="399" t="str">
        <f t="shared" si="29"/>
        <v>35,803,000 </v>
      </c>
      <c r="M17" s="399" t="str">
        <f t="shared" si="30"/>
        <v>447,103,000 </v>
      </c>
      <c r="N17" s="13" t="str">
        <f t="shared" si="31"/>
        <v>447,103,000 </v>
      </c>
      <c r="O17" s="21"/>
      <c r="P17" s="387" t="str">
        <f t="shared" si="32"/>
        <v>  - </v>
      </c>
      <c r="Q17" s="387" t="str">
        <f t="shared" si="33"/>
        <v>  - </v>
      </c>
      <c r="R17" s="387" t="str">
        <f t="shared" si="34"/>
        <v>  - </v>
      </c>
      <c r="S17" s="387" t="str">
        <f t="shared" si="35"/>
        <v>  - </v>
      </c>
      <c r="T17" s="384" t="str">
        <f t="shared" si="36"/>
        <v>  348,740,340 </v>
      </c>
      <c r="U17" s="387" t="str">
        <f t="shared" si="37"/>
        <v>  98,362,660 </v>
      </c>
      <c r="V17" s="400" t="str">
        <f t="shared" si="38"/>
        <v>22%</v>
      </c>
      <c r="W17" s="401"/>
      <c r="X17" s="401"/>
      <c r="Y17" s="401"/>
      <c r="Z17" s="400"/>
      <c r="AA17" s="400"/>
      <c r="AB17" s="74" t="str">
        <f t="shared" si="39"/>
        <v>0%</v>
      </c>
      <c r="AC17" s="400"/>
      <c r="AD17" s="400"/>
      <c r="AE17" s="400"/>
      <c r="AF17" s="400"/>
      <c r="AG17" s="384" t="str">
        <f t="shared" si="40"/>
        <v>  348,740,340 </v>
      </c>
      <c r="AH17" s="384" t="str">
        <f t="shared" si="41"/>
        <v>  - </v>
      </c>
      <c r="AI17" s="400"/>
      <c r="AJ17" s="444"/>
      <c r="AK17" s="383">
        <v>206.0</v>
      </c>
      <c r="AL17" s="383"/>
      <c r="AM17" s="448"/>
      <c r="AN17" s="447"/>
      <c r="AO17" s="400"/>
      <c r="AP17" s="447"/>
      <c r="AQ17" s="447"/>
      <c r="AR17" s="385"/>
      <c r="AS17" s="414"/>
      <c r="AT17" s="414"/>
      <c r="AU17" s="388" t="str">
        <f t="shared" si="42"/>
        <v>0.00%</v>
      </c>
      <c r="AV17" s="389" t="str">
        <f t="shared" si="43"/>
        <v>0.00%</v>
      </c>
      <c r="AW17" s="415"/>
      <c r="AX17" s="416"/>
      <c r="AY17" s="417"/>
      <c r="AZ17" s="393" t="str">
        <f t="shared" si="44"/>
        <v>  63,935,729 </v>
      </c>
      <c r="BA17" s="29" t="str">
        <f t="shared" si="45"/>
        <v>  63,935,729 </v>
      </c>
      <c r="BB17" s="29" t="str">
        <f t="shared" si="46"/>
        <v>  - </v>
      </c>
    </row>
    <row r="18" ht="16.5" customHeight="1">
      <c r="A18" s="16" t="str">
        <f t="shared" si="47"/>
        <v>11</v>
      </c>
      <c r="B18" s="394"/>
      <c r="C18" s="11"/>
      <c r="D18" s="449">
        <v>207.0</v>
      </c>
      <c r="E18" s="450">
        <v>0.8704843391131003</v>
      </c>
      <c r="F18" s="450">
        <v>0.12951566088689964</v>
      </c>
      <c r="G18" s="451">
        <v>23.3772</v>
      </c>
      <c r="H18" s="452">
        <v>40.87985</v>
      </c>
      <c r="I18" s="453">
        <v>4.592E8</v>
      </c>
      <c r="J18" s="399" t="str">
        <f t="shared" si="27"/>
        <v>399,726,000 </v>
      </c>
      <c r="K18" s="399" t="str">
        <f t="shared" si="28"/>
        <v>59,474,000 </v>
      </c>
      <c r="L18" s="399" t="str">
        <f t="shared" si="29"/>
        <v>39,973,000 </v>
      </c>
      <c r="M18" s="399" t="str">
        <f t="shared" si="30"/>
        <v>499,173,000 </v>
      </c>
      <c r="N18" s="13" t="str">
        <f t="shared" si="31"/>
        <v>499,173,000 </v>
      </c>
      <c r="O18" s="21"/>
      <c r="P18" s="387" t="str">
        <f t="shared" si="32"/>
        <v>  - </v>
      </c>
      <c r="Q18" s="387" t="str">
        <f t="shared" si="33"/>
        <v>  - </v>
      </c>
      <c r="R18" s="387" t="str">
        <f t="shared" si="34"/>
        <v>  - </v>
      </c>
      <c r="S18" s="387" t="str">
        <f t="shared" si="35"/>
        <v>  - </v>
      </c>
      <c r="T18" s="384" t="str">
        <f t="shared" si="36"/>
        <v>  389,354,940 </v>
      </c>
      <c r="U18" s="387" t="str">
        <f t="shared" si="37"/>
        <v>  109,818,060 </v>
      </c>
      <c r="V18" s="400" t="str">
        <f t="shared" si="38"/>
        <v>22%</v>
      </c>
      <c r="W18" s="401"/>
      <c r="X18" s="401"/>
      <c r="Y18" s="401"/>
      <c r="Z18" s="400"/>
      <c r="AA18" s="400"/>
      <c r="AB18" s="74" t="str">
        <f t="shared" si="39"/>
        <v>0%</v>
      </c>
      <c r="AC18" s="400"/>
      <c r="AD18" s="400"/>
      <c r="AE18" s="400"/>
      <c r="AF18" s="400"/>
      <c r="AG18" s="384" t="str">
        <f t="shared" si="40"/>
        <v>  389,354,940 </v>
      </c>
      <c r="AH18" s="384" t="str">
        <f t="shared" si="41"/>
        <v>  - </v>
      </c>
      <c r="AI18" s="400"/>
      <c r="AJ18" s="444"/>
      <c r="AK18" s="383">
        <v>207.0</v>
      </c>
      <c r="AL18" s="383"/>
      <c r="AM18" s="448"/>
      <c r="AN18" s="447"/>
      <c r="AO18" s="400"/>
      <c r="AP18" s="447"/>
      <c r="AQ18" s="447"/>
      <c r="AR18" s="385"/>
      <c r="AS18" s="414"/>
      <c r="AT18" s="414"/>
      <c r="AU18" s="388" t="str">
        <f t="shared" si="42"/>
        <v>0.00%</v>
      </c>
      <c r="AV18" s="389" t="str">
        <f t="shared" si="43"/>
        <v>0.00%</v>
      </c>
      <c r="AW18" s="415"/>
      <c r="AX18" s="416"/>
      <c r="AY18" s="417"/>
      <c r="AZ18" s="393" t="str">
        <f t="shared" si="44"/>
        <v>  71,381,739 </v>
      </c>
      <c r="BA18" s="29" t="str">
        <f t="shared" si="45"/>
        <v>  71,381,739 </v>
      </c>
      <c r="BB18" s="29" t="str">
        <f t="shared" si="46"/>
        <v>  - </v>
      </c>
    </row>
    <row r="19" ht="16.5" customHeight="1">
      <c r="A19" s="16" t="str">
        <f t="shared" si="47"/>
        <v>12</v>
      </c>
      <c r="B19" s="394"/>
      <c r="C19" s="11"/>
      <c r="D19" s="449">
        <v>208.0</v>
      </c>
      <c r="E19" s="450">
        <v>0.8704641077583635</v>
      </c>
      <c r="F19" s="450">
        <v>0.12953589224163645</v>
      </c>
      <c r="G19" s="451">
        <v>11.04125</v>
      </c>
      <c r="H19" s="452">
        <v>19.302525</v>
      </c>
      <c r="I19" s="453">
        <v>2.01E8</v>
      </c>
      <c r="J19" s="399" t="str">
        <f t="shared" si="27"/>
        <v>174,963,000 </v>
      </c>
      <c r="K19" s="399" t="str">
        <f t="shared" si="28"/>
        <v>26,037,000 </v>
      </c>
      <c r="L19" s="399" t="str">
        <f t="shared" si="29"/>
        <v>17,496,000 </v>
      </c>
      <c r="M19" s="399" t="str">
        <f t="shared" si="30"/>
        <v>218,496,000 </v>
      </c>
      <c r="N19" s="13" t="str">
        <f t="shared" si="31"/>
        <v>218,496,000 </v>
      </c>
      <c r="O19" s="21"/>
      <c r="P19" s="387" t="str">
        <f t="shared" si="32"/>
        <v>  - </v>
      </c>
      <c r="Q19" s="387" t="str">
        <f t="shared" si="33"/>
        <v>  - </v>
      </c>
      <c r="R19" s="387" t="str">
        <f t="shared" si="34"/>
        <v>  - </v>
      </c>
      <c r="S19" s="387" t="str">
        <f t="shared" si="35"/>
        <v>  - </v>
      </c>
      <c r="T19" s="384" t="str">
        <f t="shared" si="36"/>
        <v>  170,426,880 </v>
      </c>
      <c r="U19" s="387" t="str">
        <f t="shared" si="37"/>
        <v>  48,069,120 </v>
      </c>
      <c r="V19" s="400" t="str">
        <f t="shared" si="38"/>
        <v>22%</v>
      </c>
      <c r="W19" s="401"/>
      <c r="X19" s="401"/>
      <c r="Y19" s="401"/>
      <c r="Z19" s="400"/>
      <c r="AA19" s="400"/>
      <c r="AB19" s="74" t="str">
        <f t="shared" si="39"/>
        <v>0%</v>
      </c>
      <c r="AC19" s="400"/>
      <c r="AD19" s="400"/>
      <c r="AE19" s="400"/>
      <c r="AF19" s="400"/>
      <c r="AG19" s="384" t="str">
        <f t="shared" si="40"/>
        <v>  170,426,880 </v>
      </c>
      <c r="AH19" s="384" t="str">
        <f t="shared" si="41"/>
        <v>  - </v>
      </c>
      <c r="AI19" s="400"/>
      <c r="AJ19" s="444"/>
      <c r="AK19" s="383">
        <v>208.0</v>
      </c>
      <c r="AL19" s="383" t="s">
        <v>625</v>
      </c>
      <c r="AM19" s="454" t="s">
        <v>675</v>
      </c>
      <c r="AN19" s="9"/>
      <c r="AO19" s="384" t="s">
        <v>676</v>
      </c>
      <c r="AP19" s="385" t="s">
        <v>677</v>
      </c>
      <c r="AQ19" s="385">
        <v>46234.0</v>
      </c>
      <c r="AR19" s="386" t="str">
        <f>(AQ19-TODAY())</f>
        <v>74일</v>
      </c>
      <c r="AS19" s="9">
        <v>1.5E7</v>
      </c>
      <c r="AT19" s="9">
        <v>850000.0</v>
      </c>
      <c r="AU19" s="388" t="str">
        <f t="shared" si="42"/>
        <v>5.01%</v>
      </c>
      <c r="AV19" s="389" t="str">
        <f t="shared" si="43"/>
        <v>6.56%</v>
      </c>
      <c r="AW19" s="455" t="s">
        <v>673</v>
      </c>
      <c r="AX19" s="391">
        <v>0.0</v>
      </c>
      <c r="AY19" s="456"/>
      <c r="AZ19" s="393" t="str">
        <f t="shared" si="44"/>
        <v>  31,244,928 </v>
      </c>
      <c r="BA19" s="29" t="str">
        <f t="shared" si="45"/>
        <v>  25,744,928 </v>
      </c>
      <c r="BB19" s="29" t="str">
        <f t="shared" si="46"/>
        <v>  5,500,000 </v>
      </c>
    </row>
    <row r="20" ht="16.5" customHeight="1">
      <c r="A20" s="418"/>
      <c r="B20" s="419"/>
      <c r="C20" s="15"/>
      <c r="D20" s="420" t="s">
        <v>279</v>
      </c>
      <c r="E20" s="421"/>
      <c r="F20" s="421"/>
      <c r="G20" s="422">
        <v>164.47832499999996</v>
      </c>
      <c r="H20" s="423">
        <v>287.632125</v>
      </c>
      <c r="I20" s="424">
        <v>3.1179E9</v>
      </c>
      <c r="J20" s="424"/>
      <c r="K20" s="424"/>
      <c r="L20" s="424"/>
      <c r="M20" s="424"/>
      <c r="N20" s="425" t="str">
        <f t="shared" ref="N20:O20" si="48">SUM(N14:N19)</f>
        <v>2,486,407,000 </v>
      </c>
      <c r="O20" s="425" t="str">
        <f t="shared" si="48"/>
        <v>0 </v>
      </c>
      <c r="P20" s="427"/>
      <c r="Q20" s="427"/>
      <c r="R20" s="427"/>
      <c r="S20" s="428" t="str">
        <f t="shared" ref="S20:U20" si="49">SUM(S14:S19)</f>
        <v>  - </v>
      </c>
      <c r="T20" s="429" t="str">
        <f t="shared" si="49"/>
        <v>  1,939,397,460 </v>
      </c>
      <c r="U20" s="428" t="str">
        <f t="shared" si="49"/>
        <v>  547,009,540 </v>
      </c>
      <c r="V20" s="430"/>
      <c r="W20" s="431"/>
      <c r="X20" s="431"/>
      <c r="Y20" s="431"/>
      <c r="Z20" s="430"/>
      <c r="AA20" s="425" t="str">
        <f>SUM(AA14:AA19)</f>
        <v>0 </v>
      </c>
      <c r="AB20" s="430"/>
      <c r="AC20" s="430"/>
      <c r="AD20" s="425" t="str">
        <f>SUM(AD14:AD19)</f>
        <v>0 </v>
      </c>
      <c r="AE20" s="430"/>
      <c r="AF20" s="425" t="str">
        <f t="shared" ref="AF20:AH20" si="50">SUM(AF14:AF19)</f>
        <v>0 </v>
      </c>
      <c r="AG20" s="429" t="str">
        <f t="shared" si="50"/>
        <v>  1,939,397,460 </v>
      </c>
      <c r="AH20" s="429" t="str">
        <f t="shared" si="50"/>
        <v>  - </v>
      </c>
      <c r="AI20" s="429"/>
      <c r="AJ20" s="432"/>
      <c r="AK20" s="457"/>
      <c r="AL20" s="457"/>
      <c r="AM20" s="434"/>
      <c r="AN20" s="429"/>
      <c r="AO20" s="429"/>
      <c r="AP20" s="429"/>
      <c r="AQ20" s="429"/>
      <c r="AR20" s="435"/>
      <c r="AS20" s="436" t="str">
        <f t="shared" ref="AS20:AT20" si="51">SUM(AS14:AS19)</f>
        <v>15,000,000 </v>
      </c>
      <c r="AT20" s="436" t="str">
        <f t="shared" si="51"/>
        <v>850,000 </v>
      </c>
      <c r="AU20" s="436"/>
      <c r="AV20" s="437"/>
      <c r="AW20" s="438"/>
      <c r="AX20" s="439"/>
      <c r="AY20" s="440"/>
      <c r="AZ20" s="441" t="str">
        <f>SUM(AZ14:AZ19)</f>
        <v>  355,556,201 </v>
      </c>
      <c r="BA20" s="442"/>
      <c r="BB20" s="442"/>
    </row>
    <row r="21" ht="16.5" customHeight="1">
      <c r="A21" s="16">
        <v>13.0</v>
      </c>
      <c r="B21" s="394"/>
      <c r="C21" s="458" t="s">
        <v>678</v>
      </c>
      <c r="D21" s="449">
        <v>301.0</v>
      </c>
      <c r="E21" s="450">
        <v>0.87049170766663</v>
      </c>
      <c r="F21" s="450">
        <v>0.12950829233337002</v>
      </c>
      <c r="G21" s="451">
        <v>21.371625</v>
      </c>
      <c r="H21" s="452">
        <v>37.373875</v>
      </c>
      <c r="I21" s="453">
        <v>3.905E8</v>
      </c>
      <c r="J21" s="399" t="str">
        <f t="shared" ref="J21:J23" si="52">ROUND(I21*E21,-3)</f>
        <v>339,927,000 </v>
      </c>
      <c r="K21" s="399" t="str">
        <f t="shared" ref="K21:K23" si="53">ROUND(I21*F21,-3)</f>
        <v>50,573,000 </v>
      </c>
      <c r="L21" s="399" t="str">
        <f t="shared" ref="L21:L24" si="54">ROUND(J21*10%,-3)</f>
        <v>33,993,000 </v>
      </c>
      <c r="M21" s="399" t="str">
        <f t="shared" ref="M21:M23" si="55">SUM(J21:L21)</f>
        <v>424,493,000 </v>
      </c>
      <c r="N21" s="13" t="str">
        <f t="shared" ref="N21:N23" si="56">(M21)</f>
        <v>424,493,000 </v>
      </c>
      <c r="O21" s="21"/>
      <c r="P21" s="387" t="str">
        <f t="shared" ref="P21:P28" si="57">ROUND(O21*E21,-3)</f>
        <v>  - </v>
      </c>
      <c r="Q21" s="387" t="str">
        <f t="shared" ref="Q21:Q28" si="58">ROUND(O21*F21,-3)</f>
        <v>  - </v>
      </c>
      <c r="R21" s="387" t="str">
        <f t="shared" ref="R21:R28" si="59">ROUND(P21*0.1,-3)</f>
        <v>  - </v>
      </c>
      <c r="S21" s="387" t="str">
        <f t="shared" ref="S21:S28" si="60">SUM(P21:R21)</f>
        <v>  - </v>
      </c>
      <c r="T21" s="384" t="str">
        <f t="shared" ref="T21:T24" si="61">N21*(1-0.22)</f>
        <v>  331,104,540 </v>
      </c>
      <c r="U21" s="387" t="str">
        <f t="shared" ref="U21:U24" si="62">N21-T21</f>
        <v>  93,388,460 </v>
      </c>
      <c r="V21" s="400" t="str">
        <f t="shared" ref="V21:V24" si="63">U21/N21</f>
        <v>22%</v>
      </c>
      <c r="W21" s="401"/>
      <c r="X21" s="401"/>
      <c r="Y21" s="401"/>
      <c r="Z21" s="400"/>
      <c r="AA21" s="400"/>
      <c r="AB21" s="74" t="str">
        <f t="shared" ref="AB21:AB24" si="64">AA21/T21</f>
        <v>0%</v>
      </c>
      <c r="AC21" s="400"/>
      <c r="AD21" s="400"/>
      <c r="AE21" s="400"/>
      <c r="AF21" s="400"/>
      <c r="AG21" s="384" t="str">
        <f t="shared" ref="AG21:AG24" si="65">T21-AH21</f>
        <v>  331,104,540 </v>
      </c>
      <c r="AH21" s="384" t="str">
        <f t="shared" ref="AH21:AH24" si="66">AA21+AF21</f>
        <v>  - </v>
      </c>
      <c r="AI21" s="400"/>
      <c r="AJ21" s="444"/>
      <c r="AK21" s="383">
        <v>301.0</v>
      </c>
      <c r="AL21" s="383"/>
      <c r="AM21" s="459"/>
      <c r="AN21" s="400"/>
      <c r="AO21" s="400"/>
      <c r="AP21" s="400"/>
      <c r="AQ21" s="400"/>
      <c r="AR21" s="460"/>
      <c r="AS21" s="36"/>
      <c r="AT21" s="36"/>
      <c r="AU21" s="388" t="str">
        <f t="shared" ref="AU21:AU23" si="67">AT21*12/(N21-AS21)</f>
        <v>0.00%</v>
      </c>
      <c r="AV21" s="389" t="str">
        <f t="shared" ref="AV21:AV23" si="68">AT21*12/(T21-AS21)</f>
        <v>0.00%</v>
      </c>
      <c r="AW21" s="407"/>
      <c r="AX21" s="408"/>
      <c r="AY21" s="461"/>
      <c r="AZ21" s="393" t="str">
        <f t="shared" ref="AZ21:AZ23" si="69">(T21-(N21*65%))*1.1</f>
        <v>  60,702,499 </v>
      </c>
      <c r="BA21" s="29" t="str">
        <f t="shared" ref="BA21:BA24" si="70">AZ21-BB21</f>
        <v>  60,702,499 </v>
      </c>
      <c r="BB21" s="29" t="str">
        <f t="shared" ref="BB21:BB23" si="71">(AS21+(AT21*100))*5%*1.1</f>
        <v>  - </v>
      </c>
    </row>
    <row r="22" ht="16.5" customHeight="1">
      <c r="A22" s="16">
        <v>14.0</v>
      </c>
      <c r="B22" s="394"/>
      <c r="C22" s="11"/>
      <c r="D22" s="449">
        <v>302.0</v>
      </c>
      <c r="E22" s="450">
        <v>0.8704798930821657</v>
      </c>
      <c r="F22" s="450">
        <v>0.12952010691783428</v>
      </c>
      <c r="G22" s="451">
        <v>21.214325</v>
      </c>
      <c r="H22" s="452">
        <v>37.0986</v>
      </c>
      <c r="I22" s="453">
        <v>3.915E8</v>
      </c>
      <c r="J22" s="399" t="str">
        <f t="shared" si="52"/>
        <v>340,793,000 </v>
      </c>
      <c r="K22" s="399" t="str">
        <f t="shared" si="53"/>
        <v>50,707,000 </v>
      </c>
      <c r="L22" s="399" t="str">
        <f t="shared" si="54"/>
        <v>34,079,000 </v>
      </c>
      <c r="M22" s="399" t="str">
        <f t="shared" si="55"/>
        <v>425,579,000 </v>
      </c>
      <c r="N22" s="13" t="str">
        <f t="shared" si="56"/>
        <v>425,579,000 </v>
      </c>
      <c r="O22" s="21"/>
      <c r="P22" s="387" t="str">
        <f t="shared" si="57"/>
        <v>  - </v>
      </c>
      <c r="Q22" s="387" t="str">
        <f t="shared" si="58"/>
        <v>  - </v>
      </c>
      <c r="R22" s="387" t="str">
        <f t="shared" si="59"/>
        <v>  - </v>
      </c>
      <c r="S22" s="387" t="str">
        <f t="shared" si="60"/>
        <v>  - </v>
      </c>
      <c r="T22" s="384" t="str">
        <f t="shared" si="61"/>
        <v>  331,951,620 </v>
      </c>
      <c r="U22" s="387" t="str">
        <f t="shared" si="62"/>
        <v>  93,627,380 </v>
      </c>
      <c r="V22" s="400" t="str">
        <f t="shared" si="63"/>
        <v>22%</v>
      </c>
      <c r="W22" s="401"/>
      <c r="X22" s="401"/>
      <c r="Y22" s="401"/>
      <c r="Z22" s="400"/>
      <c r="AA22" s="400"/>
      <c r="AB22" s="74" t="str">
        <f t="shared" si="64"/>
        <v>0%</v>
      </c>
      <c r="AC22" s="400"/>
      <c r="AD22" s="400"/>
      <c r="AE22" s="400"/>
      <c r="AF22" s="400"/>
      <c r="AG22" s="384" t="str">
        <f t="shared" si="65"/>
        <v>  331,951,620 </v>
      </c>
      <c r="AH22" s="384" t="str">
        <f t="shared" si="66"/>
        <v>  - </v>
      </c>
      <c r="AI22" s="400"/>
      <c r="AJ22" s="444"/>
      <c r="AK22" s="383">
        <v>302.0</v>
      </c>
      <c r="AL22" s="383"/>
      <c r="AM22" s="459"/>
      <c r="AN22" s="400"/>
      <c r="AO22" s="400"/>
      <c r="AP22" s="400"/>
      <c r="AQ22" s="400"/>
      <c r="AR22" s="460"/>
      <c r="AS22" s="36"/>
      <c r="AT22" s="36"/>
      <c r="AU22" s="388" t="str">
        <f t="shared" si="67"/>
        <v>0.00%</v>
      </c>
      <c r="AV22" s="389" t="str">
        <f t="shared" si="68"/>
        <v>0.00%</v>
      </c>
      <c r="AW22" s="407"/>
      <c r="AX22" s="408"/>
      <c r="AY22" s="461"/>
      <c r="AZ22" s="393" t="str">
        <f t="shared" si="69"/>
        <v>  60,857,797 </v>
      </c>
      <c r="BA22" s="29" t="str">
        <f t="shared" si="70"/>
        <v>  60,857,797 </v>
      </c>
      <c r="BB22" s="29" t="str">
        <f t="shared" si="71"/>
        <v>  - </v>
      </c>
    </row>
    <row r="23" ht="16.5" customHeight="1">
      <c r="A23" s="16">
        <v>15.0</v>
      </c>
      <c r="B23" s="394"/>
      <c r="C23" s="11"/>
      <c r="D23" s="449">
        <v>303.0</v>
      </c>
      <c r="E23" s="450">
        <v>0.8705105532802064</v>
      </c>
      <c r="F23" s="450">
        <v>0.12948944671979357</v>
      </c>
      <c r="G23" s="451">
        <v>21.534975</v>
      </c>
      <c r="H23" s="452">
        <v>37.661249999999995</v>
      </c>
      <c r="I23" s="453">
        <v>3.757E8</v>
      </c>
      <c r="J23" s="399" t="str">
        <f t="shared" si="52"/>
        <v>327,051,000 </v>
      </c>
      <c r="K23" s="399" t="str">
        <f t="shared" si="53"/>
        <v>48,649,000 </v>
      </c>
      <c r="L23" s="399" t="str">
        <f t="shared" si="54"/>
        <v>32,705,000 </v>
      </c>
      <c r="M23" s="399" t="str">
        <f t="shared" si="55"/>
        <v>408,405,000 </v>
      </c>
      <c r="N23" s="13" t="str">
        <f t="shared" si="56"/>
        <v>408,405,000 </v>
      </c>
      <c r="O23" s="21"/>
      <c r="P23" s="387" t="str">
        <f t="shared" si="57"/>
        <v>  - </v>
      </c>
      <c r="Q23" s="387" t="str">
        <f t="shared" si="58"/>
        <v>  - </v>
      </c>
      <c r="R23" s="387" t="str">
        <f t="shared" si="59"/>
        <v>  - </v>
      </c>
      <c r="S23" s="387" t="str">
        <f t="shared" si="60"/>
        <v>  - </v>
      </c>
      <c r="T23" s="384" t="str">
        <f t="shared" si="61"/>
        <v>  318,555,900 </v>
      </c>
      <c r="U23" s="387" t="str">
        <f t="shared" si="62"/>
        <v>  89,849,100 </v>
      </c>
      <c r="V23" s="400" t="str">
        <f t="shared" si="63"/>
        <v>22%</v>
      </c>
      <c r="W23" s="401"/>
      <c r="X23" s="401"/>
      <c r="Y23" s="401"/>
      <c r="Z23" s="400"/>
      <c r="AA23" s="400"/>
      <c r="AB23" s="74" t="str">
        <f t="shared" si="64"/>
        <v>0%</v>
      </c>
      <c r="AC23" s="400"/>
      <c r="AD23" s="400"/>
      <c r="AE23" s="400"/>
      <c r="AF23" s="400"/>
      <c r="AG23" s="384" t="str">
        <f t="shared" si="65"/>
        <v>  318,555,900 </v>
      </c>
      <c r="AH23" s="384" t="str">
        <f t="shared" si="66"/>
        <v>  - </v>
      </c>
      <c r="AI23" s="400"/>
      <c r="AJ23" s="444"/>
      <c r="AK23" s="383">
        <v>303.0</v>
      </c>
      <c r="AL23" s="383"/>
      <c r="AM23" s="459"/>
      <c r="AN23" s="400"/>
      <c r="AO23" s="400"/>
      <c r="AP23" s="400"/>
      <c r="AQ23" s="400"/>
      <c r="AR23" s="460"/>
      <c r="AS23" s="36"/>
      <c r="AT23" s="36"/>
      <c r="AU23" s="388" t="str">
        <f t="shared" si="67"/>
        <v>0.00%</v>
      </c>
      <c r="AV23" s="389" t="str">
        <f t="shared" si="68"/>
        <v>0.00%</v>
      </c>
      <c r="AW23" s="407"/>
      <c r="AX23" s="408"/>
      <c r="AY23" s="461"/>
      <c r="AZ23" s="393" t="str">
        <f t="shared" si="69"/>
        <v>  58,401,915 </v>
      </c>
      <c r="BA23" s="29" t="str">
        <f t="shared" si="70"/>
        <v>  58,401,915 </v>
      </c>
      <c r="BB23" s="29" t="str">
        <f t="shared" si="71"/>
        <v>  - </v>
      </c>
    </row>
    <row r="24" ht="16.5" customHeight="1">
      <c r="A24" s="16">
        <v>16.0</v>
      </c>
      <c r="B24" s="394"/>
      <c r="C24" s="11"/>
      <c r="D24" s="449">
        <v>304.0</v>
      </c>
      <c r="E24" s="450">
        <v>0.8704877088642934</v>
      </c>
      <c r="F24" s="450">
        <v>0.12951229113570656</v>
      </c>
      <c r="G24" s="462">
        <v>100.4</v>
      </c>
      <c r="H24" s="463">
        <v>175.5</v>
      </c>
      <c r="I24" s="464">
        <v>1.762E9</v>
      </c>
      <c r="J24" s="465">
        <v>1.533794E9</v>
      </c>
      <c r="K24" s="465">
        <v>2.28206E8</v>
      </c>
      <c r="L24" s="465" t="str">
        <f t="shared" si="54"/>
        <v>153,379,000 </v>
      </c>
      <c r="M24" s="465" t="str">
        <f>SUM(J24:L28)</f>
        <v>1,915,379,000 </v>
      </c>
      <c r="N24" s="466" t="str">
        <f>M24</f>
        <v>1,915,379,000 </v>
      </c>
      <c r="O24" s="21"/>
      <c r="P24" s="387" t="str">
        <f t="shared" si="57"/>
        <v>  - </v>
      </c>
      <c r="Q24" s="387" t="str">
        <f t="shared" si="58"/>
        <v>  - </v>
      </c>
      <c r="R24" s="387" t="str">
        <f t="shared" si="59"/>
        <v>  - </v>
      </c>
      <c r="S24" s="387" t="str">
        <f t="shared" si="60"/>
        <v>  - </v>
      </c>
      <c r="T24" s="467" t="str">
        <f t="shared" si="61"/>
        <v>  1,493,995,620 </v>
      </c>
      <c r="U24" s="467" t="str">
        <f t="shared" si="62"/>
        <v>  421,383,380 </v>
      </c>
      <c r="V24" s="468" t="str">
        <f t="shared" si="63"/>
        <v>22%</v>
      </c>
      <c r="W24" s="401"/>
      <c r="X24" s="401"/>
      <c r="Y24" s="401"/>
      <c r="Z24" s="467"/>
      <c r="AA24" s="468"/>
      <c r="AB24" s="469" t="str">
        <f t="shared" si="64"/>
        <v>0%</v>
      </c>
      <c r="AC24" s="468"/>
      <c r="AD24" s="468"/>
      <c r="AE24" s="468"/>
      <c r="AF24" s="468"/>
      <c r="AG24" s="467" t="str">
        <f t="shared" si="65"/>
        <v>  1,493,995,620 </v>
      </c>
      <c r="AH24" s="467" t="str">
        <f t="shared" si="66"/>
        <v>  - </v>
      </c>
      <c r="AI24" s="470">
        <v>45474.0</v>
      </c>
      <c r="AJ24" s="471"/>
      <c r="AK24" s="383">
        <v>304.0</v>
      </c>
      <c r="AL24" s="472" t="s">
        <v>679</v>
      </c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473"/>
      <c r="AZ24" s="474"/>
      <c r="BA24" s="475" t="str">
        <f t="shared" si="70"/>
        <v>  - </v>
      </c>
      <c r="BB24" s="6"/>
    </row>
    <row r="25" ht="16.5" customHeight="1">
      <c r="A25" s="16">
        <v>17.0</v>
      </c>
      <c r="B25" s="394"/>
      <c r="C25" s="11"/>
      <c r="D25" s="449">
        <v>305.0</v>
      </c>
      <c r="E25" s="450">
        <v>0.8704877088642934</v>
      </c>
      <c r="F25" s="450">
        <v>0.12951229113570656</v>
      </c>
      <c r="G25" s="11"/>
      <c r="H25" s="11"/>
      <c r="I25" s="11"/>
      <c r="J25" s="11"/>
      <c r="K25" s="11"/>
      <c r="L25" s="11"/>
      <c r="M25" s="11"/>
      <c r="N25" s="11"/>
      <c r="O25" s="21"/>
      <c r="P25" s="387" t="str">
        <f t="shared" si="57"/>
        <v>  - </v>
      </c>
      <c r="Q25" s="387" t="str">
        <f t="shared" si="58"/>
        <v>  - </v>
      </c>
      <c r="R25" s="387" t="str">
        <f t="shared" si="59"/>
        <v>  - </v>
      </c>
      <c r="S25" s="387" t="str">
        <f t="shared" si="60"/>
        <v>  - </v>
      </c>
      <c r="T25" s="11"/>
      <c r="U25" s="11"/>
      <c r="V25" s="11"/>
      <c r="W25" s="401"/>
      <c r="X25" s="401"/>
      <c r="Y25" s="40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476"/>
      <c r="AK25" s="383">
        <v>305.0</v>
      </c>
      <c r="AL25" s="27"/>
      <c r="AY25" s="477"/>
      <c r="BA25" s="11"/>
      <c r="BB25" s="11"/>
    </row>
    <row r="26" ht="16.5" customHeight="1">
      <c r="A26" s="16">
        <v>18.0</v>
      </c>
      <c r="B26" s="394"/>
      <c r="C26" s="11"/>
      <c r="D26" s="449">
        <v>306.0</v>
      </c>
      <c r="E26" s="450">
        <v>0.8704877088642934</v>
      </c>
      <c r="F26" s="450">
        <v>0.12951229113570656</v>
      </c>
      <c r="G26" s="11"/>
      <c r="H26" s="11"/>
      <c r="I26" s="11"/>
      <c r="J26" s="11"/>
      <c r="K26" s="11"/>
      <c r="L26" s="11"/>
      <c r="M26" s="11"/>
      <c r="N26" s="11"/>
      <c r="O26" s="21"/>
      <c r="P26" s="387" t="str">
        <f t="shared" si="57"/>
        <v>  - </v>
      </c>
      <c r="Q26" s="387" t="str">
        <f t="shared" si="58"/>
        <v>  - </v>
      </c>
      <c r="R26" s="387" t="str">
        <f t="shared" si="59"/>
        <v>  - </v>
      </c>
      <c r="S26" s="387" t="str">
        <f t="shared" si="60"/>
        <v>  - </v>
      </c>
      <c r="T26" s="11"/>
      <c r="U26" s="11"/>
      <c r="V26" s="11"/>
      <c r="W26" s="401"/>
      <c r="X26" s="401"/>
      <c r="Y26" s="40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476"/>
      <c r="AK26" s="383">
        <v>306.0</v>
      </c>
      <c r="AL26" s="27"/>
      <c r="AY26" s="477"/>
      <c r="BA26" s="11"/>
      <c r="BB26" s="11"/>
    </row>
    <row r="27" ht="16.5" customHeight="1">
      <c r="A27" s="16">
        <v>19.0</v>
      </c>
      <c r="B27" s="394"/>
      <c r="C27" s="11"/>
      <c r="D27" s="449">
        <v>307.0</v>
      </c>
      <c r="E27" s="450">
        <v>0.8704843391131003</v>
      </c>
      <c r="F27" s="450">
        <v>0.12951566088689964</v>
      </c>
      <c r="G27" s="11"/>
      <c r="H27" s="11"/>
      <c r="I27" s="11"/>
      <c r="J27" s="11"/>
      <c r="K27" s="11"/>
      <c r="L27" s="11"/>
      <c r="M27" s="11"/>
      <c r="N27" s="11"/>
      <c r="O27" s="21"/>
      <c r="P27" s="387" t="str">
        <f t="shared" si="57"/>
        <v>  - </v>
      </c>
      <c r="Q27" s="387" t="str">
        <f t="shared" si="58"/>
        <v>  - </v>
      </c>
      <c r="R27" s="387" t="str">
        <f t="shared" si="59"/>
        <v>  - </v>
      </c>
      <c r="S27" s="387" t="str">
        <f t="shared" si="60"/>
        <v>  - </v>
      </c>
      <c r="T27" s="11"/>
      <c r="U27" s="11"/>
      <c r="V27" s="11"/>
      <c r="W27" s="401"/>
      <c r="X27" s="401"/>
      <c r="Y27" s="40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476"/>
      <c r="AK27" s="383">
        <v>307.0</v>
      </c>
      <c r="AL27" s="27"/>
      <c r="AY27" s="477"/>
      <c r="BA27" s="11"/>
      <c r="BB27" s="11"/>
    </row>
    <row r="28" ht="16.5" customHeight="1">
      <c r="A28" s="16">
        <v>20.0</v>
      </c>
      <c r="B28" s="394"/>
      <c r="C28" s="11"/>
      <c r="D28" s="449">
        <v>308.0</v>
      </c>
      <c r="E28" s="450">
        <v>0.8704641077583635</v>
      </c>
      <c r="F28" s="450">
        <v>0.12953589224163645</v>
      </c>
      <c r="G28" s="15"/>
      <c r="H28" s="15"/>
      <c r="I28" s="15"/>
      <c r="J28" s="15"/>
      <c r="K28" s="15"/>
      <c r="L28" s="15"/>
      <c r="M28" s="15"/>
      <c r="N28" s="15"/>
      <c r="O28" s="21"/>
      <c r="P28" s="387" t="str">
        <f t="shared" si="57"/>
        <v>  - </v>
      </c>
      <c r="Q28" s="387" t="str">
        <f t="shared" si="58"/>
        <v>  - </v>
      </c>
      <c r="R28" s="387" t="str">
        <f t="shared" si="59"/>
        <v>  - </v>
      </c>
      <c r="S28" s="387" t="str">
        <f t="shared" si="60"/>
        <v>  - </v>
      </c>
      <c r="T28" s="15"/>
      <c r="U28" s="15"/>
      <c r="V28" s="15"/>
      <c r="W28" s="401"/>
      <c r="X28" s="401"/>
      <c r="Y28" s="401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478"/>
      <c r="AK28" s="383">
        <v>308.0</v>
      </c>
      <c r="AL28" s="222"/>
      <c r="AM28" s="479"/>
      <c r="AN28" s="479"/>
      <c r="AO28" s="479"/>
      <c r="AP28" s="479"/>
      <c r="AQ28" s="479"/>
      <c r="AR28" s="479"/>
      <c r="AS28" s="479"/>
      <c r="AT28" s="479"/>
      <c r="AU28" s="479"/>
      <c r="AV28" s="479"/>
      <c r="AW28" s="479"/>
      <c r="AX28" s="479"/>
      <c r="AY28" s="480"/>
      <c r="AZ28" s="479"/>
      <c r="BA28" s="15"/>
      <c r="BB28" s="15"/>
    </row>
    <row r="29" ht="16.5" customHeight="1">
      <c r="A29" s="418"/>
      <c r="B29" s="419"/>
      <c r="C29" s="11"/>
      <c r="D29" s="420" t="s">
        <v>279</v>
      </c>
      <c r="E29" s="421"/>
      <c r="F29" s="421"/>
      <c r="G29" s="422">
        <v>164.47832499999996</v>
      </c>
      <c r="H29" s="423">
        <v>287.632125</v>
      </c>
      <c r="I29" s="424">
        <v>2.9197E9</v>
      </c>
      <c r="J29" s="424"/>
      <c r="K29" s="424"/>
      <c r="L29" s="424"/>
      <c r="M29" s="424"/>
      <c r="N29" s="425" t="str">
        <f t="shared" ref="N29:O29" si="72">SUM(N21:N28)</f>
        <v>3,173,856,000 </v>
      </c>
      <c r="O29" s="425" t="str">
        <f t="shared" si="72"/>
        <v>0 </v>
      </c>
      <c r="P29" s="427"/>
      <c r="Q29" s="427"/>
      <c r="R29" s="427"/>
      <c r="S29" s="428" t="str">
        <f t="shared" ref="S29:U29" si="73">SUM(S21:S28)</f>
        <v>  - </v>
      </c>
      <c r="T29" s="429" t="str">
        <f t="shared" si="73"/>
        <v>  2,475,607,680 </v>
      </c>
      <c r="U29" s="428" t="str">
        <f t="shared" si="73"/>
        <v>  698,248,320 </v>
      </c>
      <c r="V29" s="430"/>
      <c r="W29" s="431"/>
      <c r="X29" s="431"/>
      <c r="Y29" s="431"/>
      <c r="Z29" s="430"/>
      <c r="AA29" s="425" t="str">
        <f>SUM(AA21:AA28)</f>
        <v>0 </v>
      </c>
      <c r="AB29" s="430"/>
      <c r="AC29" s="430"/>
      <c r="AD29" s="425" t="str">
        <f>SUM(AD21:AD28)</f>
        <v>0 </v>
      </c>
      <c r="AE29" s="430"/>
      <c r="AF29" s="425" t="str">
        <f t="shared" ref="AF29:AH29" si="74">SUM(AF21:AF28)</f>
        <v>0 </v>
      </c>
      <c r="AG29" s="429" t="str">
        <f t="shared" si="74"/>
        <v>  2,475,607,680 </v>
      </c>
      <c r="AH29" s="429" t="str">
        <f t="shared" si="74"/>
        <v>  - </v>
      </c>
      <c r="AI29" s="429"/>
      <c r="AJ29" s="432"/>
      <c r="AK29" s="457"/>
      <c r="AL29" s="457"/>
      <c r="AM29" s="434"/>
      <c r="AN29" s="429"/>
      <c r="AO29" s="429"/>
      <c r="AP29" s="429"/>
      <c r="AQ29" s="429"/>
      <c r="AR29" s="435"/>
      <c r="AS29" s="436" t="str">
        <f t="shared" ref="AS29:AT29" si="75">SUM(AS21:AS23)</f>
        <v>0 </v>
      </c>
      <c r="AT29" s="436" t="str">
        <f t="shared" si="75"/>
        <v>0 </v>
      </c>
      <c r="AU29" s="436"/>
      <c r="AV29" s="437"/>
      <c r="AW29" s="481"/>
      <c r="AX29" s="439"/>
      <c r="AY29" s="440"/>
      <c r="AZ29" s="441" t="str">
        <f>SUM(AZ21:AZ28)</f>
        <v>  179,962,211 </v>
      </c>
      <c r="BA29" s="442"/>
      <c r="BB29" s="442"/>
    </row>
    <row r="30" ht="16.5" customHeight="1">
      <c r="A30" s="6">
        <v>21.0</v>
      </c>
      <c r="B30" s="482"/>
      <c r="C30" s="11"/>
      <c r="D30" s="483">
        <v>401.0</v>
      </c>
      <c r="E30" s="450">
        <v>0.8700614210289519</v>
      </c>
      <c r="F30" s="450">
        <v>0.12993857897104816</v>
      </c>
      <c r="G30" s="462">
        <v>43.45</v>
      </c>
      <c r="H30" s="463">
        <v>75.15</v>
      </c>
      <c r="I30" s="453">
        <v>3.88E8</v>
      </c>
      <c r="J30" s="399" t="str">
        <f t="shared" ref="J30:J36" si="76">ROUND(I30*E30,-3)</f>
        <v>337,584,000 </v>
      </c>
      <c r="K30" s="399" t="str">
        <f t="shared" ref="K30:K36" si="77">ROUND(I30*F30,-3)</f>
        <v>50,416,000 </v>
      </c>
      <c r="L30" s="399" t="str">
        <f t="shared" ref="L30:L36" si="78">ROUND(J30*10%,-3)</f>
        <v>33,758,000 </v>
      </c>
      <c r="M30" s="399" t="str">
        <f t="shared" ref="M30:M36" si="79">SUM(J30:L30)</f>
        <v>421,758,000 </v>
      </c>
      <c r="N30" s="484" t="str">
        <f>(M30)+M31</f>
        <v>844,059,000 </v>
      </c>
      <c r="O30" s="21"/>
      <c r="P30" s="387" t="str">
        <f t="shared" ref="P30:P36" si="80">ROUND(O30*E30,-3)</f>
        <v>  - </v>
      </c>
      <c r="Q30" s="387" t="str">
        <f t="shared" ref="Q30:Q36" si="81">ROUND(O30*F30,-3)</f>
        <v>  - </v>
      </c>
      <c r="R30" s="387" t="str">
        <f t="shared" ref="R30:R36" si="82">ROUND(P30*0.1,-3)</f>
        <v>  - </v>
      </c>
      <c r="S30" s="387" t="str">
        <f t="shared" ref="S30:S36" si="83">SUM(P30:R30)</f>
        <v>  - </v>
      </c>
      <c r="T30" s="467" t="str">
        <f>N30*(1-0.22)</f>
        <v>  658,366,020 </v>
      </c>
      <c r="U30" s="467" t="str">
        <f>N30-T30</f>
        <v>  185,692,980 </v>
      </c>
      <c r="V30" s="468" t="str">
        <f>U30/N30</f>
        <v>22%</v>
      </c>
      <c r="W30" s="485"/>
      <c r="X30" s="485"/>
      <c r="Y30" s="485"/>
      <c r="Z30" s="470">
        <v>45790.0</v>
      </c>
      <c r="AA30" s="467">
        <v>8.44059E7</v>
      </c>
      <c r="AB30" s="469" t="str">
        <f>AA30/N30</f>
        <v>10%</v>
      </c>
      <c r="AC30" s="470">
        <v>45820.0</v>
      </c>
      <c r="AD30" s="467" t="str">
        <f>AA30</f>
        <v>  84,405,900 </v>
      </c>
      <c r="AE30" s="470">
        <v>45850.0</v>
      </c>
      <c r="AF30" s="467">
        <v>6.752472E8</v>
      </c>
      <c r="AG30" s="467" t="str">
        <f>AF30+AD30</f>
        <v>  759,653,100 </v>
      </c>
      <c r="AH30" s="467" t="str">
        <f>AA30+AF30</f>
        <v>  759,653,100 </v>
      </c>
      <c r="AI30" s="470">
        <v>45483.0</v>
      </c>
      <c r="AJ30" s="471"/>
      <c r="AK30" s="486">
        <v>401.0</v>
      </c>
      <c r="AL30" s="487" t="s">
        <v>625</v>
      </c>
      <c r="AM30" s="467" t="s">
        <v>680</v>
      </c>
      <c r="AN30" s="467"/>
      <c r="AO30" s="467" t="s">
        <v>681</v>
      </c>
      <c r="AP30" s="488" t="s">
        <v>682</v>
      </c>
      <c r="AQ30" s="488">
        <v>46213.0</v>
      </c>
      <c r="AR30" s="489" t="str">
        <f>(AQ30-TODAY())</f>
        <v>53일</v>
      </c>
      <c r="AS30" s="475">
        <v>4.0E7</v>
      </c>
      <c r="AT30" s="490" t="str">
        <f>1750000*2</f>
        <v>  3,500,000 </v>
      </c>
      <c r="AU30" s="491" t="str">
        <f>AT30*12/(N30-AS30)</f>
        <v>5.22%</v>
      </c>
      <c r="AV30" s="491" t="str">
        <f>AT30*12/(T30-AS30)</f>
        <v>6.79%</v>
      </c>
      <c r="AW30" s="492" t="s">
        <v>673</v>
      </c>
      <c r="AX30" s="493">
        <v>0.0</v>
      </c>
      <c r="AY30" s="494"/>
      <c r="AZ30" s="181" t="str">
        <f>(T30-N30*65%)*1.1</f>
        <v>  120,700,437 </v>
      </c>
      <c r="BA30" s="475" t="str">
        <f>AZ30-BB30</f>
        <v>  99,250,437 </v>
      </c>
      <c r="BB30" s="475" t="str">
        <f>(AS30+(AT30*100))*5%*1.1</f>
        <v>  21,450,000 </v>
      </c>
    </row>
    <row r="31" ht="16.5" customHeight="1">
      <c r="A31" s="15"/>
      <c r="B31" s="15"/>
      <c r="C31" s="11"/>
      <c r="D31" s="15"/>
      <c r="E31" s="450">
        <v>0.8700463693494379</v>
      </c>
      <c r="F31" s="450">
        <v>0.12995363065056212</v>
      </c>
      <c r="G31" s="15"/>
      <c r="H31" s="15"/>
      <c r="I31" s="453">
        <v>3.885E8</v>
      </c>
      <c r="J31" s="399" t="str">
        <f t="shared" si="76"/>
        <v>338,013,000 </v>
      </c>
      <c r="K31" s="399" t="str">
        <f t="shared" si="77"/>
        <v>50,487,000 </v>
      </c>
      <c r="L31" s="399" t="str">
        <f t="shared" si="78"/>
        <v>33,801,000 </v>
      </c>
      <c r="M31" s="399" t="str">
        <f t="shared" si="79"/>
        <v>422,301,000 </v>
      </c>
      <c r="N31" s="15"/>
      <c r="O31" s="21"/>
      <c r="P31" s="387" t="str">
        <f t="shared" si="80"/>
        <v>  - </v>
      </c>
      <c r="Q31" s="387" t="str">
        <f t="shared" si="81"/>
        <v>  - </v>
      </c>
      <c r="R31" s="387" t="str">
        <f t="shared" si="82"/>
        <v>  - </v>
      </c>
      <c r="S31" s="387" t="str">
        <f t="shared" si="83"/>
        <v>  - 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478"/>
      <c r="AK31" s="223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478"/>
      <c r="BA31" s="15"/>
      <c r="BB31" s="15"/>
    </row>
    <row r="32" ht="16.5" customHeight="1">
      <c r="A32" s="16">
        <v>22.0</v>
      </c>
      <c r="B32" s="394"/>
      <c r="C32" s="11"/>
      <c r="D32" s="449">
        <v>402.0</v>
      </c>
      <c r="E32" s="450">
        <v>0.8700836136406577</v>
      </c>
      <c r="F32" s="450">
        <v>0.12991638635934233</v>
      </c>
      <c r="G32" s="451">
        <v>21.534975</v>
      </c>
      <c r="H32" s="452">
        <v>37.519075</v>
      </c>
      <c r="I32" s="453">
        <v>3.689E8</v>
      </c>
      <c r="J32" s="399" t="str">
        <f t="shared" si="76"/>
        <v>320,974,000 </v>
      </c>
      <c r="K32" s="399" t="str">
        <f t="shared" si="77"/>
        <v>47,926,000 </v>
      </c>
      <c r="L32" s="399" t="str">
        <f t="shared" si="78"/>
        <v>32,097,000 </v>
      </c>
      <c r="M32" s="399" t="str">
        <f t="shared" si="79"/>
        <v>400,997,000 </v>
      </c>
      <c r="N32" s="13" t="str">
        <f t="shared" ref="N32:N36" si="84">(M32)</f>
        <v>400,997,000 </v>
      </c>
      <c r="O32" s="21"/>
      <c r="P32" s="387" t="str">
        <f t="shared" si="80"/>
        <v>  - </v>
      </c>
      <c r="Q32" s="387" t="str">
        <f t="shared" si="81"/>
        <v>  - </v>
      </c>
      <c r="R32" s="387" t="str">
        <f t="shared" si="82"/>
        <v>  - </v>
      </c>
      <c r="S32" s="387" t="str">
        <f t="shared" si="83"/>
        <v>  - </v>
      </c>
      <c r="T32" s="384" t="str">
        <f>N32*(1-0.3)</f>
        <v>  280,697,900 </v>
      </c>
      <c r="U32" s="387" t="str">
        <f t="shared" ref="U32:U36" si="85">N32-T32</f>
        <v>  120,299,100 </v>
      </c>
      <c r="V32" s="400" t="str">
        <f t="shared" ref="V32:V36" si="86">U32/N32</f>
        <v>30%</v>
      </c>
      <c r="W32" s="401"/>
      <c r="X32" s="401"/>
      <c r="Y32" s="401"/>
      <c r="Z32" s="460">
        <v>45790.0</v>
      </c>
      <c r="AA32" s="384">
        <v>4.00997E7</v>
      </c>
      <c r="AB32" s="74" t="str">
        <f t="shared" ref="AB32:AB36" si="87">AA32/N32</f>
        <v>10%</v>
      </c>
      <c r="AC32" s="460">
        <v>45820.0</v>
      </c>
      <c r="AD32" s="384" t="str">
        <f t="shared" ref="AD32:AD36" si="88">AA32</f>
        <v>  40,099,700 </v>
      </c>
      <c r="AE32" s="460">
        <v>45850.0</v>
      </c>
      <c r="AF32" s="384">
        <v>3.207976E8</v>
      </c>
      <c r="AG32" s="384" t="str">
        <f t="shared" ref="AG32:AG36" si="89">AF32+AD32</f>
        <v>  360,897,300 </v>
      </c>
      <c r="AH32" s="384" t="str">
        <f t="shared" ref="AH32:AH36" si="90">AA32+AF32</f>
        <v>  360,897,300 </v>
      </c>
      <c r="AI32" s="400"/>
      <c r="AJ32" s="444"/>
      <c r="AK32" s="495">
        <v>402.0</v>
      </c>
      <c r="AL32" s="496"/>
      <c r="AM32" s="448"/>
      <c r="AN32" s="447"/>
      <c r="AO32" s="497"/>
      <c r="AP32" s="447"/>
      <c r="AQ32" s="498"/>
      <c r="AR32" s="499"/>
      <c r="AS32" s="42"/>
      <c r="AT32" s="42"/>
      <c r="AU32" s="500"/>
      <c r="AV32" s="501"/>
      <c r="AW32" s="492"/>
      <c r="AX32" s="408"/>
      <c r="AY32" s="502"/>
      <c r="AZ32" s="393" t="str">
        <f t="shared" ref="AZ32:AZ36" si="91">(T32-(N32*65%))*1.1</f>
        <v>  22,054,835 </v>
      </c>
      <c r="BA32" s="29" t="str">
        <f t="shared" ref="BA32:BA36" si="92">AZ32-BB32</f>
        <v>  22,054,835 </v>
      </c>
      <c r="BB32" s="29" t="str">
        <f t="shared" ref="BB32:BB36" si="93">(AS32+(AT32*100))*5%*1.1</f>
        <v>  - </v>
      </c>
    </row>
    <row r="33" ht="16.5" customHeight="1">
      <c r="A33" s="16">
        <v>23.0</v>
      </c>
      <c r="B33" s="394"/>
      <c r="C33" s="11"/>
      <c r="D33" s="449">
        <v>403.0</v>
      </c>
      <c r="E33" s="450">
        <v>0.8700515075810344</v>
      </c>
      <c r="F33" s="450">
        <v>0.12994849241896553</v>
      </c>
      <c r="G33" s="451">
        <v>21.97965</v>
      </c>
      <c r="H33" s="452">
        <v>38.29045</v>
      </c>
      <c r="I33" s="453">
        <v>3.767E8</v>
      </c>
      <c r="J33" s="399" t="str">
        <f t="shared" si="76"/>
        <v>327,748,000 </v>
      </c>
      <c r="K33" s="399" t="str">
        <f t="shared" si="77"/>
        <v>48,952,000 </v>
      </c>
      <c r="L33" s="399" t="str">
        <f t="shared" si="78"/>
        <v>32,775,000 </v>
      </c>
      <c r="M33" s="399" t="str">
        <f t="shared" si="79"/>
        <v>409,475,000 </v>
      </c>
      <c r="N33" s="13" t="str">
        <f t="shared" si="84"/>
        <v>409,475,000 </v>
      </c>
      <c r="O33" s="21"/>
      <c r="P33" s="387" t="str">
        <f t="shared" si="80"/>
        <v>  - </v>
      </c>
      <c r="Q33" s="387" t="str">
        <f t="shared" si="81"/>
        <v>  - </v>
      </c>
      <c r="R33" s="387" t="str">
        <f t="shared" si="82"/>
        <v>  - </v>
      </c>
      <c r="S33" s="387" t="str">
        <f t="shared" si="83"/>
        <v>  - </v>
      </c>
      <c r="T33" s="384" t="str">
        <f t="shared" ref="T33:T36" si="94">N33*(1-0.22)</f>
        <v>  319,390,500 </v>
      </c>
      <c r="U33" s="387" t="str">
        <f t="shared" si="85"/>
        <v>  90,084,500 </v>
      </c>
      <c r="V33" s="400" t="str">
        <f t="shared" si="86"/>
        <v>22%</v>
      </c>
      <c r="W33" s="401"/>
      <c r="X33" s="401"/>
      <c r="Y33" s="401"/>
      <c r="Z33" s="460">
        <v>45790.0</v>
      </c>
      <c r="AA33" s="384">
        <v>4.09475E7</v>
      </c>
      <c r="AB33" s="74" t="str">
        <f t="shared" si="87"/>
        <v>10%</v>
      </c>
      <c r="AC33" s="460">
        <v>45820.0</v>
      </c>
      <c r="AD33" s="384" t="str">
        <f t="shared" si="88"/>
        <v>  40,947,500 </v>
      </c>
      <c r="AE33" s="460">
        <v>45850.0</v>
      </c>
      <c r="AF33" s="384">
        <v>3.2758E8</v>
      </c>
      <c r="AG33" s="384" t="str">
        <f t="shared" si="89"/>
        <v>  368,527,500 </v>
      </c>
      <c r="AH33" s="384" t="str">
        <f t="shared" si="90"/>
        <v>  368,527,500 </v>
      </c>
      <c r="AI33" s="400"/>
      <c r="AJ33" s="444"/>
      <c r="AK33" s="503">
        <v>403.0</v>
      </c>
      <c r="AL33" s="504"/>
      <c r="AM33" s="448"/>
      <c r="AN33" s="447"/>
      <c r="AO33" s="505"/>
      <c r="AP33" s="447"/>
      <c r="AQ33" s="505"/>
      <c r="AR33" s="506"/>
      <c r="AS33" s="507"/>
      <c r="AT33" s="507"/>
      <c r="AU33" s="508"/>
      <c r="AV33" s="11"/>
      <c r="AW33" s="509"/>
      <c r="AX33" s="408"/>
      <c r="AY33" s="510"/>
      <c r="AZ33" s="393" t="str">
        <f t="shared" si="91"/>
        <v>  58,554,925 </v>
      </c>
      <c r="BA33" s="29" t="str">
        <f t="shared" si="92"/>
        <v>  58,554,925 </v>
      </c>
      <c r="BB33" s="29" t="str">
        <f t="shared" si="93"/>
        <v>  - </v>
      </c>
    </row>
    <row r="34" ht="16.5" customHeight="1">
      <c r="A34" s="16">
        <v>24.0</v>
      </c>
      <c r="B34" s="394"/>
      <c r="C34" s="11"/>
      <c r="D34" s="449">
        <v>404.0</v>
      </c>
      <c r="E34" s="450">
        <v>0.8700515075810344</v>
      </c>
      <c r="F34" s="450">
        <v>0.12994849241896553</v>
      </c>
      <c r="G34" s="451">
        <v>21.97965</v>
      </c>
      <c r="H34" s="452">
        <v>38.29045</v>
      </c>
      <c r="I34" s="453">
        <v>3.767E8</v>
      </c>
      <c r="J34" s="399" t="str">
        <f t="shared" si="76"/>
        <v>327,748,000 </v>
      </c>
      <c r="K34" s="399" t="str">
        <f t="shared" si="77"/>
        <v>48,952,000 </v>
      </c>
      <c r="L34" s="399" t="str">
        <f t="shared" si="78"/>
        <v>32,775,000 </v>
      </c>
      <c r="M34" s="399" t="str">
        <f t="shared" si="79"/>
        <v>409,475,000 </v>
      </c>
      <c r="N34" s="13" t="str">
        <f t="shared" si="84"/>
        <v>409,475,000 </v>
      </c>
      <c r="O34" s="21"/>
      <c r="P34" s="387" t="str">
        <f t="shared" si="80"/>
        <v>  - </v>
      </c>
      <c r="Q34" s="387" t="str">
        <f t="shared" si="81"/>
        <v>  - </v>
      </c>
      <c r="R34" s="387" t="str">
        <f t="shared" si="82"/>
        <v>  - </v>
      </c>
      <c r="S34" s="387" t="str">
        <f t="shared" si="83"/>
        <v>  - </v>
      </c>
      <c r="T34" s="384" t="str">
        <f t="shared" si="94"/>
        <v>  319,390,500 </v>
      </c>
      <c r="U34" s="387" t="str">
        <f t="shared" si="85"/>
        <v>  90,084,500 </v>
      </c>
      <c r="V34" s="400" t="str">
        <f t="shared" si="86"/>
        <v>22%</v>
      </c>
      <c r="W34" s="401"/>
      <c r="X34" s="401"/>
      <c r="Y34" s="401"/>
      <c r="Z34" s="460">
        <v>45790.0</v>
      </c>
      <c r="AA34" s="384">
        <v>4.09475E7</v>
      </c>
      <c r="AB34" s="74" t="str">
        <f t="shared" si="87"/>
        <v>10%</v>
      </c>
      <c r="AC34" s="460">
        <v>45820.0</v>
      </c>
      <c r="AD34" s="384" t="str">
        <f t="shared" si="88"/>
        <v>  40,947,500 </v>
      </c>
      <c r="AE34" s="460">
        <v>45850.0</v>
      </c>
      <c r="AF34" s="384">
        <v>3.2758E8</v>
      </c>
      <c r="AG34" s="384" t="str">
        <f t="shared" si="89"/>
        <v>  368,527,500 </v>
      </c>
      <c r="AH34" s="384" t="str">
        <f t="shared" si="90"/>
        <v>  368,527,500 </v>
      </c>
      <c r="AI34" s="400"/>
      <c r="AJ34" s="444"/>
      <c r="AK34" s="495">
        <v>404.0</v>
      </c>
      <c r="AL34" s="504"/>
      <c r="AM34" s="448"/>
      <c r="AN34" s="447"/>
      <c r="AO34" s="505"/>
      <c r="AP34" s="447"/>
      <c r="AQ34" s="505"/>
      <c r="AR34" s="506"/>
      <c r="AS34" s="507"/>
      <c r="AT34" s="507"/>
      <c r="AU34" s="508"/>
      <c r="AV34" s="11"/>
      <c r="AW34" s="509"/>
      <c r="AX34" s="408"/>
      <c r="AY34" s="510"/>
      <c r="AZ34" s="393" t="str">
        <f t="shared" si="91"/>
        <v>  58,554,925 </v>
      </c>
      <c r="BA34" s="29" t="str">
        <f t="shared" si="92"/>
        <v>  58,554,925 </v>
      </c>
      <c r="BB34" s="29" t="str">
        <f t="shared" si="93"/>
        <v>  - </v>
      </c>
    </row>
    <row r="35" ht="16.5" customHeight="1">
      <c r="A35" s="16">
        <v>25.0</v>
      </c>
      <c r="B35" s="394"/>
      <c r="C35" s="11"/>
      <c r="D35" s="449">
        <v>405.0</v>
      </c>
      <c r="E35" s="450">
        <v>0.8700515075810344</v>
      </c>
      <c r="F35" s="450">
        <v>0.12994849241896553</v>
      </c>
      <c r="G35" s="451">
        <v>21.97965</v>
      </c>
      <c r="H35" s="452">
        <v>38.29045</v>
      </c>
      <c r="I35" s="453">
        <v>3.932E8</v>
      </c>
      <c r="J35" s="399" t="str">
        <f t="shared" si="76"/>
        <v>342,104,000 </v>
      </c>
      <c r="K35" s="399" t="str">
        <f t="shared" si="77"/>
        <v>51,096,000 </v>
      </c>
      <c r="L35" s="399" t="str">
        <f t="shared" si="78"/>
        <v>34,210,000 </v>
      </c>
      <c r="M35" s="399" t="str">
        <f t="shared" si="79"/>
        <v>427,410,000 </v>
      </c>
      <c r="N35" s="13" t="str">
        <f t="shared" si="84"/>
        <v>427,410,000 </v>
      </c>
      <c r="O35" s="21"/>
      <c r="P35" s="387" t="str">
        <f t="shared" si="80"/>
        <v>  - </v>
      </c>
      <c r="Q35" s="387" t="str">
        <f t="shared" si="81"/>
        <v>  - </v>
      </c>
      <c r="R35" s="387" t="str">
        <f t="shared" si="82"/>
        <v>  - </v>
      </c>
      <c r="S35" s="387" t="str">
        <f t="shared" si="83"/>
        <v>  - </v>
      </c>
      <c r="T35" s="384" t="str">
        <f t="shared" si="94"/>
        <v>  333,379,800 </v>
      </c>
      <c r="U35" s="387" t="str">
        <f t="shared" si="85"/>
        <v>  94,030,200 </v>
      </c>
      <c r="V35" s="400" t="str">
        <f t="shared" si="86"/>
        <v>22%</v>
      </c>
      <c r="W35" s="401"/>
      <c r="X35" s="401"/>
      <c r="Y35" s="401"/>
      <c r="Z35" s="460">
        <v>45790.0</v>
      </c>
      <c r="AA35" s="384" t="str">
        <f t="shared" ref="AA35:AA36" si="95">N35*0.1</f>
        <v>  42,741,000 </v>
      </c>
      <c r="AB35" s="74" t="str">
        <f t="shared" si="87"/>
        <v>10%</v>
      </c>
      <c r="AC35" s="460">
        <v>45820.0</v>
      </c>
      <c r="AD35" s="384" t="str">
        <f t="shared" si="88"/>
        <v>  42,741,000 </v>
      </c>
      <c r="AE35" s="460">
        <v>45850.0</v>
      </c>
      <c r="AF35" s="384">
        <v>3.41928E8</v>
      </c>
      <c r="AG35" s="384" t="str">
        <f t="shared" si="89"/>
        <v>  384,669,000 </v>
      </c>
      <c r="AH35" s="384" t="str">
        <f t="shared" si="90"/>
        <v>  384,669,000 </v>
      </c>
      <c r="AI35" s="400"/>
      <c r="AJ35" s="444"/>
      <c r="AK35" s="503">
        <v>405.0</v>
      </c>
      <c r="AL35" s="504"/>
      <c r="AM35" s="448"/>
      <c r="AN35" s="447"/>
      <c r="AO35" s="505"/>
      <c r="AP35" s="447"/>
      <c r="AQ35" s="505"/>
      <c r="AR35" s="506"/>
      <c r="AS35" s="507"/>
      <c r="AT35" s="507"/>
      <c r="AU35" s="508"/>
      <c r="AV35" s="11"/>
      <c r="AW35" s="509"/>
      <c r="AX35" s="408"/>
      <c r="AY35" s="510"/>
      <c r="AZ35" s="393" t="str">
        <f t="shared" si="91"/>
        <v>  61,119,630 </v>
      </c>
      <c r="BA35" s="29" t="str">
        <f t="shared" si="92"/>
        <v>  61,119,630 </v>
      </c>
      <c r="BB35" s="29" t="str">
        <f t="shared" si="93"/>
        <v>  - </v>
      </c>
    </row>
    <row r="36" ht="16.5" customHeight="1">
      <c r="A36" s="16">
        <v>26.0</v>
      </c>
      <c r="B36" s="394"/>
      <c r="C36" s="11"/>
      <c r="D36" s="449">
        <v>406.0</v>
      </c>
      <c r="E36" s="450">
        <v>0.8701418973655212</v>
      </c>
      <c r="F36" s="450">
        <v>0.12985810263447883</v>
      </c>
      <c r="G36" s="451">
        <v>28.701199999999996</v>
      </c>
      <c r="H36" s="452">
        <v>50.157525</v>
      </c>
      <c r="I36" s="453">
        <v>5.405E8</v>
      </c>
      <c r="J36" s="399" t="str">
        <f t="shared" si="76"/>
        <v>470,312,000 </v>
      </c>
      <c r="K36" s="399" t="str">
        <f t="shared" si="77"/>
        <v>70,188,000 </v>
      </c>
      <c r="L36" s="399" t="str">
        <f t="shared" si="78"/>
        <v>47,031,000 </v>
      </c>
      <c r="M36" s="399" t="str">
        <f t="shared" si="79"/>
        <v>587,531,000 </v>
      </c>
      <c r="N36" s="13" t="str">
        <f t="shared" si="84"/>
        <v>587,531,000 </v>
      </c>
      <c r="O36" s="21"/>
      <c r="P36" s="387" t="str">
        <f t="shared" si="80"/>
        <v>  - </v>
      </c>
      <c r="Q36" s="387" t="str">
        <f t="shared" si="81"/>
        <v>  - </v>
      </c>
      <c r="R36" s="387" t="str">
        <f t="shared" si="82"/>
        <v>  - </v>
      </c>
      <c r="S36" s="387" t="str">
        <f t="shared" si="83"/>
        <v>  - </v>
      </c>
      <c r="T36" s="384" t="str">
        <f t="shared" si="94"/>
        <v>  458,274,180 </v>
      </c>
      <c r="U36" s="387" t="str">
        <f t="shared" si="85"/>
        <v>  129,256,820 </v>
      </c>
      <c r="V36" s="400" t="str">
        <f t="shared" si="86"/>
        <v>22%</v>
      </c>
      <c r="W36" s="401"/>
      <c r="X36" s="401"/>
      <c r="Y36" s="401"/>
      <c r="Z36" s="460">
        <v>45790.0</v>
      </c>
      <c r="AA36" s="384" t="str">
        <f t="shared" si="95"/>
        <v>  58,753,100 </v>
      </c>
      <c r="AB36" s="74" t="str">
        <f t="shared" si="87"/>
        <v>10%</v>
      </c>
      <c r="AC36" s="460">
        <v>45820.0</v>
      </c>
      <c r="AD36" s="384" t="str">
        <f t="shared" si="88"/>
        <v>  58,753,100 </v>
      </c>
      <c r="AE36" s="460">
        <v>45850.0</v>
      </c>
      <c r="AF36" s="384">
        <v>4.700248E8</v>
      </c>
      <c r="AG36" s="384" t="str">
        <f t="shared" si="89"/>
        <v>  528,777,900 </v>
      </c>
      <c r="AH36" s="384" t="str">
        <f t="shared" si="90"/>
        <v>  528,777,900 </v>
      </c>
      <c r="AI36" s="400"/>
      <c r="AJ36" s="444"/>
      <c r="AK36" s="495">
        <v>406.0</v>
      </c>
      <c r="AL36" s="511"/>
      <c r="AM36" s="448"/>
      <c r="AN36" s="447"/>
      <c r="AO36" s="512"/>
      <c r="AP36" s="447"/>
      <c r="AQ36" s="512"/>
      <c r="AR36" s="513"/>
      <c r="AS36" s="514"/>
      <c r="AT36" s="514"/>
      <c r="AU36" s="515"/>
      <c r="AV36" s="15"/>
      <c r="AW36" s="516"/>
      <c r="AX36" s="408"/>
      <c r="AY36" s="517"/>
      <c r="AZ36" s="393" t="str">
        <f t="shared" si="91"/>
        <v>  84,016,933 </v>
      </c>
      <c r="BA36" s="29" t="str">
        <f t="shared" si="92"/>
        <v>  84,016,933 </v>
      </c>
      <c r="BB36" s="29" t="str">
        <f t="shared" si="93"/>
        <v>  - </v>
      </c>
    </row>
    <row r="37" ht="16.5" customHeight="1">
      <c r="A37" s="418"/>
      <c r="B37" s="419"/>
      <c r="C37" s="15"/>
      <c r="D37" s="420" t="s">
        <v>279</v>
      </c>
      <c r="E37" s="421"/>
      <c r="F37" s="421"/>
      <c r="G37" s="422">
        <v>158.76107499999998</v>
      </c>
      <c r="H37" s="423">
        <v>276.736075</v>
      </c>
      <c r="I37" s="424">
        <v>2.8325E9</v>
      </c>
      <c r="J37" s="424"/>
      <c r="K37" s="424"/>
      <c r="L37" s="424"/>
      <c r="M37" s="424"/>
      <c r="N37" s="425" t="str">
        <f t="shared" ref="N37:O37" si="96">SUM(N30:N36)</f>
        <v>3,078,947,000 </v>
      </c>
      <c r="O37" s="425" t="str">
        <f t="shared" si="96"/>
        <v>0 </v>
      </c>
      <c r="P37" s="427"/>
      <c r="Q37" s="427"/>
      <c r="R37" s="427"/>
      <c r="S37" s="427" t="str">
        <f t="shared" ref="S37:U37" si="97">SUM(S30:S36)</f>
        <v>  - </v>
      </c>
      <c r="T37" s="518" t="str">
        <f t="shared" si="97"/>
        <v>  2,369,498,900 </v>
      </c>
      <c r="U37" s="427" t="str">
        <f t="shared" si="97"/>
        <v>  709,448,100 </v>
      </c>
      <c r="V37" s="519"/>
      <c r="W37" s="520"/>
      <c r="X37" s="520"/>
      <c r="Y37" s="520"/>
      <c r="Z37" s="519"/>
      <c r="AA37" s="425" t="str">
        <f>SUM(AA30:AA36)</f>
        <v>307,894,700 </v>
      </c>
      <c r="AB37" s="519"/>
      <c r="AC37" s="519"/>
      <c r="AD37" s="425" t="str">
        <f>SUM(AD30:AD36)</f>
        <v>307,894,700 </v>
      </c>
      <c r="AE37" s="519"/>
      <c r="AF37" s="425" t="str">
        <f t="shared" ref="AF37:AH37" si="98">SUM(AF30:AF36)</f>
        <v>2,463,157,600 </v>
      </c>
      <c r="AG37" s="518" t="str">
        <f t="shared" si="98"/>
        <v>  2,771,052,300 </v>
      </c>
      <c r="AH37" s="518" t="str">
        <f t="shared" si="98"/>
        <v>  2,771,052,300 </v>
      </c>
      <c r="AI37" s="518"/>
      <c r="AJ37" s="521"/>
      <c r="AK37" s="522"/>
      <c r="AL37" s="418"/>
      <c r="AM37" s="523"/>
      <c r="AN37" s="518"/>
      <c r="AO37" s="524"/>
      <c r="AP37" s="525"/>
      <c r="AQ37" s="526"/>
      <c r="AR37" s="527"/>
      <c r="AS37" s="528" t="str">
        <f t="shared" ref="AS37:AT37" si="99">SUM(AS30:AS36)</f>
        <v>40,000,000 </v>
      </c>
      <c r="AT37" s="528" t="str">
        <f t="shared" si="99"/>
        <v>3,500,000 </v>
      </c>
      <c r="AU37" s="436"/>
      <c r="AV37" s="436"/>
      <c r="AW37" s="481"/>
      <c r="AX37" s="439"/>
      <c r="AY37" s="440"/>
      <c r="AZ37" s="529" t="str">
        <f>SUM(AZ30:AZ36)</f>
        <v>  405,001,685 </v>
      </c>
      <c r="BA37" s="442"/>
      <c r="BB37" s="442"/>
    </row>
    <row r="38" ht="16.5" customHeight="1">
      <c r="A38" s="530" t="str">
        <f>COUNTA(A7:A12,A14:A19,A21:A28,A30:A36)</f>
        <v>전체 합계(26호실)</v>
      </c>
      <c r="B38" s="32"/>
      <c r="C38" s="32"/>
      <c r="D38" s="32"/>
      <c r="E38" s="32"/>
      <c r="F38" s="32"/>
      <c r="G38" s="32"/>
      <c r="H38" s="33"/>
      <c r="I38" s="531"/>
      <c r="J38" s="531"/>
      <c r="K38" s="531"/>
      <c r="L38" s="531"/>
      <c r="M38" s="531"/>
      <c r="N38" s="532" t="str">
        <f>N13+N20+N29+N37</f>
        <v>11,631,323,000 </v>
      </c>
      <c r="O38" s="533" t="str">
        <f>O37+O29+O20+O59</f>
        <v>0 </v>
      </c>
      <c r="P38" s="534"/>
      <c r="Q38" s="534"/>
      <c r="R38" s="534"/>
      <c r="S38" s="534"/>
      <c r="T38" s="534" t="str">
        <f>T37+T29+T20+T59</f>
        <v>  7,240,956,040 </v>
      </c>
      <c r="U38" s="534"/>
      <c r="V38" s="535"/>
      <c r="W38" s="536"/>
      <c r="X38" s="536"/>
      <c r="Y38" s="536"/>
      <c r="Z38" s="535"/>
      <c r="AA38" s="532" t="str">
        <f>AA13+AA20+AA29+AA37</f>
        <v>307,894,700 </v>
      </c>
      <c r="AB38" s="535"/>
      <c r="AC38" s="534"/>
      <c r="AD38" s="532" t="str">
        <f>AD13+AD20+AD29+AD37</f>
        <v>307,894,700 </v>
      </c>
      <c r="AE38" s="534"/>
      <c r="AF38" s="532" t="str">
        <f>AF13+AF20+AF29+AF37</f>
        <v>2,463,157,600 </v>
      </c>
      <c r="AK38" s="45"/>
      <c r="AL38" s="45"/>
      <c r="AM38" s="537" t="s">
        <v>683</v>
      </c>
      <c r="AN38" s="538"/>
      <c r="AO38" s="539" t="str">
        <f>COUNTA(AK7:AK37)</f>
        <v>시행사보유분 전체합계 (26개 호실)</v>
      </c>
      <c r="AP38" s="32"/>
      <c r="AQ38" s="32"/>
      <c r="AR38" s="33"/>
      <c r="AS38" s="540" t="str">
        <f t="shared" ref="AS38:AT38" si="100">SUM(AS37,AS29,AS20,AS13)</f>
        <v>145,000,000 </v>
      </c>
      <c r="AT38" s="540" t="str">
        <f t="shared" si="100"/>
        <v>9,100,000 </v>
      </c>
      <c r="AU38" s="541"/>
      <c r="AV38" s="541"/>
      <c r="AW38" s="541" t="s">
        <v>684</v>
      </c>
      <c r="AX38" s="65" t="str">
        <f>SUM(AX30:AX36,AX21:AX23,AX14:AX19,AX7:AX12)</f>
        <v>0 </v>
      </c>
      <c r="AY38" s="542" t="s">
        <v>685</v>
      </c>
      <c r="AZ38" s="543" t="str">
        <f>SUM(AZ37,AZ29,AZ20,AZ13)</f>
        <v>  1,354,092,256 </v>
      </c>
      <c r="BA38" s="544"/>
      <c r="BB38" s="544"/>
    </row>
    <row r="39" ht="16.5" customHeight="1">
      <c r="A39" s="545" t="str">
        <f>COUNTIF(B7:B37,"=분양")</f>
        <v>분양 합계(0호실)</v>
      </c>
      <c r="B39" s="32"/>
      <c r="C39" s="32"/>
      <c r="D39" s="32"/>
      <c r="E39" s="32"/>
      <c r="F39" s="32"/>
      <c r="G39" s="32"/>
      <c r="H39" s="33"/>
      <c r="I39" s="531"/>
      <c r="J39" s="531"/>
      <c r="K39" s="531"/>
      <c r="L39" s="531"/>
      <c r="M39" s="531"/>
      <c r="N39" s="546" t="str">
        <f>SUMIF($B$7:$B$37,"=분양",N7:N37)</f>
        <v>  - </v>
      </c>
      <c r="O39" s="531"/>
      <c r="P39" s="531"/>
      <c r="Q39" s="531"/>
      <c r="R39" s="531"/>
      <c r="S39" s="531"/>
      <c r="T39" s="546" t="str">
        <f>SUMIF($B$7:$B$37,"=분양",T7:T37)</f>
        <v>  - </v>
      </c>
      <c r="U39" s="531"/>
      <c r="V39" s="531"/>
      <c r="W39" s="547"/>
      <c r="X39" s="547"/>
      <c r="Y39" s="547"/>
      <c r="Z39" s="531"/>
      <c r="AA39" s="546" t="str">
        <f>SUMIF($B$7:$B$37,"=분양",AA7:AA37)</f>
        <v>  - </v>
      </c>
      <c r="AB39" s="531"/>
      <c r="AC39" s="531"/>
      <c r="AD39" s="546" t="str">
        <f>SUMIF($B$7:$B$37,"=분양",AD7:AD37)</f>
        <v>  - </v>
      </c>
      <c r="AE39" s="531"/>
      <c r="AF39" s="531"/>
      <c r="AK39" s="45"/>
      <c r="AL39" s="45"/>
      <c r="AM39" s="11"/>
      <c r="AN39" s="548"/>
      <c r="AO39" s="549" t="str">
        <f>COUNTIF(AL7:AL37,"선임대")</f>
        <v>시행사보유분 확정합계 (5개 호실)</v>
      </c>
      <c r="AP39" s="32"/>
      <c r="AQ39" s="32"/>
      <c r="AR39" s="33"/>
      <c r="AS39" s="550" t="str">
        <f t="shared" ref="AS39:AT39" si="101">SUMIF($AL7:AL29,"선임대",AS7:AS23)+SUMIF($AL30:AL37,"선임대",AS30:AS37)</f>
        <v>  145,000,000 </v>
      </c>
      <c r="AT39" s="550" t="str">
        <f t="shared" si="101"/>
        <v>  9,100,000 </v>
      </c>
      <c r="AX39" s="551" t="str">
        <f>AX38='[1]향남근생 월세수금'!O13</f>
        <v>#REF!</v>
      </c>
    </row>
    <row r="40" ht="16.5" customHeight="1">
      <c r="A40" s="552" t="str">
        <f>A38-A39</f>
        <v>미분양 합계(26호실)</v>
      </c>
      <c r="B40" s="32"/>
      <c r="C40" s="32"/>
      <c r="D40" s="32"/>
      <c r="E40" s="32"/>
      <c r="F40" s="32"/>
      <c r="G40" s="32"/>
      <c r="H40" s="33"/>
      <c r="I40" s="531"/>
      <c r="J40" s="531"/>
      <c r="K40" s="531"/>
      <c r="L40" s="531"/>
      <c r="M40" s="531"/>
      <c r="N40" s="546" t="str">
        <f>N38-N39</f>
        <v>  11,631,323,000 </v>
      </c>
      <c r="O40" s="531"/>
      <c r="P40" s="531"/>
      <c r="Q40" s="531"/>
      <c r="R40" s="531"/>
      <c r="S40" s="531"/>
      <c r="T40" s="546" t="str">
        <f>T38-T39</f>
        <v>  7,240,956,040 </v>
      </c>
      <c r="U40" s="531"/>
      <c r="V40" s="531"/>
      <c r="W40" s="547"/>
      <c r="X40" s="547"/>
      <c r="Y40" s="547"/>
      <c r="Z40" s="531"/>
      <c r="AA40" s="546" t="str">
        <f>AA38-AA39</f>
        <v>  307,894,700 </v>
      </c>
      <c r="AB40" s="531"/>
      <c r="AC40" s="531"/>
      <c r="AD40" s="546" t="str">
        <f>AD38-AD39</f>
        <v>  307,894,700 </v>
      </c>
      <c r="AE40" s="531"/>
      <c r="AF40" s="546" t="str">
        <f>AF38-AF39</f>
        <v>  2,463,157,600 </v>
      </c>
      <c r="AK40" s="45"/>
      <c r="AL40" s="45"/>
      <c r="AM40" s="15"/>
      <c r="AN40" s="548"/>
      <c r="AO40" s="553" t="str">
        <f>AO38-AO39</f>
        <v>시행사보유분 예정합계 (21개 호실)</v>
      </c>
      <c r="AP40" s="32"/>
      <c r="AQ40" s="32"/>
      <c r="AR40" s="33"/>
      <c r="AS40" s="554" t="str">
        <f t="shared" ref="AS40:AT40" si="102">AS38-AS39</f>
        <v>  - </v>
      </c>
      <c r="AT40" s="554" t="str">
        <f t="shared" si="102"/>
        <v>  - </v>
      </c>
    </row>
    <row r="41" ht="16.5" customHeight="1">
      <c r="N41" s="46"/>
      <c r="AM41" s="45"/>
      <c r="AN41" s="45"/>
      <c r="AQ41" s="45"/>
    </row>
    <row r="42" ht="16.5" customHeight="1">
      <c r="AM42" s="45"/>
      <c r="AN42" s="45"/>
      <c r="AQ42" s="45"/>
    </row>
    <row r="43" ht="16.5" customHeight="1">
      <c r="E43" s="555" t="str">
        <f t="shared" ref="E43:F43" si="103">SUM(E24:E28)</f>
        <v>435.2412%</v>
      </c>
      <c r="F43" s="555" t="str">
        <f t="shared" si="103"/>
        <v>64.7588%</v>
      </c>
      <c r="G43" s="556"/>
      <c r="H43" s="556" t="str">
        <f>SUM(H24:H28)</f>
        <v>175.5 </v>
      </c>
      <c r="AM43" s="45"/>
      <c r="AN43" s="45"/>
      <c r="AQ43" s="45"/>
    </row>
    <row r="44" ht="16.5" customHeight="1">
      <c r="A44" t="s">
        <v>686</v>
      </c>
      <c r="AM44" s="45"/>
      <c r="AN44" s="45"/>
      <c r="AQ44" s="45"/>
    </row>
    <row r="45" ht="16.5" customHeight="1">
      <c r="AM45" s="45"/>
      <c r="AN45" s="45"/>
      <c r="AQ45" s="45"/>
    </row>
    <row r="46" ht="16.5" customHeight="1">
      <c r="A46" s="557" t="s">
        <v>47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58"/>
      <c r="AB46" s="558"/>
      <c r="AC46" s="558"/>
      <c r="AD46" s="558"/>
      <c r="AE46" s="558"/>
      <c r="AF46" s="558"/>
      <c r="AG46" s="558"/>
      <c r="AH46" s="558"/>
      <c r="AI46" s="558"/>
      <c r="AJ46" s="558"/>
      <c r="AK46" s="558"/>
      <c r="AL46" s="558"/>
      <c r="AM46" s="558"/>
      <c r="AN46" s="558"/>
      <c r="AO46" s="558"/>
      <c r="AP46" s="558"/>
      <c r="AQ46" s="558"/>
      <c r="AR46" s="558"/>
      <c r="AS46" s="558"/>
      <c r="AT46" s="558"/>
      <c r="AU46" s="558"/>
      <c r="AV46" s="558"/>
      <c r="AW46" s="558"/>
      <c r="AX46" s="558"/>
      <c r="AY46" s="558"/>
      <c r="AZ46" s="558"/>
      <c r="BA46" s="558"/>
      <c r="BB46" s="558"/>
      <c r="BC46" s="559"/>
      <c r="BK46" t="s">
        <v>687</v>
      </c>
    </row>
    <row r="47" ht="16.5" customHeight="1">
      <c r="A47" s="560" t="s">
        <v>48</v>
      </c>
      <c r="B47" s="560" t="s">
        <v>688</v>
      </c>
      <c r="C47" s="560" t="s">
        <v>298</v>
      </c>
      <c r="D47" s="560" t="s">
        <v>628</v>
      </c>
      <c r="E47" s="561" t="s">
        <v>629</v>
      </c>
      <c r="F47" s="33"/>
      <c r="G47" s="560" t="s">
        <v>630</v>
      </c>
      <c r="H47" s="560" t="s">
        <v>631</v>
      </c>
      <c r="I47" s="562" t="s">
        <v>632</v>
      </c>
      <c r="J47" s="561" t="s">
        <v>633</v>
      </c>
      <c r="K47" s="32"/>
      <c r="L47" s="32"/>
      <c r="M47" s="33"/>
      <c r="N47" s="562" t="s">
        <v>634</v>
      </c>
      <c r="O47" s="562" t="s">
        <v>635</v>
      </c>
      <c r="P47" s="561" t="s">
        <v>636</v>
      </c>
      <c r="Q47" s="32"/>
      <c r="R47" s="32"/>
      <c r="S47" s="33"/>
      <c r="T47" s="563" t="s">
        <v>637</v>
      </c>
      <c r="U47" s="564" t="s">
        <v>638</v>
      </c>
      <c r="V47" s="346" t="s">
        <v>639</v>
      </c>
      <c r="W47" s="346" t="s">
        <v>640</v>
      </c>
      <c r="X47" s="346" t="s">
        <v>99</v>
      </c>
      <c r="Y47" s="346" t="s">
        <v>641</v>
      </c>
      <c r="Z47" s="565" t="s">
        <v>277</v>
      </c>
      <c r="AA47" s="32"/>
      <c r="AB47" s="33"/>
      <c r="AC47" s="565" t="s">
        <v>689</v>
      </c>
      <c r="AD47" s="33"/>
      <c r="AE47" s="565" t="s">
        <v>689</v>
      </c>
      <c r="AF47" s="33"/>
      <c r="AG47" s="565" t="s">
        <v>278</v>
      </c>
      <c r="AH47" s="33"/>
      <c r="AI47" s="346" t="s">
        <v>643</v>
      </c>
      <c r="AJ47" s="346" t="s">
        <v>644</v>
      </c>
      <c r="AK47" s="346" t="s">
        <v>645</v>
      </c>
      <c r="AL47" s="346" t="s">
        <v>690</v>
      </c>
      <c r="AM47" s="566" t="s">
        <v>646</v>
      </c>
      <c r="AN47" s="566"/>
      <c r="AO47" s="566"/>
      <c r="AP47" s="566"/>
      <c r="AQ47" s="566"/>
      <c r="AR47" s="566"/>
      <c r="AS47" s="566"/>
      <c r="AT47" s="566"/>
      <c r="AU47" s="566"/>
      <c r="AV47" s="566"/>
      <c r="AW47" s="566"/>
      <c r="AX47" s="566"/>
      <c r="AY47" s="566"/>
      <c r="AZ47" s="566"/>
      <c r="BA47" s="566"/>
      <c r="BB47" s="566"/>
      <c r="BC47" s="566"/>
      <c r="BD47" s="567" t="s">
        <v>691</v>
      </c>
      <c r="BE47" s="32"/>
      <c r="BF47" s="32"/>
      <c r="BG47" s="32"/>
      <c r="BH47" s="352"/>
      <c r="BI47" s="568" t="s">
        <v>692</v>
      </c>
      <c r="BJ47" s="79"/>
      <c r="BK47" s="159"/>
    </row>
    <row r="48" ht="16.5" customHeight="1">
      <c r="A48" s="15"/>
      <c r="B48" s="15"/>
      <c r="C48" s="15"/>
      <c r="D48" s="15"/>
      <c r="E48" s="569" t="s">
        <v>649</v>
      </c>
      <c r="F48" s="569" t="s">
        <v>650</v>
      </c>
      <c r="G48" s="15"/>
      <c r="H48" s="15"/>
      <c r="I48" s="15"/>
      <c r="J48" s="569" t="s">
        <v>651</v>
      </c>
      <c r="K48" s="569" t="s">
        <v>11</v>
      </c>
      <c r="L48" s="569" t="s">
        <v>652</v>
      </c>
      <c r="M48" s="569" t="s">
        <v>22</v>
      </c>
      <c r="N48" s="15"/>
      <c r="O48" s="15"/>
      <c r="P48" s="570" t="s">
        <v>651</v>
      </c>
      <c r="Q48" s="570" t="s">
        <v>11</v>
      </c>
      <c r="R48" s="570" t="s">
        <v>652</v>
      </c>
      <c r="S48" s="570" t="s">
        <v>22</v>
      </c>
      <c r="T48" s="15"/>
      <c r="U48" s="15"/>
      <c r="V48" s="15"/>
      <c r="W48" s="15"/>
      <c r="X48" s="15"/>
      <c r="Y48" s="15"/>
      <c r="Z48" s="571" t="s">
        <v>653</v>
      </c>
      <c r="AA48" s="571" t="s">
        <v>654</v>
      </c>
      <c r="AB48" s="571" t="s">
        <v>655</v>
      </c>
      <c r="AC48" s="571" t="s">
        <v>653</v>
      </c>
      <c r="AD48" s="571" t="s">
        <v>654</v>
      </c>
      <c r="AE48" s="571" t="s">
        <v>653</v>
      </c>
      <c r="AF48" s="571" t="s">
        <v>654</v>
      </c>
      <c r="AG48" s="571" t="s">
        <v>654</v>
      </c>
      <c r="AH48" s="571" t="s">
        <v>656</v>
      </c>
      <c r="AI48" s="15"/>
      <c r="AJ48" s="15"/>
      <c r="AK48" s="15"/>
      <c r="AL48" s="15"/>
      <c r="AM48" s="572" t="s">
        <v>628</v>
      </c>
      <c r="AN48" s="572"/>
      <c r="AO48" s="573" t="s">
        <v>640</v>
      </c>
      <c r="AP48" s="573" t="s">
        <v>259</v>
      </c>
      <c r="AQ48" s="573" t="s">
        <v>658</v>
      </c>
      <c r="AR48" s="573" t="s">
        <v>69</v>
      </c>
      <c r="AS48" s="573" t="s">
        <v>659</v>
      </c>
      <c r="AT48" s="574" t="s">
        <v>660</v>
      </c>
      <c r="AU48" s="572" t="s">
        <v>5</v>
      </c>
      <c r="AV48" s="572" t="s">
        <v>6</v>
      </c>
      <c r="AW48" s="572" t="s">
        <v>664</v>
      </c>
      <c r="AX48" s="572"/>
      <c r="AY48" s="572" t="s">
        <v>277</v>
      </c>
      <c r="AZ48" s="572" t="s">
        <v>693</v>
      </c>
      <c r="BA48" s="572" t="s">
        <v>278</v>
      </c>
      <c r="BB48" s="572" t="s">
        <v>694</v>
      </c>
      <c r="BC48" s="572" t="s">
        <v>101</v>
      </c>
      <c r="BD48" s="575" t="s">
        <v>695</v>
      </c>
      <c r="BE48" s="576" t="s">
        <v>696</v>
      </c>
      <c r="BF48" s="575" t="s">
        <v>697</v>
      </c>
      <c r="BG48" s="575" t="s">
        <v>698</v>
      </c>
      <c r="BH48" s="577" t="s">
        <v>699</v>
      </c>
      <c r="BI48" s="575" t="s">
        <v>700</v>
      </c>
      <c r="BJ48" s="577" t="s">
        <v>701</v>
      </c>
      <c r="BK48" s="578" t="s">
        <v>702</v>
      </c>
    </row>
    <row r="49" ht="16.5" customHeight="1">
      <c r="A49" s="579" t="str">
        <f>COUNTA(A50:A57)</f>
        <v>분양 및 잔급 완납 합계(8호실)</v>
      </c>
      <c r="B49" s="32"/>
      <c r="C49" s="32"/>
      <c r="D49" s="32"/>
      <c r="E49" s="32"/>
      <c r="F49" s="32"/>
      <c r="G49" s="33"/>
      <c r="H49" s="580"/>
      <c r="I49" s="580"/>
      <c r="J49" s="580"/>
      <c r="K49" s="580"/>
      <c r="L49" s="580"/>
      <c r="M49" s="580"/>
      <c r="N49" s="581" t="str">
        <f>SUM(N50:N59)</f>
        <v>5,052,333,000 </v>
      </c>
      <c r="O49" s="580"/>
      <c r="P49" s="580"/>
      <c r="Q49" s="580"/>
      <c r="R49" s="580"/>
      <c r="S49" s="580"/>
      <c r="T49" s="581" t="str">
        <f t="shared" ref="T49:U49" si="104">SUM(T50:T59)</f>
        <v>4,628,599,000 </v>
      </c>
      <c r="U49" s="581" t="str">
        <f t="shared" si="104"/>
        <v>423,734,000 </v>
      </c>
      <c r="V49" s="580"/>
      <c r="W49" s="580"/>
      <c r="X49" s="580"/>
      <c r="Y49" s="580"/>
      <c r="Z49" s="580"/>
      <c r="AA49" s="581" t="str">
        <f>SUM(AA50:AA59)</f>
        <v>633,487,864 </v>
      </c>
      <c r="AB49" s="580"/>
      <c r="AC49" s="580"/>
      <c r="AD49" s="581" t="str">
        <f>SUM(AD50:AD59)</f>
        <v>277,801,700 </v>
      </c>
      <c r="AE49" s="580"/>
      <c r="AF49" s="581" t="str">
        <f t="shared" ref="AF49:AG49" si="105">SUM(AF50:AF59)</f>
        <v>277,801,700 </v>
      </c>
      <c r="AG49" s="581" t="str">
        <f t="shared" si="105"/>
        <v>3,717,309,436 </v>
      </c>
      <c r="AH49" s="580"/>
      <c r="AI49" s="582" t="str">
        <f>SUM(AI50:AI57)</f>
        <v>  - </v>
      </c>
      <c r="AJ49" s="581" t="str">
        <f>SUM(AJ50:AJ59)</f>
        <v>4,628,599,000 </v>
      </c>
      <c r="AK49" s="583"/>
      <c r="AL49" s="583"/>
      <c r="AM49" s="584"/>
      <c r="AN49" s="584"/>
      <c r="AO49" s="583"/>
      <c r="AP49" s="583"/>
      <c r="AQ49" s="584"/>
      <c r="AR49" s="583"/>
      <c r="AS49" s="583"/>
      <c r="AT49" s="583"/>
      <c r="AU49" s="583"/>
      <c r="AV49" s="583"/>
      <c r="AW49" s="583"/>
      <c r="AX49" s="583"/>
      <c r="AY49" s="583"/>
      <c r="AZ49" s="583"/>
      <c r="BA49" s="583"/>
      <c r="BB49" s="583"/>
      <c r="BC49" s="583"/>
      <c r="BD49" s="583"/>
      <c r="BE49" s="585" t="str">
        <f t="shared" ref="BE49:BK49" si="106">SUM(BE50:BE59)</f>
        <v>  827,066,500 </v>
      </c>
      <c r="BF49" s="585" t="str">
        <f t="shared" si="106"/>
        <v>  365,931,250 </v>
      </c>
      <c r="BG49" s="585" t="str">
        <f t="shared" si="106"/>
        <v>  142,806,000 </v>
      </c>
      <c r="BH49" s="585" t="str">
        <f t="shared" si="106"/>
        <v>  318,329,250 </v>
      </c>
      <c r="BI49" s="586" t="str">
        <f t="shared" si="106"/>
        <v>  171,495,000 </v>
      </c>
      <c r="BJ49" s="587" t="str">
        <f t="shared" si="106"/>
        <v>  85,747,500 </v>
      </c>
      <c r="BK49" s="588" t="str">
        <f t="shared" si="106"/>
        <v>  93,804,000 </v>
      </c>
    </row>
    <row r="50" ht="16.5" customHeight="1">
      <c r="A50" s="589">
        <v>1.0</v>
      </c>
      <c r="B50" s="590" t="s">
        <v>703</v>
      </c>
      <c r="C50" s="590" t="s">
        <v>667</v>
      </c>
      <c r="D50" s="367">
        <v>101.0</v>
      </c>
      <c r="E50" s="591">
        <v>0.8538627750204981</v>
      </c>
      <c r="F50" s="591">
        <v>0.146137224979502</v>
      </c>
      <c r="G50" s="371">
        <v>15.720925</v>
      </c>
      <c r="H50" s="592">
        <v>23.894474999999996</v>
      </c>
      <c r="I50" s="374">
        <v>6.299E8</v>
      </c>
      <c r="J50" s="374" t="str">
        <f t="shared" ref="J50:J59" si="107">ROUND(I50*E50,-3)</f>
        <v>537,848,000 </v>
      </c>
      <c r="K50" s="374" t="str">
        <f t="shared" ref="K50:K59" si="108">ROUND(I50*F50,-3)</f>
        <v>92,052,000 </v>
      </c>
      <c r="L50" s="374" t="str">
        <f t="shared" ref="L50:L59" si="109">ROUND(J50*10%,-3)</f>
        <v>53,785,000 </v>
      </c>
      <c r="M50" s="374" t="str">
        <f t="shared" ref="M50:M59" si="110">SUM(J50:L50)</f>
        <v>683,685,000 </v>
      </c>
      <c r="N50" s="374" t="str">
        <f t="shared" ref="N50:N59" si="111">(M50)</f>
        <v>683,685,000 </v>
      </c>
      <c r="O50" s="374">
        <v>4.9E8</v>
      </c>
      <c r="P50" s="375" t="str">
        <f t="shared" ref="P50:P59" si="112">ROUND(O50*E50,-3)</f>
        <v>  418,393,000 </v>
      </c>
      <c r="Q50" s="375" t="str">
        <f t="shared" ref="Q50:Q59" si="113">ROUND(O50*F50,-3)</f>
        <v>  71,607,000 </v>
      </c>
      <c r="R50" s="375" t="str">
        <f t="shared" ref="R50:R59" si="114">ROUND(P50*0.1,-3)</f>
        <v>  41,839,000 </v>
      </c>
      <c r="S50" s="375" t="str">
        <f t="shared" ref="S50:S59" si="115">SUM(P50:R50)</f>
        <v>  531,839,000 </v>
      </c>
      <c r="T50" s="376" t="str">
        <f t="shared" ref="T50:T59" si="116">N50-U50</f>
        <v>  531,839,000 </v>
      </c>
      <c r="U50" s="375" t="str">
        <f t="shared" ref="U50:U53" si="117">N50-S50</f>
        <v>  151,846,000 </v>
      </c>
      <c r="V50" s="377" t="str">
        <f t="shared" ref="V50:V59" si="118">U50/N50</f>
        <v>22%</v>
      </c>
      <c r="W50" s="589" t="s">
        <v>704</v>
      </c>
      <c r="X50" s="589" t="s">
        <v>705</v>
      </c>
      <c r="Y50" s="593">
        <v>45419.0</v>
      </c>
      <c r="Z50" s="594">
        <v>45419.0</v>
      </c>
      <c r="AA50" s="514">
        <v>1.063678E8</v>
      </c>
      <c r="AB50" s="595" t="str">
        <f t="shared" ref="AB50:AB59" si="119">AA50/T50</f>
        <v>20%</v>
      </c>
      <c r="AC50" s="593"/>
      <c r="AD50" s="593"/>
      <c r="AE50" s="593"/>
      <c r="AF50" s="593"/>
      <c r="AG50" s="596">
        <v>4.254712E8</v>
      </c>
      <c r="AH50" s="593">
        <v>45532.0</v>
      </c>
      <c r="AI50" s="36" t="str">
        <f t="shared" ref="AI50:AI59" si="120">T50-AA50-AF50-AG50</f>
        <v>  - </v>
      </c>
      <c r="AJ50" s="36" t="str">
        <f t="shared" ref="AJ50:AJ59" si="121">AA50+AF50+AG50</f>
        <v>  531,839,000 </v>
      </c>
      <c r="AK50" s="36"/>
      <c r="AL50" s="36"/>
      <c r="AM50" s="16">
        <v>101.0</v>
      </c>
      <c r="AN50" s="16"/>
      <c r="AO50" s="597" t="s">
        <v>706</v>
      </c>
      <c r="AP50" s="597"/>
      <c r="AQ50" s="597"/>
      <c r="AR50" s="597"/>
      <c r="AS50" s="597"/>
      <c r="AT50" s="597"/>
      <c r="AU50" s="597"/>
      <c r="AV50" s="597"/>
      <c r="AW50" s="597"/>
      <c r="AX50" s="597"/>
      <c r="AY50" s="597"/>
      <c r="AZ50" s="597"/>
      <c r="BA50" s="597"/>
      <c r="BB50" s="597"/>
      <c r="BC50" s="597"/>
      <c r="BD50" s="36" t="s">
        <v>707</v>
      </c>
      <c r="BE50" s="36" t="str">
        <f>(O50-(I50*65%))*1.1</f>
        <v>  88,621,500 </v>
      </c>
      <c r="BF50" s="36" t="str">
        <f t="shared" ref="BF50:BF53" si="122">BE50*50%</f>
        <v>  44,310,750 </v>
      </c>
      <c r="BG50" s="36"/>
      <c r="BH50" s="598" t="str">
        <f t="shared" ref="BH50:BH53" si="123">BE50*50%</f>
        <v>  44,310,750 </v>
      </c>
      <c r="BI50" s="29">
        <v>4.02825E7</v>
      </c>
      <c r="BJ50" s="599">
        <v>2.014125E7</v>
      </c>
      <c r="BK50" s="600" t="str">
        <f t="shared" ref="BK50:BK53" si="124">BE50-BI50-BJ50</f>
        <v>  28,197,750 </v>
      </c>
      <c r="BL50" s="330"/>
    </row>
    <row r="51" ht="16.5" customHeight="1">
      <c r="A51" s="589">
        <v>2.0</v>
      </c>
      <c r="B51" s="11"/>
      <c r="C51" s="11"/>
      <c r="D51" s="395">
        <v>102.0</v>
      </c>
      <c r="E51" s="601">
        <v>0.8538702907036517</v>
      </c>
      <c r="F51" s="601">
        <v>0.1461297092963484</v>
      </c>
      <c r="G51" s="397">
        <v>12.478125</v>
      </c>
      <c r="H51" s="602">
        <v>18.96675</v>
      </c>
      <c r="I51" s="13">
        <v>5.4E8</v>
      </c>
      <c r="J51" s="13" t="str">
        <f t="shared" si="107"/>
        <v>461,090,000 </v>
      </c>
      <c r="K51" s="13" t="str">
        <f t="shared" si="108"/>
        <v>78,910,000 </v>
      </c>
      <c r="L51" s="13" t="str">
        <f t="shared" si="109"/>
        <v>46,109,000 </v>
      </c>
      <c r="M51" s="13" t="str">
        <f t="shared" si="110"/>
        <v>586,109,000 </v>
      </c>
      <c r="N51" s="13" t="str">
        <f t="shared" si="111"/>
        <v>586,109,000 </v>
      </c>
      <c r="O51" s="21">
        <v>4.8E8</v>
      </c>
      <c r="P51" s="387" t="str">
        <f t="shared" si="112"/>
        <v>  409,858,000 </v>
      </c>
      <c r="Q51" s="387" t="str">
        <f t="shared" si="113"/>
        <v>  70,142,000 </v>
      </c>
      <c r="R51" s="387" t="str">
        <f t="shared" si="114"/>
        <v>  40,986,000 </v>
      </c>
      <c r="S51" s="387" t="str">
        <f t="shared" si="115"/>
        <v>  520,986,000 </v>
      </c>
      <c r="T51" s="384" t="str">
        <f t="shared" si="116"/>
        <v>  520,986,000 </v>
      </c>
      <c r="U51" s="387" t="str">
        <f t="shared" si="117"/>
        <v>  65,123,000 </v>
      </c>
      <c r="V51" s="400" t="str">
        <f t="shared" si="118"/>
        <v>11%</v>
      </c>
      <c r="W51" s="16" t="s">
        <v>708</v>
      </c>
      <c r="X51" s="16" t="s">
        <v>709</v>
      </c>
      <c r="Y51" s="402">
        <v>45455.0</v>
      </c>
      <c r="Z51" s="603">
        <v>45431.0</v>
      </c>
      <c r="AA51" s="29">
        <v>9.6E7</v>
      </c>
      <c r="AB51" s="74" t="str">
        <f t="shared" si="119"/>
        <v>18%</v>
      </c>
      <c r="AC51" s="402"/>
      <c r="AD51" s="402"/>
      <c r="AE51" s="402"/>
      <c r="AF51" s="402"/>
      <c r="AG51" s="36">
        <v>4.24986E8</v>
      </c>
      <c r="AH51" s="402">
        <v>45516.0</v>
      </c>
      <c r="AI51" s="36" t="str">
        <f t="shared" si="120"/>
        <v>  - </v>
      </c>
      <c r="AJ51" s="36" t="str">
        <f t="shared" si="121"/>
        <v>  520,986,000 </v>
      </c>
      <c r="AK51" s="402">
        <v>45505.0</v>
      </c>
      <c r="AL51" s="36"/>
      <c r="AM51" s="16">
        <v>102.0</v>
      </c>
      <c r="AN51" s="16"/>
      <c r="AO51" s="9" t="s">
        <v>668</v>
      </c>
      <c r="AP51" s="9"/>
      <c r="AQ51" s="384" t="s">
        <v>669</v>
      </c>
      <c r="AR51" s="405" t="s">
        <v>670</v>
      </c>
      <c r="AS51" s="405">
        <v>47330.0</v>
      </c>
      <c r="AT51" s="386" t="str">
        <f t="shared" ref="AT51:AT53" si="125">(AS51-TODAY())</f>
        <v>1170일</v>
      </c>
      <c r="AU51" s="387">
        <v>3.0E7</v>
      </c>
      <c r="AV51" s="387">
        <v>2200000.0</v>
      </c>
      <c r="AW51" s="9" t="s">
        <v>671</v>
      </c>
      <c r="AX51" s="9"/>
      <c r="AY51" s="9">
        <v>5000000.0</v>
      </c>
      <c r="AZ51" s="385">
        <v>45457.0</v>
      </c>
      <c r="BA51" s="9">
        <v>1.35E8</v>
      </c>
      <c r="BB51" s="385">
        <v>45504.0</v>
      </c>
      <c r="BC51" s="604"/>
      <c r="BD51" s="36" t="s">
        <v>707</v>
      </c>
      <c r="BE51" s="36" t="str">
        <f t="shared" ref="BE51:BE53" si="126">O51-(I51*65%)</f>
        <v>  129,000,000 </v>
      </c>
      <c r="BF51" s="36" t="str">
        <f t="shared" si="122"/>
        <v>  64,500,000 </v>
      </c>
      <c r="BG51" s="36"/>
      <c r="BH51" s="598" t="str">
        <f t="shared" si="123"/>
        <v>  64,500,000 </v>
      </c>
      <c r="BI51" s="29">
        <v>6.45E7</v>
      </c>
      <c r="BJ51" s="599">
        <v>3.225E7</v>
      </c>
      <c r="BK51" s="600" t="str">
        <f t="shared" si="124"/>
        <v>  32,250,000 </v>
      </c>
    </row>
    <row r="52" ht="16.5" customHeight="1">
      <c r="A52" s="589">
        <v>3.0</v>
      </c>
      <c r="B52" s="11"/>
      <c r="C52" s="11"/>
      <c r="D52" s="395">
        <v>104.0</v>
      </c>
      <c r="E52" s="601">
        <v>0.853833492333955</v>
      </c>
      <c r="F52" s="601">
        <v>0.1461665076660451</v>
      </c>
      <c r="G52" s="397">
        <v>10.729674999999999</v>
      </c>
      <c r="H52" s="602">
        <v>16.307775</v>
      </c>
      <c r="I52" s="13">
        <v>4.49E8</v>
      </c>
      <c r="J52" s="13" t="str">
        <f t="shared" si="107"/>
        <v>383,371,000 </v>
      </c>
      <c r="K52" s="13" t="str">
        <f t="shared" si="108"/>
        <v>65,629,000 </v>
      </c>
      <c r="L52" s="13" t="str">
        <f t="shared" si="109"/>
        <v>38,337,000 </v>
      </c>
      <c r="M52" s="13" t="str">
        <f t="shared" si="110"/>
        <v>487,337,000 </v>
      </c>
      <c r="N52" s="13" t="str">
        <f t="shared" si="111"/>
        <v>487,337,000 </v>
      </c>
      <c r="O52" s="21">
        <v>3.65E8</v>
      </c>
      <c r="P52" s="387" t="str">
        <f t="shared" si="112"/>
        <v>  311,649,000 </v>
      </c>
      <c r="Q52" s="387" t="str">
        <f t="shared" si="113"/>
        <v>  53,351,000 </v>
      </c>
      <c r="R52" s="387" t="str">
        <f t="shared" si="114"/>
        <v>  31,165,000 </v>
      </c>
      <c r="S52" s="387" t="str">
        <f t="shared" si="115"/>
        <v>  396,165,000 </v>
      </c>
      <c r="T52" s="384" t="str">
        <f t="shared" si="116"/>
        <v>  396,165,000 </v>
      </c>
      <c r="U52" s="387" t="str">
        <f t="shared" si="117"/>
        <v>  91,172,000 </v>
      </c>
      <c r="V52" s="400" t="str">
        <f t="shared" si="118"/>
        <v>19%</v>
      </c>
      <c r="W52" s="16" t="s">
        <v>710</v>
      </c>
      <c r="X52" s="16" t="s">
        <v>711</v>
      </c>
      <c r="Y52" s="402">
        <v>45429.0</v>
      </c>
      <c r="Z52" s="603">
        <v>45429.0</v>
      </c>
      <c r="AA52" s="29">
        <v>7.3E7</v>
      </c>
      <c r="AB52" s="74" t="str">
        <f t="shared" si="119"/>
        <v>18%</v>
      </c>
      <c r="AC52" s="402"/>
      <c r="AD52" s="402"/>
      <c r="AE52" s="402"/>
      <c r="AF52" s="402"/>
      <c r="AG52" s="36">
        <v>3.23165E8</v>
      </c>
      <c r="AH52" s="402">
        <v>45523.0</v>
      </c>
      <c r="AI52" s="36" t="str">
        <f t="shared" si="120"/>
        <v>  - </v>
      </c>
      <c r="AJ52" s="36" t="str">
        <f t="shared" si="121"/>
        <v>  396,165,000 </v>
      </c>
      <c r="AK52" s="402">
        <v>45505.0</v>
      </c>
      <c r="AL52" s="36"/>
      <c r="AM52" s="16">
        <v>104.0</v>
      </c>
      <c r="AN52" s="16"/>
      <c r="AO52" s="9" t="s">
        <v>668</v>
      </c>
      <c r="AP52" s="9"/>
      <c r="AQ52" s="384" t="s">
        <v>669</v>
      </c>
      <c r="AR52" s="405" t="s">
        <v>670</v>
      </c>
      <c r="AS52" s="405">
        <v>47330.0</v>
      </c>
      <c r="AT52" s="386" t="str">
        <f t="shared" si="125"/>
        <v>1170일</v>
      </c>
      <c r="AU52" s="387">
        <v>3.0E7</v>
      </c>
      <c r="AV52" s="387">
        <v>1650000.0</v>
      </c>
      <c r="AW52" s="9" t="s">
        <v>671</v>
      </c>
      <c r="AX52" s="9"/>
      <c r="AY52" s="9"/>
      <c r="AZ52" s="9"/>
      <c r="BA52" s="9"/>
      <c r="BB52" s="9"/>
      <c r="BC52" s="605"/>
      <c r="BD52" s="36" t="s">
        <v>707</v>
      </c>
      <c r="BE52" s="36" t="str">
        <f t="shared" si="126"/>
        <v>  73,150,000 </v>
      </c>
      <c r="BF52" s="36" t="str">
        <f t="shared" si="122"/>
        <v>  36,575,000 </v>
      </c>
      <c r="BG52" s="36"/>
      <c r="BH52" s="598" t="str">
        <f t="shared" si="123"/>
        <v>  36,575,000 </v>
      </c>
      <c r="BI52" s="29">
        <v>3.6575E7</v>
      </c>
      <c r="BJ52" s="599">
        <v>1.82875E7</v>
      </c>
      <c r="BK52" s="600" t="str">
        <f t="shared" si="124"/>
        <v>  18,287,500 </v>
      </c>
    </row>
    <row r="53" ht="16.5" customHeight="1">
      <c r="A53" s="589">
        <v>4.0</v>
      </c>
      <c r="B53" s="11"/>
      <c r="C53" s="11"/>
      <c r="D53" s="395">
        <v>106.0</v>
      </c>
      <c r="E53" s="601">
        <v>0.853833492333955</v>
      </c>
      <c r="F53" s="601">
        <v>0.1461665076660451</v>
      </c>
      <c r="G53" s="397">
        <v>10.729674999999999</v>
      </c>
      <c r="H53" s="602">
        <v>16.307775</v>
      </c>
      <c r="I53" s="13">
        <v>4.765E8</v>
      </c>
      <c r="J53" s="13" t="str">
        <f t="shared" si="107"/>
        <v>406,852,000 </v>
      </c>
      <c r="K53" s="13" t="str">
        <f t="shared" si="108"/>
        <v>69,648,000 </v>
      </c>
      <c r="L53" s="13" t="str">
        <f t="shared" si="109"/>
        <v>40,685,000 </v>
      </c>
      <c r="M53" s="13" t="str">
        <f t="shared" si="110"/>
        <v>517,185,000 </v>
      </c>
      <c r="N53" s="13" t="str">
        <f t="shared" si="111"/>
        <v>517,185,000 </v>
      </c>
      <c r="O53" s="21">
        <v>3.7E8</v>
      </c>
      <c r="P53" s="387" t="str">
        <f t="shared" si="112"/>
        <v>  315,918,000 </v>
      </c>
      <c r="Q53" s="387" t="str">
        <f t="shared" si="113"/>
        <v>  54,082,000 </v>
      </c>
      <c r="R53" s="387" t="str">
        <f t="shared" si="114"/>
        <v>  31,592,000 </v>
      </c>
      <c r="S53" s="387" t="str">
        <f t="shared" si="115"/>
        <v>  401,592,000 </v>
      </c>
      <c r="T53" s="384" t="str">
        <f t="shared" si="116"/>
        <v>  401,592,000 </v>
      </c>
      <c r="U53" s="387" t="str">
        <f t="shared" si="117"/>
        <v>  115,593,000 </v>
      </c>
      <c r="V53" s="400" t="str">
        <f t="shared" si="118"/>
        <v>22%</v>
      </c>
      <c r="W53" s="16" t="s">
        <v>712</v>
      </c>
      <c r="X53" s="16" t="s">
        <v>713</v>
      </c>
      <c r="Y53" s="402">
        <v>45453.0</v>
      </c>
      <c r="Z53" s="603">
        <v>45421.0</v>
      </c>
      <c r="AA53" s="29">
        <v>8.0318364E7</v>
      </c>
      <c r="AB53" s="74" t="str">
        <f t="shared" si="119"/>
        <v>20%</v>
      </c>
      <c r="AC53" s="402"/>
      <c r="AD53" s="402"/>
      <c r="AE53" s="402"/>
      <c r="AF53" s="402"/>
      <c r="AG53" s="36">
        <v>3.21273636E8</v>
      </c>
      <c r="AH53" s="402">
        <v>45525.0</v>
      </c>
      <c r="AI53" s="36" t="str">
        <f t="shared" si="120"/>
        <v>  - </v>
      </c>
      <c r="AJ53" s="36" t="str">
        <f t="shared" si="121"/>
        <v>  401,592,000 </v>
      </c>
      <c r="AK53" s="402">
        <v>45505.0</v>
      </c>
      <c r="AL53" s="36"/>
      <c r="AM53" s="16">
        <v>106.0</v>
      </c>
      <c r="AN53" s="16"/>
      <c r="AO53" s="9" t="s">
        <v>668</v>
      </c>
      <c r="AP53" s="9"/>
      <c r="AQ53" s="384" t="s">
        <v>669</v>
      </c>
      <c r="AR53" s="405" t="s">
        <v>670</v>
      </c>
      <c r="AS53" s="405">
        <v>47330.0</v>
      </c>
      <c r="AT53" s="386" t="str">
        <f t="shared" si="125"/>
        <v>1170일</v>
      </c>
      <c r="AU53" s="387">
        <v>3.0E7</v>
      </c>
      <c r="AV53" s="387">
        <v>1700000.0</v>
      </c>
      <c r="AW53" s="9" t="s">
        <v>671</v>
      </c>
      <c r="AX53" s="9"/>
      <c r="AY53" s="9"/>
      <c r="AZ53" s="9"/>
      <c r="BA53" s="9"/>
      <c r="BB53" s="9"/>
      <c r="BC53" s="604"/>
      <c r="BD53" s="36" t="s">
        <v>707</v>
      </c>
      <c r="BE53" s="36" t="str">
        <f t="shared" si="126"/>
        <v>  60,275,000 </v>
      </c>
      <c r="BF53" s="36" t="str">
        <f t="shared" si="122"/>
        <v>  30,137,500 </v>
      </c>
      <c r="BG53" s="36"/>
      <c r="BH53" s="598" t="str">
        <f t="shared" si="123"/>
        <v>  30,137,500 </v>
      </c>
      <c r="BI53" s="29">
        <v>3.01375E7</v>
      </c>
      <c r="BJ53" s="599">
        <v>1.506875E7</v>
      </c>
      <c r="BK53" s="606" t="str">
        <f t="shared" si="124"/>
        <v>  15,068,750 </v>
      </c>
    </row>
    <row r="54" ht="16.5" customHeight="1">
      <c r="A54" s="589">
        <v>5.0</v>
      </c>
      <c r="B54" s="11"/>
      <c r="C54" s="11"/>
      <c r="D54" s="395">
        <v>107.0</v>
      </c>
      <c r="E54" s="601">
        <v>0.853833492333955</v>
      </c>
      <c r="F54" s="601">
        <v>0.1461665076660451</v>
      </c>
      <c r="G54" s="397">
        <v>10.729674999999999</v>
      </c>
      <c r="H54" s="602">
        <v>16.307775</v>
      </c>
      <c r="I54" s="607">
        <v>4.904E8</v>
      </c>
      <c r="J54" s="13" t="str">
        <f t="shared" si="107"/>
        <v>418,720,000 </v>
      </c>
      <c r="K54" s="13" t="str">
        <f t="shared" si="108"/>
        <v>71,680,000 </v>
      </c>
      <c r="L54" s="13" t="str">
        <f t="shared" si="109"/>
        <v>41,872,000 </v>
      </c>
      <c r="M54" s="13" t="str">
        <f t="shared" si="110"/>
        <v>532,272,000 </v>
      </c>
      <c r="N54" s="13" t="str">
        <f t="shared" si="111"/>
        <v>532,272,000 </v>
      </c>
      <c r="O54" s="608"/>
      <c r="P54" s="387" t="str">
        <f t="shared" si="112"/>
        <v>  - </v>
      </c>
      <c r="Q54" s="387" t="str">
        <f t="shared" si="113"/>
        <v>  - </v>
      </c>
      <c r="R54" s="387" t="str">
        <f t="shared" si="114"/>
        <v>  - </v>
      </c>
      <c r="S54" s="387" t="str">
        <f t="shared" si="115"/>
        <v>  - </v>
      </c>
      <c r="T54" s="384" t="str">
        <f t="shared" si="116"/>
        <v>  532,272,000 </v>
      </c>
      <c r="U54" s="387"/>
      <c r="V54" s="400" t="str">
        <f t="shared" si="118"/>
        <v>0%</v>
      </c>
      <c r="W54" s="16" t="s">
        <v>714</v>
      </c>
      <c r="X54" s="16" t="s">
        <v>715</v>
      </c>
      <c r="Y54" s="402">
        <v>45179.0</v>
      </c>
      <c r="Z54" s="603">
        <v>45179.0</v>
      </c>
      <c r="AA54" s="29">
        <v>5.32272E7</v>
      </c>
      <c r="AB54" s="74" t="str">
        <f t="shared" si="119"/>
        <v>10%</v>
      </c>
      <c r="AC54" s="402">
        <v>45239.0</v>
      </c>
      <c r="AD54" s="29">
        <v>5.32272E7</v>
      </c>
      <c r="AE54" s="402">
        <v>45239.0</v>
      </c>
      <c r="AF54" s="29">
        <v>5.32272E7</v>
      </c>
      <c r="AG54" s="36">
        <v>4.258176E8</v>
      </c>
      <c r="AH54" s="402">
        <v>45534.0</v>
      </c>
      <c r="AI54" s="36" t="str">
        <f t="shared" si="120"/>
        <v>  - </v>
      </c>
      <c r="AJ54" s="36" t="str">
        <f t="shared" si="121"/>
        <v>  532,272,000 </v>
      </c>
      <c r="AK54" s="36"/>
      <c r="AL54" s="36"/>
      <c r="AM54" s="16">
        <v>107.0</v>
      </c>
      <c r="AN54" s="16"/>
      <c r="AO54" s="609" t="s">
        <v>716</v>
      </c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3"/>
      <c r="BD54" s="36" t="s">
        <v>717</v>
      </c>
      <c r="BE54" s="36">
        <v>9.125E7</v>
      </c>
      <c r="BF54" s="36" t="str">
        <f t="shared" ref="BF54:BF59" si="127">BE54*40%</f>
        <v>  36,500,000 </v>
      </c>
      <c r="BG54" s="36" t="str">
        <f t="shared" ref="BG54:BG59" si="128">BE54*30%</f>
        <v>  27,375,000 </v>
      </c>
      <c r="BH54" s="384" t="str">
        <f t="shared" ref="BH54:BH59" si="129">BE54*30%</f>
        <v>  27,375,000 </v>
      </c>
    </row>
    <row r="55" ht="16.5" customHeight="1">
      <c r="A55" s="589">
        <v>6.0</v>
      </c>
      <c r="B55" s="11"/>
      <c r="C55" s="11"/>
      <c r="D55" s="395">
        <v>112.0</v>
      </c>
      <c r="E55" s="601">
        <v>0.853833492333955</v>
      </c>
      <c r="F55" s="601">
        <v>0.1461665076660451</v>
      </c>
      <c r="G55" s="397">
        <v>10.729674999999999</v>
      </c>
      <c r="H55" s="602">
        <v>16.307775</v>
      </c>
      <c r="I55" s="607">
        <v>4.571E8</v>
      </c>
      <c r="J55" s="13" t="str">
        <f t="shared" si="107"/>
        <v>390,287,000 </v>
      </c>
      <c r="K55" s="13" t="str">
        <f t="shared" si="108"/>
        <v>66,813,000 </v>
      </c>
      <c r="L55" s="13" t="str">
        <f t="shared" si="109"/>
        <v>39,029,000 </v>
      </c>
      <c r="M55" s="13" t="str">
        <f t="shared" si="110"/>
        <v>496,129,000 </v>
      </c>
      <c r="N55" s="13" t="str">
        <f t="shared" si="111"/>
        <v>496,129,000 </v>
      </c>
      <c r="O55" s="608"/>
      <c r="P55" s="387" t="str">
        <f t="shared" si="112"/>
        <v>  - </v>
      </c>
      <c r="Q55" s="387" t="str">
        <f t="shared" si="113"/>
        <v>  - </v>
      </c>
      <c r="R55" s="387" t="str">
        <f t="shared" si="114"/>
        <v>  - </v>
      </c>
      <c r="S55" s="387" t="str">
        <f t="shared" si="115"/>
        <v>  - </v>
      </c>
      <c r="T55" s="384" t="str">
        <f t="shared" si="116"/>
        <v>  496,129,000 </v>
      </c>
      <c r="U55" s="387"/>
      <c r="V55" s="400" t="str">
        <f t="shared" si="118"/>
        <v>0%</v>
      </c>
      <c r="W55" s="16" t="s">
        <v>718</v>
      </c>
      <c r="X55" s="16" t="s">
        <v>719</v>
      </c>
      <c r="Y55" s="402">
        <v>45180.0</v>
      </c>
      <c r="Z55" s="603">
        <v>45180.0</v>
      </c>
      <c r="AA55" s="29">
        <v>4.96129E7</v>
      </c>
      <c r="AB55" s="74" t="str">
        <f t="shared" si="119"/>
        <v>10%</v>
      </c>
      <c r="AC55" s="402">
        <v>45240.0</v>
      </c>
      <c r="AD55" s="29">
        <v>4.96129E7</v>
      </c>
      <c r="AE55" s="402">
        <v>45240.0</v>
      </c>
      <c r="AF55" s="29">
        <v>4.96129E7</v>
      </c>
      <c r="AG55" s="36">
        <v>3.969032E8</v>
      </c>
      <c r="AH55" s="402">
        <v>45520.0</v>
      </c>
      <c r="AI55" s="36" t="str">
        <f t="shared" si="120"/>
        <v>  - </v>
      </c>
      <c r="AJ55" s="36" t="str">
        <f t="shared" si="121"/>
        <v>  496,129,000 </v>
      </c>
      <c r="AK55" s="402">
        <v>45494.0</v>
      </c>
      <c r="AL55" s="36"/>
      <c r="AM55" s="16">
        <v>112.0</v>
      </c>
      <c r="AN55" s="16"/>
      <c r="AO55" s="610" t="s">
        <v>720</v>
      </c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3"/>
      <c r="BD55" s="36" t="s">
        <v>717</v>
      </c>
      <c r="BE55" s="36">
        <v>8.506E7</v>
      </c>
      <c r="BF55" s="36" t="str">
        <f t="shared" si="127"/>
        <v>  34,024,000 </v>
      </c>
      <c r="BG55" s="36" t="str">
        <f t="shared" si="128"/>
        <v>  25,518,000 </v>
      </c>
      <c r="BH55" s="384" t="str">
        <f t="shared" si="129"/>
        <v>  25,518,000 </v>
      </c>
    </row>
    <row r="56" ht="16.5" customHeight="1">
      <c r="A56" s="589">
        <v>7.0</v>
      </c>
      <c r="B56" s="11"/>
      <c r="C56" s="11"/>
      <c r="D56" s="395">
        <v>113.0</v>
      </c>
      <c r="E56" s="601">
        <v>0.853877366339742</v>
      </c>
      <c r="F56" s="601">
        <v>0.1461226336602581</v>
      </c>
      <c r="G56" s="397">
        <v>9.307925</v>
      </c>
      <c r="H56" s="602">
        <v>14.147925</v>
      </c>
      <c r="I56" s="607">
        <v>4.333E8</v>
      </c>
      <c r="J56" s="13" t="str">
        <f t="shared" si="107"/>
        <v>369,985,000 </v>
      </c>
      <c r="K56" s="13" t="str">
        <f t="shared" si="108"/>
        <v>63,315,000 </v>
      </c>
      <c r="L56" s="13" t="str">
        <f t="shared" si="109"/>
        <v>36,999,000 </v>
      </c>
      <c r="M56" s="13" t="str">
        <f t="shared" si="110"/>
        <v>470,299,000 </v>
      </c>
      <c r="N56" s="13" t="str">
        <f t="shared" si="111"/>
        <v>470,299,000 </v>
      </c>
      <c r="O56" s="608"/>
      <c r="P56" s="387" t="str">
        <f t="shared" si="112"/>
        <v>  - </v>
      </c>
      <c r="Q56" s="387" t="str">
        <f t="shared" si="113"/>
        <v>  - </v>
      </c>
      <c r="R56" s="387" t="str">
        <f t="shared" si="114"/>
        <v>  - </v>
      </c>
      <c r="S56" s="387" t="str">
        <f t="shared" si="115"/>
        <v>  - </v>
      </c>
      <c r="T56" s="384" t="str">
        <f t="shared" si="116"/>
        <v>  470,299,000 </v>
      </c>
      <c r="U56" s="387"/>
      <c r="V56" s="400" t="str">
        <f t="shared" si="118"/>
        <v>0%</v>
      </c>
      <c r="W56" s="16" t="s">
        <v>718</v>
      </c>
      <c r="X56" s="16" t="s">
        <v>721</v>
      </c>
      <c r="Y56" s="402">
        <v>45180.0</v>
      </c>
      <c r="Z56" s="603">
        <v>45180.0</v>
      </c>
      <c r="AA56" s="29">
        <v>4.70299E7</v>
      </c>
      <c r="AB56" s="74" t="str">
        <f t="shared" si="119"/>
        <v>10%</v>
      </c>
      <c r="AC56" s="402">
        <v>45240.0</v>
      </c>
      <c r="AD56" s="29">
        <v>4.70299E7</v>
      </c>
      <c r="AE56" s="402">
        <v>45240.0</v>
      </c>
      <c r="AF56" s="29">
        <v>4.70299E7</v>
      </c>
      <c r="AG56" s="36">
        <v>3.762392E8</v>
      </c>
      <c r="AH56" s="402">
        <v>45520.0</v>
      </c>
      <c r="AI56" s="36" t="str">
        <f t="shared" si="120"/>
        <v>  - </v>
      </c>
      <c r="AJ56" s="36" t="str">
        <f t="shared" si="121"/>
        <v>  470,299,000 </v>
      </c>
      <c r="AK56" s="402">
        <v>45494.0</v>
      </c>
      <c r="AL56" s="36"/>
      <c r="AM56" s="16">
        <v>113.0</v>
      </c>
      <c r="AN56" s="16"/>
      <c r="AO56" s="611"/>
      <c r="AP56" s="611"/>
      <c r="AQ56" s="611"/>
      <c r="AR56" s="611"/>
      <c r="AS56" s="611"/>
      <c r="AT56" s="611"/>
      <c r="AU56" s="611"/>
      <c r="AV56" s="611"/>
      <c r="AW56" s="611"/>
      <c r="AX56" s="611"/>
      <c r="AY56" s="611"/>
      <c r="AZ56" s="611"/>
      <c r="BA56" s="611"/>
      <c r="BB56" s="611"/>
      <c r="BC56" s="611"/>
      <c r="BD56" s="36" t="s">
        <v>717</v>
      </c>
      <c r="BE56" s="36">
        <v>8.063E7</v>
      </c>
      <c r="BF56" s="36" t="str">
        <f t="shared" si="127"/>
        <v>  32,252,000 </v>
      </c>
      <c r="BG56" s="36" t="str">
        <f t="shared" si="128"/>
        <v>  24,189,000 </v>
      </c>
      <c r="BH56" s="384" t="str">
        <f t="shared" si="129"/>
        <v>  24,189,000 </v>
      </c>
    </row>
    <row r="57" ht="16.5" customHeight="1">
      <c r="A57" s="589">
        <v>8.0</v>
      </c>
      <c r="B57" s="11"/>
      <c r="C57" s="11"/>
      <c r="D57" s="395">
        <v>114.0</v>
      </c>
      <c r="E57" s="601">
        <v>0.8539104207574326</v>
      </c>
      <c r="F57" s="601">
        <v>0.14608957924256735</v>
      </c>
      <c r="G57" s="397">
        <v>8.4337</v>
      </c>
      <c r="H57" s="602">
        <v>12.81995</v>
      </c>
      <c r="I57" s="607">
        <v>3.468E8</v>
      </c>
      <c r="J57" s="13" t="str">
        <f t="shared" si="107"/>
        <v>296,136,000 </v>
      </c>
      <c r="K57" s="13" t="str">
        <f t="shared" si="108"/>
        <v>50,664,000 </v>
      </c>
      <c r="L57" s="13" t="str">
        <f t="shared" si="109"/>
        <v>29,614,000 </v>
      </c>
      <c r="M57" s="13" t="str">
        <f t="shared" si="110"/>
        <v>376,414,000 </v>
      </c>
      <c r="N57" s="13" t="str">
        <f t="shared" si="111"/>
        <v>376,414,000 </v>
      </c>
      <c r="O57" s="608"/>
      <c r="P57" s="387" t="str">
        <f t="shared" si="112"/>
        <v>  - </v>
      </c>
      <c r="Q57" s="387" t="str">
        <f t="shared" si="113"/>
        <v>  - </v>
      </c>
      <c r="R57" s="387" t="str">
        <f t="shared" si="114"/>
        <v>  - </v>
      </c>
      <c r="S57" s="387" t="str">
        <f t="shared" si="115"/>
        <v>  - </v>
      </c>
      <c r="T57" s="384" t="str">
        <f t="shared" si="116"/>
        <v>  376,414,000 </v>
      </c>
      <c r="U57" s="387"/>
      <c r="V57" s="400" t="str">
        <f t="shared" si="118"/>
        <v>0%</v>
      </c>
      <c r="W57" s="16" t="s">
        <v>722</v>
      </c>
      <c r="X57" s="16" t="s">
        <v>723</v>
      </c>
      <c r="Y57" s="402">
        <v>45178.0</v>
      </c>
      <c r="Z57" s="603">
        <v>45178.0</v>
      </c>
      <c r="AA57" s="29">
        <v>3.76414E7</v>
      </c>
      <c r="AB57" s="74" t="str">
        <f t="shared" si="119"/>
        <v>10%</v>
      </c>
      <c r="AC57" s="402">
        <v>45238.0</v>
      </c>
      <c r="AD57" s="29">
        <v>3.76414E7</v>
      </c>
      <c r="AE57" s="402">
        <v>45238.0</v>
      </c>
      <c r="AF57" s="29">
        <v>3.76414E7</v>
      </c>
      <c r="AG57" s="36">
        <v>3.011312E8</v>
      </c>
      <c r="AH57" s="402">
        <v>45534.0</v>
      </c>
      <c r="AI57" s="36" t="str">
        <f t="shared" si="120"/>
        <v>  - </v>
      </c>
      <c r="AJ57" s="36" t="str">
        <f t="shared" si="121"/>
        <v>  376,414,000 </v>
      </c>
      <c r="AK57" s="36"/>
      <c r="AL57" s="36"/>
      <c r="AM57" s="16">
        <v>114.0</v>
      </c>
      <c r="AN57" s="16"/>
      <c r="AO57" s="610" t="s">
        <v>724</v>
      </c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3"/>
      <c r="BD57" s="36" t="s">
        <v>717</v>
      </c>
      <c r="BE57" s="36">
        <v>6.453E7</v>
      </c>
      <c r="BF57" s="36" t="str">
        <f t="shared" si="127"/>
        <v>  25,812,000 </v>
      </c>
      <c r="BG57" s="36" t="str">
        <f t="shared" si="128"/>
        <v>  19,359,000 </v>
      </c>
      <c r="BH57" s="384" t="str">
        <f t="shared" si="129"/>
        <v>  19,359,000 </v>
      </c>
    </row>
    <row r="58" ht="16.5" customHeight="1">
      <c r="A58" s="589">
        <v>9.0</v>
      </c>
      <c r="B58" s="11"/>
      <c r="C58" s="11"/>
      <c r="D58" s="395">
        <v>201.0</v>
      </c>
      <c r="E58" s="601">
        <v>0.87049170766663</v>
      </c>
      <c r="F58" s="601">
        <v>0.12950829233337002</v>
      </c>
      <c r="G58" s="397">
        <v>21.371625</v>
      </c>
      <c r="H58" s="602">
        <v>37.373875</v>
      </c>
      <c r="I58" s="607">
        <v>4.107E8</v>
      </c>
      <c r="J58" s="13" t="str">
        <f t="shared" si="107"/>
        <v>357,511,000 </v>
      </c>
      <c r="K58" s="13" t="str">
        <f t="shared" si="108"/>
        <v>53,189,000 </v>
      </c>
      <c r="L58" s="13" t="str">
        <f t="shared" si="109"/>
        <v>35,751,000 </v>
      </c>
      <c r="M58" s="13" t="str">
        <f t="shared" si="110"/>
        <v>446,451,000 </v>
      </c>
      <c r="N58" s="13" t="str">
        <f t="shared" si="111"/>
        <v>446,451,000 </v>
      </c>
      <c r="O58" s="608"/>
      <c r="P58" s="387" t="str">
        <f t="shared" si="112"/>
        <v>  - </v>
      </c>
      <c r="Q58" s="387" t="str">
        <f t="shared" si="113"/>
        <v>  - </v>
      </c>
      <c r="R58" s="387" t="str">
        <f t="shared" si="114"/>
        <v>  - </v>
      </c>
      <c r="S58" s="387" t="str">
        <f t="shared" si="115"/>
        <v>  - </v>
      </c>
      <c r="T58" s="384" t="str">
        <f t="shared" si="116"/>
        <v>  446,451,000 </v>
      </c>
      <c r="U58" s="612">
        <v>0.0</v>
      </c>
      <c r="V58" s="400" t="str">
        <f t="shared" si="118"/>
        <v>0%</v>
      </c>
      <c r="W58" s="16" t="s">
        <v>725</v>
      </c>
      <c r="X58" s="16" t="s">
        <v>726</v>
      </c>
      <c r="Y58" s="402">
        <v>45178.0</v>
      </c>
      <c r="Z58" s="603">
        <v>45178.0</v>
      </c>
      <c r="AA58" s="29">
        <v>4.46451E7</v>
      </c>
      <c r="AB58" s="74" t="str">
        <f t="shared" si="119"/>
        <v>10%</v>
      </c>
      <c r="AC58" s="402">
        <v>45238.0</v>
      </c>
      <c r="AD58" s="29">
        <v>4.46451E7</v>
      </c>
      <c r="AE58" s="402">
        <v>45238.0</v>
      </c>
      <c r="AF58" s="29">
        <v>4.46451E7</v>
      </c>
      <c r="AG58" s="36">
        <v>3.571608E8</v>
      </c>
      <c r="AH58" s="402">
        <v>45541.0</v>
      </c>
      <c r="AI58" s="36" t="str">
        <f t="shared" si="120"/>
        <v>  - </v>
      </c>
      <c r="AJ58" s="36" t="str">
        <f t="shared" si="121"/>
        <v>  446,451,000 </v>
      </c>
      <c r="AK58" s="402"/>
      <c r="AL58" s="402"/>
      <c r="AM58" s="16">
        <v>201.0</v>
      </c>
      <c r="AN58" s="16"/>
      <c r="AO58" s="20"/>
      <c r="AP58" s="20"/>
      <c r="AQ58" s="16"/>
      <c r="AR58" s="20"/>
      <c r="AS58" s="20"/>
      <c r="AT58" s="20"/>
      <c r="AU58" s="29"/>
      <c r="AV58" s="29"/>
      <c r="AW58" s="20"/>
      <c r="AX58" s="20"/>
      <c r="AY58" s="20"/>
      <c r="AZ58" s="20"/>
      <c r="BA58" s="20"/>
      <c r="BB58" s="20"/>
      <c r="BC58" s="20"/>
      <c r="BD58" s="613" t="s">
        <v>717</v>
      </c>
      <c r="BE58" s="614">
        <v>7.642E7</v>
      </c>
      <c r="BF58" s="615" t="str">
        <f t="shared" si="127"/>
        <v>  30,568,000 </v>
      </c>
      <c r="BG58" s="615" t="str">
        <f t="shared" si="128"/>
        <v>  22,926,000 </v>
      </c>
      <c r="BH58" s="18" t="str">
        <f t="shared" si="129"/>
        <v>  22,926,000 </v>
      </c>
      <c r="BI58" s="551"/>
      <c r="BJ58" s="551"/>
      <c r="BK58" s="551"/>
      <c r="BL58" s="551"/>
      <c r="BM58" s="551"/>
    </row>
    <row r="59" ht="16.5" customHeight="1">
      <c r="A59" s="589">
        <v>10.0</v>
      </c>
      <c r="B59" s="15"/>
      <c r="C59" s="15"/>
      <c r="D59" s="395">
        <v>202.0</v>
      </c>
      <c r="E59" s="601">
        <v>0.8704798930821657</v>
      </c>
      <c r="F59" s="601">
        <v>0.12952010691783428</v>
      </c>
      <c r="G59" s="397">
        <v>21.214325</v>
      </c>
      <c r="H59" s="602">
        <v>37.0986</v>
      </c>
      <c r="I59" s="607">
        <v>4.199E8</v>
      </c>
      <c r="J59" s="13" t="str">
        <f t="shared" si="107"/>
        <v>365,515,000 </v>
      </c>
      <c r="K59" s="13" t="str">
        <f t="shared" si="108"/>
        <v>54,385,000 </v>
      </c>
      <c r="L59" s="13" t="str">
        <f t="shared" si="109"/>
        <v>36,552,000 </v>
      </c>
      <c r="M59" s="13" t="str">
        <f t="shared" si="110"/>
        <v>456,452,000 </v>
      </c>
      <c r="N59" s="13" t="str">
        <f t="shared" si="111"/>
        <v>456,452,000 </v>
      </c>
      <c r="O59" s="608"/>
      <c r="P59" s="387" t="str">
        <f t="shared" si="112"/>
        <v>  - </v>
      </c>
      <c r="Q59" s="387" t="str">
        <f t="shared" si="113"/>
        <v>  - </v>
      </c>
      <c r="R59" s="387" t="str">
        <f t="shared" si="114"/>
        <v>  - </v>
      </c>
      <c r="S59" s="387" t="str">
        <f t="shared" si="115"/>
        <v>  - </v>
      </c>
      <c r="T59" s="384" t="str">
        <f t="shared" si="116"/>
        <v>  456,452,000 </v>
      </c>
      <c r="U59" s="612">
        <v>0.0</v>
      </c>
      <c r="V59" s="400" t="str">
        <f t="shared" si="118"/>
        <v>0%</v>
      </c>
      <c r="W59" s="16" t="s">
        <v>725</v>
      </c>
      <c r="X59" s="16" t="s">
        <v>727</v>
      </c>
      <c r="Y59" s="402">
        <v>45178.0</v>
      </c>
      <c r="Z59" s="402">
        <v>45178.0</v>
      </c>
      <c r="AA59" s="29">
        <v>4.56452E7</v>
      </c>
      <c r="AB59" s="74" t="str">
        <f t="shared" si="119"/>
        <v>10%</v>
      </c>
      <c r="AC59" s="402">
        <v>45238.0</v>
      </c>
      <c r="AD59" s="29">
        <v>4.56452E7</v>
      </c>
      <c r="AE59" s="402">
        <v>45238.0</v>
      </c>
      <c r="AF59" s="29">
        <v>4.56452E7</v>
      </c>
      <c r="AG59" s="36">
        <v>3.651616E8</v>
      </c>
      <c r="AH59" s="402">
        <v>45541.0</v>
      </c>
      <c r="AI59" s="36" t="str">
        <f t="shared" si="120"/>
        <v>  - </v>
      </c>
      <c r="AJ59" s="36" t="str">
        <f t="shared" si="121"/>
        <v>  456,452,000 </v>
      </c>
      <c r="AK59" s="402"/>
      <c r="AL59" s="402"/>
      <c r="AM59" s="16">
        <v>202.0</v>
      </c>
      <c r="AN59" s="16"/>
      <c r="AO59" s="20"/>
      <c r="AP59" s="20"/>
      <c r="AQ59" s="16"/>
      <c r="AR59" s="20"/>
      <c r="AS59" s="20"/>
      <c r="AT59" s="20"/>
      <c r="AU59" s="29"/>
      <c r="AV59" s="29"/>
      <c r="AW59" s="20"/>
      <c r="AX59" s="20"/>
      <c r="AY59" s="20"/>
      <c r="AZ59" s="20"/>
      <c r="BA59" s="20"/>
      <c r="BB59" s="20"/>
      <c r="BC59" s="20"/>
      <c r="BD59" s="613" t="s">
        <v>717</v>
      </c>
      <c r="BE59" s="614">
        <v>7.813E7</v>
      </c>
      <c r="BF59" s="615" t="str">
        <f t="shared" si="127"/>
        <v>  31,252,000 </v>
      </c>
      <c r="BG59" s="615" t="str">
        <f t="shared" si="128"/>
        <v>  23,439,000 </v>
      </c>
      <c r="BH59" s="18" t="str">
        <f t="shared" si="129"/>
        <v>  23,439,000 </v>
      </c>
      <c r="BI59" s="551"/>
      <c r="BJ59" s="551"/>
      <c r="BK59" s="551"/>
      <c r="BL59" s="551"/>
      <c r="BM59" s="551"/>
    </row>
    <row r="60" ht="16.5" customHeight="1">
      <c r="AM60" s="45"/>
      <c r="AN60" s="45"/>
      <c r="AQ60" s="45"/>
      <c r="BE60" s="46"/>
      <c r="BF60" s="46"/>
      <c r="BG60" s="46"/>
      <c r="BH60" s="46"/>
      <c r="BI60" s="46"/>
    </row>
    <row r="61" ht="16.5" customHeight="1">
      <c r="AM61" s="45"/>
      <c r="AN61" s="45"/>
      <c r="AQ61" s="45"/>
      <c r="BD61" s="616" t="s">
        <v>707</v>
      </c>
      <c r="BE61" s="291" t="str">
        <f t="shared" ref="BE61:BH61" si="130">SUMIF($BD$50:$BD$59,"=선인",BE50:BE59)</f>
        <v>  351,046,500 </v>
      </c>
      <c r="BF61" s="291" t="str">
        <f t="shared" si="130"/>
        <v>  175,523,250 </v>
      </c>
      <c r="BG61" s="291" t="str">
        <f t="shared" si="130"/>
        <v>  - </v>
      </c>
      <c r="BH61" s="291" t="str">
        <f t="shared" si="130"/>
        <v>  175,523,250 </v>
      </c>
      <c r="BI61" s="46"/>
    </row>
    <row r="62" ht="16.5" customHeight="1">
      <c r="AM62" s="45"/>
      <c r="AN62" s="45"/>
      <c r="AQ62" s="45"/>
      <c r="BD62" s="616" t="s">
        <v>717</v>
      </c>
      <c r="BE62" s="291" t="str">
        <f>SUMIF($BD$50:$BD$59,"=유성",BE50:BE59)</f>
        <v>  476,020,000 </v>
      </c>
      <c r="BF62" s="291" t="str">
        <f t="shared" ref="BF62:BH62" si="131">SUMIF($BD$50:$BD$59,"=선인",BF51:BF60)</f>
        <v>  167,712,500 </v>
      </c>
      <c r="BG62" s="291" t="str">
        <f t="shared" si="131"/>
        <v>  27,375,000 </v>
      </c>
      <c r="BH62" s="291" t="str">
        <f t="shared" si="131"/>
        <v>  158,587,500 </v>
      </c>
      <c r="BI62" s="46"/>
    </row>
    <row r="63" ht="16.5" customHeight="1">
      <c r="AM63" s="45"/>
      <c r="AN63" s="45"/>
      <c r="AQ63" s="45"/>
      <c r="BE63" s="46"/>
      <c r="BF63" s="46"/>
      <c r="BG63" s="46"/>
      <c r="BH63" s="46"/>
      <c r="BI63" s="46"/>
    </row>
    <row r="64" ht="16.5" customHeight="1">
      <c r="AM64" s="45"/>
      <c r="AN64" s="45"/>
      <c r="AQ64" s="45"/>
      <c r="BE64" s="46"/>
      <c r="BF64" s="46"/>
      <c r="BG64" s="46"/>
      <c r="BH64" s="46"/>
      <c r="BI64" s="46"/>
    </row>
    <row r="65" ht="16.5" customHeight="1">
      <c r="AM65" s="45"/>
      <c r="AN65" s="45"/>
      <c r="AQ65" s="45"/>
      <c r="BE65" s="46"/>
      <c r="BF65" s="46"/>
      <c r="BG65" s="46"/>
      <c r="BH65" s="46"/>
      <c r="BI65" s="46"/>
    </row>
    <row r="66" ht="16.5" customHeight="1">
      <c r="AM66" s="45"/>
      <c r="AN66" s="45"/>
      <c r="AQ66" s="45"/>
    </row>
    <row r="67" ht="16.5" customHeight="1">
      <c r="AM67" s="45"/>
      <c r="AN67" s="45"/>
      <c r="AQ67" s="45"/>
    </row>
    <row r="68" ht="16.5" customHeight="1">
      <c r="AM68" s="45"/>
      <c r="AN68" s="45"/>
      <c r="AQ68" s="45"/>
    </row>
    <row r="69" ht="16.5" customHeight="1">
      <c r="AM69" s="45"/>
      <c r="AN69" s="45"/>
      <c r="AQ69" s="45"/>
    </row>
    <row r="70" ht="16.5" customHeight="1">
      <c r="AM70" s="45"/>
      <c r="AN70" s="45"/>
      <c r="AQ70" s="45"/>
    </row>
    <row r="71" ht="16.5" customHeight="1">
      <c r="AM71" s="45"/>
      <c r="AN71" s="45"/>
      <c r="AQ71" s="45"/>
    </row>
    <row r="72" ht="16.5" customHeight="1">
      <c r="AM72" s="45"/>
      <c r="AN72" s="45"/>
      <c r="AQ72" s="45"/>
    </row>
    <row r="73" ht="16.5" customHeight="1">
      <c r="AM73" s="45"/>
      <c r="AN73" s="45"/>
      <c r="AQ73" s="45"/>
    </row>
    <row r="74" ht="16.5" customHeight="1">
      <c r="AM74" s="45"/>
      <c r="AN74" s="45"/>
      <c r="AQ74" s="45"/>
    </row>
    <row r="75" ht="16.5" customHeight="1">
      <c r="AM75" s="45"/>
      <c r="AN75" s="45"/>
      <c r="AQ75" s="45"/>
    </row>
    <row r="76" ht="16.5" customHeight="1">
      <c r="AM76" s="45"/>
      <c r="AN76" s="45"/>
      <c r="AQ76" s="45"/>
    </row>
    <row r="77" ht="16.5" customHeight="1">
      <c r="AM77" s="45"/>
      <c r="AN77" s="45"/>
      <c r="AQ77" s="45"/>
    </row>
    <row r="78" ht="16.5" customHeight="1">
      <c r="AM78" s="45"/>
      <c r="AN78" s="45"/>
      <c r="AQ78" s="45"/>
    </row>
    <row r="79" ht="16.5" customHeight="1">
      <c r="AM79" s="45"/>
      <c r="AN79" s="45"/>
      <c r="AQ79" s="45"/>
    </row>
    <row r="80" ht="16.5" customHeight="1">
      <c r="AM80" s="45"/>
      <c r="AN80" s="45"/>
      <c r="AQ80" s="45"/>
    </row>
    <row r="81" ht="16.5" customHeight="1">
      <c r="AM81" s="45"/>
      <c r="AN81" s="45"/>
      <c r="AQ81" s="45"/>
    </row>
    <row r="82" ht="16.5" customHeight="1">
      <c r="AM82" s="45"/>
      <c r="AN82" s="45"/>
      <c r="AQ82" s="45"/>
    </row>
    <row r="83" ht="16.5" customHeight="1">
      <c r="AM83" s="45"/>
      <c r="AN83" s="45"/>
      <c r="AQ83" s="45"/>
    </row>
    <row r="84" ht="16.5" customHeight="1">
      <c r="AM84" s="45"/>
      <c r="AN84" s="45"/>
      <c r="AQ84" s="45"/>
    </row>
    <row r="85" ht="16.5" customHeight="1">
      <c r="AM85" s="45"/>
      <c r="AN85" s="45"/>
      <c r="AQ85" s="45"/>
    </row>
    <row r="86" ht="16.5" customHeight="1">
      <c r="AM86" s="45"/>
      <c r="AN86" s="45"/>
      <c r="AQ86" s="45"/>
    </row>
    <row r="87" ht="16.5" customHeight="1">
      <c r="AM87" s="45"/>
      <c r="AN87" s="45"/>
      <c r="AQ87" s="45"/>
    </row>
    <row r="88" ht="16.5" customHeight="1">
      <c r="AM88" s="45"/>
      <c r="AN88" s="45"/>
      <c r="AQ88" s="45"/>
    </row>
    <row r="89" ht="16.5" customHeight="1">
      <c r="AM89" s="45"/>
      <c r="AN89" s="45"/>
      <c r="AQ89" s="45"/>
    </row>
    <row r="90" ht="16.5" customHeight="1">
      <c r="AM90" s="45"/>
      <c r="AN90" s="45"/>
      <c r="AQ90" s="45"/>
    </row>
    <row r="91" ht="16.5" customHeight="1">
      <c r="AM91" s="45"/>
      <c r="AN91" s="45"/>
      <c r="AQ91" s="45"/>
    </row>
    <row r="92" ht="16.5" customHeight="1">
      <c r="AM92" s="45"/>
      <c r="AN92" s="45"/>
      <c r="AQ92" s="45"/>
    </row>
    <row r="93" ht="16.5" customHeight="1">
      <c r="AM93" s="45"/>
      <c r="AN93" s="45"/>
      <c r="AQ93" s="45"/>
    </row>
    <row r="94" ht="16.5" customHeight="1">
      <c r="AM94" s="45"/>
      <c r="AN94" s="45"/>
      <c r="AQ94" s="45"/>
    </row>
    <row r="95" ht="16.5" customHeight="1">
      <c r="AM95" s="45"/>
      <c r="AN95" s="45"/>
      <c r="AQ95" s="45"/>
    </row>
    <row r="96" ht="16.5" customHeight="1">
      <c r="AM96" s="45"/>
      <c r="AN96" s="45"/>
      <c r="AQ96" s="45"/>
    </row>
    <row r="97" ht="16.5" customHeight="1">
      <c r="AM97" s="45"/>
      <c r="AN97" s="45"/>
      <c r="AQ97" s="45"/>
    </row>
    <row r="98" ht="16.5" customHeight="1">
      <c r="AM98" s="45"/>
      <c r="AN98" s="45"/>
      <c r="AQ98" s="45"/>
    </row>
    <row r="99" ht="16.5" customHeight="1">
      <c r="AM99" s="45"/>
      <c r="AN99" s="45"/>
      <c r="AQ99" s="45"/>
    </row>
    <row r="100" ht="16.5" customHeight="1">
      <c r="AM100" s="45"/>
      <c r="AN100" s="45"/>
      <c r="AQ100" s="45"/>
    </row>
  </sheetData>
  <mergeCells count="147">
    <mergeCell ref="AK47:AK48"/>
    <mergeCell ref="U47:U48"/>
    <mergeCell ref="V47:V48"/>
    <mergeCell ref="W47:W48"/>
    <mergeCell ref="X47:X48"/>
    <mergeCell ref="Y47:Y48"/>
    <mergeCell ref="Z47:AB47"/>
    <mergeCell ref="BI47:BK47"/>
    <mergeCell ref="B50:B59"/>
    <mergeCell ref="C50:C59"/>
    <mergeCell ref="AO54:BC54"/>
    <mergeCell ref="AO55:BC55"/>
    <mergeCell ref="AO57:BC57"/>
    <mergeCell ref="A46:BC46"/>
    <mergeCell ref="AL47:AL48"/>
    <mergeCell ref="BD47:BH47"/>
    <mergeCell ref="AC47:AD47"/>
    <mergeCell ref="AE47:AF47"/>
    <mergeCell ref="AG47:AH47"/>
    <mergeCell ref="N47:N48"/>
    <mergeCell ref="O47:O48"/>
    <mergeCell ref="P47:S47"/>
    <mergeCell ref="T47:T48"/>
    <mergeCell ref="E47:F47"/>
    <mergeCell ref="G47:G48"/>
    <mergeCell ref="A49:G49"/>
    <mergeCell ref="H47:H48"/>
    <mergeCell ref="A38:H38"/>
    <mergeCell ref="A39:H39"/>
    <mergeCell ref="I47:I48"/>
    <mergeCell ref="J47:M47"/>
    <mergeCell ref="A40:H40"/>
    <mergeCell ref="A47:A48"/>
    <mergeCell ref="B47:B48"/>
    <mergeCell ref="C47:C48"/>
    <mergeCell ref="D47:D48"/>
    <mergeCell ref="AC24:AC28"/>
    <mergeCell ref="AD24:AD28"/>
    <mergeCell ref="Z24:Z28"/>
    <mergeCell ref="L24:L28"/>
    <mergeCell ref="M24:M28"/>
    <mergeCell ref="N24:N28"/>
    <mergeCell ref="T24:T28"/>
    <mergeCell ref="U24:U28"/>
    <mergeCell ref="V24:V28"/>
    <mergeCell ref="AH24:AH28"/>
    <mergeCell ref="AI24:AI28"/>
    <mergeCell ref="AJ24:AJ28"/>
    <mergeCell ref="AL24:AY28"/>
    <mergeCell ref="AF24:AF28"/>
    <mergeCell ref="AG24:AG28"/>
    <mergeCell ref="AE24:AE28"/>
    <mergeCell ref="AI47:AI48"/>
    <mergeCell ref="AJ47:AJ48"/>
    <mergeCell ref="AO40:AR40"/>
    <mergeCell ref="AV32:AV36"/>
    <mergeCell ref="AM38:AM40"/>
    <mergeCell ref="AO38:AR38"/>
    <mergeCell ref="AO39:AR39"/>
    <mergeCell ref="AX30:AX31"/>
    <mergeCell ref="AZ24:AZ28"/>
    <mergeCell ref="BA24:BA28"/>
    <mergeCell ref="BB24:BB28"/>
    <mergeCell ref="AY30:AY31"/>
    <mergeCell ref="AZ30:AZ31"/>
    <mergeCell ref="BA30:BA31"/>
    <mergeCell ref="BB30:BB31"/>
    <mergeCell ref="AS30:AS31"/>
    <mergeCell ref="AT30:AT31"/>
    <mergeCell ref="AU30:AU31"/>
    <mergeCell ref="AV30:AV31"/>
    <mergeCell ref="AW30:AW31"/>
    <mergeCell ref="AR30:AR31"/>
    <mergeCell ref="AI30:AI31"/>
    <mergeCell ref="AJ30:AJ31"/>
    <mergeCell ref="AJ5:AJ6"/>
    <mergeCell ref="AI5:AI6"/>
    <mergeCell ref="AK30:AK31"/>
    <mergeCell ref="AL30:AL31"/>
    <mergeCell ref="AK5:AY5"/>
    <mergeCell ref="AZ5:AZ6"/>
    <mergeCell ref="BA5:BB5"/>
    <mergeCell ref="BK5:BM5"/>
    <mergeCell ref="AK4:AY4"/>
    <mergeCell ref="AZ4:BB4"/>
    <mergeCell ref="AM30:AM31"/>
    <mergeCell ref="AN30:AN31"/>
    <mergeCell ref="AO30:AO31"/>
    <mergeCell ref="AP30:AP31"/>
    <mergeCell ref="AQ30:AQ31"/>
    <mergeCell ref="AG30:AG31"/>
    <mergeCell ref="AH30:AH31"/>
    <mergeCell ref="AA24:AA28"/>
    <mergeCell ref="AB24:AB28"/>
    <mergeCell ref="Z5:AB5"/>
    <mergeCell ref="AC5:AD5"/>
    <mergeCell ref="AE5:AF5"/>
    <mergeCell ref="AG5:AG6"/>
    <mergeCell ref="AH5:AH6"/>
    <mergeCell ref="T30:T31"/>
    <mergeCell ref="T5:T6"/>
    <mergeCell ref="U5:U6"/>
    <mergeCell ref="V5:V6"/>
    <mergeCell ref="W5:W6"/>
    <mergeCell ref="X5:X6"/>
    <mergeCell ref="Y5:Y6"/>
    <mergeCell ref="C5:C6"/>
    <mergeCell ref="D5:D6"/>
    <mergeCell ref="H5:H6"/>
    <mergeCell ref="G5:G6"/>
    <mergeCell ref="G24:G28"/>
    <mergeCell ref="H24:H28"/>
    <mergeCell ref="C7:C20"/>
    <mergeCell ref="I5:I6"/>
    <mergeCell ref="A1:O2"/>
    <mergeCell ref="A4:AI4"/>
    <mergeCell ref="E5:F5"/>
    <mergeCell ref="AB30:AB31"/>
    <mergeCell ref="AC30:AC31"/>
    <mergeCell ref="AD30:AD31"/>
    <mergeCell ref="AE30:AE31"/>
    <mergeCell ref="AF30:AF31"/>
    <mergeCell ref="AC2:AD2"/>
    <mergeCell ref="AE2:AF2"/>
    <mergeCell ref="I24:I28"/>
    <mergeCell ref="J24:J28"/>
    <mergeCell ref="A30:A31"/>
    <mergeCell ref="B30:B31"/>
    <mergeCell ref="D30:D31"/>
    <mergeCell ref="G30:G31"/>
    <mergeCell ref="H30:H31"/>
    <mergeCell ref="N30:N31"/>
    <mergeCell ref="C21:C37"/>
    <mergeCell ref="K24:K28"/>
    <mergeCell ref="U30:U31"/>
    <mergeCell ref="V30:V31"/>
    <mergeCell ref="W30:W31"/>
    <mergeCell ref="X30:X31"/>
    <mergeCell ref="Y30:Y31"/>
    <mergeCell ref="Z30:Z31"/>
    <mergeCell ref="AA30:AA31"/>
    <mergeCell ref="J5:M5"/>
    <mergeCell ref="N5:N6"/>
    <mergeCell ref="O5:O6"/>
    <mergeCell ref="P5:S5"/>
    <mergeCell ref="A5:A6"/>
    <mergeCell ref="B5:B6"/>
  </mergeCells>
  <conditionalFormatting sqref="AX7:AX23">
    <cfRule type="cellIs" dxfId="0" priority="1" operator="greaterThan">
      <formula>0</formula>
    </cfRule>
  </conditionalFormatting>
  <conditionalFormatting sqref="AX29:AX37">
    <cfRule type="cellIs" dxfId="0" priority="2" operator="greaterThan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5.43"/>
    <col customWidth="1" min="3" max="3" width="18.71"/>
    <col customWidth="1" min="4" max="4" width="7.14"/>
    <col customWidth="1" min="5" max="5" width="10.14"/>
    <col customWidth="1" min="6" max="6" width="11.43"/>
    <col customWidth="1" min="7" max="7" width="17.57"/>
    <col customWidth="1" min="8" max="8" width="15.57"/>
    <col customWidth="1" min="9" max="9" width="25.71"/>
    <col customWidth="1" min="10" max="10" width="11.29"/>
    <col customWidth="1" min="11" max="11" width="13.71"/>
    <col customWidth="1" min="12" max="12" width="12.14"/>
    <col customWidth="1" min="13" max="13" width="13.57"/>
    <col customWidth="1" min="14" max="14" width="15.57"/>
    <col customWidth="1" min="15" max="15" width="12.14"/>
    <col customWidth="1" min="16" max="16" width="15.57"/>
    <col customWidth="1" min="17" max="17" width="12.57"/>
    <col customWidth="1" min="18" max="19" width="8.71"/>
  </cols>
  <sheetData>
    <row r="1" ht="16.5" customHeight="1">
      <c r="A1" s="47" t="s">
        <v>728</v>
      </c>
    </row>
    <row r="2" ht="16.5" customHeight="1"/>
    <row r="3" ht="16.5" customHeight="1"/>
    <row r="4" ht="16.5" customHeight="1">
      <c r="A4" s="145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</row>
    <row r="5" ht="16.5" customHeight="1">
      <c r="A5" s="560" t="s">
        <v>2</v>
      </c>
      <c r="B5" s="560" t="s">
        <v>48</v>
      </c>
      <c r="C5" s="560" t="s">
        <v>729</v>
      </c>
      <c r="D5" s="560" t="s">
        <v>730</v>
      </c>
      <c r="E5" s="560" t="s">
        <v>50</v>
      </c>
      <c r="F5" s="560" t="s">
        <v>51</v>
      </c>
      <c r="G5" s="560" t="s">
        <v>731</v>
      </c>
      <c r="H5" s="617" t="s">
        <v>732</v>
      </c>
      <c r="I5" s="32"/>
      <c r="J5" s="33"/>
      <c r="K5" s="618" t="s">
        <v>733</v>
      </c>
      <c r="L5" s="32"/>
      <c r="M5" s="32"/>
      <c r="N5" s="32"/>
      <c r="O5" s="33"/>
      <c r="P5" s="619" t="s">
        <v>734</v>
      </c>
      <c r="Q5" s="219"/>
    </row>
    <row r="6" ht="16.5" customHeight="1">
      <c r="A6" s="15"/>
      <c r="B6" s="15"/>
      <c r="C6" s="15"/>
      <c r="D6" s="15"/>
      <c r="E6" s="15"/>
      <c r="F6" s="15"/>
      <c r="G6" s="15"/>
      <c r="H6" s="620" t="s">
        <v>4</v>
      </c>
      <c r="I6" s="620" t="s">
        <v>735</v>
      </c>
      <c r="J6" s="620" t="s">
        <v>736</v>
      </c>
      <c r="K6" s="621" t="s">
        <v>737</v>
      </c>
      <c r="L6" s="621" t="s">
        <v>738</v>
      </c>
      <c r="M6" s="622" t="s">
        <v>739</v>
      </c>
      <c r="N6" s="621" t="s">
        <v>740</v>
      </c>
      <c r="O6" s="621" t="s">
        <v>741</v>
      </c>
      <c r="P6" s="222"/>
      <c r="Q6" s="223"/>
    </row>
    <row r="7" ht="16.5" customHeight="1">
      <c r="A7" s="6" t="s">
        <v>742</v>
      </c>
      <c r="B7" s="45">
        <v>1.0</v>
      </c>
      <c r="C7" s="45" t="s">
        <v>743</v>
      </c>
      <c r="D7" s="45" t="s">
        <v>744</v>
      </c>
      <c r="E7" s="174">
        <v>249.0</v>
      </c>
      <c r="F7" s="87" t="str">
        <f t="shared" ref="F7:F13" si="1">E7/3.3058</f>
        <v>75.32평</v>
      </c>
      <c r="G7" s="181" t="str">
        <f t="shared" ref="G7:G10" si="2">384800*E7</f>
        <v>  95,815,200 </v>
      </c>
      <c r="H7" s="623" t="str">
        <f t="shared" ref="H7:H13" si="3">F7*J7</f>
        <v>414,271,886 </v>
      </c>
      <c r="I7" s="62">
        <v>7.532E7</v>
      </c>
      <c r="J7" s="624">
        <v>5500000.0</v>
      </c>
      <c r="K7" s="623">
        <v>1.58634947E8</v>
      </c>
      <c r="L7" s="89">
        <v>2.5648292E7</v>
      </c>
      <c r="M7" s="89">
        <v>1.7792034E7</v>
      </c>
      <c r="N7" s="89" t="str">
        <f t="shared" ref="N7:N13" si="4">SUM(K7:M7)</f>
        <v>202,075,273 </v>
      </c>
      <c r="O7" s="625" t="str">
        <f t="shared" ref="O7:O13" si="5">+ROUND(N7/F7,0)</f>
        <v>2,682,813 </v>
      </c>
      <c r="P7" s="626"/>
      <c r="Q7" s="120"/>
    </row>
    <row r="8" ht="16.5" customHeight="1">
      <c r="A8" s="11"/>
      <c r="B8" s="45">
        <v>2.0</v>
      </c>
      <c r="C8" s="45" t="s">
        <v>743</v>
      </c>
      <c r="D8" s="627" t="s">
        <v>745</v>
      </c>
      <c r="E8" s="174">
        <v>227.0</v>
      </c>
      <c r="F8" s="87" t="str">
        <f t="shared" si="1"/>
        <v>68.67평</v>
      </c>
      <c r="G8" s="181" t="str">
        <f t="shared" si="2"/>
        <v>  87,349,600 </v>
      </c>
      <c r="H8" s="623" t="str">
        <f t="shared" si="3"/>
        <v>377,669,550 </v>
      </c>
      <c r="I8" s="628">
        <v>6.867E7</v>
      </c>
      <c r="J8" s="624">
        <v>5500000.0</v>
      </c>
      <c r="K8" s="623">
        <v>1.45944151E8</v>
      </c>
      <c r="L8" s="89">
        <v>2.3596428E7</v>
      </c>
      <c r="M8" s="89">
        <v>1.6368671E7</v>
      </c>
      <c r="N8" s="89" t="str">
        <f t="shared" si="4"/>
        <v>185,909,250 </v>
      </c>
      <c r="O8" s="625" t="str">
        <f t="shared" si="5"/>
        <v>2,707,396 </v>
      </c>
      <c r="P8" s="626"/>
      <c r="Q8" s="120"/>
    </row>
    <row r="9" ht="16.5" customHeight="1">
      <c r="A9" s="11"/>
      <c r="B9" s="45">
        <v>3.0</v>
      </c>
      <c r="C9" s="45" t="s">
        <v>743</v>
      </c>
      <c r="D9" s="45" t="s">
        <v>746</v>
      </c>
      <c r="E9" s="174">
        <v>234.0</v>
      </c>
      <c r="F9" s="87" t="str">
        <f t="shared" si="1"/>
        <v>70.78평</v>
      </c>
      <c r="G9" s="181" t="str">
        <f t="shared" si="2"/>
        <v>  90,043,200 </v>
      </c>
      <c r="H9" s="623" t="str">
        <f t="shared" si="3"/>
        <v>389,315,748 </v>
      </c>
      <c r="I9" s="628">
        <v>7.078E7</v>
      </c>
      <c r="J9" s="624">
        <v>5500000.0</v>
      </c>
      <c r="K9" s="623">
        <v>1.50174416E8</v>
      </c>
      <c r="L9" s="89">
        <v>2.4280383E7</v>
      </c>
      <c r="M9" s="89">
        <v>1.6843125E7</v>
      </c>
      <c r="N9" s="89" t="str">
        <f t="shared" si="4"/>
        <v>191,297,924 </v>
      </c>
      <c r="O9" s="625" t="str">
        <f t="shared" si="5"/>
        <v>2,702,533 </v>
      </c>
      <c r="P9" s="626"/>
      <c r="Q9" s="120"/>
    </row>
    <row r="10" ht="16.5" customHeight="1">
      <c r="A10" s="11"/>
      <c r="B10" s="45">
        <v>4.0</v>
      </c>
      <c r="C10" s="45" t="s">
        <v>743</v>
      </c>
      <c r="D10" s="45" t="s">
        <v>747</v>
      </c>
      <c r="E10" s="174">
        <v>238.0</v>
      </c>
      <c r="F10" s="87" t="str">
        <f t="shared" si="1"/>
        <v>71.99평</v>
      </c>
      <c r="G10" s="181" t="str">
        <f t="shared" si="2"/>
        <v>  91,582,400 </v>
      </c>
      <c r="H10" s="623" t="str">
        <f t="shared" si="3"/>
        <v>395,970,718 </v>
      </c>
      <c r="I10" s="628">
        <v>7.199E7</v>
      </c>
      <c r="J10" s="624">
        <v>5500000.0</v>
      </c>
      <c r="K10" s="623">
        <v>1.52289549E8</v>
      </c>
      <c r="L10" s="89">
        <v>2.462236E7</v>
      </c>
      <c r="M10" s="89">
        <v>1.7080352E7</v>
      </c>
      <c r="N10" s="89" t="str">
        <f t="shared" si="4"/>
        <v>193,992,261 </v>
      </c>
      <c r="O10" s="625" t="str">
        <f t="shared" si="5"/>
        <v>2,694,536 </v>
      </c>
      <c r="P10" s="626"/>
      <c r="Q10" s="120"/>
    </row>
    <row r="11" ht="16.5" customHeight="1">
      <c r="A11" s="11"/>
      <c r="B11" s="45">
        <v>5.0</v>
      </c>
      <c r="C11" s="45" t="s">
        <v>748</v>
      </c>
      <c r="D11" s="45" t="s">
        <v>749</v>
      </c>
      <c r="E11" s="174">
        <v>243.0</v>
      </c>
      <c r="F11" s="87" t="str">
        <f t="shared" si="1"/>
        <v>73.51평</v>
      </c>
      <c r="G11" s="181" t="str">
        <f t="shared" ref="G11:G13" si="6">439300*E11</f>
        <v>  106,749,900 </v>
      </c>
      <c r="H11" s="623" t="str">
        <f t="shared" si="3"/>
        <v>404,289,431 </v>
      </c>
      <c r="I11" s="628">
        <v>7.351E7</v>
      </c>
      <c r="J11" s="624">
        <v>5500000.0</v>
      </c>
      <c r="K11" s="623">
        <v>1.56519814E8</v>
      </c>
      <c r="L11" s="89">
        <v>2.5306314E7</v>
      </c>
      <c r="M11" s="89">
        <v>1.7554806E7</v>
      </c>
      <c r="N11" s="89" t="str">
        <f t="shared" si="4"/>
        <v>199,380,934 </v>
      </c>
      <c r="O11" s="625" t="str">
        <f t="shared" si="5"/>
        <v>2,712,401 </v>
      </c>
      <c r="P11" s="626"/>
      <c r="Q11" s="120"/>
    </row>
    <row r="12" ht="16.5" customHeight="1">
      <c r="A12" s="11"/>
      <c r="B12" s="45">
        <v>6.0</v>
      </c>
      <c r="C12" s="45" t="s">
        <v>748</v>
      </c>
      <c r="D12" s="45" t="s">
        <v>750</v>
      </c>
      <c r="E12" s="174">
        <v>240.0</v>
      </c>
      <c r="F12" s="87" t="str">
        <f t="shared" si="1"/>
        <v>72.6평</v>
      </c>
      <c r="G12" s="181" t="str">
        <f t="shared" si="6"/>
        <v>  105,432,000 </v>
      </c>
      <c r="H12" s="623" t="str">
        <f t="shared" si="3"/>
        <v>399,298,203 </v>
      </c>
      <c r="I12" s="628">
        <v>7.26E7</v>
      </c>
      <c r="J12" s="624">
        <v>5500000.0</v>
      </c>
      <c r="K12" s="623">
        <v>1.54404681E8</v>
      </c>
      <c r="L12" s="89">
        <v>2.4964337E7</v>
      </c>
      <c r="M12" s="89">
        <v>1.7317579E7</v>
      </c>
      <c r="N12" s="89" t="str">
        <f t="shared" si="4"/>
        <v>196,686,597 </v>
      </c>
      <c r="O12" s="625" t="str">
        <f t="shared" si="5"/>
        <v>2,709,194 </v>
      </c>
      <c r="P12" s="626"/>
      <c r="Q12" s="120"/>
    </row>
    <row r="13" ht="16.5" customHeight="1">
      <c r="A13" s="11"/>
      <c r="B13" s="629">
        <v>7.0</v>
      </c>
      <c r="C13" s="629" t="s">
        <v>748</v>
      </c>
      <c r="D13" s="630" t="s">
        <v>751</v>
      </c>
      <c r="E13" s="631">
        <v>232.0</v>
      </c>
      <c r="F13" s="632" t="str">
        <f t="shared" si="1"/>
        <v>70.18평</v>
      </c>
      <c r="G13" s="181" t="str">
        <f t="shared" si="6"/>
        <v>  101,917,600 </v>
      </c>
      <c r="H13" s="623" t="str">
        <f t="shared" si="3"/>
        <v>385,988,263 </v>
      </c>
      <c r="I13" s="628">
        <v>7.018E7</v>
      </c>
      <c r="J13" s="624">
        <v>5500000.0</v>
      </c>
      <c r="K13" s="633">
        <v>1.48059284E8</v>
      </c>
      <c r="L13" s="634">
        <v>2.3938406E7</v>
      </c>
      <c r="M13" s="634">
        <v>1.6605898E7</v>
      </c>
      <c r="N13" s="634" t="str">
        <f t="shared" si="4"/>
        <v>188,603,588 </v>
      </c>
      <c r="O13" s="635" t="str">
        <f t="shared" si="5"/>
        <v>2,687,439 </v>
      </c>
      <c r="P13" s="636"/>
      <c r="Q13" s="223"/>
    </row>
    <row r="14" ht="16.5" customHeight="1">
      <c r="A14" s="11"/>
      <c r="B14" s="637" t="s">
        <v>279</v>
      </c>
      <c r="C14" s="79"/>
      <c r="D14" s="80"/>
      <c r="E14" s="638" t="str">
        <f t="shared" ref="E14:I14" si="7">SUM(E7:E13)</f>
        <v>1,663.㎡</v>
      </c>
      <c r="F14" s="639" t="str">
        <f t="shared" si="7"/>
        <v>503.06평</v>
      </c>
      <c r="G14" s="640" t="str">
        <f t="shared" si="7"/>
        <v>  678,889,900 </v>
      </c>
      <c r="H14" s="641" t="str">
        <f t="shared" si="7"/>
        <v>2,766,803,799 </v>
      </c>
      <c r="I14" s="641" t="str">
        <f t="shared" si="7"/>
        <v>503,050,000 </v>
      </c>
      <c r="J14" s="642"/>
      <c r="K14" s="643" t="str">
        <f t="shared" ref="K14:O14" si="8">SUM(K7:K13)</f>
        <v>1,066,026,842 </v>
      </c>
      <c r="L14" s="643" t="str">
        <f t="shared" si="8"/>
        <v>172,356,520 </v>
      </c>
      <c r="M14" s="643" t="str">
        <f t="shared" si="8"/>
        <v>119,562,465 </v>
      </c>
      <c r="N14" s="643" t="str">
        <f t="shared" si="8"/>
        <v>1,357,945,827 </v>
      </c>
      <c r="O14" s="643" t="str">
        <f t="shared" si="8"/>
        <v>18,896,312 </v>
      </c>
      <c r="P14" s="644"/>
      <c r="Q14" s="159"/>
    </row>
    <row r="15" ht="16.5" customHeight="1">
      <c r="A15" s="6" t="s">
        <v>752</v>
      </c>
      <c r="B15" s="173">
        <v>8.0</v>
      </c>
      <c r="C15" s="173" t="s">
        <v>753</v>
      </c>
      <c r="D15" s="173" t="s">
        <v>754</v>
      </c>
      <c r="E15" s="645">
        <v>266.0</v>
      </c>
      <c r="F15" s="646" t="str">
        <f t="shared" ref="F15:F22" si="9">E15/3.3058</f>
        <v>80.46평</v>
      </c>
      <c r="G15" s="181" t="str">
        <f t="shared" ref="G15:G17" si="10">182300*E15</f>
        <v>  48,491,800 </v>
      </c>
      <c r="H15" s="623" t="str">
        <f t="shared" ref="H15:H22" si="11">F15*J15</f>
        <v>482,787,827 </v>
      </c>
      <c r="I15" s="62">
        <v>8.046E7</v>
      </c>
      <c r="J15" s="624">
        <v>6000000.0</v>
      </c>
      <c r="K15" s="647">
        <v>1.6921061E8</v>
      </c>
      <c r="L15" s="648">
        <v>2.7358178E7</v>
      </c>
      <c r="M15" s="648">
        <v>1.8978169E7</v>
      </c>
      <c r="N15" s="648" t="str">
        <f t="shared" ref="N15:N22" si="12">SUM(K15:M15)</f>
        <v>215,546,957 </v>
      </c>
      <c r="O15" s="649" t="str">
        <f t="shared" ref="O15:O22" si="13">+ROUND(N15/F15,0)</f>
        <v>2,678,779 </v>
      </c>
      <c r="P15" s="650"/>
      <c r="Q15" s="219"/>
    </row>
    <row r="16" ht="16.5" customHeight="1">
      <c r="A16" s="11"/>
      <c r="B16" s="45">
        <v>9.0</v>
      </c>
      <c r="C16" s="45" t="s">
        <v>753</v>
      </c>
      <c r="D16" s="627" t="s">
        <v>755</v>
      </c>
      <c r="E16" s="174">
        <v>245.0</v>
      </c>
      <c r="F16" s="87" t="str">
        <f t="shared" si="9"/>
        <v>74.11평</v>
      </c>
      <c r="G16" s="181" t="str">
        <f t="shared" si="10"/>
        <v>  44,663,500 </v>
      </c>
      <c r="H16" s="623" t="str">
        <f t="shared" si="11"/>
        <v>444,672,999 </v>
      </c>
      <c r="I16" s="628">
        <v>7.411E7</v>
      </c>
      <c r="J16" s="624">
        <v>6000000.0</v>
      </c>
      <c r="K16" s="623">
        <v>1.56519814E8</v>
      </c>
      <c r="L16" s="89">
        <v>2.5306314E7</v>
      </c>
      <c r="M16" s="89">
        <v>1.7554806E7</v>
      </c>
      <c r="N16" s="89" t="str">
        <f t="shared" si="12"/>
        <v>199,380,934 </v>
      </c>
      <c r="O16" s="625" t="str">
        <f t="shared" si="13"/>
        <v>2,690,259 </v>
      </c>
      <c r="P16" s="626"/>
      <c r="Q16" s="120"/>
    </row>
    <row r="17" ht="16.5" customHeight="1">
      <c r="A17" s="11"/>
      <c r="B17" s="45">
        <v>10.0</v>
      </c>
      <c r="C17" s="45" t="s">
        <v>753</v>
      </c>
      <c r="D17" s="45" t="s">
        <v>756</v>
      </c>
      <c r="E17" s="174">
        <v>249.0</v>
      </c>
      <c r="F17" s="87" t="str">
        <f t="shared" si="9"/>
        <v>75.32평</v>
      </c>
      <c r="G17" s="181" t="str">
        <f t="shared" si="10"/>
        <v>  45,392,700 </v>
      </c>
      <c r="H17" s="623" t="str">
        <f t="shared" si="11"/>
        <v>451,932,966 </v>
      </c>
      <c r="I17" s="628">
        <v>7.532E7</v>
      </c>
      <c r="J17" s="624">
        <v>6000000.0</v>
      </c>
      <c r="K17" s="623">
        <v>1.58634947E8</v>
      </c>
      <c r="L17" s="89">
        <v>2.5648292E7</v>
      </c>
      <c r="M17" s="89">
        <v>1.7792034E7</v>
      </c>
      <c r="N17" s="89" t="str">
        <f t="shared" si="12"/>
        <v>202,075,273 </v>
      </c>
      <c r="O17" s="625" t="str">
        <f t="shared" si="13"/>
        <v>2,682,813 </v>
      </c>
      <c r="P17" s="626"/>
      <c r="Q17" s="120"/>
    </row>
    <row r="18" ht="16.5" customHeight="1">
      <c r="A18" s="11"/>
      <c r="B18" s="45">
        <v>11.0</v>
      </c>
      <c r="C18" s="45" t="s">
        <v>757</v>
      </c>
      <c r="D18" s="627" t="s">
        <v>758</v>
      </c>
      <c r="E18" s="174">
        <v>255.0</v>
      </c>
      <c r="F18" s="87" t="str">
        <f t="shared" si="9"/>
        <v>77.14평</v>
      </c>
      <c r="G18" s="181" t="str">
        <f t="shared" ref="G18:G19" si="14">384800*E18</f>
        <v>  98,124,000 </v>
      </c>
      <c r="H18" s="623" t="str">
        <f t="shared" si="11"/>
        <v>462,822,917 </v>
      </c>
      <c r="I18" s="628">
        <v>7.714E7</v>
      </c>
      <c r="J18" s="624">
        <v>6000000.0</v>
      </c>
      <c r="K18" s="623">
        <v>1.62865212E8</v>
      </c>
      <c r="L18" s="89">
        <v>2.6332246E7</v>
      </c>
      <c r="M18" s="89">
        <v>1.8266488E7</v>
      </c>
      <c r="N18" s="89" t="str">
        <f t="shared" si="12"/>
        <v>207,463,946 </v>
      </c>
      <c r="O18" s="625" t="str">
        <f t="shared" si="13"/>
        <v>2,689,546 </v>
      </c>
      <c r="P18" s="626"/>
      <c r="Q18" s="120"/>
    </row>
    <row r="19" ht="16.5" customHeight="1">
      <c r="A19" s="11"/>
      <c r="B19" s="45">
        <v>12.0</v>
      </c>
      <c r="C19" s="45" t="s">
        <v>759</v>
      </c>
      <c r="D19" s="627" t="s">
        <v>760</v>
      </c>
      <c r="E19" s="174">
        <v>249.0</v>
      </c>
      <c r="F19" s="87" t="str">
        <f t="shared" si="9"/>
        <v>75.32평</v>
      </c>
      <c r="G19" s="181" t="str">
        <f t="shared" si="14"/>
        <v>  95,815,200 </v>
      </c>
      <c r="H19" s="623" t="str">
        <f t="shared" si="11"/>
        <v>451,932,966 </v>
      </c>
      <c r="I19" s="628">
        <v>7.532E7</v>
      </c>
      <c r="J19" s="624">
        <v>6000000.0</v>
      </c>
      <c r="K19" s="623">
        <v>1.58634947E8</v>
      </c>
      <c r="L19" s="89">
        <v>2.5648292E7</v>
      </c>
      <c r="M19" s="89">
        <v>1.7792034E7</v>
      </c>
      <c r="N19" s="89" t="str">
        <f t="shared" si="12"/>
        <v>202,075,273 </v>
      </c>
      <c r="O19" s="625" t="str">
        <f t="shared" si="13"/>
        <v>2,682,813 </v>
      </c>
      <c r="P19" s="626"/>
      <c r="Q19" s="120"/>
    </row>
    <row r="20" ht="16.5" customHeight="1">
      <c r="A20" s="11"/>
      <c r="B20" s="45">
        <v>13.0</v>
      </c>
      <c r="C20" s="45" t="s">
        <v>753</v>
      </c>
      <c r="D20" s="45" t="s">
        <v>761</v>
      </c>
      <c r="E20" s="174">
        <v>260.0</v>
      </c>
      <c r="F20" s="87" t="str">
        <f t="shared" si="9"/>
        <v>78.65평</v>
      </c>
      <c r="G20" s="181" t="str">
        <f t="shared" ref="G20:G22" si="15">182300*E20</f>
        <v>  47,398,000 </v>
      </c>
      <c r="H20" s="623" t="str">
        <f t="shared" si="11"/>
        <v>471,897,876 </v>
      </c>
      <c r="I20" s="628">
        <v>7.865E7</v>
      </c>
      <c r="J20" s="624">
        <v>6000000.0</v>
      </c>
      <c r="K20" s="623">
        <v>1.67095477E8</v>
      </c>
      <c r="L20" s="89">
        <v>2.7016201E7</v>
      </c>
      <c r="M20" s="89">
        <v>1.8740942E7</v>
      </c>
      <c r="N20" s="89" t="str">
        <f t="shared" si="12"/>
        <v>212,852,620 </v>
      </c>
      <c r="O20" s="625" t="str">
        <f t="shared" si="13"/>
        <v>2,706,339 </v>
      </c>
      <c r="P20" s="626"/>
      <c r="Q20" s="120"/>
    </row>
    <row r="21" ht="16.5" customHeight="1">
      <c r="A21" s="11"/>
      <c r="B21" s="45">
        <v>14.0</v>
      </c>
      <c r="C21" s="45" t="s">
        <v>753</v>
      </c>
      <c r="D21" s="45" t="s">
        <v>762</v>
      </c>
      <c r="E21" s="174">
        <v>272.0</v>
      </c>
      <c r="F21" s="87" t="str">
        <f t="shared" si="9"/>
        <v>82.28평</v>
      </c>
      <c r="G21" s="181" t="str">
        <f t="shared" si="15"/>
        <v>  49,585,600 </v>
      </c>
      <c r="H21" s="623" t="str">
        <f t="shared" si="11"/>
        <v>493,677,778 </v>
      </c>
      <c r="I21" s="628">
        <v>8.228E7</v>
      </c>
      <c r="J21" s="624">
        <v>6000000.0</v>
      </c>
      <c r="K21" s="623">
        <v>1.73440875E8</v>
      </c>
      <c r="L21" s="89">
        <v>2.8042132E7</v>
      </c>
      <c r="M21" s="89">
        <v>1.9452623E7</v>
      </c>
      <c r="N21" s="89" t="str">
        <f t="shared" si="12"/>
        <v>220,935,630 </v>
      </c>
      <c r="O21" s="625" t="str">
        <f t="shared" si="13"/>
        <v>2,685,180 </v>
      </c>
      <c r="P21" s="626"/>
      <c r="Q21" s="120"/>
    </row>
    <row r="22" ht="16.5" customHeight="1">
      <c r="A22" s="11"/>
      <c r="B22" s="629">
        <v>15.0</v>
      </c>
      <c r="C22" s="629" t="s">
        <v>753</v>
      </c>
      <c r="D22" s="629" t="s">
        <v>763</v>
      </c>
      <c r="E22" s="631">
        <v>270.0</v>
      </c>
      <c r="F22" s="632" t="str">
        <f t="shared" si="9"/>
        <v>81.67평</v>
      </c>
      <c r="G22" s="181" t="str">
        <f t="shared" si="15"/>
        <v>  49,221,000 </v>
      </c>
      <c r="H22" s="623" t="str">
        <f t="shared" si="11"/>
        <v>490,047,795 </v>
      </c>
      <c r="I22" s="628">
        <v>8.167E7</v>
      </c>
      <c r="J22" s="624">
        <v>6000000.0</v>
      </c>
      <c r="K22" s="633">
        <v>1.73440875E8</v>
      </c>
      <c r="L22" s="634">
        <v>2.8042132E7</v>
      </c>
      <c r="M22" s="634">
        <v>1.9452623E7</v>
      </c>
      <c r="N22" s="634" t="str">
        <f t="shared" si="12"/>
        <v>220,935,630 </v>
      </c>
      <c r="O22" s="635" t="str">
        <f t="shared" si="13"/>
        <v>2,705,070 </v>
      </c>
      <c r="P22" s="636"/>
      <c r="Q22" s="223"/>
    </row>
    <row r="23" ht="16.5" customHeight="1">
      <c r="A23" s="15"/>
      <c r="B23" s="651" t="s">
        <v>279</v>
      </c>
      <c r="C23" s="32"/>
      <c r="D23" s="33"/>
      <c r="E23" s="652" t="str">
        <f t="shared" ref="E23:I23" si="16">SUM(E15:E22)</f>
        <v>2,066㎡</v>
      </c>
      <c r="F23" s="653" t="str">
        <f t="shared" si="16"/>
        <v>624.96평</v>
      </c>
      <c r="G23" s="654" t="str">
        <f t="shared" si="16"/>
        <v>  478,691,800 </v>
      </c>
      <c r="H23" s="655" t="str">
        <f t="shared" si="16"/>
        <v>3,749,773,126 </v>
      </c>
      <c r="I23" s="656" t="str">
        <f t="shared" si="16"/>
        <v>624,950,000 </v>
      </c>
      <c r="J23" s="657"/>
      <c r="K23" s="658" t="str">
        <f t="shared" ref="K23:O23" si="17">SUM(K15:K22)</f>
        <v>1,319,842,757 </v>
      </c>
      <c r="L23" s="658" t="str">
        <f t="shared" si="17"/>
        <v>213,393,787 </v>
      </c>
      <c r="M23" s="658" t="str">
        <f t="shared" si="17"/>
        <v>148,029,719 </v>
      </c>
      <c r="N23" s="658" t="str">
        <f t="shared" si="17"/>
        <v>1,681,266,263 </v>
      </c>
      <c r="O23" s="658" t="str">
        <f t="shared" si="17"/>
        <v>21,520,799 </v>
      </c>
      <c r="P23" s="659"/>
      <c r="Q23" s="33"/>
    </row>
    <row r="24" ht="16.5" customHeight="1">
      <c r="A24" s="660" t="s">
        <v>22</v>
      </c>
      <c r="B24" s="32"/>
      <c r="C24" s="32"/>
      <c r="D24" s="33"/>
      <c r="E24" s="661" t="str">
        <f t="shared" ref="E24:F24" si="18">E14+E23</f>
        <v>3,729.00 </v>
      </c>
      <c r="F24" s="662" t="str">
        <f t="shared" si="18"/>
        <v>1,128.02평</v>
      </c>
      <c r="G24" s="663" t="str">
        <f>SUM(G23,G14)</f>
        <v>  1,157,581,700 </v>
      </c>
      <c r="H24" s="664" t="str">
        <f>H14+H23</f>
        <v>6,516,576,925 </v>
      </c>
      <c r="I24" s="665" t="str">
        <f>SUM(I14,I23)</f>
        <v>1,128,000,000 </v>
      </c>
      <c r="J24" s="666"/>
      <c r="K24" s="667" t="str">
        <f t="shared" ref="K24:N24" si="19">K14+K23</f>
        <v>2,385,869,599 </v>
      </c>
      <c r="L24" s="667" t="str">
        <f t="shared" si="19"/>
        <v>385,750,307 </v>
      </c>
      <c r="M24" s="667" t="str">
        <f t="shared" si="19"/>
        <v>267,592,184 </v>
      </c>
      <c r="N24" s="668" t="str">
        <f t="shared" si="19"/>
        <v>3,039,212,090 </v>
      </c>
      <c r="O24" s="668" t="str">
        <f>(O14+O23)/2</f>
        <v>20,208,556 </v>
      </c>
      <c r="P24" s="669"/>
      <c r="Q24" s="669"/>
    </row>
    <row r="25" ht="16.5" customHeight="1">
      <c r="A25" s="148"/>
      <c r="B25" s="148"/>
      <c r="C25" s="148"/>
      <c r="D25" s="148"/>
      <c r="E25" s="148"/>
      <c r="F25" s="148"/>
      <c r="G25" s="148"/>
      <c r="H25" s="670" t="s">
        <v>764</v>
      </c>
      <c r="I25" s="176"/>
      <c r="J25" s="176"/>
      <c r="K25" s="148"/>
      <c r="L25" s="148"/>
      <c r="M25" s="148"/>
      <c r="N25" s="148"/>
      <c r="O25" s="148"/>
      <c r="P25" s="148"/>
      <c r="Q25" s="148"/>
      <c r="R25" s="148"/>
      <c r="S25" s="148"/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35">
    <mergeCell ref="G5:G6"/>
    <mergeCell ref="H5:J5"/>
    <mergeCell ref="K5:O5"/>
    <mergeCell ref="P5:Q6"/>
    <mergeCell ref="A7:A14"/>
    <mergeCell ref="A1:K2"/>
    <mergeCell ref="A4:S4"/>
    <mergeCell ref="A5:A6"/>
    <mergeCell ref="B5:B6"/>
    <mergeCell ref="C5:C6"/>
    <mergeCell ref="D5:D6"/>
    <mergeCell ref="P19:Q19"/>
    <mergeCell ref="P20:Q20"/>
    <mergeCell ref="P21:Q21"/>
    <mergeCell ref="P22:Q22"/>
    <mergeCell ref="P18:Q18"/>
    <mergeCell ref="P23:Q23"/>
    <mergeCell ref="P13:Q13"/>
    <mergeCell ref="P14:Q14"/>
    <mergeCell ref="P15:Q15"/>
    <mergeCell ref="P7:Q7"/>
    <mergeCell ref="P8:Q8"/>
    <mergeCell ref="P9:Q9"/>
    <mergeCell ref="P10:Q10"/>
    <mergeCell ref="P11:Q11"/>
    <mergeCell ref="P12:Q12"/>
    <mergeCell ref="A24:D24"/>
    <mergeCell ref="H25:J25"/>
    <mergeCell ref="A15:A23"/>
    <mergeCell ref="P16:Q16"/>
    <mergeCell ref="P17:Q17"/>
    <mergeCell ref="B23:D23"/>
    <mergeCell ref="B14:D14"/>
    <mergeCell ref="E5:E6"/>
    <mergeCell ref="F5:F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5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워크시트</vt:lpstr>
      </vt:variant>
      <vt:variant>
        <vt:i4>18</vt:i4>
      </vt:variant>
    </vt:vector>
  </HeadingPairs>
  <TitlesOfParts>
    <vt:vector baseType="lpstr" size="18">
      <vt:lpstr>총괄</vt:lpstr>
      <vt:lpstr>파주당동리</vt:lpstr>
      <vt:lpstr>향남에일린의뜰</vt:lpstr>
      <vt:lpstr>파주리버팰리스</vt:lpstr>
      <vt:lpstr>고척동상가</vt:lpstr>
      <vt:lpstr>의정부한양파크뷰1</vt:lpstr>
      <vt:lpstr>의정부한양파크뷰2</vt:lpstr>
      <vt:lpstr>의정부한양파크뷰</vt:lpstr>
      <vt:lpstr>의정부상가</vt:lpstr>
      <vt:lpstr>의정부토지</vt:lpstr>
      <vt:lpstr>의정부토지1</vt:lpstr>
      <vt:lpstr>낙하리</vt:lpstr>
      <vt:lpstr>낙하리1</vt:lpstr>
      <vt:lpstr>파주상가</vt:lpstr>
      <vt:lpstr>보성리</vt:lpstr>
      <vt:lpstr>향남 에듀스퀘어</vt:lpstr>
      <vt:lpstr>향남 단독부지</vt:lpstr>
      <vt:lpstr>향남 단독부지1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2026-01-21T00:16:27Z</dcterms:created>
  <dc:creator>omw</dc:creator>
  <cp:lastModifiedBy>omw</cp:lastModifiedBy>
  <dcterms:modified xsi:type="dcterms:W3CDTF">2026-02-06T06:11:51Z</dcterms:modified>
</cp:coreProperties>
</file>