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amgreen/Downloads/"/>
    </mc:Choice>
  </mc:AlternateContent>
  <xr:revisionPtr revIDLastSave="0" documentId="8_{EC7B823F-8E5D-5B48-BC6B-F52C53B5B71E}" xr6:coauthVersionLast="47" xr6:coauthVersionMax="47" xr10:uidLastSave="{00000000-0000-0000-0000-000000000000}"/>
  <bookViews>
    <workbookView xWindow="480" yWindow="500" windowWidth="32620" windowHeight="18960" firstSheet="21" activeTab="32" xr2:uid="{00000000-000D-0000-FFFF-FFFF00000000}"/>
  </bookViews>
  <sheets>
    <sheet name="Executive Summary" sheetId="1" r:id="rId1"/>
    <sheet name="Contents" sheetId="2" r:id="rId2"/>
    <sheet name="Inputs Master (M0)" sheetId="3" r:id="rId3"/>
    <sheet name="Equipment &amp; Dimensions Register" sheetId="4" r:id="rId4"/>
    <sheet name="Overview" sheetId="5" r:id="rId5"/>
    <sheet name="Renders" sheetId="6" r:id="rId6"/>
    <sheet name="Cost waterfall" sheetId="7" r:id="rId7"/>
    <sheet name="Financial model" sheetId="8" r:id="rId8"/>
    <sheet name="Bill of Materials (Ledger)" sheetId="9" r:id="rId9"/>
    <sheet name="Brief" sheetId="10" r:id="rId10"/>
    <sheet name="Design basis" sheetId="11" r:id="rId11"/>
    <sheet name="Drawings" sheetId="12" r:id="rId12"/>
    <sheet name="BFD — Block Flow" sheetId="13" r:id="rId13"/>
    <sheet name="P&amp;ID" sheetId="14" r:id="rId14"/>
    <sheet name="Process schedules" sheetId="15" r:id="rId15"/>
    <sheet name="GA — General Arrangement" sheetId="16" r:id="rId16"/>
    <sheet name="HVAC" sheetId="17" r:id="rId17"/>
    <sheet name="Electrical" sheetId="18" r:id="rId18"/>
    <sheet name="Line &amp; velocity" sheetId="19" r:id="rId19"/>
    <sheet name="Assembly sequence" sheetId="20" r:id="rId20"/>
    <sheet name="Risk &amp; Regulatory" sheetId="21" r:id="rId21"/>
    <sheet name="Holds &amp; exclusions" sheetId="22" r:id="rId22"/>
    <sheet name="Questions for the customer" sheetId="23" r:id="rId23"/>
    <sheet name="Quality &amp; Audit" sheetId="24" r:id="rId24"/>
    <sheet name="Sense-check" sheetId="25" r:id="rId25"/>
    <sheet name="⚠ Checks" sheetId="26" r:id="rId26"/>
    <sheet name="Connection trace" sheetId="27" r:id="rId27"/>
    <sheet name="Quantities" sheetId="28" r:id="rId28"/>
    <sheet name="Calculations" sheetId="29" r:id="rId29"/>
    <sheet name="Inputs &amp; Assumptions" sheetId="30" r:id="rId30"/>
    <sheet name="Part names" sheetId="31" r:id="rId31"/>
    <sheet name="Glossary" sheetId="32" r:id="rId32"/>
    <sheet name="Audit data" sheetId="33" r:id="rId33"/>
  </sheets>
  <definedNames>
    <definedName name="_xlnm._FilterDatabase" localSheetId="8" hidden="1">'Bill of Materials (Ledger)'!$A$4:$O$402</definedName>
    <definedName name="_xlnm._FilterDatabase" localSheetId="26" hidden="1">'Connection trace'!$A$5:$F$54</definedName>
    <definedName name="_xlnm._FilterDatabase" localSheetId="17" hidden="1">Electrical!$A$95:$J$97</definedName>
    <definedName name="_xlnm._FilterDatabase" localSheetId="30" hidden="1">'Part names'!$A$4:$E$89</definedName>
    <definedName name="_xlnm._FilterDatabase" localSheetId="14" hidden="1">'Process schedules'!$A$35:$I$57</definedName>
    <definedName name="_xlnm._FilterDatabase" localSheetId="27" hidden="1">Quantities!$A$4:$H$117</definedName>
    <definedName name="_xlnm._FilterDatabase" localSheetId="20" hidden="1">'Risk &amp; Regulatory'!$A$17:$D$21</definedName>
    <definedName name="in_capex">'Inputs &amp; Assumptions'!$B$18</definedName>
    <definedName name="in_discount_rate">'Inputs &amp; Assumptions'!$B$20</definedName>
    <definedName name="in_energy_price">'Inputs &amp; Assumptions'!$B$9</definedName>
    <definedName name="in_fcr">'Inputs &amp; Assumptions'!$B$8</definedName>
    <definedName name="in_feed_price">'Inputs &amp; Assumptions'!$B$7</definedName>
    <definedName name="in_flow_m3h">'Inputs &amp; Assumptions'!$B$13</definedName>
    <definedName name="in_hours">'Inputs &amp; Assumptions'!$B$12</definedName>
    <definedName name="in_hurdle_rate">'Inputs &amp; Assumptions'!$B$21</definedName>
    <definedName name="in_labour">'Inputs &amp; Assumptions'!$B$15</definedName>
    <definedName name="in_load_factor">'Inputs &amp; Assumptions'!$B$11</definedName>
    <definedName name="in_load_kw">'Inputs &amp; Assumptions'!$B$10</definedName>
    <definedName name="in_maint_pct">'Inputs &amp; Assumptions'!$B$16</definedName>
    <definedName name="in_other_opex">'Inputs &amp; Assumptions'!$B$17</definedName>
    <definedName name="in_out_qty">'Inputs &amp; Assumptions'!$B$5</definedName>
    <definedName name="in_project_life">'Inputs &amp; Assumptions'!$B$22</definedName>
    <definedName name="in_sale_price">'Inputs &amp; Assumptions'!$B$6</definedName>
    <definedName name="in_scale_exp">'Inputs &amp; Assumptions'!$B$19</definedName>
    <definedName name="in_water_util">'Inputs &amp; Assumptions'!$B$14</definedName>
    <definedName name="INP_ABB_CIRCUIT_BREAKER">'Inputs Master (M0)'!$C$36</definedName>
    <definedName name="INP_ABB_CIRCUIT_BREAKERS">'Inputs Master (M0)'!$C$33</definedName>
    <definedName name="INP_ACTUATED_VALVES">'Inputs Master (M0)'!$C$14</definedName>
    <definedName name="INP_BATCH_SIZE">'Inputs Master (M0)'!$C$7</definedName>
    <definedName name="INP_CONSUMABLE_INTENSITY_RATIO">'Inputs Master (M0)'!$C$17</definedName>
    <definedName name="INP_CONSUMABLES_PRICE_DOSING_CHEMICALS_NUTRIENT_FERTILISER_STOCK_FILTER_MEDIA_MEMBRANES">'Inputs Master (M0)'!$C$16</definedName>
    <definedName name="INP_CORPUS_MEDIAN_CLEANING_TANK_1_4_M_DIA_X_1_3_M">'Inputs Master (M0)'!$C$50</definedName>
    <definedName name="INP_CORPUS_MEDIAN_GAC_FILTER_1_3_M_DIA_X_1_4_M">'Inputs Master (M0)'!$C$47</definedName>
    <definedName name="INP_CORPUS_MEDIAN_HOOGENDOORN_ISII_REMOTE_MONITORING">'Inputs Master (M0)'!$C$48</definedName>
    <definedName name="INP_CORPUS_MEDIAN_LEVEL_TRANSMITTER_0_1_4_M">'Inputs Master (M0)'!$C$49</definedName>
    <definedName name="INP_CORPUS_MEDIAN_SOFTENER_VESSEL_1_2_M_DIA_X_1_3_M">'Inputs Master (M0)'!$C$46</definedName>
    <definedName name="INP_CORPUS_MEDIAN_UV_DISINFECTION_4_KW_600X510X660_MM">'Inputs Master (M0)'!$C$45</definedName>
    <definedName name="INP_CULTIVATION_CONTAINERS">'Inputs Master (M0)'!$C$10</definedName>
    <definedName name="INP_DESIGN_LIFE">'Inputs Master (M0)'!$C$8</definedName>
    <definedName name="INP_DISCOUNT_RATE">'Inputs Master (M0)'!$C$26</definedName>
    <definedName name="INP_ELECTRICAL_LOAD_FACTOR">'Inputs Master (M0)'!$C$19</definedName>
    <definedName name="INP_ENERGY_PRICE">'Inputs Master (M0)'!$C$18</definedName>
    <definedName name="INP_EPC_ENGINEERING_FACTOR">'Inputs Master (M0)'!$C$43</definedName>
    <definedName name="INP_FOAK_CONTINGENCY_FACTOR">'Inputs Master (M0)'!$C$42</definedName>
    <definedName name="INP_GRUNDFOS_FERTIGATION_DOSING_PUMP">'Inputs Master (M0)'!$C$40</definedName>
    <definedName name="INP_INSTALL_FACTOR">'Inputs Master (M0)'!$C$41</definedName>
    <definedName name="INP_INSTALLED_COST_FACTOR_CENTRAL">'Inputs Master (M0)'!$C$44</definedName>
    <definedName name="INP_INVESTOR_HURDLE_RATE_IRR">'Inputs Master (M0)'!$C$27</definedName>
    <definedName name="INP_IRRIGATION_DEMAND_M3_PER_HR">'Inputs Master (M0)'!$C$9</definedName>
    <definedName name="INP_LABOUR">'Inputs Master (M0)'!$C$22</definedName>
    <definedName name="INP_MAINTENANCE">'Inputs Master (M0)'!$C$23</definedName>
    <definedName name="INP_OPERATING_HOURS">'Inputs Master (M0)'!$C$20</definedName>
    <definedName name="INP_OTHER_OPEX">'Inputs Master (M0)'!$C$24</definedName>
    <definedName name="INP_PENTAIR_STRUCTURAL_SOFTENER_VESSEL">'Inputs Master (M0)'!$C$39</definedName>
    <definedName name="INP_PRAHER_BACKWASH_SERVICE_VALVE_NEST">'Inputs Master (M0)'!$C$37</definedName>
    <definedName name="INP_PROCESS_FLUID_DENSITY_ENGINE_DEFAULT">'Inputs Master (M0)'!$C$29</definedName>
    <definedName name="INP_PROJECT_LIFE">'Inputs Master (M0)'!$C$28</definedName>
    <definedName name="INP_RO_PERMEATE_CAPACITY_M3_PER_HR">'Inputs Master (M0)'!$C$11</definedName>
    <definedName name="INP_RO_RECOVERY_PERCENT">'Inputs Master (M0)'!$C$12</definedName>
    <definedName name="INP_SALE_PRICE_PER_OUTPUT_UNIT">'Inputs Master (M0)'!$C$15</definedName>
    <definedName name="INP_SCALING_EXPONENT_N_CAPEX_OUTPUT_N">'Inputs Master (M0)'!$C$25</definedName>
    <definedName name="INP_STANDARD_GRAVITATIONAL_ACCELERATION">'Inputs Master (M0)'!$C$32</definedName>
    <definedName name="INP_SWEET_SPOT_CAPACITY_SCALING_EXPONENT_N">'Inputs Master (M0)'!$C$30</definedName>
    <definedName name="INP_TDK_LAMBDA_3_PHASE_POWER_INPUT">'Inputs Master (M0)'!$C$35</definedName>
    <definedName name="INP_UNIT_COST_CEILING">'Inputs Master (M0)'!$C$6</definedName>
    <definedName name="INP_WAGO_TERMINAL_BLOCKS">'Inputs Master (M0)'!$C$34</definedName>
    <definedName name="INP_WATER_DENSITY_PUMP_SIZING_WORKED_CALC">'Inputs Master (M0)'!$C$31</definedName>
    <definedName name="INP_WATER_STORAGE_CAPACITY_M3">'Inputs Master (M0)'!$C$13</definedName>
    <definedName name="INP_WATER_UTILISATION_DELIVERED_DESIGN_FLOW">'Inputs Master (M0)'!$C$21</definedName>
    <definedName name="INP_WEDECO_XYLEM_UV_DISINFECTION">'Inputs Master (M0)'!$C$38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81" i="33" l="1"/>
  <c r="F80" i="33"/>
  <c r="F79" i="33"/>
  <c r="F78" i="33"/>
  <c r="F77" i="33"/>
  <c r="F76" i="33"/>
  <c r="F75" i="33"/>
  <c r="F74" i="33"/>
  <c r="F73" i="33"/>
  <c r="F72" i="33"/>
  <c r="F71" i="33"/>
  <c r="F70" i="33"/>
  <c r="F69" i="33"/>
  <c r="F68" i="33"/>
  <c r="F67" i="33"/>
  <c r="F66" i="33"/>
  <c r="F65" i="33"/>
  <c r="F64" i="33"/>
  <c r="F63" i="33"/>
  <c r="F62" i="33"/>
  <c r="F61" i="33"/>
  <c r="F60" i="33"/>
  <c r="F59" i="33"/>
  <c r="F58" i="33"/>
  <c r="F57" i="33"/>
  <c r="F56" i="33"/>
  <c r="F55" i="33"/>
  <c r="F54" i="33"/>
  <c r="F53" i="33"/>
  <c r="F52" i="33"/>
  <c r="F51"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E22" i="30"/>
  <c r="E21" i="30"/>
  <c r="E20" i="30"/>
  <c r="E19" i="30"/>
  <c r="E18" i="30"/>
  <c r="E17" i="30"/>
  <c r="E16" i="30"/>
  <c r="E15" i="30"/>
  <c r="E14" i="30"/>
  <c r="E13" i="30"/>
  <c r="E12" i="30"/>
  <c r="E11" i="30"/>
  <c r="E10" i="30"/>
  <c r="E9" i="30"/>
  <c r="E8" i="30"/>
  <c r="E7" i="30"/>
  <c r="E6" i="30"/>
  <c r="E5" i="30"/>
  <c r="F462" i="29"/>
  <c r="B461" i="29"/>
  <c r="B460" i="29"/>
  <c r="F457" i="29"/>
  <c r="F451" i="29"/>
  <c r="B449" i="29"/>
  <c r="F446" i="29"/>
  <c r="B445" i="29"/>
  <c r="B444" i="29"/>
  <c r="F441" i="29"/>
  <c r="B439" i="29"/>
  <c r="I436" i="29"/>
  <c r="F436" i="29"/>
  <c r="I435" i="29"/>
  <c r="I434" i="29"/>
  <c r="I433" i="29"/>
  <c r="F428" i="29"/>
  <c r="I421" i="29"/>
  <c r="F421" i="29"/>
  <c r="I420" i="29"/>
  <c r="I419" i="29"/>
  <c r="I418" i="29"/>
  <c r="I417" i="29"/>
  <c r="I416" i="29"/>
  <c r="F411" i="29"/>
  <c r="B409" i="29"/>
  <c r="F406" i="29"/>
  <c r="B404" i="29"/>
  <c r="F401" i="29"/>
  <c r="B400" i="29"/>
  <c r="B398" i="29"/>
  <c r="B397" i="29"/>
  <c r="F394" i="29"/>
  <c r="F390" i="29"/>
  <c r="B389" i="29"/>
  <c r="B388" i="29"/>
  <c r="F384" i="29"/>
  <c r="B383" i="29"/>
  <c r="B382" i="29"/>
  <c r="B379" i="29"/>
  <c r="F376" i="29"/>
  <c r="B375" i="29"/>
  <c r="F371" i="29"/>
  <c r="B370" i="29"/>
  <c r="B368" i="29"/>
  <c r="B367" i="29"/>
  <c r="F364" i="29"/>
  <c r="I359" i="29"/>
  <c r="F359" i="29"/>
  <c r="I358" i="29"/>
  <c r="I357" i="29"/>
  <c r="I356" i="29"/>
  <c r="F351" i="29"/>
  <c r="F346" i="29"/>
  <c r="B344" i="29"/>
  <c r="F340" i="29"/>
  <c r="F333" i="29"/>
  <c r="B332" i="29"/>
  <c r="F328" i="29"/>
  <c r="B327" i="29"/>
  <c r="F322" i="29"/>
  <c r="I314" i="29"/>
  <c r="F314" i="29"/>
  <c r="I313" i="29"/>
  <c r="I312" i="29"/>
  <c r="F307" i="29"/>
  <c r="B304" i="29"/>
  <c r="F301" i="29"/>
  <c r="B300" i="29"/>
  <c r="F297" i="29"/>
  <c r="F293" i="29"/>
  <c r="B291" i="29"/>
  <c r="I288" i="29"/>
  <c r="F288" i="29"/>
  <c r="I287" i="29"/>
  <c r="I286" i="29"/>
  <c r="I285" i="29"/>
  <c r="I284" i="29"/>
  <c r="F279" i="29"/>
  <c r="I274" i="29"/>
  <c r="F274" i="29"/>
  <c r="I273" i="29"/>
  <c r="I272" i="29"/>
  <c r="I271" i="29"/>
  <c r="B264" i="29"/>
  <c r="B259" i="29"/>
  <c r="B254" i="29"/>
  <c r="I251" i="29"/>
  <c r="F251" i="29"/>
  <c r="I250" i="29"/>
  <c r="I249" i="29"/>
  <c r="I248" i="29"/>
  <c r="I247" i="29"/>
  <c r="I246" i="29"/>
  <c r="I245" i="29"/>
  <c r="F239" i="29"/>
  <c r="F234" i="29"/>
  <c r="B232" i="29"/>
  <c r="F229" i="29"/>
  <c r="B227" i="29"/>
  <c r="F224" i="29"/>
  <c r="B223" i="29"/>
  <c r="F219" i="29"/>
  <c r="I213" i="29"/>
  <c r="F213" i="29"/>
  <c r="I212" i="29"/>
  <c r="F206" i="29"/>
  <c r="H206" i="29" s="1"/>
  <c r="H201" i="29"/>
  <c r="F201" i="29"/>
  <c r="I196" i="29"/>
  <c r="F196" i="29"/>
  <c r="I195" i="29"/>
  <c r="I194" i="29"/>
  <c r="I193" i="29"/>
  <c r="I192" i="29"/>
  <c r="H187" i="29"/>
  <c r="F187" i="29"/>
  <c r="F182" i="29"/>
  <c r="H182" i="29" s="1"/>
  <c r="H177" i="29"/>
  <c r="F177" i="29"/>
  <c r="F172" i="29"/>
  <c r="I165" i="29"/>
  <c r="F165" i="29"/>
  <c r="I164" i="29"/>
  <c r="I163" i="29"/>
  <c r="I162" i="29"/>
  <c r="F157" i="29"/>
  <c r="B156" i="29"/>
  <c r="F152" i="29"/>
  <c r="I147" i="29"/>
  <c r="F147" i="29"/>
  <c r="I146" i="29"/>
  <c r="I145" i="29"/>
  <c r="I144" i="29"/>
  <c r="F139" i="29"/>
  <c r="F134" i="29"/>
  <c r="F129" i="29"/>
  <c r="B128" i="29"/>
  <c r="F125" i="29"/>
  <c r="I120" i="29"/>
  <c r="F120" i="29"/>
  <c r="I119" i="29"/>
  <c r="I118" i="29"/>
  <c r="I117" i="29"/>
  <c r="F112" i="29"/>
  <c r="B110" i="29"/>
  <c r="F107" i="29"/>
  <c r="F100" i="29"/>
  <c r="B98" i="29"/>
  <c r="I95" i="29"/>
  <c r="F95" i="29"/>
  <c r="I94" i="29"/>
  <c r="I93" i="29"/>
  <c r="I92" i="29"/>
  <c r="I91" i="29"/>
  <c r="F86" i="29"/>
  <c r="B84" i="29"/>
  <c r="F81" i="29"/>
  <c r="B79" i="29"/>
  <c r="B78" i="29"/>
  <c r="F74" i="29"/>
  <c r="B73" i="29"/>
  <c r="I69" i="29"/>
  <c r="F69" i="29"/>
  <c r="I68" i="29"/>
  <c r="I67" i="29"/>
  <c r="I66" i="29"/>
  <c r="I61" i="29"/>
  <c r="F61" i="29"/>
  <c r="I60" i="29"/>
  <c r="I59" i="29"/>
  <c r="I58" i="29"/>
  <c r="H52" i="29"/>
  <c r="H51" i="29"/>
  <c r="H50" i="29"/>
  <c r="H49" i="29"/>
  <c r="H48" i="29"/>
  <c r="H47" i="29"/>
  <c r="H46" i="29"/>
  <c r="H45" i="29"/>
  <c r="C44" i="29"/>
  <c r="H44" i="29" s="1"/>
  <c r="H43" i="29"/>
  <c r="H42" i="29"/>
  <c r="C41" i="29"/>
  <c r="H41" i="29" s="1"/>
  <c r="H40" i="29"/>
  <c r="C40" i="29"/>
  <c r="C39" i="29"/>
  <c r="H39" i="29" s="1"/>
  <c r="H38" i="29"/>
  <c r="H37" i="29"/>
  <c r="H36" i="29"/>
  <c r="C35" i="29"/>
  <c r="H35" i="29" s="1"/>
  <c r="C34" i="29"/>
  <c r="H34" i="29" s="1"/>
  <c r="H33" i="29"/>
  <c r="H32" i="29"/>
  <c r="H31" i="29"/>
  <c r="H30" i="29"/>
  <c r="H29" i="29"/>
  <c r="H28" i="29"/>
  <c r="H27" i="29"/>
  <c r="H26" i="29"/>
  <c r="H25" i="29"/>
  <c r="H24" i="29"/>
  <c r="H23" i="29"/>
  <c r="H22" i="29"/>
  <c r="C21" i="29"/>
  <c r="H21" i="29" s="1"/>
  <c r="H20" i="29"/>
  <c r="C20" i="29"/>
  <c r="C19" i="29"/>
  <c r="H19" i="29" s="1"/>
  <c r="C18" i="29"/>
  <c r="H18" i="29" s="1"/>
  <c r="H17" i="29"/>
  <c r="C17" i="29"/>
  <c r="C16" i="29"/>
  <c r="H16" i="29" s="1"/>
  <c r="E10" i="29"/>
  <c r="E9" i="29"/>
  <c r="E8" i="29"/>
  <c r="E7" i="29"/>
  <c r="E6" i="29"/>
  <c r="A2" i="29"/>
  <c r="I117" i="28"/>
  <c r="I116" i="28"/>
  <c r="I115" i="28"/>
  <c r="I114" i="28"/>
  <c r="I113" i="28"/>
  <c r="I112" i="28"/>
  <c r="B112" i="28"/>
  <c r="I111" i="28"/>
  <c r="I110" i="28"/>
  <c r="I109" i="28"/>
  <c r="I108" i="28"/>
  <c r="I107" i="28"/>
  <c r="I106" i="28"/>
  <c r="I105" i="28"/>
  <c r="I104" i="28"/>
  <c r="I103" i="28"/>
  <c r="I102" i="28"/>
  <c r="I101" i="28"/>
  <c r="I100" i="28"/>
  <c r="I99" i="28"/>
  <c r="I98" i="28"/>
  <c r="I97" i="28"/>
  <c r="I96" i="28"/>
  <c r="I95" i="28"/>
  <c r="I94" i="28"/>
  <c r="I93" i="28"/>
  <c r="I92" i="28"/>
  <c r="I91" i="28"/>
  <c r="I90" i="28"/>
  <c r="I89" i="28"/>
  <c r="I88" i="28"/>
  <c r="I87" i="28"/>
  <c r="I86" i="28"/>
  <c r="I85" i="28"/>
  <c r="I84" i="28"/>
  <c r="I83" i="28"/>
  <c r="I82" i="28"/>
  <c r="I81" i="28"/>
  <c r="I80" i="28"/>
  <c r="I79" i="28"/>
  <c r="I78" i="28"/>
  <c r="I77" i="28"/>
  <c r="I76" i="28"/>
  <c r="I75" i="28"/>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B48" i="28"/>
  <c r="I48" i="28" s="1"/>
  <c r="I47" i="28"/>
  <c r="I46" i="28"/>
  <c r="I45" i="28"/>
  <c r="I44" i="28"/>
  <c r="I43" i="28"/>
  <c r="I42" i="28"/>
  <c r="I41" i="28"/>
  <c r="I40" i="28"/>
  <c r="I39" i="28"/>
  <c r="I38" i="28"/>
  <c r="I37" i="28"/>
  <c r="I36" i="28"/>
  <c r="I35" i="28"/>
  <c r="I34" i="28"/>
  <c r="I33" i="28"/>
  <c r="I32" i="28"/>
  <c r="I31" i="28"/>
  <c r="I30" i="28"/>
  <c r="I29" i="28"/>
  <c r="I28" i="28"/>
  <c r="B28" i="28"/>
  <c r="I27" i="28"/>
  <c r="I26" i="28"/>
  <c r="I25" i="28"/>
  <c r="I24" i="28"/>
  <c r="I23" i="28"/>
  <c r="I22" i="28"/>
  <c r="I21" i="28"/>
  <c r="I20" i="28"/>
  <c r="I19" i="28"/>
  <c r="I18" i="28"/>
  <c r="I17" i="28"/>
  <c r="I16" i="28"/>
  <c r="I15" i="28"/>
  <c r="I14" i="28"/>
  <c r="I13" i="28"/>
  <c r="B12" i="28"/>
  <c r="I12" i="28" s="1"/>
  <c r="I11" i="28"/>
  <c r="I10" i="28"/>
  <c r="I9" i="28"/>
  <c r="B8" i="28"/>
  <c r="I8" i="28" s="1"/>
  <c r="I7" i="28"/>
  <c r="B7" i="28"/>
  <c r="I6" i="28"/>
  <c r="I5" i="28"/>
  <c r="A2" i="28"/>
  <c r="I64" i="27"/>
  <c r="F64" i="27"/>
  <c r="I63" i="27"/>
  <c r="F63" i="27"/>
  <c r="I62" i="27"/>
  <c r="F62" i="27"/>
  <c r="I61" i="27"/>
  <c r="F61" i="27"/>
  <c r="C54" i="27"/>
  <c r="B54" i="27"/>
  <c r="A54" i="27"/>
  <c r="I53" i="27"/>
  <c r="E53" i="27"/>
  <c r="C53" i="27"/>
  <c r="B53" i="27"/>
  <c r="A53" i="27"/>
  <c r="C52" i="27"/>
  <c r="B52" i="27"/>
  <c r="A52" i="27"/>
  <c r="C51" i="27"/>
  <c r="B51" i="27"/>
  <c r="A51" i="27"/>
  <c r="E43" i="27" s="1"/>
  <c r="I50" i="27"/>
  <c r="C50" i="27"/>
  <c r="B50" i="27"/>
  <c r="A50" i="27"/>
  <c r="D49" i="27"/>
  <c r="C49" i="27"/>
  <c r="B49" i="27"/>
  <c r="A49" i="27"/>
  <c r="E35" i="27" s="1"/>
  <c r="I48" i="27"/>
  <c r="C48" i="27"/>
  <c r="A48" i="27"/>
  <c r="C47" i="27"/>
  <c r="B47" i="27"/>
  <c r="A47" i="27"/>
  <c r="I46" i="27"/>
  <c r="E46" i="27"/>
  <c r="C46" i="27"/>
  <c r="B46" i="27"/>
  <c r="A46" i="27"/>
  <c r="C45" i="27"/>
  <c r="B45" i="27"/>
  <c r="A45" i="27"/>
  <c r="E38" i="27" s="1"/>
  <c r="E44" i="27"/>
  <c r="C44" i="27"/>
  <c r="I44" i="27" s="1"/>
  <c r="B44" i="27"/>
  <c r="A44" i="27"/>
  <c r="D43" i="27"/>
  <c r="C43" i="27"/>
  <c r="B43" i="27"/>
  <c r="A43" i="27"/>
  <c r="I43" i="27" s="1"/>
  <c r="E42" i="27"/>
  <c r="C42" i="27"/>
  <c r="B42" i="27"/>
  <c r="A42" i="27"/>
  <c r="I42" i="27" s="1"/>
  <c r="I41" i="27"/>
  <c r="C41" i="27"/>
  <c r="B41" i="27"/>
  <c r="A41" i="27"/>
  <c r="I40" i="27"/>
  <c r="C40" i="27"/>
  <c r="B40" i="27"/>
  <c r="A40" i="27"/>
  <c r="C39" i="27"/>
  <c r="B39" i="27"/>
  <c r="A39" i="27"/>
  <c r="E25" i="27" s="1"/>
  <c r="C38" i="27"/>
  <c r="B38" i="27"/>
  <c r="A38" i="27"/>
  <c r="I37" i="27"/>
  <c r="D37" i="27"/>
  <c r="C37" i="27"/>
  <c r="B37" i="27"/>
  <c r="A37" i="27"/>
  <c r="C36" i="27"/>
  <c r="B36" i="27"/>
  <c r="A36" i="27"/>
  <c r="D14" i="27" s="1"/>
  <c r="I35" i="27"/>
  <c r="C35" i="27"/>
  <c r="B35" i="27"/>
  <c r="A35" i="27"/>
  <c r="C34" i="27"/>
  <c r="B34" i="27"/>
  <c r="A34" i="27"/>
  <c r="I34" i="27" s="1"/>
  <c r="E33" i="27"/>
  <c r="C33" i="27"/>
  <c r="I33" i="27" s="1"/>
  <c r="B33" i="27"/>
  <c r="A33" i="27"/>
  <c r="C32" i="27"/>
  <c r="B32" i="27"/>
  <c r="A32" i="27"/>
  <c r="C31" i="27"/>
  <c r="B31" i="27"/>
  <c r="A31" i="27"/>
  <c r="D15" i="27" s="1"/>
  <c r="I30" i="27"/>
  <c r="C30" i="27"/>
  <c r="B30" i="27"/>
  <c r="A30" i="27"/>
  <c r="C29" i="27"/>
  <c r="B29" i="27"/>
  <c r="A29" i="27"/>
  <c r="E23" i="27" s="1"/>
  <c r="I28" i="27"/>
  <c r="C28" i="27"/>
  <c r="B28" i="27"/>
  <c r="A28" i="27"/>
  <c r="D52" i="27" s="1"/>
  <c r="D27" i="27"/>
  <c r="C27" i="27"/>
  <c r="B27" i="27"/>
  <c r="A27" i="27"/>
  <c r="I27" i="27" s="1"/>
  <c r="I26" i="27"/>
  <c r="C26" i="27"/>
  <c r="B26" i="27"/>
  <c r="A26" i="27"/>
  <c r="D54" i="27" s="1"/>
  <c r="I25" i="27"/>
  <c r="D25" i="27"/>
  <c r="C25" i="27"/>
  <c r="B25" i="27"/>
  <c r="A25" i="27"/>
  <c r="I24" i="27"/>
  <c r="C24" i="27"/>
  <c r="A24" i="27"/>
  <c r="C23" i="27"/>
  <c r="I23" i="27" s="1"/>
  <c r="B23" i="27"/>
  <c r="A23" i="27"/>
  <c r="I22" i="27"/>
  <c r="E22" i="27"/>
  <c r="C22" i="27"/>
  <c r="B22" i="27"/>
  <c r="A22" i="27"/>
  <c r="D21" i="27"/>
  <c r="C21" i="27"/>
  <c r="B21" i="27"/>
  <c r="A21" i="27"/>
  <c r="I21" i="27" s="1"/>
  <c r="I20" i="27"/>
  <c r="C20" i="27"/>
  <c r="C19" i="27"/>
  <c r="B19" i="27"/>
  <c r="A19" i="27"/>
  <c r="D18" i="27"/>
  <c r="C18" i="27"/>
  <c r="B18" i="27"/>
  <c r="A18" i="27"/>
  <c r="D20" i="27" s="1"/>
  <c r="C17" i="27"/>
  <c r="B17" i="27"/>
  <c r="A17" i="27"/>
  <c r="C16" i="27"/>
  <c r="B16" i="27"/>
  <c r="A16" i="27"/>
  <c r="D34" i="27" s="1"/>
  <c r="C15" i="27"/>
  <c r="B15" i="27"/>
  <c r="A15" i="27"/>
  <c r="I15" i="27" s="1"/>
  <c r="I14" i="27"/>
  <c r="C14" i="27"/>
  <c r="B14" i="27"/>
  <c r="A14" i="27"/>
  <c r="I13" i="27"/>
  <c r="C13" i="27"/>
  <c r="B13" i="27"/>
  <c r="A13" i="27"/>
  <c r="E12" i="27"/>
  <c r="C12" i="27"/>
  <c r="B12" i="27"/>
  <c r="A12" i="27"/>
  <c r="D45" i="27" s="1"/>
  <c r="I11" i="27"/>
  <c r="C11" i="27"/>
  <c r="B11" i="27"/>
  <c r="A11" i="27"/>
  <c r="D10" i="27"/>
  <c r="C10" i="27"/>
  <c r="B10" i="27"/>
  <c r="A10" i="27"/>
  <c r="D26" i="27" s="1"/>
  <c r="I9" i="27"/>
  <c r="E9" i="27"/>
  <c r="C9" i="27"/>
  <c r="A9" i="27"/>
  <c r="E8" i="27"/>
  <c r="C8" i="27"/>
  <c r="A8" i="27"/>
  <c r="C7" i="27"/>
  <c r="I7" i="27" s="1"/>
  <c r="B7" i="27"/>
  <c r="A7" i="27"/>
  <c r="I6" i="27"/>
  <c r="C6" i="27"/>
  <c r="B6" i="27"/>
  <c r="A6" i="27"/>
  <c r="A2" i="27"/>
  <c r="H198" i="26"/>
  <c r="H197" i="26"/>
  <c r="H196" i="26"/>
  <c r="H195" i="26"/>
  <c r="T194" i="26"/>
  <c r="H194" i="26"/>
  <c r="T193" i="26"/>
  <c r="H193" i="26"/>
  <c r="T192" i="26"/>
  <c r="H192" i="26"/>
  <c r="T191" i="26"/>
  <c r="H191" i="26"/>
  <c r="T190" i="26"/>
  <c r="H190" i="26"/>
  <c r="T189" i="26"/>
  <c r="H189" i="26"/>
  <c r="T188" i="26"/>
  <c r="H188" i="26"/>
  <c r="T187" i="26"/>
  <c r="H187" i="26"/>
  <c r="T186" i="26"/>
  <c r="H186" i="26"/>
  <c r="T185" i="26"/>
  <c r="H185" i="26"/>
  <c r="T184" i="26"/>
  <c r="H184" i="26"/>
  <c r="T183" i="26"/>
  <c r="H183" i="26"/>
  <c r="T182" i="26"/>
  <c r="B7" i="26" s="1"/>
  <c r="H182" i="26"/>
  <c r="T181" i="26"/>
  <c r="H181" i="26"/>
  <c r="T180" i="26"/>
  <c r="H180" i="26"/>
  <c r="T179" i="26"/>
  <c r="H179" i="26"/>
  <c r="T178" i="26"/>
  <c r="H178" i="26"/>
  <c r="T177" i="26"/>
  <c r="H177" i="26"/>
  <c r="T176" i="26"/>
  <c r="H176" i="26"/>
  <c r="T175" i="26"/>
  <c r="H175" i="26"/>
  <c r="T174" i="26"/>
  <c r="H174" i="26"/>
  <c r="T173" i="26"/>
  <c r="H173" i="26"/>
  <c r="T172" i="26"/>
  <c r="H172" i="26"/>
  <c r="T171" i="26"/>
  <c r="H171" i="26"/>
  <c r="T170" i="26"/>
  <c r="H170" i="26"/>
  <c r="T169" i="26"/>
  <c r="H169" i="26"/>
  <c r="T168" i="26"/>
  <c r="H168" i="26"/>
  <c r="T167" i="26"/>
  <c r="H167" i="26"/>
  <c r="T166" i="26"/>
  <c r="H166" i="26"/>
  <c r="T165" i="26"/>
  <c r="H165" i="26"/>
  <c r="T164" i="26"/>
  <c r="H164" i="26"/>
  <c r="T163" i="26"/>
  <c r="H163" i="26"/>
  <c r="T162" i="26"/>
  <c r="H162" i="26"/>
  <c r="T161" i="26"/>
  <c r="T160" i="26"/>
  <c r="T159" i="26"/>
  <c r="T158" i="26"/>
  <c r="T157" i="26"/>
  <c r="I157" i="26"/>
  <c r="G157" i="26"/>
  <c r="T156" i="26"/>
  <c r="I156" i="26"/>
  <c r="G156" i="26"/>
  <c r="T155" i="26"/>
  <c r="I155" i="26"/>
  <c r="G155" i="26"/>
  <c r="T154" i="26"/>
  <c r="G154" i="26"/>
  <c r="I154" i="26" s="1"/>
  <c r="T153" i="26"/>
  <c r="I153" i="26"/>
  <c r="G153" i="26"/>
  <c r="T152" i="26"/>
  <c r="I152" i="26"/>
  <c r="G152" i="26"/>
  <c r="T151" i="26"/>
  <c r="T150" i="26"/>
  <c r="T149" i="26"/>
  <c r="T148" i="26"/>
  <c r="T147" i="26"/>
  <c r="T146" i="26"/>
  <c r="T145" i="26"/>
  <c r="F145" i="26"/>
  <c r="D145" i="26"/>
  <c r="C145" i="26"/>
  <c r="B145" i="26"/>
  <c r="T144" i="26"/>
  <c r="D144" i="26"/>
  <c r="F144" i="26" s="1"/>
  <c r="C144" i="26"/>
  <c r="B144" i="26"/>
  <c r="T143" i="26"/>
  <c r="C143" i="26"/>
  <c r="B143" i="26"/>
  <c r="D143" i="26" s="1"/>
  <c r="F143" i="26" s="1"/>
  <c r="T142" i="26"/>
  <c r="C142" i="26"/>
  <c r="B142" i="26"/>
  <c r="D142" i="26" s="1"/>
  <c r="F142" i="26" s="1"/>
  <c r="T141" i="26"/>
  <c r="C141" i="26"/>
  <c r="B141" i="26"/>
  <c r="D141" i="26" s="1"/>
  <c r="F141" i="26" s="1"/>
  <c r="T140" i="26"/>
  <c r="F140" i="26"/>
  <c r="D140" i="26"/>
  <c r="C140" i="26"/>
  <c r="B140" i="26"/>
  <c r="T139" i="26"/>
  <c r="C139" i="26"/>
  <c r="B139" i="26"/>
  <c r="T138" i="26"/>
  <c r="D138" i="26"/>
  <c r="F138" i="26" s="1"/>
  <c r="C138" i="26"/>
  <c r="B138" i="26"/>
  <c r="T137" i="26"/>
  <c r="C137" i="26"/>
  <c r="D137" i="26" s="1"/>
  <c r="F137" i="26" s="1"/>
  <c r="B137" i="26"/>
  <c r="T136" i="26"/>
  <c r="C136" i="26"/>
  <c r="B136" i="26"/>
  <c r="D136" i="26" s="1"/>
  <c r="F136" i="26" s="1"/>
  <c r="T135" i="26"/>
  <c r="F135" i="26"/>
  <c r="D135" i="26"/>
  <c r="C135" i="26"/>
  <c r="B135" i="26"/>
  <c r="T134" i="26"/>
  <c r="D134" i="26"/>
  <c r="F134" i="26" s="1"/>
  <c r="C134" i="26"/>
  <c r="B134" i="26"/>
  <c r="T133" i="26"/>
  <c r="D133" i="26"/>
  <c r="F133" i="26" s="1"/>
  <c r="C133" i="26"/>
  <c r="B133" i="26"/>
  <c r="T132" i="26"/>
  <c r="C132" i="26"/>
  <c r="B132" i="26"/>
  <c r="D132" i="26" s="1"/>
  <c r="F132" i="26" s="1"/>
  <c r="T131" i="26"/>
  <c r="F131" i="26"/>
  <c r="D131" i="26"/>
  <c r="C131" i="26"/>
  <c r="B131" i="26"/>
  <c r="T130" i="26"/>
  <c r="C130" i="26"/>
  <c r="B130" i="26"/>
  <c r="D130" i="26" s="1"/>
  <c r="F130" i="26" s="1"/>
  <c r="T129" i="26"/>
  <c r="C129" i="26"/>
  <c r="B129" i="26"/>
  <c r="D129" i="26" s="1"/>
  <c r="F129" i="26" s="1"/>
  <c r="T128" i="26"/>
  <c r="F128" i="26"/>
  <c r="D128" i="26"/>
  <c r="C128" i="26"/>
  <c r="B128" i="26"/>
  <c r="T127" i="26"/>
  <c r="F127" i="26"/>
  <c r="C127" i="26"/>
  <c r="B127" i="26"/>
  <c r="D127" i="26" s="1"/>
  <c r="T126" i="26"/>
  <c r="F126" i="26"/>
  <c r="D126" i="26"/>
  <c r="C126" i="26"/>
  <c r="B126" i="26"/>
  <c r="T125" i="26"/>
  <c r="C125" i="26"/>
  <c r="B125" i="26"/>
  <c r="D125" i="26" s="1"/>
  <c r="F125" i="26" s="1"/>
  <c r="T124" i="26"/>
  <c r="C124" i="26"/>
  <c r="B124" i="26"/>
  <c r="D124" i="26" s="1"/>
  <c r="F124" i="26" s="1"/>
  <c r="T123" i="26"/>
  <c r="F123" i="26"/>
  <c r="D123" i="26"/>
  <c r="C123" i="26"/>
  <c r="B123" i="26"/>
  <c r="T122" i="26"/>
  <c r="C122" i="26"/>
  <c r="B122" i="26"/>
  <c r="D122" i="26" s="1"/>
  <c r="F122" i="26" s="1"/>
  <c r="T121" i="26"/>
  <c r="C121" i="26"/>
  <c r="D121" i="26" s="1"/>
  <c r="F121" i="26" s="1"/>
  <c r="B121" i="26"/>
  <c r="T120" i="26"/>
  <c r="D120" i="26"/>
  <c r="F120" i="26" s="1"/>
  <c r="C120" i="26"/>
  <c r="B120" i="26"/>
  <c r="T119" i="26"/>
  <c r="D119" i="26"/>
  <c r="F119" i="26" s="1"/>
  <c r="C119" i="26"/>
  <c r="B119" i="26"/>
  <c r="T118" i="26"/>
  <c r="C118" i="26"/>
  <c r="B118" i="26"/>
  <c r="D118" i="26" s="1"/>
  <c r="F118" i="26" s="1"/>
  <c r="T117" i="26"/>
  <c r="C117" i="26"/>
  <c r="B117" i="26"/>
  <c r="D117" i="26" s="1"/>
  <c r="F117" i="26" s="1"/>
  <c r="T116" i="26"/>
  <c r="F116" i="26"/>
  <c r="D116" i="26"/>
  <c r="C116" i="26"/>
  <c r="B116" i="26"/>
  <c r="T115" i="26"/>
  <c r="C115" i="26"/>
  <c r="B115" i="26"/>
  <c r="T114" i="26"/>
  <c r="C114" i="26"/>
  <c r="B114" i="26"/>
  <c r="D114" i="26" s="1"/>
  <c r="F114" i="26" s="1"/>
  <c r="T113" i="26"/>
  <c r="C113" i="26"/>
  <c r="B113" i="26"/>
  <c r="T112" i="26"/>
  <c r="F112" i="26"/>
  <c r="D112" i="26"/>
  <c r="C112" i="26"/>
  <c r="B112" i="26"/>
  <c r="T111" i="26"/>
  <c r="F111" i="26"/>
  <c r="D111" i="26"/>
  <c r="C111" i="26"/>
  <c r="B111" i="26"/>
  <c r="T110" i="26"/>
  <c r="C110" i="26"/>
  <c r="B110" i="26"/>
  <c r="D110" i="26" s="1"/>
  <c r="F110" i="26" s="1"/>
  <c r="T109" i="26"/>
  <c r="F109" i="26"/>
  <c r="D109" i="26"/>
  <c r="C109" i="26"/>
  <c r="B109" i="26"/>
  <c r="T108" i="26"/>
  <c r="T107" i="26"/>
  <c r="T106" i="26"/>
  <c r="C106" i="26"/>
  <c r="B106" i="26"/>
  <c r="F106" i="26" s="1"/>
  <c r="T105" i="26"/>
  <c r="F105" i="26"/>
  <c r="D105" i="26"/>
  <c r="C105" i="26"/>
  <c r="B105" i="26"/>
  <c r="T104" i="26"/>
  <c r="C104" i="26"/>
  <c r="B104" i="26"/>
  <c r="F104" i="26" s="1"/>
  <c r="T103" i="26"/>
  <c r="D103" i="26"/>
  <c r="C103" i="26"/>
  <c r="B103" i="26"/>
  <c r="F103" i="26" s="1"/>
  <c r="T102" i="26"/>
  <c r="T101" i="26"/>
  <c r="T100" i="26"/>
  <c r="C100" i="26"/>
  <c r="B100" i="26"/>
  <c r="F100" i="26" s="1"/>
  <c r="T99" i="26"/>
  <c r="C99" i="26"/>
  <c r="B99" i="26"/>
  <c r="F99" i="26" s="1"/>
  <c r="T98" i="26"/>
  <c r="C98" i="26"/>
  <c r="B98" i="26"/>
  <c r="T97" i="26"/>
  <c r="C97" i="26"/>
  <c r="F97" i="26" s="1"/>
  <c r="B97" i="26"/>
  <c r="D97" i="26" s="1"/>
  <c r="T96" i="26"/>
  <c r="F96" i="26"/>
  <c r="D96" i="26"/>
  <c r="C96" i="26"/>
  <c r="B96" i="26"/>
  <c r="T95" i="26"/>
  <c r="C95" i="26"/>
  <c r="B95" i="26"/>
  <c r="D95" i="26" s="1"/>
  <c r="T94" i="26"/>
  <c r="F94" i="26"/>
  <c r="C94" i="26"/>
  <c r="D94" i="26" s="1"/>
  <c r="B94" i="26"/>
  <c r="T93" i="26"/>
  <c r="C93" i="26"/>
  <c r="F93" i="26" s="1"/>
  <c r="B93" i="26"/>
  <c r="T92" i="26"/>
  <c r="T91" i="26"/>
  <c r="T90" i="26"/>
  <c r="C90" i="26"/>
  <c r="B90" i="26"/>
  <c r="D90" i="26" s="1"/>
  <c r="F90" i="26" s="1"/>
  <c r="T89" i="26"/>
  <c r="C89" i="26"/>
  <c r="F89" i="26" s="1"/>
  <c r="B89" i="26"/>
  <c r="D89" i="26" s="1"/>
  <c r="T88" i="26"/>
  <c r="F88" i="26"/>
  <c r="D88" i="26"/>
  <c r="C88" i="26"/>
  <c r="B88" i="26"/>
  <c r="T87" i="26"/>
  <c r="F87" i="26"/>
  <c r="D87" i="26"/>
  <c r="C87" i="26"/>
  <c r="B87" i="26"/>
  <c r="T86" i="26"/>
  <c r="D86" i="26"/>
  <c r="C86" i="26"/>
  <c r="F86" i="26" s="1"/>
  <c r="B86" i="26"/>
  <c r="T85" i="26"/>
  <c r="C85" i="26"/>
  <c r="F85" i="26" s="1"/>
  <c r="B85" i="26"/>
  <c r="T84" i="26"/>
  <c r="D84" i="26"/>
  <c r="C84" i="26"/>
  <c r="F84" i="26" s="1"/>
  <c r="B84" i="26"/>
  <c r="T83" i="26"/>
  <c r="F83" i="26"/>
  <c r="D83" i="26"/>
  <c r="C83" i="26"/>
  <c r="B83" i="26"/>
  <c r="T82" i="26"/>
  <c r="C82" i="26"/>
  <c r="B82" i="26"/>
  <c r="T81" i="26"/>
  <c r="C81" i="26"/>
  <c r="B81" i="26"/>
  <c r="F81" i="26" s="1"/>
  <c r="T80" i="26"/>
  <c r="F80" i="26"/>
  <c r="D80" i="26"/>
  <c r="C80" i="26"/>
  <c r="B80" i="26"/>
  <c r="T79" i="26"/>
  <c r="C79" i="26"/>
  <c r="F79" i="26" s="1"/>
  <c r="B79" i="26"/>
  <c r="T78" i="26"/>
  <c r="D78" i="26"/>
  <c r="C78" i="26"/>
  <c r="F78" i="26" s="1"/>
  <c r="B78" i="26"/>
  <c r="T77" i="26"/>
  <c r="C77" i="26"/>
  <c r="F77" i="26" s="1"/>
  <c r="B77" i="26"/>
  <c r="T76" i="26"/>
  <c r="D76" i="26"/>
  <c r="C76" i="26"/>
  <c r="F76" i="26" s="1"/>
  <c r="B76" i="26"/>
  <c r="T75" i="26"/>
  <c r="F75" i="26"/>
  <c r="D75" i="26"/>
  <c r="C75" i="26"/>
  <c r="B75" i="26"/>
  <c r="T74" i="26"/>
  <c r="C74" i="26"/>
  <c r="F74" i="26" s="1"/>
  <c r="B74" i="26"/>
  <c r="T73" i="26"/>
  <c r="F73" i="26"/>
  <c r="D73" i="26"/>
  <c r="C73" i="26"/>
  <c r="B73" i="26"/>
  <c r="T72" i="26"/>
  <c r="D72" i="26"/>
  <c r="C72" i="26"/>
  <c r="F72" i="26" s="1"/>
  <c r="B72" i="26"/>
  <c r="T71" i="26"/>
  <c r="C71" i="26"/>
  <c r="F71" i="26" s="1"/>
  <c r="B71" i="26"/>
  <c r="D71" i="26" s="1"/>
  <c r="T70" i="26"/>
  <c r="C70" i="26"/>
  <c r="B70" i="26"/>
  <c r="T69" i="26"/>
  <c r="F69" i="26"/>
  <c r="D69" i="26"/>
  <c r="C69" i="26"/>
  <c r="B69" i="26"/>
  <c r="T68" i="26"/>
  <c r="F68" i="26"/>
  <c r="D68" i="26"/>
  <c r="C68" i="26"/>
  <c r="B68" i="26"/>
  <c r="T67" i="26"/>
  <c r="F67" i="26"/>
  <c r="C67" i="26"/>
  <c r="B67" i="26"/>
  <c r="T66" i="26"/>
  <c r="C66" i="26"/>
  <c r="F66" i="26" s="1"/>
  <c r="B66" i="26"/>
  <c r="T65" i="26"/>
  <c r="C65" i="26"/>
  <c r="F65" i="26" s="1"/>
  <c r="B65" i="26"/>
  <c r="D65" i="26" s="1"/>
  <c r="T64" i="26"/>
  <c r="F64" i="26"/>
  <c r="D64" i="26"/>
  <c r="C64" i="26"/>
  <c r="B64" i="26"/>
  <c r="T63" i="26"/>
  <c r="F63" i="26"/>
  <c r="D63" i="26"/>
  <c r="C63" i="26"/>
  <c r="B63" i="26"/>
  <c r="T62" i="26"/>
  <c r="C62" i="26"/>
  <c r="B62" i="26"/>
  <c r="D62" i="26" s="1"/>
  <c r="T61" i="26"/>
  <c r="F61" i="26"/>
  <c r="D61" i="26"/>
  <c r="C61" i="26"/>
  <c r="B61" i="26"/>
  <c r="T60" i="26"/>
  <c r="C60" i="26"/>
  <c r="F60" i="26" s="1"/>
  <c r="B60" i="26"/>
  <c r="D60" i="26" s="1"/>
  <c r="T59" i="26"/>
  <c r="D59" i="26"/>
  <c r="C59" i="26"/>
  <c r="F59" i="26" s="1"/>
  <c r="B59" i="26"/>
  <c r="T58" i="26"/>
  <c r="C58" i="26"/>
  <c r="B58" i="26"/>
  <c r="T57" i="26"/>
  <c r="D57" i="26"/>
  <c r="C57" i="26"/>
  <c r="F57" i="26" s="1"/>
  <c r="B57" i="26"/>
  <c r="T56" i="26"/>
  <c r="F56" i="26"/>
  <c r="D56" i="26"/>
  <c r="C56" i="26"/>
  <c r="B56" i="26"/>
  <c r="T55" i="26"/>
  <c r="C55" i="26"/>
  <c r="F55" i="26" s="1"/>
  <c r="B55" i="26"/>
  <c r="T54" i="26"/>
  <c r="C54" i="26"/>
  <c r="B54" i="26"/>
  <c r="F54" i="26" s="1"/>
  <c r="T53" i="26"/>
  <c r="C53" i="26"/>
  <c r="F53" i="26" s="1"/>
  <c r="B53" i="26"/>
  <c r="T52" i="26"/>
  <c r="C52" i="26"/>
  <c r="B52" i="26"/>
  <c r="F52" i="26" s="1"/>
  <c r="T51" i="26"/>
  <c r="F51" i="26"/>
  <c r="D51" i="26"/>
  <c r="C51" i="26"/>
  <c r="B51" i="26"/>
  <c r="T50" i="26"/>
  <c r="D50" i="26"/>
  <c r="C50" i="26"/>
  <c r="F50" i="26" s="1"/>
  <c r="B50" i="26"/>
  <c r="T49" i="26"/>
  <c r="D49" i="26"/>
  <c r="C49" i="26"/>
  <c r="F49" i="26" s="1"/>
  <c r="B49" i="26"/>
  <c r="T48" i="26"/>
  <c r="D48" i="26"/>
  <c r="C48" i="26"/>
  <c r="F48" i="26" s="1"/>
  <c r="B48" i="26"/>
  <c r="T47" i="26"/>
  <c r="C47" i="26"/>
  <c r="F47" i="26" s="1"/>
  <c r="B47" i="26"/>
  <c r="T46" i="26"/>
  <c r="C46" i="26"/>
  <c r="B46" i="26"/>
  <c r="T45" i="26"/>
  <c r="F45" i="26"/>
  <c r="D45" i="26"/>
  <c r="C45" i="26"/>
  <c r="B45" i="26"/>
  <c r="T44" i="26"/>
  <c r="F44" i="26"/>
  <c r="D44" i="26"/>
  <c r="C44" i="26"/>
  <c r="B44" i="26"/>
  <c r="T43" i="26"/>
  <c r="C43" i="26"/>
  <c r="B43" i="26"/>
  <c r="D43" i="26" s="1"/>
  <c r="T42" i="26"/>
  <c r="F42" i="26"/>
  <c r="D42" i="26"/>
  <c r="C42" i="26"/>
  <c r="B42" i="26"/>
  <c r="T41" i="26"/>
  <c r="C41" i="26"/>
  <c r="F41" i="26" s="1"/>
  <c r="B41" i="26"/>
  <c r="D41" i="26" s="1"/>
  <c r="T40" i="26"/>
  <c r="C40" i="26"/>
  <c r="F40" i="26" s="1"/>
  <c r="B40" i="26"/>
  <c r="D40" i="26" s="1"/>
  <c r="T39" i="26"/>
  <c r="F39" i="26"/>
  <c r="D39" i="26"/>
  <c r="C39" i="26"/>
  <c r="B39" i="26"/>
  <c r="T38" i="26"/>
  <c r="D38" i="26"/>
  <c r="C38" i="26"/>
  <c r="B38" i="26"/>
  <c r="T37" i="26"/>
  <c r="F37" i="26"/>
  <c r="D37" i="26"/>
  <c r="C37" i="26"/>
  <c r="B37" i="26"/>
  <c r="T36" i="26"/>
  <c r="T35" i="26"/>
  <c r="T34" i="26"/>
  <c r="C34" i="26"/>
  <c r="B34" i="26"/>
  <c r="T33" i="26"/>
  <c r="D33" i="26"/>
  <c r="C33" i="26"/>
  <c r="F33" i="26" s="1"/>
  <c r="B33" i="26"/>
  <c r="T32" i="26"/>
  <c r="C32" i="26"/>
  <c r="B32" i="26"/>
  <c r="F32" i="26" s="1"/>
  <c r="T31" i="26"/>
  <c r="F31" i="26"/>
  <c r="C31" i="26"/>
  <c r="D31" i="26" s="1"/>
  <c r="B31" i="26"/>
  <c r="T30" i="26"/>
  <c r="C30" i="26"/>
  <c r="B30" i="26"/>
  <c r="T29" i="26"/>
  <c r="C29" i="26"/>
  <c r="F29" i="26" s="1"/>
  <c r="B29" i="26"/>
  <c r="T28" i="26"/>
  <c r="F28" i="26"/>
  <c r="D28" i="26"/>
  <c r="C28" i="26"/>
  <c r="B28" i="26"/>
  <c r="T27" i="26"/>
  <c r="F27" i="26"/>
  <c r="C27" i="26"/>
  <c r="B27" i="26"/>
  <c r="T26" i="26"/>
  <c r="C26" i="26"/>
  <c r="F26" i="26" s="1"/>
  <c r="B26" i="26"/>
  <c r="D26" i="26" s="1"/>
  <c r="T25" i="26"/>
  <c r="C25" i="26"/>
  <c r="F25" i="26" s="1"/>
  <c r="B25" i="26"/>
  <c r="D25" i="26" s="1"/>
  <c r="T24" i="26"/>
  <c r="F24" i="26"/>
  <c r="D24" i="26"/>
  <c r="C24" i="26"/>
  <c r="B24" i="26"/>
  <c r="T23" i="26"/>
  <c r="F23" i="26"/>
  <c r="D23" i="26"/>
  <c r="C23" i="26"/>
  <c r="B23" i="26"/>
  <c r="T22" i="26"/>
  <c r="D22" i="26"/>
  <c r="C22" i="26"/>
  <c r="B22" i="26"/>
  <c r="T21" i="26"/>
  <c r="C21" i="26"/>
  <c r="F21" i="26" s="1"/>
  <c r="B21" i="26"/>
  <c r="T20" i="26"/>
  <c r="D20" i="26"/>
  <c r="C20" i="26"/>
  <c r="B20" i="26"/>
  <c r="F20" i="26" s="1"/>
  <c r="T19" i="26"/>
  <c r="F19" i="26"/>
  <c r="D19" i="26"/>
  <c r="C19" i="26"/>
  <c r="B19" i="26"/>
  <c r="T18" i="26"/>
  <c r="C18" i="26"/>
  <c r="B18" i="26"/>
  <c r="T17" i="26"/>
  <c r="C17" i="26"/>
  <c r="B17" i="26"/>
  <c r="F17" i="26" s="1"/>
  <c r="T16" i="26"/>
  <c r="F16" i="26"/>
  <c r="D16" i="26"/>
  <c r="C16" i="26"/>
  <c r="B16" i="26"/>
  <c r="T15" i="26"/>
  <c r="C15" i="26"/>
  <c r="B15" i="26"/>
  <c r="T14" i="26"/>
  <c r="T13" i="26"/>
  <c r="T12" i="26"/>
  <c r="H12" i="26"/>
  <c r="F12" i="26"/>
  <c r="D12" i="26"/>
  <c r="C12" i="26"/>
  <c r="B12" i="26"/>
  <c r="T11" i="26"/>
  <c r="D11" i="26"/>
  <c r="F11" i="26" s="1"/>
  <c r="C11" i="26"/>
  <c r="B11" i="26"/>
  <c r="T10" i="26"/>
  <c r="H10" i="26"/>
  <c r="F10" i="26"/>
  <c r="D10" i="26"/>
  <c r="C10" i="26"/>
  <c r="B10" i="26"/>
  <c r="T9" i="26"/>
  <c r="C9" i="26"/>
  <c r="B9" i="26"/>
  <c r="T8" i="26"/>
  <c r="F8" i="26"/>
  <c r="H8" i="26" s="1"/>
  <c r="D8" i="26"/>
  <c r="C8" i="26"/>
  <c r="B8" i="26"/>
  <c r="T7" i="26"/>
  <c r="C7" i="26"/>
  <c r="T6" i="26"/>
  <c r="C6" i="26"/>
  <c r="T5" i="26"/>
  <c r="F33" i="25"/>
  <c r="F32" i="25"/>
  <c r="F31" i="25"/>
  <c r="F30" i="25"/>
  <c r="F29" i="25"/>
  <c r="F25" i="25"/>
  <c r="F24" i="25"/>
  <c r="F23" i="25"/>
  <c r="F22" i="25"/>
  <c r="F21" i="25"/>
  <c r="F20" i="25"/>
  <c r="F19" i="25"/>
  <c r="F15" i="25"/>
  <c r="E15" i="25"/>
  <c r="F14" i="25"/>
  <c r="E14" i="25"/>
  <c r="F13" i="25"/>
  <c r="E13" i="25"/>
  <c r="F12" i="25"/>
  <c r="E12" i="25"/>
  <c r="F8" i="25"/>
  <c r="F86" i="24"/>
  <c r="E86" i="24"/>
  <c r="F85" i="24"/>
  <c r="E85" i="24"/>
  <c r="F84" i="24"/>
  <c r="E84" i="24"/>
  <c r="E83" i="24"/>
  <c r="F83" i="24" s="1"/>
  <c r="F77" i="24"/>
  <c r="F73" i="24"/>
  <c r="B63" i="24"/>
  <c r="C63" i="24" s="1"/>
  <c r="Q63" i="24" s="1"/>
  <c r="B62" i="24"/>
  <c r="Q61" i="24"/>
  <c r="C61" i="24"/>
  <c r="B61" i="24"/>
  <c r="Q60" i="24"/>
  <c r="C60" i="24"/>
  <c r="B60" i="24"/>
  <c r="B59" i="24"/>
  <c r="B58" i="24"/>
  <c r="A2" i="25" s="1"/>
  <c r="Q57" i="24"/>
  <c r="C57" i="24"/>
  <c r="B57" i="24"/>
  <c r="Q56" i="24"/>
  <c r="C56" i="24"/>
  <c r="B56" i="24"/>
  <c r="B55" i="24"/>
  <c r="C55" i="24" s="1"/>
  <c r="Q55" i="24" s="1"/>
  <c r="C54" i="24"/>
  <c r="Q54" i="24" s="1"/>
  <c r="B54" i="24"/>
  <c r="A2" i="14" s="1"/>
  <c r="C53" i="24"/>
  <c r="Q53" i="24" s="1"/>
  <c r="B53" i="24"/>
  <c r="A2" i="16" s="1"/>
  <c r="Q52" i="24"/>
  <c r="C52" i="24"/>
  <c r="B52" i="24"/>
  <c r="B51" i="24"/>
  <c r="B50" i="24"/>
  <c r="A2" i="23" s="1"/>
  <c r="B49" i="24"/>
  <c r="Q48" i="24"/>
  <c r="C48" i="24"/>
  <c r="B48" i="24"/>
  <c r="C46" i="24"/>
  <c r="Q46" i="24" s="1"/>
  <c r="B46" i="24"/>
  <c r="A2" i="32" s="1"/>
  <c r="Q44" i="24"/>
  <c r="C44" i="24"/>
  <c r="B44" i="24"/>
  <c r="Q43" i="24"/>
  <c r="B43" i="24"/>
  <c r="C43" i="24" s="1"/>
  <c r="C41" i="24"/>
  <c r="Q41" i="24" s="1"/>
  <c r="B41" i="24"/>
  <c r="A2" i="31" s="1"/>
  <c r="Q40" i="24"/>
  <c r="C40" i="24"/>
  <c r="B40" i="24"/>
  <c r="Q39" i="24"/>
  <c r="B39" i="24"/>
  <c r="C39" i="24" s="1"/>
  <c r="C38" i="24"/>
  <c r="Q38" i="24" s="1"/>
  <c r="B38" i="24"/>
  <c r="Q36" i="24"/>
  <c r="C36" i="24"/>
  <c r="B36" i="24"/>
  <c r="Q35" i="24"/>
  <c r="B35" i="24"/>
  <c r="C35" i="24" s="1"/>
  <c r="B34" i="24"/>
  <c r="C34" i="24" s="1"/>
  <c r="Q34" i="24" s="1"/>
  <c r="C33" i="24"/>
  <c r="Q33" i="24" s="1"/>
  <c r="B33" i="24"/>
  <c r="C20" i="24"/>
  <c r="F20" i="24" s="1"/>
  <c r="F19" i="24"/>
  <c r="C19" i="24"/>
  <c r="F18" i="24"/>
  <c r="C18" i="24"/>
  <c r="F17" i="24"/>
  <c r="C17" i="24"/>
  <c r="C16" i="24"/>
  <c r="F16" i="24" s="1"/>
  <c r="C15" i="24"/>
  <c r="F15" i="24" s="1"/>
  <c r="F14" i="24"/>
  <c r="C14" i="24"/>
  <c r="C13" i="24"/>
  <c r="F13" i="24" s="1"/>
  <c r="F12" i="24"/>
  <c r="C12" i="24"/>
  <c r="F11" i="24"/>
  <c r="C11" i="24"/>
  <c r="C10" i="24"/>
  <c r="F10" i="24" s="1"/>
  <c r="C9" i="24"/>
  <c r="F9" i="24" s="1"/>
  <c r="F10" i="23"/>
  <c r="F9" i="23"/>
  <c r="F8" i="23"/>
  <c r="F7" i="23"/>
  <c r="F6" i="23"/>
  <c r="H10" i="22"/>
  <c r="H9" i="22"/>
  <c r="H8" i="22"/>
  <c r="H7" i="22"/>
  <c r="H6" i="22"/>
  <c r="E48" i="21"/>
  <c r="E47" i="21"/>
  <c r="E46" i="21"/>
  <c r="E45" i="21"/>
  <c r="E44" i="21"/>
  <c r="E43" i="21"/>
  <c r="E42" i="21"/>
  <c r="E41" i="21"/>
  <c r="E40" i="21"/>
  <c r="E39" i="21"/>
  <c r="E38" i="21"/>
  <c r="E37" i="21"/>
  <c r="E33" i="21"/>
  <c r="E32" i="21"/>
  <c r="E31" i="21"/>
  <c r="E30" i="21"/>
  <c r="A26" i="21"/>
  <c r="E21" i="21"/>
  <c r="E20" i="21"/>
  <c r="E19" i="21"/>
  <c r="E18" i="21"/>
  <c r="G14" i="21"/>
  <c r="M14" i="21" s="1"/>
  <c r="O14" i="21" s="1"/>
  <c r="O13" i="21"/>
  <c r="M13" i="21"/>
  <c r="G13" i="21"/>
  <c r="G12" i="21"/>
  <c r="M11" i="21"/>
  <c r="O11" i="21" s="1"/>
  <c r="G11" i="21"/>
  <c r="G10" i="21"/>
  <c r="G9" i="21"/>
  <c r="O8" i="21"/>
  <c r="G8" i="21"/>
  <c r="M8" i="21" s="1"/>
  <c r="M7" i="21"/>
  <c r="O7" i="21" s="1"/>
  <c r="G7" i="21"/>
  <c r="I21" i="20"/>
  <c r="I20" i="20"/>
  <c r="I19" i="20"/>
  <c r="I18" i="20"/>
  <c r="I17" i="20"/>
  <c r="I16" i="20"/>
  <c r="I15" i="20"/>
  <c r="I14" i="20"/>
  <c r="I13" i="20"/>
  <c r="I12" i="20"/>
  <c r="I11" i="20"/>
  <c r="I10" i="20"/>
  <c r="I9" i="20"/>
  <c r="A2" i="20"/>
  <c r="J86" i="19"/>
  <c r="L85" i="19"/>
  <c r="I85" i="19"/>
  <c r="C85" i="19"/>
  <c r="O85" i="19" s="1"/>
  <c r="B85" i="19"/>
  <c r="I84" i="19"/>
  <c r="C84" i="19"/>
  <c r="B84" i="19"/>
  <c r="I83" i="19"/>
  <c r="C83" i="19"/>
  <c r="B83" i="19"/>
  <c r="I82" i="19"/>
  <c r="L82" i="19" s="1"/>
  <c r="C82" i="19"/>
  <c r="B82" i="19"/>
  <c r="O82" i="19" s="1"/>
  <c r="O81" i="19"/>
  <c r="L81" i="19"/>
  <c r="I81" i="19"/>
  <c r="C81" i="19"/>
  <c r="B81" i="19"/>
  <c r="I80" i="19"/>
  <c r="L80" i="19" s="1"/>
  <c r="C80" i="19"/>
  <c r="B80" i="19"/>
  <c r="O80" i="19" s="1"/>
  <c r="L79" i="19"/>
  <c r="I79" i="19"/>
  <c r="C79" i="19"/>
  <c r="B79" i="19"/>
  <c r="O79" i="19" s="1"/>
  <c r="I78" i="19"/>
  <c r="L78" i="19" s="1"/>
  <c r="O78" i="19" s="1"/>
  <c r="C78" i="19"/>
  <c r="B78" i="19"/>
  <c r="L77" i="19"/>
  <c r="I77" i="19"/>
  <c r="C77" i="19"/>
  <c r="B77" i="19"/>
  <c r="I76" i="19"/>
  <c r="L76" i="19" s="1"/>
  <c r="C76" i="19"/>
  <c r="B76" i="19"/>
  <c r="L75" i="19"/>
  <c r="I75" i="19"/>
  <c r="C75" i="19"/>
  <c r="O75" i="19" s="1"/>
  <c r="B75" i="19"/>
  <c r="L74" i="19"/>
  <c r="I74" i="19"/>
  <c r="C74" i="19"/>
  <c r="B74" i="19"/>
  <c r="O74" i="19" s="1"/>
  <c r="O73" i="19"/>
  <c r="L73" i="19"/>
  <c r="I73" i="19"/>
  <c r="C73" i="19"/>
  <c r="B73" i="19"/>
  <c r="I72" i="19"/>
  <c r="L72" i="19" s="1"/>
  <c r="C72" i="19"/>
  <c r="B72" i="19"/>
  <c r="O72" i="19" s="1"/>
  <c r="I71" i="19"/>
  <c r="L71" i="19" s="1"/>
  <c r="C71" i="19"/>
  <c r="B71" i="19"/>
  <c r="I70" i="19"/>
  <c r="L70" i="19" s="1"/>
  <c r="C70" i="19"/>
  <c r="B70" i="19"/>
  <c r="O70" i="19" s="1"/>
  <c r="I69" i="19"/>
  <c r="L69" i="19" s="1"/>
  <c r="C69" i="19"/>
  <c r="B69" i="19"/>
  <c r="L68" i="19"/>
  <c r="O68" i="19" s="1"/>
  <c r="I68" i="19"/>
  <c r="C68" i="19"/>
  <c r="B68" i="19"/>
  <c r="I67" i="19"/>
  <c r="L67" i="19" s="1"/>
  <c r="C67" i="19"/>
  <c r="B67" i="19"/>
  <c r="L66" i="19"/>
  <c r="I66" i="19"/>
  <c r="C66" i="19"/>
  <c r="B66" i="19"/>
  <c r="O66" i="19" s="1"/>
  <c r="L65" i="19"/>
  <c r="I65" i="19"/>
  <c r="C65" i="19"/>
  <c r="B65" i="19"/>
  <c r="I64" i="19"/>
  <c r="L64" i="19" s="1"/>
  <c r="C64" i="19"/>
  <c r="B64" i="19"/>
  <c r="L63" i="19"/>
  <c r="I63" i="19"/>
  <c r="C63" i="19"/>
  <c r="O63" i="19" s="1"/>
  <c r="B63" i="19"/>
  <c r="I62" i="19"/>
  <c r="L62" i="19" s="1"/>
  <c r="C62" i="19"/>
  <c r="B62" i="19"/>
  <c r="J57" i="19"/>
  <c r="I56" i="19"/>
  <c r="C56" i="19"/>
  <c r="B56" i="19"/>
  <c r="I55" i="19"/>
  <c r="L55" i="19" s="1"/>
  <c r="C55" i="19"/>
  <c r="B55" i="19"/>
  <c r="I54" i="19"/>
  <c r="L54" i="19" s="1"/>
  <c r="C54" i="19"/>
  <c r="B54" i="19"/>
  <c r="L53" i="19"/>
  <c r="I53" i="19"/>
  <c r="C53" i="19"/>
  <c r="B53" i="19"/>
  <c r="I52" i="19"/>
  <c r="L52" i="19" s="1"/>
  <c r="C52" i="19"/>
  <c r="B52" i="19"/>
  <c r="L51" i="19"/>
  <c r="I51" i="19"/>
  <c r="C51" i="19"/>
  <c r="O51" i="19" s="1"/>
  <c r="B51" i="19"/>
  <c r="I50" i="19"/>
  <c r="L50" i="19" s="1"/>
  <c r="O50" i="19" s="1"/>
  <c r="C50" i="19"/>
  <c r="B50" i="19"/>
  <c r="I49" i="19"/>
  <c r="L49" i="19" s="1"/>
  <c r="C49" i="19"/>
  <c r="O49" i="19" s="1"/>
  <c r="B49" i="19"/>
  <c r="I48" i="19"/>
  <c r="C48" i="19"/>
  <c r="B48" i="19"/>
  <c r="I47" i="19"/>
  <c r="L47" i="19" s="1"/>
  <c r="C47" i="19"/>
  <c r="B47" i="19"/>
  <c r="O47" i="19" s="1"/>
  <c r="I46" i="19"/>
  <c r="L46" i="19" s="1"/>
  <c r="C46" i="19"/>
  <c r="B46" i="19"/>
  <c r="O46" i="19" s="1"/>
  <c r="O45" i="19"/>
  <c r="L45" i="19"/>
  <c r="I45" i="19"/>
  <c r="C45" i="19"/>
  <c r="B45" i="19"/>
  <c r="I44" i="19"/>
  <c r="L44" i="19" s="1"/>
  <c r="C44" i="19"/>
  <c r="B44" i="19"/>
  <c r="O44" i="19" s="1"/>
  <c r="I43" i="19"/>
  <c r="L43" i="19" s="1"/>
  <c r="C43" i="19"/>
  <c r="B43" i="19"/>
  <c r="L42" i="19"/>
  <c r="I42" i="19"/>
  <c r="C42" i="19"/>
  <c r="O42" i="19" s="1"/>
  <c r="B42" i="19"/>
  <c r="L41" i="19"/>
  <c r="I41" i="19"/>
  <c r="C41" i="19"/>
  <c r="B41" i="19"/>
  <c r="L40" i="19"/>
  <c r="O40" i="19" s="1"/>
  <c r="I40" i="19"/>
  <c r="C40" i="19"/>
  <c r="B40" i="19"/>
  <c r="L39" i="19"/>
  <c r="I39" i="19"/>
  <c r="C39" i="19"/>
  <c r="O39" i="19" s="1"/>
  <c r="B39" i="19"/>
  <c r="I38" i="19"/>
  <c r="L38" i="19" s="1"/>
  <c r="C38" i="19"/>
  <c r="B38" i="19"/>
  <c r="L37" i="19"/>
  <c r="I37" i="19"/>
  <c r="C37" i="19"/>
  <c r="O37" i="19" s="1"/>
  <c r="B37" i="19"/>
  <c r="I36" i="19"/>
  <c r="L36" i="19" s="1"/>
  <c r="C36" i="19"/>
  <c r="O36" i="19" s="1"/>
  <c r="B36" i="19"/>
  <c r="L35" i="19"/>
  <c r="O35" i="19" s="1"/>
  <c r="I35" i="19"/>
  <c r="C35" i="19"/>
  <c r="B35" i="19"/>
  <c r="I34" i="19"/>
  <c r="L34" i="19" s="1"/>
  <c r="C34" i="19"/>
  <c r="B34" i="19"/>
  <c r="O34" i="19" s="1"/>
  <c r="L33" i="19"/>
  <c r="I33" i="19"/>
  <c r="C33" i="19"/>
  <c r="B33" i="19"/>
  <c r="O33" i="19" s="1"/>
  <c r="I32" i="19"/>
  <c r="L32" i="19" s="1"/>
  <c r="O32" i="19" s="1"/>
  <c r="C32" i="19"/>
  <c r="B32" i="19"/>
  <c r="I31" i="19"/>
  <c r="L31" i="19" s="1"/>
  <c r="C31" i="19"/>
  <c r="B31" i="19"/>
  <c r="I30" i="19"/>
  <c r="L30" i="19" s="1"/>
  <c r="C30" i="19"/>
  <c r="O30" i="19" s="1"/>
  <c r="B30" i="19"/>
  <c r="L29" i="19"/>
  <c r="I29" i="19"/>
  <c r="C29" i="19"/>
  <c r="B29" i="19"/>
  <c r="L28" i="19"/>
  <c r="I28" i="19"/>
  <c r="C28" i="19"/>
  <c r="B28" i="19"/>
  <c r="O28" i="19" s="1"/>
  <c r="O27" i="19"/>
  <c r="L27" i="19"/>
  <c r="I27" i="19"/>
  <c r="C27" i="19"/>
  <c r="B27" i="19"/>
  <c r="I26" i="19"/>
  <c r="L26" i="19" s="1"/>
  <c r="C26" i="19"/>
  <c r="B26" i="19"/>
  <c r="O26" i="19" s="1"/>
  <c r="I25" i="19"/>
  <c r="L25" i="19" s="1"/>
  <c r="C25" i="19"/>
  <c r="B25" i="19"/>
  <c r="I24" i="19"/>
  <c r="L24" i="19" s="1"/>
  <c r="C24" i="19"/>
  <c r="O24" i="19" s="1"/>
  <c r="B24" i="19"/>
  <c r="L23" i="19"/>
  <c r="I23" i="19"/>
  <c r="C23" i="19"/>
  <c r="B23" i="19"/>
  <c r="O23" i="19" s="1"/>
  <c r="O22" i="19"/>
  <c r="I22" i="19"/>
  <c r="L22" i="19" s="1"/>
  <c r="C22" i="19"/>
  <c r="B22" i="19"/>
  <c r="L21" i="19"/>
  <c r="I21" i="19"/>
  <c r="C21" i="19"/>
  <c r="B21" i="19"/>
  <c r="O21" i="19" s="1"/>
  <c r="I20" i="19"/>
  <c r="C20" i="19"/>
  <c r="B20" i="19"/>
  <c r="I19" i="19"/>
  <c r="L19" i="19" s="1"/>
  <c r="C19" i="19"/>
  <c r="B19" i="19"/>
  <c r="I18" i="19"/>
  <c r="L18" i="19" s="1"/>
  <c r="C18" i="19"/>
  <c r="B18" i="19"/>
  <c r="L17" i="19"/>
  <c r="I17" i="19"/>
  <c r="C17" i="19"/>
  <c r="B17" i="19"/>
  <c r="I16" i="19"/>
  <c r="L16" i="19" s="1"/>
  <c r="C16" i="19"/>
  <c r="B16" i="19"/>
  <c r="L15" i="19"/>
  <c r="I15" i="19"/>
  <c r="C15" i="19"/>
  <c r="O15" i="19" s="1"/>
  <c r="B15" i="19"/>
  <c r="I14" i="19"/>
  <c r="L14" i="19" s="1"/>
  <c r="O14" i="19" s="1"/>
  <c r="C14" i="19"/>
  <c r="B14" i="19"/>
  <c r="I13" i="19"/>
  <c r="L13" i="19" s="1"/>
  <c r="C13" i="19"/>
  <c r="O13" i="19" s="1"/>
  <c r="B13" i="19"/>
  <c r="I12" i="19"/>
  <c r="C12" i="19"/>
  <c r="B12" i="19"/>
  <c r="I11" i="19"/>
  <c r="L11" i="19" s="1"/>
  <c r="C11" i="19"/>
  <c r="B11" i="19"/>
  <c r="I10" i="19"/>
  <c r="L10" i="19" s="1"/>
  <c r="C10" i="19"/>
  <c r="B10" i="19"/>
  <c r="O10" i="19" s="1"/>
  <c r="L105" i="18"/>
  <c r="J105" i="18"/>
  <c r="L104" i="18"/>
  <c r="J104" i="18"/>
  <c r="L103" i="18"/>
  <c r="J103" i="18"/>
  <c r="L102" i="18"/>
  <c r="J102" i="18"/>
  <c r="L101" i="18"/>
  <c r="J101" i="18"/>
  <c r="Q96" i="18"/>
  <c r="K96" i="18"/>
  <c r="J96" i="18"/>
  <c r="B96" i="18"/>
  <c r="C92" i="18"/>
  <c r="C90" i="18"/>
  <c r="C89" i="18"/>
  <c r="C88" i="18"/>
  <c r="C87" i="18"/>
  <c r="C86" i="18"/>
  <c r="C85" i="18"/>
  <c r="B85" i="18"/>
  <c r="Q80" i="18"/>
  <c r="K80" i="18"/>
  <c r="J80" i="18"/>
  <c r="K79" i="18"/>
  <c r="J79" i="18"/>
  <c r="B79" i="18"/>
  <c r="Q79" i="18" s="1"/>
  <c r="K78" i="18"/>
  <c r="J78" i="18"/>
  <c r="B78" i="18"/>
  <c r="Q78" i="18" s="1"/>
  <c r="J77" i="18"/>
  <c r="K77" i="18" s="1"/>
  <c r="B77" i="18"/>
  <c r="Q77" i="18" s="1"/>
  <c r="Q76" i="18"/>
  <c r="J76" i="18"/>
  <c r="K76" i="18" s="1"/>
  <c r="B76" i="18"/>
  <c r="K75" i="18"/>
  <c r="J75" i="18"/>
  <c r="B75" i="18"/>
  <c r="Q75" i="18" s="1"/>
  <c r="K74" i="18"/>
  <c r="J74" i="18"/>
  <c r="B74" i="18"/>
  <c r="Q74" i="18" s="1"/>
  <c r="Q73" i="18"/>
  <c r="K73" i="18"/>
  <c r="J73" i="18"/>
  <c r="B73" i="18"/>
  <c r="K72" i="18"/>
  <c r="J72" i="18"/>
  <c r="B72" i="18"/>
  <c r="Q72" i="18" s="1"/>
  <c r="J71" i="18"/>
  <c r="Q71" i="18" s="1"/>
  <c r="K70" i="18"/>
  <c r="J70" i="18"/>
  <c r="B70" i="18"/>
  <c r="Q70" i="18" s="1"/>
  <c r="Q69" i="18"/>
  <c r="K69" i="18"/>
  <c r="J69" i="18"/>
  <c r="B69" i="18"/>
  <c r="J68" i="18"/>
  <c r="K68" i="18" s="1"/>
  <c r="B68" i="18"/>
  <c r="Q68" i="18" s="1"/>
  <c r="J67" i="18"/>
  <c r="K67" i="18" s="1"/>
  <c r="B67" i="18"/>
  <c r="Q67" i="18" s="1"/>
  <c r="Q66" i="18"/>
  <c r="J66" i="18"/>
  <c r="K66" i="18" s="1"/>
  <c r="B66" i="18"/>
  <c r="Q65" i="18"/>
  <c r="J65" i="18"/>
  <c r="K65" i="18" s="1"/>
  <c r="B65" i="18"/>
  <c r="C61" i="18"/>
  <c r="C59" i="18"/>
  <c r="C58" i="18"/>
  <c r="C57" i="18"/>
  <c r="C56" i="18"/>
  <c r="C55" i="18"/>
  <c r="C54" i="18"/>
  <c r="B54" i="18"/>
  <c r="A2" i="17"/>
  <c r="C62" i="15"/>
  <c r="B62" i="15"/>
  <c r="J62" i="15" s="1"/>
  <c r="C61" i="15"/>
  <c r="B61" i="15"/>
  <c r="J57" i="15"/>
  <c r="J56" i="15"/>
  <c r="C56" i="15"/>
  <c r="J55" i="15"/>
  <c r="C55" i="15"/>
  <c r="C54" i="15"/>
  <c r="J54" i="15" s="1"/>
  <c r="F53" i="15"/>
  <c r="C53" i="15"/>
  <c r="A53" i="15"/>
  <c r="J53" i="15" s="1"/>
  <c r="J52" i="15"/>
  <c r="C52" i="15"/>
  <c r="J51" i="15"/>
  <c r="F51" i="15"/>
  <c r="C51" i="15"/>
  <c r="C50" i="15"/>
  <c r="J50" i="15" s="1"/>
  <c r="C49" i="15"/>
  <c r="J49" i="15" s="1"/>
  <c r="C48" i="15"/>
  <c r="J48" i="15" s="1"/>
  <c r="C47" i="15"/>
  <c r="J47" i="15" s="1"/>
  <c r="J46" i="15"/>
  <c r="J45" i="15"/>
  <c r="F44" i="15"/>
  <c r="J44" i="15" s="1"/>
  <c r="F43" i="15"/>
  <c r="J43" i="15" s="1"/>
  <c r="F42" i="15"/>
  <c r="J42" i="15" s="1"/>
  <c r="F41" i="15"/>
  <c r="J41" i="15" s="1"/>
  <c r="F40" i="15"/>
  <c r="J40" i="15" s="1"/>
  <c r="F39" i="15"/>
  <c r="J39" i="15" s="1"/>
  <c r="J38" i="15"/>
  <c r="J37" i="15"/>
  <c r="F37" i="15"/>
  <c r="J36" i="15"/>
  <c r="D32" i="15"/>
  <c r="I32" i="15" s="1"/>
  <c r="C32" i="15"/>
  <c r="C31" i="15"/>
  <c r="I31" i="15" s="1"/>
  <c r="I30" i="15"/>
  <c r="C30" i="15"/>
  <c r="I29" i="15"/>
  <c r="A29" i="15"/>
  <c r="I28" i="15"/>
  <c r="C28" i="15"/>
  <c r="I27" i="15"/>
  <c r="C27" i="15"/>
  <c r="I26" i="15"/>
  <c r="C26" i="15"/>
  <c r="I25" i="15"/>
  <c r="I24" i="15"/>
  <c r="I23" i="15"/>
  <c r="I22" i="15"/>
  <c r="I21" i="15"/>
  <c r="I20" i="15"/>
  <c r="I19" i="15"/>
  <c r="I18" i="15"/>
  <c r="I17" i="15"/>
  <c r="I16" i="15"/>
  <c r="I15" i="15"/>
  <c r="I14" i="15"/>
  <c r="I13" i="15"/>
  <c r="I12" i="15"/>
  <c r="I11" i="15"/>
  <c r="D10" i="15"/>
  <c r="I10" i="15" s="1"/>
  <c r="I9" i="15"/>
  <c r="A2" i="15"/>
  <c r="A2" i="13"/>
  <c r="P8" i="12"/>
  <c r="J8" i="12"/>
  <c r="P7" i="12"/>
  <c r="K7" i="12"/>
  <c r="J7" i="12"/>
  <c r="K6" i="12"/>
  <c r="P6" i="12" s="1"/>
  <c r="J6" i="12"/>
  <c r="K5" i="12"/>
  <c r="P5" i="12" s="1"/>
  <c r="J5" i="12"/>
  <c r="A2" i="12"/>
  <c r="F37" i="11"/>
  <c r="G37" i="11" s="1"/>
  <c r="C37" i="11"/>
  <c r="C36" i="11"/>
  <c r="F36" i="11" s="1"/>
  <c r="G36" i="11" s="1"/>
  <c r="F35" i="11"/>
  <c r="G35" i="11" s="1"/>
  <c r="C35" i="11"/>
  <c r="G33" i="11"/>
  <c r="F33" i="11"/>
  <c r="G31" i="11"/>
  <c r="F31" i="11"/>
  <c r="G30" i="11"/>
  <c r="F30" i="11"/>
  <c r="G29" i="11"/>
  <c r="F29" i="11"/>
  <c r="F28" i="11"/>
  <c r="G28" i="11" s="1"/>
  <c r="G27" i="11"/>
  <c r="F27" i="11"/>
  <c r="G26" i="11"/>
  <c r="F26" i="11"/>
  <c r="G25" i="11"/>
  <c r="F25" i="11"/>
  <c r="G23" i="11"/>
  <c r="F23" i="11"/>
  <c r="G21" i="11"/>
  <c r="F21" i="11"/>
  <c r="F20" i="11"/>
  <c r="G20" i="11" s="1"/>
  <c r="G19" i="11"/>
  <c r="F19" i="11"/>
  <c r="G18" i="11"/>
  <c r="F18" i="11"/>
  <c r="G17" i="11"/>
  <c r="F17" i="11"/>
  <c r="G15" i="11"/>
  <c r="F15" i="11"/>
  <c r="G14" i="11"/>
  <c r="F14" i="11"/>
  <c r="F12" i="11"/>
  <c r="G12" i="11" s="1"/>
  <c r="G11" i="11"/>
  <c r="F11" i="11"/>
  <c r="G10" i="11"/>
  <c r="F10" i="11"/>
  <c r="G9" i="11"/>
  <c r="F9" i="11"/>
  <c r="G8" i="11"/>
  <c r="F8" i="11"/>
  <c r="G7" i="11"/>
  <c r="F7" i="11"/>
  <c r="F6" i="11"/>
  <c r="G6" i="11" s="1"/>
  <c r="A2" i="11"/>
  <c r="H90" i="10"/>
  <c r="H89" i="10"/>
  <c r="H88" i="10"/>
  <c r="H87" i="10"/>
  <c r="H86" i="10"/>
  <c r="H85" i="10"/>
  <c r="H84" i="10"/>
  <c r="A2" i="10"/>
  <c r="O413" i="9"/>
  <c r="O412" i="9"/>
  <c r="O411" i="9"/>
  <c r="O410" i="9"/>
  <c r="O409" i="9"/>
  <c r="O408" i="9"/>
  <c r="O407" i="9"/>
  <c r="E403" i="9"/>
  <c r="O402" i="9"/>
  <c r="Q402" i="9" s="1"/>
  <c r="B402" i="9"/>
  <c r="Q401" i="9"/>
  <c r="B401" i="9"/>
  <c r="O401" i="9" s="1"/>
  <c r="O400" i="9"/>
  <c r="Q400" i="9" s="1"/>
  <c r="B400" i="9"/>
  <c r="Q399" i="9"/>
  <c r="B399" i="9"/>
  <c r="O399" i="9" s="1"/>
  <c r="Q398" i="9"/>
  <c r="B398" i="9"/>
  <c r="O398" i="9" s="1"/>
  <c r="A398" i="9"/>
  <c r="B397" i="9"/>
  <c r="O397" i="9" s="1"/>
  <c r="Q397" i="9" s="1"/>
  <c r="B396" i="9"/>
  <c r="B395" i="9"/>
  <c r="O394" i="9"/>
  <c r="Q394" i="9" s="1"/>
  <c r="B394" i="9"/>
  <c r="B393" i="9"/>
  <c r="B392" i="9"/>
  <c r="O392" i="9" s="1"/>
  <c r="A392" i="9"/>
  <c r="Q391" i="9"/>
  <c r="O391" i="9"/>
  <c r="O390" i="9"/>
  <c r="Q390" i="9" s="1"/>
  <c r="Q389" i="9"/>
  <c r="O389" i="9"/>
  <c r="Q388" i="9"/>
  <c r="O388" i="9"/>
  <c r="Q387" i="9"/>
  <c r="O387" i="9"/>
  <c r="Q386" i="9"/>
  <c r="O386" i="9"/>
  <c r="Q385" i="9"/>
  <c r="O385" i="9"/>
  <c r="O384" i="9"/>
  <c r="Q384" i="9" s="1"/>
  <c r="Q383" i="9"/>
  <c r="O383" i="9"/>
  <c r="Q382" i="9"/>
  <c r="O382" i="9"/>
  <c r="Q381" i="9"/>
  <c r="O381" i="9"/>
  <c r="Q380" i="9"/>
  <c r="O380" i="9"/>
  <c r="Q379" i="9"/>
  <c r="O379" i="9"/>
  <c r="O378" i="9"/>
  <c r="Q378" i="9" s="1"/>
  <c r="Q377" i="9"/>
  <c r="O377" i="9"/>
  <c r="Q376" i="9"/>
  <c r="O376" i="9"/>
  <c r="Q375" i="9"/>
  <c r="O375" i="9"/>
  <c r="Q374" i="9"/>
  <c r="O374" i="9"/>
  <c r="Q373" i="9"/>
  <c r="O373" i="9"/>
  <c r="O372" i="9"/>
  <c r="Q372" i="9" s="1"/>
  <c r="Q371" i="9"/>
  <c r="O371" i="9"/>
  <c r="Q370" i="9"/>
  <c r="O370" i="9"/>
  <c r="Q369" i="9"/>
  <c r="O369" i="9"/>
  <c r="Q368" i="9"/>
  <c r="O368" i="9"/>
  <c r="Q367" i="9"/>
  <c r="O367" i="9"/>
  <c r="O366" i="9"/>
  <c r="Q366" i="9" s="1"/>
  <c r="Q365" i="9"/>
  <c r="O365" i="9"/>
  <c r="Q364" i="9"/>
  <c r="O364" i="9"/>
  <c r="Q363" i="9"/>
  <c r="O363" i="9"/>
  <c r="Q362" i="9"/>
  <c r="O362" i="9"/>
  <c r="Q361" i="9"/>
  <c r="O361" i="9"/>
  <c r="O360" i="9"/>
  <c r="Q360" i="9" s="1"/>
  <c r="Q359" i="9"/>
  <c r="O359" i="9"/>
  <c r="O358" i="9"/>
  <c r="Q358" i="9" s="1"/>
  <c r="Q357" i="9"/>
  <c r="O357" i="9"/>
  <c r="Q356" i="9"/>
  <c r="O356" i="9"/>
  <c r="Q355" i="9"/>
  <c r="O355" i="9"/>
  <c r="O354" i="9"/>
  <c r="Q354" i="9" s="1"/>
  <c r="Q353" i="9"/>
  <c r="O353" i="9"/>
  <c r="O352" i="9"/>
  <c r="Q352" i="9" s="1"/>
  <c r="Q351" i="9"/>
  <c r="O351" i="9"/>
  <c r="Q350" i="9"/>
  <c r="O350" i="9"/>
  <c r="Q349" i="9"/>
  <c r="O349" i="9"/>
  <c r="O348" i="9"/>
  <c r="Q348" i="9" s="1"/>
  <c r="Q347" i="9"/>
  <c r="O347" i="9"/>
  <c r="O346" i="9"/>
  <c r="Q346" i="9" s="1"/>
  <c r="Q345" i="9"/>
  <c r="O345" i="9"/>
  <c r="Q344" i="9"/>
  <c r="O344" i="9"/>
  <c r="Q343" i="9"/>
  <c r="O343" i="9"/>
  <c r="O342" i="9"/>
  <c r="Q342" i="9" s="1"/>
  <c r="Q341" i="9"/>
  <c r="O341" i="9"/>
  <c r="O340" i="9"/>
  <c r="Q340" i="9" s="1"/>
  <c r="Q339" i="9"/>
  <c r="O339" i="9"/>
  <c r="Q338" i="9"/>
  <c r="O338" i="9"/>
  <c r="Q337" i="9"/>
  <c r="O337" i="9"/>
  <c r="O336" i="9"/>
  <c r="Q336" i="9" s="1"/>
  <c r="Q335" i="9"/>
  <c r="O335" i="9"/>
  <c r="O334" i="9"/>
  <c r="Q334" i="9" s="1"/>
  <c r="Q333" i="9"/>
  <c r="O333" i="9"/>
  <c r="Q332" i="9"/>
  <c r="O332" i="9"/>
  <c r="Q331" i="9"/>
  <c r="O331" i="9"/>
  <c r="O330" i="9"/>
  <c r="Q330" i="9" s="1"/>
  <c r="Q329" i="9"/>
  <c r="O329" i="9"/>
  <c r="O328" i="9"/>
  <c r="Q328" i="9" s="1"/>
  <c r="Q327" i="9"/>
  <c r="O327" i="9"/>
  <c r="Q326" i="9"/>
  <c r="O326" i="9"/>
  <c r="Q325" i="9"/>
  <c r="O325" i="9"/>
  <c r="O324" i="9"/>
  <c r="Q324" i="9" s="1"/>
  <c r="Q323" i="9"/>
  <c r="O323" i="9"/>
  <c r="O322" i="9"/>
  <c r="Q322" i="9" s="1"/>
  <c r="Q321" i="9"/>
  <c r="O321" i="9"/>
  <c r="B320" i="9"/>
  <c r="O320" i="9" s="1"/>
  <c r="A320" i="9"/>
  <c r="Q320" i="9" s="1"/>
  <c r="O319" i="9"/>
  <c r="Q319" i="9" s="1"/>
  <c r="O318" i="9"/>
  <c r="Q318" i="9" s="1"/>
  <c r="O317" i="9"/>
  <c r="Q317" i="9" s="1"/>
  <c r="O316" i="9"/>
  <c r="Q316" i="9" s="1"/>
  <c r="Q315" i="9"/>
  <c r="O315" i="9"/>
  <c r="O314" i="9"/>
  <c r="Q314" i="9" s="1"/>
  <c r="O313" i="9"/>
  <c r="Q313" i="9" s="1"/>
  <c r="O312" i="9"/>
  <c r="Q312" i="9" s="1"/>
  <c r="O311" i="9"/>
  <c r="Q311" i="9" s="1"/>
  <c r="O310" i="9"/>
  <c r="Q310" i="9" s="1"/>
  <c r="Q309" i="9"/>
  <c r="O309" i="9"/>
  <c r="O308" i="9"/>
  <c r="B308" i="9"/>
  <c r="A308" i="9"/>
  <c r="Q308" i="9" s="1"/>
  <c r="Q307" i="9"/>
  <c r="O307" i="9"/>
  <c r="B307" i="9"/>
  <c r="A307" i="9"/>
  <c r="Q306" i="9"/>
  <c r="O306" i="9"/>
  <c r="B306" i="9"/>
  <c r="A306" i="9"/>
  <c r="O305" i="9"/>
  <c r="B305" i="9"/>
  <c r="A305" i="9"/>
  <c r="Q305" i="9" s="1"/>
  <c r="Q304" i="9"/>
  <c r="O304" i="9"/>
  <c r="B304" i="9"/>
  <c r="A304" i="9"/>
  <c r="Q303" i="9"/>
  <c r="O303" i="9"/>
  <c r="B303" i="9"/>
  <c r="A303" i="9"/>
  <c r="O302" i="9"/>
  <c r="B302" i="9"/>
  <c r="A302" i="9"/>
  <c r="O301" i="9"/>
  <c r="B301" i="9"/>
  <c r="A301" i="9"/>
  <c r="Q301" i="9" s="1"/>
  <c r="O300" i="9"/>
  <c r="Q300" i="9" s="1"/>
  <c r="B300" i="9"/>
  <c r="A300" i="9"/>
  <c r="O299" i="9"/>
  <c r="B299" i="9"/>
  <c r="A299" i="9"/>
  <c r="O298" i="9"/>
  <c r="B298" i="9"/>
  <c r="A298" i="9"/>
  <c r="Q298" i="9" s="1"/>
  <c r="Q297" i="9"/>
  <c r="O297" i="9"/>
  <c r="B297" i="9"/>
  <c r="A297" i="9"/>
  <c r="O296" i="9"/>
  <c r="B296" i="9"/>
  <c r="A296" i="9"/>
  <c r="Q296" i="9" s="1"/>
  <c r="O295" i="9"/>
  <c r="B295" i="9"/>
  <c r="A295" i="9"/>
  <c r="Q295" i="9" s="1"/>
  <c r="Q294" i="9"/>
  <c r="O294" i="9"/>
  <c r="B294" i="9"/>
  <c r="A294" i="9"/>
  <c r="O293" i="9"/>
  <c r="B293" i="9"/>
  <c r="A293" i="9"/>
  <c r="Q293" i="9" s="1"/>
  <c r="Q292" i="9"/>
  <c r="O292" i="9"/>
  <c r="O291" i="9"/>
  <c r="Q291" i="9" s="1"/>
  <c r="O290" i="9"/>
  <c r="Q290" i="9" s="1"/>
  <c r="Q289" i="9"/>
  <c r="O289" i="9"/>
  <c r="O288" i="9"/>
  <c r="Q288" i="9" s="1"/>
  <c r="O287" i="9"/>
  <c r="Q287" i="9" s="1"/>
  <c r="Q286" i="9"/>
  <c r="O286" i="9"/>
  <c r="O285" i="9"/>
  <c r="Q285" i="9" s="1"/>
  <c r="Q284" i="9"/>
  <c r="O284" i="9"/>
  <c r="Q283" i="9"/>
  <c r="O283" i="9"/>
  <c r="O282" i="9"/>
  <c r="B282" i="9"/>
  <c r="A282" i="9"/>
  <c r="O281" i="9"/>
  <c r="Q281" i="9" s="1"/>
  <c r="B281" i="9"/>
  <c r="A281" i="9"/>
  <c r="Q280" i="9"/>
  <c r="O280" i="9"/>
  <c r="B280" i="9"/>
  <c r="A280" i="9"/>
  <c r="O279" i="9"/>
  <c r="B279" i="9"/>
  <c r="A279" i="9"/>
  <c r="Q279" i="9" s="1"/>
  <c r="B278" i="9"/>
  <c r="A278" i="9"/>
  <c r="O277" i="9"/>
  <c r="Q277" i="9" s="1"/>
  <c r="B277" i="9"/>
  <c r="A277" i="9"/>
  <c r="O276" i="9"/>
  <c r="B276" i="9"/>
  <c r="A276" i="9"/>
  <c r="Q276" i="9" s="1"/>
  <c r="Q275" i="9"/>
  <c r="O275" i="9"/>
  <c r="B275" i="9"/>
  <c r="A275" i="9"/>
  <c r="Q274" i="9"/>
  <c r="O274" i="9"/>
  <c r="B274" i="9"/>
  <c r="A274" i="9"/>
  <c r="O273" i="9"/>
  <c r="B273" i="9"/>
  <c r="A273" i="9"/>
  <c r="Q273" i="9" s="1"/>
  <c r="O272" i="9"/>
  <c r="Q272" i="9" s="1"/>
  <c r="B272" i="9"/>
  <c r="A272" i="9"/>
  <c r="Q271" i="9"/>
  <c r="O271" i="9"/>
  <c r="B271" i="9"/>
  <c r="A271" i="9"/>
  <c r="O270" i="9"/>
  <c r="B270" i="9"/>
  <c r="A270" i="9"/>
  <c r="B269" i="9"/>
  <c r="O269" i="9" s="1"/>
  <c r="A269" i="9"/>
  <c r="O268" i="9"/>
  <c r="Q268" i="9" s="1"/>
  <c r="B268" i="9"/>
  <c r="A268" i="9"/>
  <c r="O267" i="9"/>
  <c r="Q267" i="9" s="1"/>
  <c r="B267" i="9"/>
  <c r="B266" i="9"/>
  <c r="O265" i="9"/>
  <c r="Q265" i="9" s="1"/>
  <c r="B265" i="9"/>
  <c r="A265" i="9"/>
  <c r="B264" i="9"/>
  <c r="O264" i="9" s="1"/>
  <c r="A264" i="9"/>
  <c r="B263" i="9"/>
  <c r="O263" i="9" s="1"/>
  <c r="A263" i="9"/>
  <c r="Q263" i="9" s="1"/>
  <c r="B262" i="9"/>
  <c r="O262" i="9" s="1"/>
  <c r="A262" i="9"/>
  <c r="Q261" i="9"/>
  <c r="B261" i="9"/>
  <c r="O261" i="9" s="1"/>
  <c r="A261" i="9"/>
  <c r="Q260" i="9"/>
  <c r="B260" i="9"/>
  <c r="O260" i="9" s="1"/>
  <c r="A260" i="9"/>
  <c r="Q259" i="9"/>
  <c r="O259" i="9"/>
  <c r="B259" i="9"/>
  <c r="A259" i="9"/>
  <c r="B258" i="9"/>
  <c r="O258" i="9" s="1"/>
  <c r="A258" i="9"/>
  <c r="B257" i="9"/>
  <c r="O257" i="9" s="1"/>
  <c r="A257" i="9"/>
  <c r="Q257" i="9" s="1"/>
  <c r="B256" i="9"/>
  <c r="O256" i="9" s="1"/>
  <c r="A256" i="9"/>
  <c r="B255" i="9"/>
  <c r="O255" i="9" s="1"/>
  <c r="A255" i="9"/>
  <c r="B254" i="9"/>
  <c r="O254" i="9" s="1"/>
  <c r="A254" i="9"/>
  <c r="O253" i="9"/>
  <c r="B253" i="9"/>
  <c r="Q253" i="9" s="1"/>
  <c r="A253" i="9"/>
  <c r="Q252" i="9"/>
  <c r="B252" i="9"/>
  <c r="O252" i="9" s="1"/>
  <c r="A252" i="9"/>
  <c r="B251" i="9"/>
  <c r="O251" i="9" s="1"/>
  <c r="A251" i="9"/>
  <c r="Q251" i="9" s="1"/>
  <c r="Q250" i="9"/>
  <c r="O250" i="9"/>
  <c r="B250" i="9"/>
  <c r="A250" i="9"/>
  <c r="Q249" i="9"/>
  <c r="B249" i="9"/>
  <c r="O249" i="9" s="1"/>
  <c r="A249" i="9"/>
  <c r="Q248" i="9"/>
  <c r="B248" i="9"/>
  <c r="O248" i="9" s="1"/>
  <c r="A248" i="9"/>
  <c r="B247" i="9"/>
  <c r="O247" i="9" s="1"/>
  <c r="A247" i="9"/>
  <c r="Q246" i="9"/>
  <c r="O246" i="9"/>
  <c r="Q245" i="9"/>
  <c r="O245" i="9"/>
  <c r="Q244" i="9"/>
  <c r="O244" i="9"/>
  <c r="O243" i="9"/>
  <c r="Q243" i="9" s="1"/>
  <c r="O242" i="9"/>
  <c r="Q242" i="9" s="1"/>
  <c r="Q241" i="9"/>
  <c r="O241" i="9"/>
  <c r="Q240" i="9"/>
  <c r="O240" i="9"/>
  <c r="Q239" i="9"/>
  <c r="O239" i="9"/>
  <c r="Q238" i="9"/>
  <c r="O238" i="9"/>
  <c r="O237" i="9"/>
  <c r="Q237" i="9" s="1"/>
  <c r="B236" i="9"/>
  <c r="O236" i="9" s="1"/>
  <c r="A236" i="9"/>
  <c r="Q235" i="9"/>
  <c r="O235" i="9"/>
  <c r="Q234" i="9"/>
  <c r="O234" i="9"/>
  <c r="Q233" i="9"/>
  <c r="O233" i="9"/>
  <c r="O232" i="9"/>
  <c r="Q232" i="9" s="1"/>
  <c r="O231" i="9"/>
  <c r="Q231" i="9" s="1"/>
  <c r="Q230" i="9"/>
  <c r="O230" i="9"/>
  <c r="Q229" i="9"/>
  <c r="O229" i="9"/>
  <c r="Q228" i="9"/>
  <c r="O228" i="9"/>
  <c r="Q227" i="9"/>
  <c r="O227" i="9"/>
  <c r="O226" i="9"/>
  <c r="Q226" i="9" s="1"/>
  <c r="B225" i="9"/>
  <c r="O225" i="9" s="1"/>
  <c r="A225" i="9"/>
  <c r="B224" i="9"/>
  <c r="O224" i="9" s="1"/>
  <c r="A224" i="9"/>
  <c r="Q223" i="9"/>
  <c r="O223" i="9"/>
  <c r="Q222" i="9"/>
  <c r="O222" i="9"/>
  <c r="O221" i="9"/>
  <c r="Q221" i="9" s="1"/>
  <c r="O220" i="9"/>
  <c r="Q220" i="9" s="1"/>
  <c r="Q219" i="9"/>
  <c r="O219" i="9"/>
  <c r="Q218" i="9"/>
  <c r="O218" i="9"/>
  <c r="Q217" i="9"/>
  <c r="O217" i="9"/>
  <c r="Q216" i="9"/>
  <c r="O216" i="9"/>
  <c r="O215" i="9"/>
  <c r="Q215" i="9" s="1"/>
  <c r="O214" i="9"/>
  <c r="Q214" i="9" s="1"/>
  <c r="Q213" i="9"/>
  <c r="O213" i="9"/>
  <c r="Q212" i="9"/>
  <c r="B212" i="9"/>
  <c r="O212" i="9" s="1"/>
  <c r="A212" i="9"/>
  <c r="Q211" i="9"/>
  <c r="O211" i="9"/>
  <c r="O210" i="9"/>
  <c r="Q210" i="9" s="1"/>
  <c r="O209" i="9"/>
  <c r="Q209" i="9" s="1"/>
  <c r="Q208" i="9"/>
  <c r="O208" i="9"/>
  <c r="Q207" i="9"/>
  <c r="O207" i="9"/>
  <c r="Q206" i="9"/>
  <c r="O206" i="9"/>
  <c r="Q205" i="9"/>
  <c r="O205" i="9"/>
  <c r="O204" i="9"/>
  <c r="Q204" i="9" s="1"/>
  <c r="O203" i="9"/>
  <c r="Q203" i="9" s="1"/>
  <c r="Q202" i="9"/>
  <c r="O202" i="9"/>
  <c r="Q201" i="9"/>
  <c r="O201" i="9"/>
  <c r="B200" i="9"/>
  <c r="O200" i="9" s="1"/>
  <c r="A200" i="9"/>
  <c r="Q200" i="9" s="1"/>
  <c r="Q199" i="9"/>
  <c r="O199" i="9"/>
  <c r="O198" i="9"/>
  <c r="Q198" i="9" s="1"/>
  <c r="Q197" i="9"/>
  <c r="O197" i="9"/>
  <c r="Q196" i="9"/>
  <c r="O196" i="9"/>
  <c r="Q195" i="9"/>
  <c r="O195" i="9"/>
  <c r="O194" i="9"/>
  <c r="Q194" i="9" s="1"/>
  <c r="Q193" i="9"/>
  <c r="O193" i="9"/>
  <c r="O192" i="9"/>
  <c r="Q192" i="9" s="1"/>
  <c r="Q191" i="9"/>
  <c r="O191" i="9"/>
  <c r="Q190" i="9"/>
  <c r="O190" i="9"/>
  <c r="Q189" i="9"/>
  <c r="B189" i="9"/>
  <c r="O189" i="9" s="1"/>
  <c r="A189" i="9"/>
  <c r="Q188" i="9"/>
  <c r="O188" i="9"/>
  <c r="O187" i="9"/>
  <c r="Q187" i="9" s="1"/>
  <c r="Q186" i="9"/>
  <c r="O186" i="9"/>
  <c r="Q185" i="9"/>
  <c r="O185" i="9"/>
  <c r="Q184" i="9"/>
  <c r="O184" i="9"/>
  <c r="Q183" i="9"/>
  <c r="O183" i="9"/>
  <c r="Q182" i="9"/>
  <c r="O182" i="9"/>
  <c r="O181" i="9"/>
  <c r="Q181" i="9" s="1"/>
  <c r="Q180" i="9"/>
  <c r="O180" i="9"/>
  <c r="Q179" i="9"/>
  <c r="O179" i="9"/>
  <c r="Q178" i="9"/>
  <c r="O178" i="9"/>
  <c r="Q177" i="9"/>
  <c r="O177" i="9"/>
  <c r="Q176" i="9"/>
  <c r="O176" i="9"/>
  <c r="B175" i="9"/>
  <c r="A175" i="9"/>
  <c r="Q174" i="9"/>
  <c r="O174" i="9"/>
  <c r="Q173" i="9"/>
  <c r="O173" i="9"/>
  <c r="Q172" i="9"/>
  <c r="O172" i="9"/>
  <c r="Q171" i="9"/>
  <c r="O171" i="9"/>
  <c r="O170" i="9"/>
  <c r="Q170" i="9" s="1"/>
  <c r="Q169" i="9"/>
  <c r="O169" i="9"/>
  <c r="Q168" i="9"/>
  <c r="O168" i="9"/>
  <c r="Q167" i="9"/>
  <c r="O167" i="9"/>
  <c r="Q166" i="9"/>
  <c r="O166" i="9"/>
  <c r="Q165" i="9"/>
  <c r="O165" i="9"/>
  <c r="B164" i="9"/>
  <c r="A164" i="9"/>
  <c r="Q163" i="9"/>
  <c r="B163" i="9"/>
  <c r="O163" i="9" s="1"/>
  <c r="A163" i="9"/>
  <c r="Q162" i="9"/>
  <c r="O162" i="9"/>
  <c r="O161" i="9"/>
  <c r="Q161" i="9" s="1"/>
  <c r="Q160" i="9"/>
  <c r="O160" i="9"/>
  <c r="Q159" i="9"/>
  <c r="O159" i="9"/>
  <c r="Q158" i="9"/>
  <c r="O158" i="9"/>
  <c r="Q157" i="9"/>
  <c r="O157" i="9"/>
  <c r="Q156" i="9"/>
  <c r="O156" i="9"/>
  <c r="O155" i="9"/>
  <c r="Q155" i="9" s="1"/>
  <c r="Q154" i="9"/>
  <c r="O154" i="9"/>
  <c r="Q153" i="9"/>
  <c r="O153" i="9"/>
  <c r="Q152" i="9"/>
  <c r="O152" i="9"/>
  <c r="Q151" i="9"/>
  <c r="O151" i="9"/>
  <c r="Q150" i="9"/>
  <c r="O150" i="9"/>
  <c r="O149" i="9"/>
  <c r="B149" i="9"/>
  <c r="A149" i="9"/>
  <c r="Q149" i="9" s="1"/>
  <c r="Q148" i="9"/>
  <c r="O148" i="9"/>
  <c r="Q147" i="9"/>
  <c r="O147" i="9"/>
  <c r="Q146" i="9"/>
  <c r="O146" i="9"/>
  <c r="Q145" i="9"/>
  <c r="O145" i="9"/>
  <c r="O144" i="9"/>
  <c r="Q144" i="9" s="1"/>
  <c r="Q143" i="9"/>
  <c r="O143" i="9"/>
  <c r="Q142" i="9"/>
  <c r="O142" i="9"/>
  <c r="Q141" i="9"/>
  <c r="O141" i="9"/>
  <c r="Q140" i="9"/>
  <c r="O140" i="9"/>
  <c r="Q139" i="9"/>
  <c r="O139" i="9"/>
  <c r="O138" i="9"/>
  <c r="B138" i="9"/>
  <c r="A138" i="9"/>
  <c r="Q137" i="9"/>
  <c r="O137" i="9"/>
  <c r="O136" i="9"/>
  <c r="Q136" i="9" s="1"/>
  <c r="Q135" i="9"/>
  <c r="O135" i="9"/>
  <c r="Q134" i="9"/>
  <c r="O134" i="9"/>
  <c r="O133" i="9"/>
  <c r="Q133" i="9" s="1"/>
  <c r="Q132" i="9"/>
  <c r="O132" i="9"/>
  <c r="Q131" i="9"/>
  <c r="O131" i="9"/>
  <c r="O130" i="9"/>
  <c r="Q130" i="9" s="1"/>
  <c r="Q129" i="9"/>
  <c r="O129" i="9"/>
  <c r="O128" i="9"/>
  <c r="B128" i="9"/>
  <c r="A128" i="9"/>
  <c r="Q128" i="9" s="1"/>
  <c r="Q127" i="9"/>
  <c r="O127" i="9"/>
  <c r="Q126" i="9"/>
  <c r="O126" i="9"/>
  <c r="O125" i="9"/>
  <c r="Q125" i="9" s="1"/>
  <c r="Q124" i="9"/>
  <c r="O124" i="9"/>
  <c r="Q123" i="9"/>
  <c r="O123" i="9"/>
  <c r="O122" i="9"/>
  <c r="Q122" i="9" s="1"/>
  <c r="Q121" i="9"/>
  <c r="O121" i="9"/>
  <c r="Q120" i="9"/>
  <c r="O120" i="9"/>
  <c r="O119" i="9"/>
  <c r="Q119" i="9" s="1"/>
  <c r="Q118" i="9"/>
  <c r="O118" i="9"/>
  <c r="Q117" i="9"/>
  <c r="O117" i="9"/>
  <c r="O116" i="9"/>
  <c r="Q116" i="9" s="1"/>
  <c r="Q115" i="9"/>
  <c r="O115" i="9"/>
  <c r="B114" i="9"/>
  <c r="O114" i="9" s="1"/>
  <c r="A114" i="9"/>
  <c r="Q114" i="9" s="1"/>
  <c r="Q113" i="9"/>
  <c r="O113" i="9"/>
  <c r="O112" i="9"/>
  <c r="Q112" i="9" s="1"/>
  <c r="Q111" i="9"/>
  <c r="O111" i="9"/>
  <c r="Q110" i="9"/>
  <c r="O110" i="9"/>
  <c r="Q109" i="9"/>
  <c r="O109" i="9"/>
  <c r="O108" i="9"/>
  <c r="Q108" i="9" s="1"/>
  <c r="Q107" i="9"/>
  <c r="O107" i="9"/>
  <c r="O106" i="9"/>
  <c r="Q106" i="9" s="1"/>
  <c r="Q105" i="9"/>
  <c r="O105" i="9"/>
  <c r="Q104" i="9"/>
  <c r="O104" i="9"/>
  <c r="Q103" i="9"/>
  <c r="O103" i="9"/>
  <c r="B102" i="9"/>
  <c r="A102" i="9"/>
  <c r="O101" i="9"/>
  <c r="Q101" i="9" s="1"/>
  <c r="Q100" i="9"/>
  <c r="O100" i="9"/>
  <c r="Q99" i="9"/>
  <c r="O99" i="9"/>
  <c r="Q98" i="9"/>
  <c r="O98" i="9"/>
  <c r="O97" i="9"/>
  <c r="Q97" i="9" s="1"/>
  <c r="Q96" i="9"/>
  <c r="O96" i="9"/>
  <c r="O95" i="9"/>
  <c r="Q95" i="9" s="1"/>
  <c r="Q94" i="9"/>
  <c r="O94" i="9"/>
  <c r="Q93" i="9"/>
  <c r="O93" i="9"/>
  <c r="Q92" i="9"/>
  <c r="O92" i="9"/>
  <c r="O91" i="9"/>
  <c r="Q91" i="9" s="1"/>
  <c r="Q90" i="9"/>
  <c r="O90" i="9"/>
  <c r="O89" i="9"/>
  <c r="Q89" i="9" s="1"/>
  <c r="B88" i="9"/>
  <c r="O88" i="9" s="1"/>
  <c r="A88" i="9"/>
  <c r="Q88" i="9" s="1"/>
  <c r="Q87" i="9"/>
  <c r="O87" i="9"/>
  <c r="O86" i="9"/>
  <c r="Q86" i="9" s="1"/>
  <c r="Q85" i="9"/>
  <c r="O85" i="9"/>
  <c r="O84" i="9"/>
  <c r="Q84" i="9" s="1"/>
  <c r="Q83" i="9"/>
  <c r="O83" i="9"/>
  <c r="Q82" i="9"/>
  <c r="O82" i="9"/>
  <c r="Q81" i="9"/>
  <c r="O81" i="9"/>
  <c r="O80" i="9"/>
  <c r="Q80" i="9" s="1"/>
  <c r="Q79" i="9"/>
  <c r="O79" i="9"/>
  <c r="O78" i="9"/>
  <c r="Q78" i="9" s="1"/>
  <c r="Q77" i="9"/>
  <c r="O77" i="9"/>
  <c r="Q76" i="9"/>
  <c r="O76" i="9"/>
  <c r="B76" i="9"/>
  <c r="A76" i="9"/>
  <c r="O75" i="9"/>
  <c r="Q75" i="9" s="1"/>
  <c r="Q74" i="9"/>
  <c r="O74" i="9"/>
  <c r="O73" i="9"/>
  <c r="Q73" i="9" s="1"/>
  <c r="Q72" i="9"/>
  <c r="O72" i="9"/>
  <c r="Q71" i="9"/>
  <c r="O71" i="9"/>
  <c r="Q70" i="9"/>
  <c r="O70" i="9"/>
  <c r="O69" i="9"/>
  <c r="Q69" i="9" s="1"/>
  <c r="Q68" i="9"/>
  <c r="O68" i="9"/>
  <c r="O67" i="9"/>
  <c r="Q67" i="9" s="1"/>
  <c r="Q66" i="9"/>
  <c r="O66" i="9"/>
  <c r="Q65" i="9"/>
  <c r="O65" i="9"/>
  <c r="Q64" i="9"/>
  <c r="O64" i="9"/>
  <c r="O63" i="9"/>
  <c r="Q63" i="9" s="1"/>
  <c r="Q62" i="9"/>
  <c r="B62" i="9"/>
  <c r="O62" i="9" s="1"/>
  <c r="A62" i="9"/>
  <c r="Q61" i="9"/>
  <c r="O61" i="9"/>
  <c r="O60" i="9"/>
  <c r="Q60" i="9" s="1"/>
  <c r="Q59" i="9"/>
  <c r="O59" i="9"/>
  <c r="O58" i="9"/>
  <c r="Q58" i="9" s="1"/>
  <c r="Q57" i="9"/>
  <c r="O57" i="9"/>
  <c r="Q56" i="9"/>
  <c r="O56" i="9"/>
  <c r="Q55" i="9"/>
  <c r="O55" i="9"/>
  <c r="O54" i="9"/>
  <c r="Q54" i="9" s="1"/>
  <c r="Q53" i="9"/>
  <c r="O53" i="9"/>
  <c r="O52" i="9"/>
  <c r="Q52" i="9" s="1"/>
  <c r="Q51" i="9"/>
  <c r="O51" i="9"/>
  <c r="Q50" i="9"/>
  <c r="O50" i="9"/>
  <c r="Q49" i="9"/>
  <c r="O49" i="9"/>
  <c r="O48" i="9"/>
  <c r="Q48" i="9" s="1"/>
  <c r="Q47" i="9"/>
  <c r="O47" i="9"/>
  <c r="B46" i="9"/>
  <c r="O46" i="9" s="1"/>
  <c r="A46" i="9"/>
  <c r="Q45" i="9"/>
  <c r="O45" i="9"/>
  <c r="Q44" i="9"/>
  <c r="O44" i="9"/>
  <c r="O43" i="9"/>
  <c r="Q43" i="9" s="1"/>
  <c r="Q42" i="9"/>
  <c r="O42" i="9"/>
  <c r="O41" i="9"/>
  <c r="Q41" i="9" s="1"/>
  <c r="Q40" i="9"/>
  <c r="O40" i="9"/>
  <c r="Q39" i="9"/>
  <c r="O39" i="9"/>
  <c r="O38" i="9"/>
  <c r="B38" i="9"/>
  <c r="A38" i="9"/>
  <c r="Q38" i="9" s="1"/>
  <c r="Q37" i="9"/>
  <c r="B37" i="9"/>
  <c r="O37" i="9" s="1"/>
  <c r="A37" i="9"/>
  <c r="Q36" i="9"/>
  <c r="O36" i="9"/>
  <c r="Q35" i="9"/>
  <c r="O35" i="9"/>
  <c r="O34" i="9"/>
  <c r="Q34" i="9" s="1"/>
  <c r="Q33" i="9"/>
  <c r="O33" i="9"/>
  <c r="Q32" i="9"/>
  <c r="O32" i="9"/>
  <c r="O31" i="9"/>
  <c r="Q31" i="9" s="1"/>
  <c r="Q30" i="9"/>
  <c r="O30" i="9"/>
  <c r="Q29" i="9"/>
  <c r="O29" i="9"/>
  <c r="O28" i="9"/>
  <c r="Q28" i="9" s="1"/>
  <c r="Q27" i="9"/>
  <c r="O27" i="9"/>
  <c r="Q26" i="9"/>
  <c r="B26" i="9"/>
  <c r="O26" i="9" s="1"/>
  <c r="A26" i="9"/>
  <c r="Q25" i="9"/>
  <c r="O25" i="9"/>
  <c r="O24" i="9"/>
  <c r="Q24" i="9" s="1"/>
  <c r="Q23" i="9"/>
  <c r="O23" i="9"/>
  <c r="Q22" i="9"/>
  <c r="O22" i="9"/>
  <c r="Q21" i="9"/>
  <c r="O21" i="9"/>
  <c r="Q20" i="9"/>
  <c r="O20" i="9"/>
  <c r="Q19" i="9"/>
  <c r="O19" i="9"/>
  <c r="O18" i="9"/>
  <c r="Q18" i="9" s="1"/>
  <c r="Q17" i="9"/>
  <c r="O17" i="9"/>
  <c r="Q16" i="9"/>
  <c r="O16" i="9"/>
  <c r="B15" i="9"/>
  <c r="O15" i="9" s="1"/>
  <c r="A15" i="9"/>
  <c r="B14" i="9"/>
  <c r="O14" i="9" s="1"/>
  <c r="A14" i="9"/>
  <c r="Q14" i="9" s="1"/>
  <c r="O13" i="9"/>
  <c r="Q13" i="9" s="1"/>
  <c r="B13" i="9"/>
  <c r="A13" i="9"/>
  <c r="Q12" i="9"/>
  <c r="B12" i="9"/>
  <c r="O12" i="9" s="1"/>
  <c r="A12" i="9"/>
  <c r="Q11" i="9"/>
  <c r="B11" i="9"/>
  <c r="O11" i="9" s="1"/>
  <c r="A11" i="9"/>
  <c r="B10" i="9"/>
  <c r="O10" i="9" s="1"/>
  <c r="A10" i="9"/>
  <c r="Q10" i="9" s="1"/>
  <c r="B9" i="9"/>
  <c r="O9" i="9" s="1"/>
  <c r="A9" i="9"/>
  <c r="Q9" i="9" s="1"/>
  <c r="B8" i="9"/>
  <c r="O8" i="9" s="1"/>
  <c r="A8" i="9"/>
  <c r="Q8" i="9" s="1"/>
  <c r="B7" i="9"/>
  <c r="O7" i="9" s="1"/>
  <c r="Q7" i="9" s="1"/>
  <c r="A7" i="9"/>
  <c r="B6" i="9"/>
  <c r="A6" i="9"/>
  <c r="B5" i="9"/>
  <c r="O5" i="9" s="1"/>
  <c r="A5" i="9"/>
  <c r="Q5" i="9" s="1"/>
  <c r="O240" i="8"/>
  <c r="L240" i="8"/>
  <c r="K240" i="8"/>
  <c r="I240" i="8"/>
  <c r="H240" i="8"/>
  <c r="L239" i="8"/>
  <c r="K239" i="8"/>
  <c r="J239" i="8"/>
  <c r="I239" i="8"/>
  <c r="H239" i="8"/>
  <c r="L238" i="8"/>
  <c r="K238" i="8"/>
  <c r="I238" i="8"/>
  <c r="H238" i="8"/>
  <c r="L237" i="8"/>
  <c r="K237" i="8"/>
  <c r="I237" i="8"/>
  <c r="H237" i="8"/>
  <c r="N236" i="8"/>
  <c r="L236" i="8"/>
  <c r="K236" i="8"/>
  <c r="I236" i="8"/>
  <c r="H236" i="8"/>
  <c r="L235" i="8"/>
  <c r="K235" i="8"/>
  <c r="I235" i="8"/>
  <c r="L234" i="8"/>
  <c r="K234" i="8"/>
  <c r="I234" i="8"/>
  <c r="H234" i="8"/>
  <c r="L233" i="8"/>
  <c r="K233" i="8"/>
  <c r="I233" i="8"/>
  <c r="H233" i="8"/>
  <c r="L232" i="8"/>
  <c r="K232" i="8"/>
  <c r="I232" i="8"/>
  <c r="H232" i="8"/>
  <c r="L231" i="8"/>
  <c r="K231" i="8"/>
  <c r="I231" i="8"/>
  <c r="H231" i="8"/>
  <c r="L230" i="8"/>
  <c r="K230" i="8"/>
  <c r="I230" i="8"/>
  <c r="H230" i="8"/>
  <c r="L229" i="8"/>
  <c r="K229" i="8"/>
  <c r="I229" i="8"/>
  <c r="L228" i="8"/>
  <c r="K228" i="8"/>
  <c r="I228" i="8"/>
  <c r="H228" i="8"/>
  <c r="N227" i="8"/>
  <c r="L227" i="8"/>
  <c r="K227" i="8"/>
  <c r="I227" i="8"/>
  <c r="H227" i="8"/>
  <c r="L226" i="8"/>
  <c r="K226" i="8"/>
  <c r="I226" i="8"/>
  <c r="H226" i="8"/>
  <c r="L225" i="8"/>
  <c r="K225" i="8"/>
  <c r="I225" i="8"/>
  <c r="B196" i="8"/>
  <c r="B197" i="8" s="1"/>
  <c r="D189" i="8"/>
  <c r="C189" i="8"/>
  <c r="B189" i="8"/>
  <c r="B187" i="8"/>
  <c r="E184" i="8"/>
  <c r="D184" i="8"/>
  <c r="C184" i="8"/>
  <c r="B184" i="8"/>
  <c r="E183" i="8"/>
  <c r="D183" i="8"/>
  <c r="C183" i="8"/>
  <c r="B183" i="8"/>
  <c r="I183" i="8" s="1"/>
  <c r="D182" i="8"/>
  <c r="C182" i="8"/>
  <c r="I182" i="8" s="1"/>
  <c r="B182" i="8"/>
  <c r="E182" i="8" s="1"/>
  <c r="D181" i="8"/>
  <c r="C181" i="8"/>
  <c r="B181" i="8"/>
  <c r="D180" i="8"/>
  <c r="C180" i="8"/>
  <c r="B180" i="8"/>
  <c r="I179" i="8"/>
  <c r="E179" i="8"/>
  <c r="D179" i="8"/>
  <c r="C179" i="8"/>
  <c r="B179" i="8"/>
  <c r="D174" i="8"/>
  <c r="I172" i="8"/>
  <c r="D172" i="8"/>
  <c r="C172" i="8"/>
  <c r="B172" i="8"/>
  <c r="D171" i="8"/>
  <c r="C171" i="8"/>
  <c r="B171" i="8"/>
  <c r="B174" i="8" s="1"/>
  <c r="D170" i="8"/>
  <c r="D173" i="8" s="1"/>
  <c r="D175" i="8" s="1"/>
  <c r="B194" i="8" s="1"/>
  <c r="C170" i="8"/>
  <c r="C173" i="8" s="1"/>
  <c r="B170" i="8"/>
  <c r="I170" i="8" s="1"/>
  <c r="A166" i="8"/>
  <c r="A165" i="8"/>
  <c r="A164" i="8"/>
  <c r="A163" i="8"/>
  <c r="A162" i="8"/>
  <c r="A161" i="8"/>
  <c r="A160" i="8"/>
  <c r="A159" i="8"/>
  <c r="A158" i="8"/>
  <c r="A157" i="8"/>
  <c r="A156" i="8"/>
  <c r="A155" i="8"/>
  <c r="A154" i="8"/>
  <c r="A153" i="8"/>
  <c r="A152" i="8"/>
  <c r="A151" i="8"/>
  <c r="G147" i="8"/>
  <c r="M240" i="8" s="1"/>
  <c r="E147" i="8"/>
  <c r="F147" i="8" s="1"/>
  <c r="D147" i="8"/>
  <c r="C147" i="8"/>
  <c r="B147" i="8"/>
  <c r="H146" i="8"/>
  <c r="E146" i="8"/>
  <c r="O239" i="8" s="1"/>
  <c r="D146" i="8"/>
  <c r="C146" i="8"/>
  <c r="B146" i="8"/>
  <c r="D145" i="8"/>
  <c r="C145" i="8"/>
  <c r="B145" i="8"/>
  <c r="D144" i="8"/>
  <c r="C144" i="8"/>
  <c r="B144" i="8"/>
  <c r="F143" i="8"/>
  <c r="D143" i="8"/>
  <c r="C143" i="8"/>
  <c r="E143" i="8" s="1"/>
  <c r="B143" i="8"/>
  <c r="C142" i="8"/>
  <c r="B142" i="8"/>
  <c r="H235" i="8" s="1"/>
  <c r="E141" i="8"/>
  <c r="D141" i="8"/>
  <c r="C141" i="8"/>
  <c r="B141" i="8"/>
  <c r="D140" i="8"/>
  <c r="C140" i="8"/>
  <c r="B140" i="8"/>
  <c r="E139" i="8"/>
  <c r="D139" i="8"/>
  <c r="C139" i="8"/>
  <c r="B139" i="8"/>
  <c r="D138" i="8"/>
  <c r="C138" i="8"/>
  <c r="B138" i="8"/>
  <c r="D137" i="8"/>
  <c r="C137" i="8"/>
  <c r="B137" i="8"/>
  <c r="C136" i="8"/>
  <c r="B136" i="8"/>
  <c r="D135" i="8"/>
  <c r="E135" i="8" s="1"/>
  <c r="C135" i="8"/>
  <c r="B135" i="8"/>
  <c r="F134" i="8"/>
  <c r="E134" i="8"/>
  <c r="D134" i="8"/>
  <c r="C134" i="8"/>
  <c r="B134" i="8"/>
  <c r="D133" i="8"/>
  <c r="C133" i="8"/>
  <c r="E133" i="8" s="1"/>
  <c r="B133" i="8"/>
  <c r="C132" i="8"/>
  <c r="B132" i="8"/>
  <c r="B124" i="8"/>
  <c r="B122" i="8"/>
  <c r="B120" i="8"/>
  <c r="B92" i="8"/>
  <c r="E82" i="8"/>
  <c r="B82" i="8"/>
  <c r="B81" i="8"/>
  <c r="E81" i="8" s="1"/>
  <c r="E80" i="8"/>
  <c r="B80" i="8"/>
  <c r="E79" i="8"/>
  <c r="B79" i="8"/>
  <c r="B78" i="8"/>
  <c r="B118" i="8" s="1"/>
  <c r="B77" i="8"/>
  <c r="I50" i="8"/>
  <c r="B50" i="8"/>
  <c r="C50" i="8" s="1"/>
  <c r="A50" i="8"/>
  <c r="A49" i="8"/>
  <c r="I48" i="8"/>
  <c r="B48" i="8"/>
  <c r="C48" i="8" s="1"/>
  <c r="A48" i="8"/>
  <c r="B47" i="8"/>
  <c r="A47" i="8"/>
  <c r="C46" i="8"/>
  <c r="B46" i="8"/>
  <c r="I46" i="8" s="1"/>
  <c r="A46" i="8"/>
  <c r="I45" i="8"/>
  <c r="A45" i="8"/>
  <c r="B45" i="8" s="1"/>
  <c r="C45" i="8" s="1"/>
  <c r="A44" i="8"/>
  <c r="B43" i="8"/>
  <c r="I43" i="8" s="1"/>
  <c r="A43" i="8"/>
  <c r="C42" i="8"/>
  <c r="B42" i="8"/>
  <c r="A42" i="8"/>
  <c r="I42" i="8" s="1"/>
  <c r="A41" i="8"/>
  <c r="B41" i="8" s="1"/>
  <c r="C41" i="8" s="1"/>
  <c r="A40" i="8"/>
  <c r="B40" i="8" s="1"/>
  <c r="C40" i="8" s="1"/>
  <c r="B39" i="8"/>
  <c r="C39" i="8" s="1"/>
  <c r="A39" i="8"/>
  <c r="B38" i="8"/>
  <c r="C38" i="8" s="1"/>
  <c r="A38" i="8"/>
  <c r="I38" i="8" s="1"/>
  <c r="I34" i="8"/>
  <c r="I33" i="8"/>
  <c r="I32" i="8"/>
  <c r="B32" i="8"/>
  <c r="B30" i="8"/>
  <c r="I29" i="8"/>
  <c r="B28" i="8"/>
  <c r="I28" i="8" s="1"/>
  <c r="I27" i="8"/>
  <c r="I26" i="8"/>
  <c r="E14" i="8"/>
  <c r="E12" i="8"/>
  <c r="B12" i="8"/>
  <c r="B11" i="8"/>
  <c r="E11" i="8" s="1"/>
  <c r="B10" i="8"/>
  <c r="B8" i="8"/>
  <c r="E8" i="8" s="1"/>
  <c r="A2" i="8"/>
  <c r="B21" i="7"/>
  <c r="I20" i="7"/>
  <c r="H20" i="7"/>
  <c r="F20" i="7"/>
  <c r="I19" i="7"/>
  <c r="H19" i="7"/>
  <c r="F19" i="7"/>
  <c r="H18" i="7"/>
  <c r="F18" i="7"/>
  <c r="I18" i="7" s="1"/>
  <c r="H17" i="7"/>
  <c r="F17" i="7"/>
  <c r="I17" i="7" s="1"/>
  <c r="I16" i="7"/>
  <c r="H16" i="7"/>
  <c r="F16" i="7"/>
  <c r="I15" i="7"/>
  <c r="H15" i="7"/>
  <c r="F15" i="7"/>
  <c r="H14" i="7"/>
  <c r="H21" i="7" s="1"/>
  <c r="F14" i="7"/>
  <c r="E5" i="7"/>
  <c r="C5" i="7"/>
  <c r="B5" i="7"/>
  <c r="A2" i="7"/>
  <c r="A2" i="6"/>
  <c r="E61" i="5"/>
  <c r="E60" i="5"/>
  <c r="E59" i="5"/>
  <c r="E58" i="5"/>
  <c r="E57" i="5"/>
  <c r="E56" i="5"/>
  <c r="E55" i="5"/>
  <c r="E54" i="5"/>
  <c r="E53" i="5"/>
  <c r="E52" i="5"/>
  <c r="E47" i="5"/>
  <c r="E46" i="5"/>
  <c r="E45" i="5"/>
  <c r="E44" i="5"/>
  <c r="E43" i="5"/>
  <c r="E42" i="5"/>
  <c r="E41" i="5"/>
  <c r="C34" i="5"/>
  <c r="E34" i="5" s="1"/>
  <c r="E33" i="5"/>
  <c r="C33" i="5"/>
  <c r="E32" i="5"/>
  <c r="C32" i="5"/>
  <c r="C31" i="5"/>
  <c r="E31" i="5" s="1"/>
  <c r="E30" i="5"/>
  <c r="C30" i="5"/>
  <c r="E29" i="5"/>
  <c r="C29" i="5"/>
  <c r="C28" i="5"/>
  <c r="E28" i="5" s="1"/>
  <c r="E27" i="5"/>
  <c r="C27" i="5"/>
  <c r="E26" i="5"/>
  <c r="C26" i="5"/>
  <c r="C25" i="5"/>
  <c r="E25" i="5" s="1"/>
  <c r="E24" i="5"/>
  <c r="C24" i="5"/>
  <c r="E23" i="5"/>
  <c r="C23" i="5"/>
  <c r="C22" i="5"/>
  <c r="E22" i="5" s="1"/>
  <c r="E21" i="5"/>
  <c r="C21" i="5"/>
  <c r="A2" i="5"/>
  <c r="O52" i="4"/>
  <c r="N52" i="4"/>
  <c r="P52" i="4" s="1"/>
  <c r="J52" i="4"/>
  <c r="I52" i="4"/>
  <c r="O51" i="4"/>
  <c r="N51" i="4"/>
  <c r="P51" i="4" s="1"/>
  <c r="J51" i="4"/>
  <c r="I51" i="4"/>
  <c r="O50" i="4"/>
  <c r="J50" i="4"/>
  <c r="I50" i="4"/>
  <c r="O49" i="4"/>
  <c r="J49" i="4"/>
  <c r="I49" i="4"/>
  <c r="O48" i="4"/>
  <c r="J48" i="4"/>
  <c r="I48" i="4"/>
  <c r="O47" i="4"/>
  <c r="J47" i="4"/>
  <c r="I47" i="4"/>
  <c r="O46" i="4"/>
  <c r="J46" i="4"/>
  <c r="I46" i="4"/>
  <c r="O45" i="4"/>
  <c r="N45" i="4"/>
  <c r="P45" i="4" s="1"/>
  <c r="J45" i="4"/>
  <c r="I45" i="4"/>
  <c r="O44" i="4"/>
  <c r="J44" i="4"/>
  <c r="I44" i="4"/>
  <c r="O43" i="4"/>
  <c r="J43" i="4"/>
  <c r="I43" i="4"/>
  <c r="O42" i="4"/>
  <c r="J42" i="4"/>
  <c r="I42" i="4"/>
  <c r="O41" i="4"/>
  <c r="J41" i="4"/>
  <c r="I41" i="4"/>
  <c r="O40" i="4"/>
  <c r="N40" i="4"/>
  <c r="P40" i="4" s="1"/>
  <c r="J40" i="4"/>
  <c r="I40" i="4"/>
  <c r="O39" i="4"/>
  <c r="N39" i="4"/>
  <c r="P39" i="4" s="1"/>
  <c r="J39" i="4"/>
  <c r="I39" i="4"/>
  <c r="O38" i="4"/>
  <c r="N38" i="4"/>
  <c r="P38" i="4" s="1"/>
  <c r="J38" i="4"/>
  <c r="I38" i="4"/>
  <c r="O37" i="4"/>
  <c r="J37" i="4"/>
  <c r="I37" i="4"/>
  <c r="O36" i="4"/>
  <c r="J36" i="4"/>
  <c r="I36" i="4"/>
  <c r="O35" i="4"/>
  <c r="J35" i="4"/>
  <c r="I35" i="4"/>
  <c r="O34" i="4"/>
  <c r="J34" i="4"/>
  <c r="I34" i="4"/>
  <c r="O33" i="4"/>
  <c r="N33" i="4"/>
  <c r="P33" i="4" s="1"/>
  <c r="J33" i="4"/>
  <c r="I33" i="4"/>
  <c r="O32" i="4"/>
  <c r="J32" i="4"/>
  <c r="I32" i="4"/>
  <c r="O31" i="4"/>
  <c r="J31" i="4"/>
  <c r="I31" i="4"/>
  <c r="O30" i="4"/>
  <c r="J30" i="4"/>
  <c r="I30" i="4"/>
  <c r="O29" i="4"/>
  <c r="J29" i="4"/>
  <c r="I29" i="4"/>
  <c r="O28" i="4"/>
  <c r="N28" i="4"/>
  <c r="P28" i="4" s="1"/>
  <c r="J28" i="4"/>
  <c r="I28" i="4"/>
  <c r="O27" i="4"/>
  <c r="N27" i="4"/>
  <c r="P27" i="4" s="1"/>
  <c r="J27" i="4"/>
  <c r="I27" i="4"/>
  <c r="O26" i="4"/>
  <c r="N26" i="4"/>
  <c r="P26" i="4" s="1"/>
  <c r="J26" i="4"/>
  <c r="I26" i="4"/>
  <c r="O25" i="4"/>
  <c r="J25" i="4"/>
  <c r="I25" i="4"/>
  <c r="O24" i="4"/>
  <c r="J24" i="4"/>
  <c r="I24" i="4"/>
  <c r="O23" i="4"/>
  <c r="J23" i="4"/>
  <c r="I23" i="4"/>
  <c r="O22" i="4"/>
  <c r="J22" i="4"/>
  <c r="I22" i="4"/>
  <c r="O21" i="4"/>
  <c r="N21" i="4"/>
  <c r="P21" i="4" s="1"/>
  <c r="J21" i="4"/>
  <c r="I21" i="4"/>
  <c r="O20" i="4"/>
  <c r="J20" i="4"/>
  <c r="I20" i="4"/>
  <c r="O19" i="4"/>
  <c r="J19" i="4"/>
  <c r="I19" i="4"/>
  <c r="O18" i="4"/>
  <c r="J18" i="4"/>
  <c r="I18" i="4"/>
  <c r="O17" i="4"/>
  <c r="J17" i="4"/>
  <c r="I17" i="4"/>
  <c r="O16" i="4"/>
  <c r="N16" i="4"/>
  <c r="P16" i="4" s="1"/>
  <c r="J16" i="4"/>
  <c r="I16" i="4"/>
  <c r="O15" i="4"/>
  <c r="N15" i="4"/>
  <c r="P15" i="4" s="1"/>
  <c r="J15" i="4"/>
  <c r="I15" i="4"/>
  <c r="O14" i="4"/>
  <c r="N14" i="4"/>
  <c r="P14" i="4" s="1"/>
  <c r="J14" i="4"/>
  <c r="I14" i="4"/>
  <c r="O13" i="4"/>
  <c r="J13" i="4"/>
  <c r="I13" i="4"/>
  <c r="O12" i="4"/>
  <c r="J12" i="4"/>
  <c r="I12" i="4"/>
  <c r="O11" i="4"/>
  <c r="J11" i="4"/>
  <c r="I11" i="4"/>
  <c r="O10" i="4"/>
  <c r="J10" i="4"/>
  <c r="I10" i="4"/>
  <c r="O9" i="4"/>
  <c r="N9" i="4"/>
  <c r="P9" i="4" s="1"/>
  <c r="J9" i="4"/>
  <c r="I9" i="4"/>
  <c r="O8" i="4"/>
  <c r="J8" i="4"/>
  <c r="I8" i="4"/>
  <c r="O7" i="4"/>
  <c r="J7" i="4"/>
  <c r="I7" i="4"/>
  <c r="O6" i="4"/>
  <c r="J6" i="4"/>
  <c r="I6" i="4"/>
  <c r="A2" i="4"/>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A2" i="3"/>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A2" i="2"/>
  <c r="G33" i="1"/>
  <c r="I33" i="1" s="1"/>
  <c r="G32" i="1"/>
  <c r="I32" i="1" s="1"/>
  <c r="G31" i="1"/>
  <c r="I31" i="1" s="1"/>
  <c r="G30" i="1"/>
  <c r="I30" i="1" s="1"/>
  <c r="G29" i="1"/>
  <c r="I29" i="1" s="1"/>
  <c r="I28" i="1"/>
  <c r="G28" i="1"/>
  <c r="I139" i="8" l="1"/>
  <c r="O226" i="8"/>
  <c r="B152" i="8"/>
  <c r="F133" i="8"/>
  <c r="N226" i="8"/>
  <c r="G133" i="8"/>
  <c r="M226" i="8" s="1"/>
  <c r="O232" i="8"/>
  <c r="F139" i="8"/>
  <c r="H139" i="8"/>
  <c r="N232" i="8"/>
  <c r="B158" i="8"/>
  <c r="I40" i="8"/>
  <c r="E118" i="8"/>
  <c r="O236" i="8"/>
  <c r="H143" i="8"/>
  <c r="J236" i="8" s="1"/>
  <c r="G143" i="8"/>
  <c r="M236" i="8" s="1"/>
  <c r="B162" i="8"/>
  <c r="Q225" i="9"/>
  <c r="B119" i="8"/>
  <c r="B83" i="8"/>
  <c r="B125" i="8" s="1"/>
  <c r="H133" i="8"/>
  <c r="J226" i="8" s="1"/>
  <c r="D176" i="8"/>
  <c r="B31" i="8"/>
  <c r="I31" i="8" s="1"/>
  <c r="I30" i="8"/>
  <c r="E140" i="8"/>
  <c r="Q247" i="9"/>
  <c r="Q256" i="9"/>
  <c r="C6" i="7"/>
  <c r="C47" i="8"/>
  <c r="I47" i="8"/>
  <c r="I158" i="8"/>
  <c r="E10" i="8"/>
  <c r="B13" i="8"/>
  <c r="E122" i="8"/>
  <c r="B198" i="8"/>
  <c r="Q102" i="9"/>
  <c r="O102" i="9"/>
  <c r="O227" i="8"/>
  <c r="H134" i="8"/>
  <c r="J227" i="8" s="1"/>
  <c r="G134" i="8"/>
  <c r="M227" i="8" s="1"/>
  <c r="B153" i="8"/>
  <c r="Q15" i="9"/>
  <c r="D132" i="8"/>
  <c r="B199" i="8" s="1"/>
  <c r="H225" i="8"/>
  <c r="G145" i="8"/>
  <c r="M238" i="8" s="1"/>
  <c r="I171" i="8"/>
  <c r="C174" i="8"/>
  <c r="C175" i="8" s="1"/>
  <c r="C176" i="8" s="1"/>
  <c r="Q138" i="9"/>
  <c r="Q262" i="9"/>
  <c r="I14" i="7"/>
  <c r="B6" i="7"/>
  <c r="F21" i="7"/>
  <c r="B44" i="8"/>
  <c r="C44" i="8" s="1"/>
  <c r="B49" i="8"/>
  <c r="C49" i="8" s="1"/>
  <c r="E132" i="8"/>
  <c r="G132" i="8" s="1"/>
  <c r="E145" i="8"/>
  <c r="Q236" i="9"/>
  <c r="G139" i="8"/>
  <c r="M232" i="8" s="1"/>
  <c r="I152" i="8"/>
  <c r="I162" i="8"/>
  <c r="I39" i="8"/>
  <c r="E92" i="8"/>
  <c r="C92" i="8"/>
  <c r="F135" i="8"/>
  <c r="O228" i="8"/>
  <c r="G135" i="8"/>
  <c r="M228" i="8" s="1"/>
  <c r="B154" i="8"/>
  <c r="I154" i="8" s="1"/>
  <c r="H135" i="8"/>
  <c r="J228" i="8" s="1"/>
  <c r="N228" i="8"/>
  <c r="O6" i="9"/>
  <c r="N32" i="4"/>
  <c r="P32" i="4" s="1"/>
  <c r="N46" i="4"/>
  <c r="P46" i="4" s="1"/>
  <c r="N34" i="4"/>
  <c r="P34" i="4" s="1"/>
  <c r="N22" i="4"/>
  <c r="P22" i="4" s="1"/>
  <c r="N10" i="4"/>
  <c r="P10" i="4" s="1"/>
  <c r="N48" i="4"/>
  <c r="P48" i="4" s="1"/>
  <c r="N36" i="4"/>
  <c r="P36" i="4" s="1"/>
  <c r="N12" i="4"/>
  <c r="P12" i="4" s="1"/>
  <c r="N24" i="4"/>
  <c r="P24" i="4" s="1"/>
  <c r="N43" i="4"/>
  <c r="P43" i="4" s="1"/>
  <c r="N31" i="4"/>
  <c r="P31" i="4" s="1"/>
  <c r="N19" i="4"/>
  <c r="P19" i="4" s="1"/>
  <c r="N7" i="4"/>
  <c r="P7" i="4" s="1"/>
  <c r="N50" i="4"/>
  <c r="P50" i="4" s="1"/>
  <c r="N44" i="4"/>
  <c r="P44" i="4" s="1"/>
  <c r="N8" i="4"/>
  <c r="P8" i="4" s="1"/>
  <c r="Q6" i="9"/>
  <c r="N20" i="4"/>
  <c r="P20" i="4" s="1"/>
  <c r="Q269" i="9"/>
  <c r="N6" i="4"/>
  <c r="P6" i="4" s="1"/>
  <c r="N18" i="4"/>
  <c r="P18" i="4" s="1"/>
  <c r="N30" i="4"/>
  <c r="P30" i="4" s="1"/>
  <c r="N42" i="4"/>
  <c r="P42" i="4" s="1"/>
  <c r="B9" i="8"/>
  <c r="I41" i="8"/>
  <c r="E120" i="8"/>
  <c r="E137" i="8"/>
  <c r="D142" i="8"/>
  <c r="E142" i="8" s="1"/>
  <c r="I143" i="8"/>
  <c r="H229" i="8"/>
  <c r="Q46" i="9"/>
  <c r="O164" i="9"/>
  <c r="Q164" i="9" s="1"/>
  <c r="O175" i="9"/>
  <c r="Q175" i="9" s="1"/>
  <c r="O266" i="9"/>
  <c r="B37" i="24" s="1"/>
  <c r="Q270" i="9"/>
  <c r="Q302" i="9"/>
  <c r="O16" i="19"/>
  <c r="O69" i="19"/>
  <c r="B173" i="8"/>
  <c r="N11" i="4"/>
  <c r="P11" i="4" s="1"/>
  <c r="N23" i="4"/>
  <c r="P23" i="4" s="1"/>
  <c r="N35" i="4"/>
  <c r="P35" i="4" s="1"/>
  <c r="N47" i="4"/>
  <c r="P47" i="4" s="1"/>
  <c r="E78" i="8"/>
  <c r="B87" i="8"/>
  <c r="B121" i="8"/>
  <c r="Q255" i="9"/>
  <c r="Q299" i="9"/>
  <c r="O395" i="9"/>
  <c r="Q395" i="9" s="1"/>
  <c r="L12" i="19"/>
  <c r="O12" i="19"/>
  <c r="O54" i="19"/>
  <c r="N240" i="8"/>
  <c r="O396" i="9"/>
  <c r="Q396" i="9"/>
  <c r="O76" i="19"/>
  <c r="H7" i="26"/>
  <c r="F7" i="26"/>
  <c r="D7" i="26"/>
  <c r="B9" i="7"/>
  <c r="D136" i="8"/>
  <c r="E136" i="8" s="1"/>
  <c r="E144" i="8"/>
  <c r="H147" i="8"/>
  <c r="J240" i="8" s="1"/>
  <c r="O83" i="19"/>
  <c r="I147" i="8"/>
  <c r="I165" i="8"/>
  <c r="Q264" i="9"/>
  <c r="F141" i="8"/>
  <c r="I141" i="8" s="1"/>
  <c r="B160" i="8"/>
  <c r="I160" i="8" s="1"/>
  <c r="O38" i="19"/>
  <c r="O52" i="19"/>
  <c r="O64" i="19"/>
  <c r="B165" i="8"/>
  <c r="N234" i="8"/>
  <c r="N17" i="4"/>
  <c r="P17" i="4" s="1"/>
  <c r="N29" i="4"/>
  <c r="P29" i="4" s="1"/>
  <c r="N41" i="4"/>
  <c r="P41" i="4" s="1"/>
  <c r="C43" i="8"/>
  <c r="G141" i="8"/>
  <c r="M234" i="8" s="1"/>
  <c r="F146" i="8"/>
  <c r="I146" i="8" s="1"/>
  <c r="E180" i="8"/>
  <c r="I180" i="8" s="1"/>
  <c r="O234" i="8"/>
  <c r="N239" i="8"/>
  <c r="Q224" i="9"/>
  <c r="O278" i="9"/>
  <c r="Q278" i="9" s="1"/>
  <c r="O18" i="19"/>
  <c r="L48" i="19"/>
  <c r="O48" i="19"/>
  <c r="O71" i="19"/>
  <c r="L84" i="19"/>
  <c r="O84" i="19"/>
  <c r="E138" i="8"/>
  <c r="H141" i="8"/>
  <c r="J234" i="8" s="1"/>
  <c r="G146" i="8"/>
  <c r="M239" i="8" s="1"/>
  <c r="B166" i="8"/>
  <c r="I166" i="8" s="1"/>
  <c r="Q282" i="9"/>
  <c r="J61" i="15"/>
  <c r="O11" i="19"/>
  <c r="O25" i="19"/>
  <c r="A2" i="22"/>
  <c r="C49" i="24"/>
  <c r="Q49" i="24" s="1"/>
  <c r="O393" i="9"/>
  <c r="Q393" i="9" s="1"/>
  <c r="A2" i="33"/>
  <c r="C62" i="24"/>
  <c r="Q62" i="24" s="1"/>
  <c r="Q254" i="9"/>
  <c r="N13" i="4"/>
  <c r="P13" i="4" s="1"/>
  <c r="N25" i="4"/>
  <c r="P25" i="4" s="1"/>
  <c r="N37" i="4"/>
  <c r="P37" i="4" s="1"/>
  <c r="N49" i="4"/>
  <c r="P49" i="4" s="1"/>
  <c r="E77" i="8"/>
  <c r="I153" i="8"/>
  <c r="E181" i="8"/>
  <c r="I181" i="8" s="1"/>
  <c r="I184" i="8"/>
  <c r="Q258" i="9"/>
  <c r="O62" i="19"/>
  <c r="M12" i="21"/>
  <c r="O12" i="21"/>
  <c r="B6" i="26"/>
  <c r="F70" i="26"/>
  <c r="D70" i="26"/>
  <c r="E7" i="27"/>
  <c r="I12" i="27"/>
  <c r="D23" i="27"/>
  <c r="E52" i="27"/>
  <c r="D51" i="27"/>
  <c r="I54" i="27"/>
  <c r="E26" i="27"/>
  <c r="D17" i="27"/>
  <c r="L20" i="19"/>
  <c r="I88" i="19" s="1"/>
  <c r="O41" i="19"/>
  <c r="L56" i="19"/>
  <c r="O56" i="19" s="1"/>
  <c r="C58" i="24"/>
  <c r="Q58" i="24" s="1"/>
  <c r="F62" i="26"/>
  <c r="D99" i="26"/>
  <c r="D113" i="26"/>
  <c r="F113" i="26" s="1"/>
  <c r="D36" i="27"/>
  <c r="E51" i="27"/>
  <c r="O31" i="19"/>
  <c r="O77" i="19"/>
  <c r="H11" i="26"/>
  <c r="D17" i="26"/>
  <c r="F43" i="26"/>
  <c r="F46" i="26"/>
  <c r="D46" i="26"/>
  <c r="D54" i="26"/>
  <c r="D81" i="26"/>
  <c r="D106" i="26"/>
  <c r="I8" i="27"/>
  <c r="I10" i="27"/>
  <c r="E18" i="27"/>
  <c r="D31" i="27"/>
  <c r="I36" i="27"/>
  <c r="I51" i="27"/>
  <c r="K71" i="18"/>
  <c r="B47" i="24" s="1"/>
  <c r="C50" i="24"/>
  <c r="Q50" i="24" s="1"/>
  <c r="A2" i="30"/>
  <c r="C59" i="24"/>
  <c r="Q59" i="24" s="1"/>
  <c r="D15" i="26"/>
  <c r="F34" i="26"/>
  <c r="F38" i="26"/>
  <c r="D79" i="26"/>
  <c r="I18" i="27"/>
  <c r="E36" i="27"/>
  <c r="E31" i="27"/>
  <c r="D44" i="27"/>
  <c r="D48" i="27"/>
  <c r="D30" i="27"/>
  <c r="D28" i="27"/>
  <c r="E49" i="27"/>
  <c r="I52" i="27"/>
  <c r="E28" i="27"/>
  <c r="O67" i="19"/>
  <c r="M9" i="21"/>
  <c r="O9" i="21" s="1"/>
  <c r="B42" i="24"/>
  <c r="D16" i="27"/>
  <c r="I19" i="27"/>
  <c r="E17" i="27"/>
  <c r="D29" i="27"/>
  <c r="I31" i="27"/>
  <c r="E34" i="27"/>
  <c r="E39" i="27"/>
  <c r="I49" i="27"/>
  <c r="Q392" i="9"/>
  <c r="O29" i="19"/>
  <c r="A2" i="26"/>
  <c r="C51" i="24"/>
  <c r="Q51" i="24" s="1"/>
  <c r="D9" i="26"/>
  <c r="F9" i="26" s="1"/>
  <c r="H9" i="26" s="1"/>
  <c r="F15" i="26"/>
  <c r="F18" i="26"/>
  <c r="D18" i="26"/>
  <c r="D34" i="26"/>
  <c r="D55" i="26"/>
  <c r="F82" i="26"/>
  <c r="D82" i="26"/>
  <c r="D104" i="26"/>
  <c r="E13" i="27"/>
  <c r="E21" i="27"/>
  <c r="E16" i="27"/>
  <c r="D39" i="27"/>
  <c r="E29" i="27"/>
  <c r="I32" i="27"/>
  <c r="I39" i="27"/>
  <c r="O19" i="19"/>
  <c r="O55" i="19"/>
  <c r="D52" i="26"/>
  <c r="D100" i="26"/>
  <c r="D11" i="27"/>
  <c r="I16" i="27"/>
  <c r="D22" i="27"/>
  <c r="I29" i="27"/>
  <c r="E24" i="27"/>
  <c r="E50" i="27"/>
  <c r="E41" i="27"/>
  <c r="I45" i="27"/>
  <c r="E32" i="27"/>
  <c r="D47" i="27"/>
  <c r="O65" i="19"/>
  <c r="L83" i="19"/>
  <c r="M10" i="21"/>
  <c r="O10" i="21" s="1"/>
  <c r="D21" i="26"/>
  <c r="D29" i="26"/>
  <c r="D47" i="26"/>
  <c r="F58" i="26"/>
  <c r="D58" i="26"/>
  <c r="D66" i="26"/>
  <c r="D74" i="26"/>
  <c r="D77" i="26"/>
  <c r="D85" i="26"/>
  <c r="D139" i="26"/>
  <c r="F139" i="26" s="1"/>
  <c r="D9" i="27"/>
  <c r="I17" i="27"/>
  <c r="E54" i="27"/>
  <c r="E15" i="27"/>
  <c r="D19" i="27"/>
  <c r="E10" i="27"/>
  <c r="E27" i="27"/>
  <c r="E37" i="27"/>
  <c r="I47" i="27"/>
  <c r="D27" i="26"/>
  <c r="D32" i="26"/>
  <c r="F95" i="26"/>
  <c r="F98" i="26"/>
  <c r="D98" i="26"/>
  <c r="O17" i="19"/>
  <c r="O53" i="19"/>
  <c r="D53" i="26"/>
  <c r="D115" i="26"/>
  <c r="F115" i="26" s="1"/>
  <c r="I38" i="27"/>
  <c r="E40" i="27"/>
  <c r="D53" i="27"/>
  <c r="O43" i="19"/>
  <c r="F22" i="26"/>
  <c r="F30" i="26"/>
  <c r="D30" i="26"/>
  <c r="D67" i="26"/>
  <c r="D93" i="26"/>
  <c r="E19" i="27"/>
  <c r="D8" i="27"/>
  <c r="D13" i="27"/>
  <c r="D6" i="27"/>
  <c r="E47" i="27"/>
  <c r="O229" i="8" l="1"/>
  <c r="F136" i="8"/>
  <c r="H136" i="8"/>
  <c r="J229" i="8" s="1"/>
  <c r="N229" i="8"/>
  <c r="B155" i="8"/>
  <c r="I155" i="8" s="1"/>
  <c r="G136" i="8"/>
  <c r="M229" i="8" s="1"/>
  <c r="C37" i="24"/>
  <c r="Q37" i="24" s="1"/>
  <c r="A2" i="9"/>
  <c r="I145" i="8"/>
  <c r="M225" i="8"/>
  <c r="C47" i="24"/>
  <c r="Q47" i="24" s="1"/>
  <c r="A2" i="18"/>
  <c r="O235" i="8"/>
  <c r="F142" i="8"/>
  <c r="B161" i="8"/>
  <c r="I161" i="8" s="1"/>
  <c r="N235" i="8"/>
  <c r="G142" i="8"/>
  <c r="M235" i="8" s="1"/>
  <c r="H142" i="8"/>
  <c r="J235" i="8" s="1"/>
  <c r="I142" i="8"/>
  <c r="F138" i="8"/>
  <c r="I138" i="8" s="1"/>
  <c r="H138" i="8"/>
  <c r="J231" i="8" s="1"/>
  <c r="N231" i="8"/>
  <c r="B157" i="8"/>
  <c r="I157" i="8" s="1"/>
  <c r="G138" i="8"/>
  <c r="M231" i="8" s="1"/>
  <c r="O231" i="8"/>
  <c r="I135" i="8"/>
  <c r="O233" i="8"/>
  <c r="N233" i="8"/>
  <c r="F140" i="8"/>
  <c r="I140" i="8" s="1"/>
  <c r="H140" i="8"/>
  <c r="J233" i="8" s="1"/>
  <c r="G140" i="8"/>
  <c r="M233" i="8" s="1"/>
  <c r="B159" i="8"/>
  <c r="I159" i="8" s="1"/>
  <c r="D6" i="26"/>
  <c r="F6" i="26"/>
  <c r="B37" i="5" s="1"/>
  <c r="I134" i="8"/>
  <c r="C120" i="8"/>
  <c r="B175" i="8"/>
  <c r="I173" i="8"/>
  <c r="O230" i="8"/>
  <c r="B156" i="8"/>
  <c r="I156" i="8" s="1"/>
  <c r="G137" i="8"/>
  <c r="M230" i="8" s="1"/>
  <c r="N230" i="8"/>
  <c r="F137" i="8"/>
  <c r="H137" i="8"/>
  <c r="J230" i="8" s="1"/>
  <c r="Q266" i="9"/>
  <c r="I133" i="8"/>
  <c r="O238" i="8"/>
  <c r="B164" i="8"/>
  <c r="I164" i="8" s="1"/>
  <c r="F145" i="8"/>
  <c r="H145" i="8"/>
  <c r="J238" i="8" s="1"/>
  <c r="N238" i="8"/>
  <c r="C118" i="8"/>
  <c r="O20" i="19"/>
  <c r="E9" i="8"/>
  <c r="B15" i="8"/>
  <c r="E15" i="8" s="1"/>
  <c r="B200" i="8"/>
  <c r="C121" i="8"/>
  <c r="E121" i="8"/>
  <c r="I49" i="8"/>
  <c r="I136" i="8"/>
  <c r="F132" i="8"/>
  <c r="I132" i="8" s="1"/>
  <c r="B151" i="8"/>
  <c r="I151" i="8" s="1"/>
  <c r="B214" i="8"/>
  <c r="O225" i="8"/>
  <c r="N225" i="8"/>
  <c r="H132" i="8"/>
  <c r="J225" i="8" s="1"/>
  <c r="C7" i="7"/>
  <c r="E6" i="7"/>
  <c r="I44" i="8"/>
  <c r="C119" i="8"/>
  <c r="E119" i="8"/>
  <c r="B215" i="8"/>
  <c r="J232" i="8"/>
  <c r="B216" i="8"/>
  <c r="B45" i="24"/>
  <c r="B65" i="24" s="1"/>
  <c r="A2" i="21"/>
  <c r="C42" i="24"/>
  <c r="Q42" i="24" s="1"/>
  <c r="C122" i="8"/>
  <c r="B84" i="8"/>
  <c r="F144" i="8"/>
  <c r="I144" i="8" s="1"/>
  <c r="H144" i="8"/>
  <c r="J237" i="8" s="1"/>
  <c r="O237" i="8"/>
  <c r="G144" i="8"/>
  <c r="M237" i="8" s="1"/>
  <c r="N237" i="8"/>
  <c r="B163" i="8"/>
  <c r="I163" i="8" s="1"/>
  <c r="B32" i="24" l="1"/>
  <c r="B31" i="24"/>
  <c r="B66" i="24"/>
  <c r="E86" i="31"/>
  <c r="F86" i="31" s="1"/>
  <c r="E80" i="31"/>
  <c r="F80" i="31" s="1"/>
  <c r="E74" i="31"/>
  <c r="F74" i="31" s="1"/>
  <c r="E68" i="31"/>
  <c r="F68" i="31" s="1"/>
  <c r="E62" i="31"/>
  <c r="F62" i="31" s="1"/>
  <c r="E56" i="31"/>
  <c r="F56" i="31" s="1"/>
  <c r="E50" i="31"/>
  <c r="F50" i="31" s="1"/>
  <c r="E44" i="31"/>
  <c r="F44" i="31" s="1"/>
  <c r="E38" i="31"/>
  <c r="F38" i="31" s="1"/>
  <c r="E32" i="31"/>
  <c r="F32" i="31" s="1"/>
  <c r="E26" i="31"/>
  <c r="F26" i="31" s="1"/>
  <c r="E20" i="31"/>
  <c r="F20" i="31" s="1"/>
  <c r="E14" i="31"/>
  <c r="F14" i="31" s="1"/>
  <c r="E8" i="31"/>
  <c r="F8" i="31" s="1"/>
  <c r="E85" i="31"/>
  <c r="F85" i="31" s="1"/>
  <c r="E79" i="31"/>
  <c r="F79" i="31" s="1"/>
  <c r="E73" i="31"/>
  <c r="F73" i="31" s="1"/>
  <c r="E67" i="31"/>
  <c r="F67" i="31" s="1"/>
  <c r="E61" i="31"/>
  <c r="F61" i="31" s="1"/>
  <c r="E55" i="31"/>
  <c r="F55" i="31" s="1"/>
  <c r="E49" i="31"/>
  <c r="F49" i="31" s="1"/>
  <c r="E43" i="31"/>
  <c r="F43" i="31" s="1"/>
  <c r="E37" i="31"/>
  <c r="F37" i="31" s="1"/>
  <c r="E31" i="31"/>
  <c r="F31" i="31" s="1"/>
  <c r="E25" i="31"/>
  <c r="F25" i="31" s="1"/>
  <c r="E19" i="31"/>
  <c r="F19" i="31" s="1"/>
  <c r="E13" i="31"/>
  <c r="F13" i="31" s="1"/>
  <c r="E7" i="31"/>
  <c r="F7" i="31" s="1"/>
  <c r="E84" i="31"/>
  <c r="F84" i="31" s="1"/>
  <c r="E78" i="31"/>
  <c r="F78" i="31" s="1"/>
  <c r="E72" i="31"/>
  <c r="F72" i="31" s="1"/>
  <c r="E66" i="31"/>
  <c r="F66" i="31" s="1"/>
  <c r="E60" i="31"/>
  <c r="F60" i="31" s="1"/>
  <c r="E54" i="31"/>
  <c r="F54" i="31" s="1"/>
  <c r="E48" i="31"/>
  <c r="F48" i="31" s="1"/>
  <c r="E42" i="31"/>
  <c r="F42" i="31" s="1"/>
  <c r="E36" i="31"/>
  <c r="F36" i="31" s="1"/>
  <c r="E30" i="31"/>
  <c r="F30" i="31" s="1"/>
  <c r="E24" i="31"/>
  <c r="F24" i="31" s="1"/>
  <c r="E18" i="31"/>
  <c r="F18" i="31" s="1"/>
  <c r="E12" i="31"/>
  <c r="F12" i="31" s="1"/>
  <c r="E6" i="31"/>
  <c r="F6" i="31" s="1"/>
  <c r="E76" i="31"/>
  <c r="F76" i="31" s="1"/>
  <c r="E58" i="31"/>
  <c r="F58" i="31" s="1"/>
  <c r="E40" i="31"/>
  <c r="F40" i="31" s="1"/>
  <c r="E22" i="31"/>
  <c r="F22" i="31" s="1"/>
  <c r="E83" i="31"/>
  <c r="F83" i="31" s="1"/>
  <c r="E75" i="31"/>
  <c r="F75" i="31" s="1"/>
  <c r="E65" i="31"/>
  <c r="F65" i="31" s="1"/>
  <c r="E57" i="31"/>
  <c r="F57" i="31" s="1"/>
  <c r="E47" i="31"/>
  <c r="F47" i="31" s="1"/>
  <c r="E39" i="31"/>
  <c r="F39" i="31" s="1"/>
  <c r="E29" i="31"/>
  <c r="F29" i="31" s="1"/>
  <c r="E21" i="31"/>
  <c r="F21" i="31" s="1"/>
  <c r="E11" i="31"/>
  <c r="F11" i="31" s="1"/>
  <c r="E82" i="31"/>
  <c r="F82" i="31" s="1"/>
  <c r="E64" i="31"/>
  <c r="F64" i="31" s="1"/>
  <c r="E46" i="31"/>
  <c r="F46" i="31" s="1"/>
  <c r="E28" i="31"/>
  <c r="F28" i="31" s="1"/>
  <c r="E10" i="31"/>
  <c r="F10" i="31" s="1"/>
  <c r="E89" i="31"/>
  <c r="F89" i="31" s="1"/>
  <c r="E81" i="31"/>
  <c r="F81" i="31" s="1"/>
  <c r="E71" i="31"/>
  <c r="F71" i="31" s="1"/>
  <c r="E63" i="31"/>
  <c r="F63" i="31" s="1"/>
  <c r="E53" i="31"/>
  <c r="F53" i="31" s="1"/>
  <c r="E45" i="31"/>
  <c r="F45" i="31" s="1"/>
  <c r="E35" i="31"/>
  <c r="F35" i="31" s="1"/>
  <c r="E27" i="31"/>
  <c r="F27" i="31" s="1"/>
  <c r="E17" i="31"/>
  <c r="F17" i="31" s="1"/>
  <c r="E9" i="31"/>
  <c r="F9" i="31" s="1"/>
  <c r="E88" i="31"/>
  <c r="F88" i="31" s="1"/>
  <c r="E70" i="31"/>
  <c r="F70" i="31" s="1"/>
  <c r="E52" i="31"/>
  <c r="F52" i="31" s="1"/>
  <c r="E34" i="31"/>
  <c r="F34" i="31" s="1"/>
  <c r="E16" i="31"/>
  <c r="F16" i="31" s="1"/>
  <c r="E87" i="31"/>
  <c r="F87" i="31" s="1"/>
  <c r="E77" i="31"/>
  <c r="F77" i="31" s="1"/>
  <c r="E69" i="31"/>
  <c r="F69" i="31" s="1"/>
  <c r="E59" i="31"/>
  <c r="F59" i="31" s="1"/>
  <c r="E51" i="31"/>
  <c r="F51" i="31" s="1"/>
  <c r="E41" i="31"/>
  <c r="F41" i="31" s="1"/>
  <c r="E33" i="31"/>
  <c r="F33" i="31" s="1"/>
  <c r="E23" i="31"/>
  <c r="F23" i="31" s="1"/>
  <c r="E15" i="31"/>
  <c r="F15" i="31" s="1"/>
  <c r="E5" i="31"/>
  <c r="F5" i="31" s="1"/>
  <c r="D215" i="8"/>
  <c r="E215" i="8"/>
  <c r="C215" i="8"/>
  <c r="G215" i="8" s="1"/>
  <c r="C216" i="8"/>
  <c r="D216" i="8"/>
  <c r="E216" i="8"/>
  <c r="G216" i="8" s="1"/>
  <c r="B192" i="8"/>
  <c r="B176" i="8"/>
  <c r="I176" i="8" s="1"/>
  <c r="I175" i="8"/>
  <c r="C45" i="24"/>
  <c r="Q45" i="24" s="1"/>
  <c r="A2" i="19"/>
  <c r="B108" i="8"/>
  <c r="B95" i="8"/>
  <c r="B112" i="8"/>
  <c r="B99" i="8"/>
  <c r="B126" i="8"/>
  <c r="B107" i="8"/>
  <c r="B94" i="8"/>
  <c r="B111" i="8"/>
  <c r="B98" i="8"/>
  <c r="B93" i="8"/>
  <c r="B102" i="8"/>
  <c r="B106" i="8"/>
  <c r="B97" i="8"/>
  <c r="B110" i="8"/>
  <c r="B101" i="8"/>
  <c r="B100" i="8"/>
  <c r="B104" i="8"/>
  <c r="E84" i="8"/>
  <c r="B109" i="8"/>
  <c r="B88" i="8"/>
  <c r="B105" i="8"/>
  <c r="B103" i="8"/>
  <c r="B96" i="8"/>
  <c r="C8" i="7"/>
  <c r="E7" i="7"/>
  <c r="B201" i="8"/>
  <c r="B202" i="8"/>
  <c r="H6" i="26"/>
  <c r="B217" i="8"/>
  <c r="E214" i="8"/>
  <c r="D214" i="8"/>
  <c r="C214" i="8"/>
  <c r="I137" i="8"/>
  <c r="C109" i="8" l="1"/>
  <c r="E109" i="8" s="1"/>
  <c r="E94" i="8"/>
  <c r="C94" i="8"/>
  <c r="C100" i="8"/>
  <c r="E100" i="8" s="1"/>
  <c r="C101" i="8"/>
  <c r="E101" i="8" s="1"/>
  <c r="C112" i="8"/>
  <c r="E112" i="8"/>
  <c r="C99" i="8"/>
  <c r="E99" i="8"/>
  <c r="C110" i="8"/>
  <c r="E110" i="8" s="1"/>
  <c r="E95" i="8"/>
  <c r="C95" i="8"/>
  <c r="C97" i="8"/>
  <c r="E97" i="8" s="1"/>
  <c r="C108" i="8"/>
  <c r="E108" i="8" s="1"/>
  <c r="C107" i="8"/>
  <c r="E107" i="8" s="1"/>
  <c r="A4" i="24"/>
  <c r="A13" i="5"/>
  <c r="A16" i="1"/>
  <c r="E217" i="8"/>
  <c r="D217" i="8"/>
  <c r="C217" i="8"/>
  <c r="G217" i="8" s="1"/>
  <c r="E8" i="7"/>
  <c r="C9" i="7"/>
  <c r="E106" i="8"/>
  <c r="C106" i="8"/>
  <c r="C96" i="8"/>
  <c r="E96" i="8" s="1"/>
  <c r="E102" i="8"/>
  <c r="C102" i="8"/>
  <c r="C103" i="8"/>
  <c r="E103" i="8" s="1"/>
  <c r="C93" i="8"/>
  <c r="C114" i="8"/>
  <c r="E114" i="8" s="1"/>
  <c r="C98" i="8"/>
  <c r="E98" i="8"/>
  <c r="C31" i="24"/>
  <c r="Q31" i="24" s="1"/>
  <c r="A2" i="1"/>
  <c r="C104" i="8"/>
  <c r="E104" i="8"/>
  <c r="E105" i="8"/>
  <c r="C105" i="8"/>
  <c r="C111" i="8"/>
  <c r="E111" i="8" s="1"/>
  <c r="C32" i="24"/>
  <c r="Q32" i="24" s="1"/>
  <c r="A2" i="24"/>
  <c r="C10" i="7" l="1"/>
  <c r="E10" i="7" s="1"/>
  <c r="E9" i="7"/>
  <c r="C113" i="8"/>
  <c r="E113" i="8" s="1"/>
  <c r="E9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ForgeOS auditability (Phase B)</author>
  </authors>
  <commentList>
    <comment ref="B26" authorId="0" shapeId="0" xr:uid="{00000000-0006-0000-0700-000001000000}">
      <text>
        <r>
          <rPr>
            <sz val="10"/>
            <rFont val="Arial"/>
            <family val="2"/>
          </rPr>
          <t>TOOL NODE — deriveOutputDenominator() (independent-cost-sanity-audit.ts) v1, captured by sweet-spot.ts::reconcile() v1 (Phase 1, 2026-06-24) at the reconciliation pipeline stage. Input consumed: parsedBrief.constraints.target_performance (the brief's primary scale metric, annualised). Frozen at capture time — recompute requires an engine re-run.</t>
        </r>
      </text>
    </comment>
    <comment ref="B27" authorId="0" shapeId="0" xr:uid="{00000000-0006-0000-0700-000002000000}">
      <text>
        <r>
          <rPr>
            <sz val="10"/>
            <rFont val="Arial"/>
            <family val="2"/>
          </rPr>
          <t>TOOL NODE — readHeadlineCostGbp() (independent-cost-sanity-audit.ts) v1, source 'costStack.ex_works', captured by sweet-spot.ts::reconcile() v1 at the reconciliation pipeline stage. MAY differ from the Cost waterfall tab's current total if the plant was re-costed after reconciliation ran. Frozen at capture time — recompute requires an engine re-run.</t>
        </r>
      </text>
    </comment>
    <comment ref="B29" authorId="0" shapeId="0" xr:uid="{00000000-0006-0000-0700-000003000000}">
      <text>
        <r>
          <rPr>
            <sz val="10"/>
            <rFont val="Arial"/>
            <family val="2"/>
          </rPr>
          <t>TOOL NODE — sweet-spot.ts::reconcile() v1 (Phase 1, 2026-06-24): the reconciliation algorithm's CHOSEN operating point given the brief's objective (balanced) and verdict (compatible) — a branchy decision, not a closed-form recompute. Inputs consumed: reference output (B26), reference capex (B27), cost ceiling (INP_UNIT_COST_CEILING). Recompute requires an engine re-run.</t>
        </r>
      </text>
    </comment>
  </commentList>
</comments>
</file>

<file path=xl/sharedStrings.xml><?xml version="1.0" encoding="utf-8"?>
<sst xmlns="http://schemas.openxmlformats.org/spreadsheetml/2006/main" count="9898" uniqueCount="4575">
  <si>
    <t>ForgeOS Engineering Dossier — Water treatment</t>
  </si>
  <si>
    <t>The engineering reality of your hardware idea — a buildable design, a real bill of materials, the true cost, and who can make it. The detail is in the tabs; this page is the summary.</t>
  </si>
  <si>
    <t>WHAT IT IS</t>
  </si>
  <si>
    <t>Water treatment</t>
  </si>
  <si>
    <t>OUTPUT</t>
  </si>
  <si>
    <t>45 m3/h</t>
  </si>
  <si>
    <t>Irrigation Demand M3 Per</t>
  </si>
  <si>
    <t>ALL-IN INSTALLED COST</t>
  </si>
  <si>
    <t>£1,360,613</t>
  </si>
  <si>
    <t>STATUS</t>
  </si>
  <si>
    <t>One verdict for the whole dossier — the floor is the minimum score of every section and tab; it ships when all are ≥8. Detail: Quality &amp; Audit tab.</t>
  </si>
  <si>
    <t>This dossier specifies a Water treatment — 45 m3/h (irrigation demand m3 per). The engine values the build at £1,360,613 (all-in installed cost). An independent market benchmark flags 1 dimension where the design diverges from the brief/market expectation — see the ⚠ Checks tab for the routed detail. Every figure in this workbook — the bill of materials, the costs, and the specifications below — is derived deterministically from the engineering contract, computed rather than estimated by hand.</t>
  </si>
  <si>
    <t>Key specifications &amp; brief compliance — every target deterministically verified</t>
  </si>
  <si>
    <t>Brief metric</t>
  </si>
  <si>
    <t>Target</t>
  </si>
  <si>
    <t>Unit</t>
  </si>
  <si>
    <t>Matched contract quantity</t>
  </si>
  <si>
    <t>Achieved</t>
  </si>
  <si>
    <t>Direction</t>
  </si>
  <si>
    <t>Note</t>
  </si>
  <si>
    <t>Cell check</t>
  </si>
  <si>
    <t>Irrigation demand (m³/h)</t>
  </si>
  <si>
    <t>m3/h</t>
  </si>
  <si>
    <t>Irrigation pump flow (m³/h)</t>
  </si>
  <si>
    <t>≥ target (meet/exceed)</t>
  </si>
  <si>
    <t>brief key: irrigation_demand_m3_per_hr → contract: irrigation_pump_flow_m3_h · unit family: flow_m3h</t>
  </si>
  <si>
    <t>Cultivation containers</t>
  </si>
  <si>
    <t>count</t>
  </si>
  <si>
    <t>Cultivation container count</t>
  </si>
  <si>
    <t>brief key: cultivation_containers → contract: cultivation_container_count · unit family: count</t>
  </si>
  <si>
    <t>Ro permeate capacity (m³/h)</t>
  </si>
  <si>
    <t>brief key: ro_permeate_capacity_m3_per_hr → contract: ro_permeate_capacity_m3_h · unit family: flow_m3h</t>
  </si>
  <si>
    <t>Ro recovery (%)</t>
  </si>
  <si>
    <t>%</t>
  </si>
  <si>
    <t>brief key: ro_recovery_percent → contract: ro_recovery_percent</t>
  </si>
  <si>
    <t>Water storage capacity m3</t>
  </si>
  <si>
    <t>m3</t>
  </si>
  <si>
    <t>brief key: water_storage_capacity_m3 → contract: water_storage_capacity_m3 · unit family: volume_m3</t>
  </si>
  <si>
    <t>Actuated valves</t>
  </si>
  <si>
    <t>Actuated distribution valve count</t>
  </si>
  <si>
    <t>brief key: actuated_valves → contract: actuated_distribution_valve_count · unit family: count</t>
  </si>
  <si>
    <t>Where the money goes — capex by category</t>
  </si>
  <si>
    <t>Pipework &amp; valves</t>
  </si>
  <si>
    <t>█████████████████</t>
  </si>
  <si>
    <t>Filtration &amp; membranes</t>
  </si>
  <si>
    <t>█████</t>
  </si>
  <si>
    <t>Controls &amp; instrumentation</t>
  </si>
  <si>
    <t>Vessels, tanks &amp; columns</t>
  </si>
  <si>
    <t>Other equipment</t>
  </si>
  <si>
    <t>███</t>
  </si>
  <si>
    <t>Rotating equipment</t>
  </si>
  <si>
    <t>██</t>
  </si>
  <si>
    <t>Power &amp; electrical</t>
  </si>
  <si>
    <t>What's inside this workbook</t>
  </si>
  <si>
    <t>•  Bill of Materials (Ledger)</t>
  </si>
  <si>
    <t>The bill — tag, item, qty, unit £, cost basis, spec.</t>
  </si>
  <si>
    <t>•  Cost waterfall</t>
  </si>
  <si>
    <t>Bill of materials to installed price, with live running totals.</t>
  </si>
  <si>
    <t>•  Financial model</t>
  </si>
  <si>
    <t>Economics, scenarios and investment analysis, live off the Inputs tab.</t>
  </si>
  <si>
    <t>•  Calculations</t>
  </si>
  <si>
    <t>Worked calculations by tool — live Excel formulas where structured.</t>
  </si>
  <si>
    <t>•  Risk &amp; Regulatory</t>
  </si>
  <si>
    <t>Hazard and risk register, compliance verdict and statutory duties.</t>
  </si>
  <si>
    <t>•  Connection trace</t>
  </si>
  <si>
    <t>Which part connects to what, with live cell references.</t>
  </si>
  <si>
    <t>Your next steps — from design to a funded factory</t>
  </si>
  <si>
    <t>•  You have the engineering dossier</t>
  </si>
  <si>
    <t xml:space="preserve">      A buildable design, a real bill of materials, and the true cost — this document.</t>
  </si>
  <si>
    <t>→  Talk to the experts this design needs</t>
  </si>
  <si>
    <t xml:space="preserve">      We connect you to vetted specialists for the open questions the design raises.</t>
  </si>
  <si>
    <t>→  Get real supplier quotes (RFQ)</t>
  </si>
  <si>
    <t xml:space="preserve">      We take this bill of materials to suppliers and bring back real quotes.</t>
  </si>
  <si>
    <t>→  Raise the money on these numbers</t>
  </si>
  <si>
    <t xml:space="preserve">      We help you turn the validated design and costs into a fundraise.</t>
  </si>
  <si>
    <t>Fractional Forge — Tristan Fischer, Founder.  Reply to take the next step.</t>
  </si>
  <si>
    <t>Contents</t>
  </si>
  <si>
    <t>Click any tab name to jump to it. Each data tab has a '↑ Contents' link at its top-right to come back. Yellow cells anywhere are editable inputs; green cells are live formulas.</t>
  </si>
  <si>
    <t>#</t>
  </si>
  <si>
    <t>Tab</t>
  </si>
  <si>
    <t>What's on it</t>
  </si>
  <si>
    <t>Executive Summary</t>
  </si>
  <si>
    <t>The cover — what it is, cost, verdict and next steps.</t>
  </si>
  <si>
    <t>Inputs Master (M0)</t>
  </si>
  <si>
    <t>Every primitive number behind the model, with class and provenance.</t>
  </si>
  <si>
    <t>Equipment &amp; Dimensions Register</t>
  </si>
  <si>
    <t>Every manifest part — geometry, volume formula, MPN, coverage.</t>
  </si>
  <si>
    <t>Overview</t>
  </si>
  <si>
    <t>Run provenance, quality scorecard and headline metrics.</t>
  </si>
  <si>
    <t>Renders</t>
  </si>
  <si>
    <t>Photoreal render gallery — interior hero, plan and exterior views.</t>
  </si>
  <si>
    <t>Cost waterfall</t>
  </si>
  <si>
    <t>Financial model</t>
  </si>
  <si>
    <t>Bill of Materials (Ledger)</t>
  </si>
  <si>
    <t>Brief</t>
  </si>
  <si>
    <t>Original client brief and the engine's structured interpretation.</t>
  </si>
  <si>
    <t>Design basis</t>
  </si>
  <si>
    <t>Codes, design duties, fluid and utilisation basis — with sources.</t>
  </si>
  <si>
    <t>Drawings</t>
  </si>
  <si>
    <t>Drawing register — number, revision, scale, sheets and full-size A1 files.</t>
  </si>
  <si>
    <t>BFD — Block Flow</t>
  </si>
  <si>
    <t>Block flow diagram — major process blocks &amp; streams.</t>
  </si>
  <si>
    <t>P&amp;ID</t>
  </si>
  <si>
    <t>Piping &amp; instrumentation diagram — process flow, valves, instruments.</t>
  </si>
  <si>
    <t>Process schedules</t>
  </si>
  <si>
    <t>Valve and instrument schedules; the line list is Line &amp; velocity.</t>
  </si>
  <si>
    <t>GA — General Arrangement</t>
  </si>
  <si>
    <t>General arrangement — equipment layout &amp; footprint.</t>
  </si>
  <si>
    <t>HVAC</t>
  </si>
  <si>
    <t>Ventilation &amp; climate-control schematic.</t>
  </si>
  <si>
    <t>Electrical</t>
  </si>
  <si>
    <t>Single-line diagram with the panel/load schedule — one dataset.</t>
  </si>
  <si>
    <t>Line &amp; velocity</t>
  </si>
  <si>
    <t>THE line list — every sized run versus its limit.</t>
  </si>
  <si>
    <t>Assembly sequence</t>
  </si>
  <si>
    <t>Order of works from civils through to commissioning.</t>
  </si>
  <si>
    <t>Risk &amp; Regulatory</t>
  </si>
  <si>
    <t>Holds &amp; exclusions</t>
  </si>
  <si>
    <t>Numbered open holds derived live from failing checks; scope exclusions.</t>
  </si>
  <si>
    <t>Questions for the customer</t>
  </si>
  <si>
    <t>Numbered confirm-or-correct questions — assumptions, gaps and offer divergences.</t>
  </si>
  <si>
    <t>Quality &amp; Audit</t>
  </si>
  <si>
    <t>Sections, per-tab scores and audit findings — one verdict.</t>
  </si>
  <si>
    <t>Sense-check</t>
  </si>
  <si>
    <t>Independent market benchmark versus the engine's numbers.</t>
  </si>
  <si>
    <t>⚠ Checks</t>
  </si>
  <si>
    <t>Live arithmetic invariants — red rows show numbers that don't reconcile.</t>
  </si>
  <si>
    <t>Connection trace</t>
  </si>
  <si>
    <t>Quantities</t>
  </si>
  <si>
    <t>Every sized contract quantity with family, basis and source.</t>
  </si>
  <si>
    <t>Calculations</t>
  </si>
  <si>
    <t>Inputs &amp; Assumptions</t>
  </si>
  <si>
    <t>Editable yellow drivers feeding the economics model.</t>
  </si>
  <si>
    <t>Part names</t>
  </si>
  <si>
    <t>Master parts list; every other tab references these cells.</t>
  </si>
  <si>
    <t>Glossary</t>
  </si>
  <si>
    <t>Plain-English meaning of every abbreviation in the workbook.</t>
  </si>
  <si>
    <t>Audit data</t>
  </si>
  <si>
    <t>Embedded operands every live verdict formula references, with provenance.</t>
  </si>
  <si>
    <t>M0 — Inputs Master: every primitive number the model is built from</t>
  </si>
  <si>
    <t>↑ Contents</t>
  </si>
  <si>
    <t>A PRIMITIVE = a number with NO in-model ancestor: brief-stated, a class assumption (open until the customer confirms), a physics constant, a live catalogue/distributor price, or a margin/install/corpus factor. Every row mints an Excel DEFINED NAME (Ref) so a downstream formula can reference it by name and self-document. Phase A: this register exists, fully cited. Phase B rewires the rest of the workbook to reference these cells live.</t>
  </si>
  <si>
    <t>Ref</t>
  </si>
  <si>
    <t>Label</t>
  </si>
  <si>
    <t>Value</t>
  </si>
  <si>
    <t>Units</t>
  </si>
  <si>
    <t>Class</t>
  </si>
  <si>
    <t>Provenance</t>
  </si>
  <si>
    <t>Used-by count</t>
  </si>
  <si>
    <t>INP_UNIT_COST_CEILING</t>
  </si>
  <si>
    <t>Unit cost ceiling</t>
  </si>
  <si>
    <t>GBP</t>
  </si>
  <si>
    <t>brief</t>
  </si>
  <si>
    <t>brief: "…per year - Unit cost ceiling: approximately £1,250,000 to £1,400,000 installed for the water, storage, fertigation, irrigation a…"</t>
  </si>
  <si>
    <t>INP_BATCH_SIZE</t>
  </si>
  <si>
    <t>Batch size</t>
  </si>
  <si>
    <t>brief: "…al turnkey supplier offer (Codema Systems Group, offer 3201262, "Farm 2", 2020) totalling €1,395,019. Target market: ind…"</t>
  </si>
  <si>
    <t>INP_DESIGN_LIFE</t>
  </si>
  <si>
    <t>Design life</t>
  </si>
  <si>
    <t>years</t>
  </si>
  <si>
    <t>brief: "…a real turnkey supplier offer (Codema Systems Group, offer 3201262, "Farm 2", 2020) totalling €1,395,019. Target market:…"</t>
  </si>
  <si>
    <t>INP_IRRIGATION_DEMAND_M3_PER_HR</t>
  </si>
  <si>
    <t>Irrigation demand m3 per hr</t>
  </si>
  <si>
    <t>brief: "…R (FERTIGATION) UNITS — two A/B nutrient-dosing units, each 45 cubic metres per hour, for the multi-layer ebb/flow system,…"</t>
  </si>
  <si>
    <t>INP_CULTIVATION_CONTAINERS</t>
  </si>
  <si>
    <t>brief: "…ayers per tunnel, 4 rows per layer, 15 containers per row — 6,000 cultivation containers total, each 2,760 by 1,290 millimetr…"</t>
  </si>
  <si>
    <t>INP_RO_PERMEATE_CAPACITY_M3_PER_HR</t>
  </si>
  <si>
    <t>Ro permeate capacity m3 per hr</t>
  </si>
  <si>
    <t>brief: "…tem needs. - Reverse-osmosis unit: hourly permeate capacity 8.0 cubic metres per hour, raw-tap-water blending capacity 1.2…"</t>
  </si>
  <si>
    <t>INP_RO_RECOVERY_PERCENT</t>
  </si>
  <si>
    <t>Ro recovery percent</t>
  </si>
  <si>
    <t>brief: "…capacity 1.2 to 1.6 cubic metres per hour, recovery factor 75 percent, working pressure 10.6 bar at 15 degrees Celsius fe…"</t>
  </si>
  <si>
    <t>INP_WATER_STORAGE_CAPACITY_M3</t>
  </si>
  <si>
    <t>brief.constraints.target_performance.metrics[water_storage_capacity_m3] (source: user)</t>
  </si>
  <si>
    <t>INP_ACTUATED_VALVES</t>
  </si>
  <si>
    <t>brief: "…iner at 1.5 cubic metres per hour; 30 containers per valve, 200 electrically-actuated valves; one valve per department open…"</t>
  </si>
  <si>
    <t>INP_SALE_PRICE_PER_OUTPUT_UNIT</t>
  </si>
  <si>
    <t>Sale price (per output unit)</t>
  </si>
  <si>
    <t>£/m3/h</t>
  </si>
  <si>
    <t>assumption</t>
  </si>
  <si>
    <t>UNVERIFIED — no per-unit market price is derivable for this class. Enter a real sale price to make the economics tabs meaningful; until then revenue / EBITDA / IRR are not valid. — ASSUMPTION, open until the customer confirms (see 'Questions for the customer')</t>
  </si>
  <si>
    <t>INP_CONSUMABLES_PRICE_DOSING_CHEMICALS_NUTRIENT_FERTILISER_STOCK_FILTER_MEDIA_MEMBRANES</t>
  </si>
  <si>
    <t>Consumables price (dosing chemicals · nutrient / fertiliser stock · filter media &amp; membranes)</t>
  </si>
  <si>
    <t>consumable classes derived from the plant's own process/media BoM + contract lines — what it ACTUALLY consumes (not a 'feedstock'); enter a real £ per output unit to price them (0 until priced — meanwhile carried inside 'Other opex') — ASSUMPTION, open until the customer confirms (see 'Questions for the customer')</t>
  </si>
  <si>
    <t>INP_CONSUMABLE_INTENSITY_RATIO</t>
  </si>
  <si>
    <t>Consumable intensity ratio</t>
  </si>
  <si>
    <t>ratio</t>
  </si>
  <si>
    <t>consumable units per output unit (multiplies the consumables price above); 0 until priced — ASSUMPTION, open until the customer confirms (see 'Questions for the customer')</t>
  </si>
  <si>
    <t>INP_ENERGY_PRICE</t>
  </si>
  <si>
    <t>Energy price</t>
  </si>
  <si>
    <t>£/kWh</t>
  </si>
  <si>
    <t>assumed — UK industrial electricity ~£0.15/kWh (edit to your tariff) — ASSUMPTION, open until the customer confirms (see 'Questions for the customer')</t>
  </si>
  <si>
    <t>INP_ELECTRICAL_LOAD_FACTOR</t>
  </si>
  <si>
    <t>Electrical load factor</t>
  </si>
  <si>
    <t>avg/peak</t>
  </si>
  <si>
    <t>assumed average/peak electrical load factor — supply a class duty-cycle to refine — ASSUMPTION, open until the customer confirms (see 'Questions for the customer')</t>
  </si>
  <si>
    <t>INP_OPERATING_HOURS</t>
  </si>
  <si>
    <t>Operating hours</t>
  </si>
  <si>
    <t>h/yr</t>
  </si>
  <si>
    <t>assumed — typical process-plant annual operating hours (supply a class duty-cycle to refine) — ASSUMPTION, open until the customer confirms (see 'Questions for the customer')</t>
  </si>
  <si>
    <t>INP_WATER_UTILISATION_DELIVERED_DESIGN_FLOW</t>
  </si>
  <si>
    <t>Water utilisation (delivered ÷ design flow)</t>
  </si>
  <si>
    <t>fraction</t>
  </si>
  <si>
    <t>multiplies the design flow above · assumed — the design flow is the PEAK simultaneous demand, so annual delivered volume = design flow × 8760 h × this factor. 0.25 models an intermittent, demand-driven duty (sequenced valve sections / batch draw-off deliver ≈25% of the peak run continuously); set ≈0.9 for a continuous process duty, or edit to metered annual demand ÷ (design flow × 8760). Drives the levelised £/m³ on the Financial model — the electrical load factor above sizes the ENERGY line only. — ASSUMPTION, open until the customer confirms (see 'Questions for the customer')</t>
  </si>
  <si>
    <t>INP_LABOUR</t>
  </si>
  <si>
    <t>Labour</t>
  </si>
  <si>
    <t>£/yr</t>
  </si>
  <si>
    <t>assumed — supply a real figure. No operating headcount signal, so this is defaulted as an UNMANNED / skid plant: ~£25,000/yr for remote monitoring + periodic maintenance visits (NOT a % of capex). Enter your real annual labour cost, or supply an operating headcount. — ASSUMPTION, open until the customer confirms (see 'Questions for the customer')</t>
  </si>
  <si>
    <t>INP_MAINTENANCE</t>
  </si>
  <si>
    <t>Maintenance</t>
  </si>
  <si>
    <t>% capex/yr</t>
  </si>
  <si>
    <t>factor</t>
  </si>
  <si>
    <t>process-plant norm</t>
  </si>
  <si>
    <t>INP_OTHER_OPEX</t>
  </si>
  <si>
    <t>Other opex</t>
  </si>
  <si>
    <t>assumed — 2% of installed capex/yr (consumables, insurance, overhead; supply a class opex model to refine) — ASSUMPTION, open until the customer confirms (see 'Questions for the customer')</t>
  </si>
  <si>
    <t>INP_SCALING_EXPONENT_N_CAPEX_OUTPUT_N</t>
  </si>
  <si>
    <t>Scaling exponent n  (capex ∝ output^n)</t>
  </si>
  <si>
    <t>n</t>
  </si>
  <si>
    <t>1.0 = LINEAR — a MODULAR plant scaled by replicating identical units (more tanks/pumps/skids); capex per output unit is constant, de-risked + testable at small scale (the ForgeOS default for modular plant). 0.6 = the six-tenths law for MONOLITHIC equipment that scales by getting bigger. Edit to model either regime — every capex/economics cell on the sweep + solver recomputes live off this.</t>
  </si>
  <si>
    <t>INP_DISCOUNT_RATE</t>
  </si>
  <si>
    <t>Discount rate</t>
  </si>
  <si>
    <t>real WACC for a small infrastructure project</t>
  </si>
  <si>
    <t>INP_INVESTOR_HURDLE_RATE_IRR</t>
  </si>
  <si>
    <t>Investor hurdle rate (IRR)</t>
  </si>
  <si>
    <t>the minimum IRR an investor demands before deploying capital — the 'investable' bar on the Investment Analysis tab; edit to your fund's threshold</t>
  </si>
  <si>
    <t>INP_PROJECT_LIFE</t>
  </si>
  <si>
    <t>Project life</t>
  </si>
  <si>
    <t>yr</t>
  </si>
  <si>
    <t>asset economic life for the NPV horizon — ASSUMPTION, open until the customer confirms (see 'Questions for the customer')</t>
  </si>
  <si>
    <t>INP_PROCESS_FLUID_DENSITY_ENGINE_DEFAULT</t>
  </si>
  <si>
    <t>Process fluid density (engine default)</t>
  </si>
  <si>
    <t>kg/m3</t>
  </si>
  <si>
    <t>constant</t>
  </si>
  <si>
    <t>engine default — process-fluid density (median of 3 engine worked-calc input(s))</t>
  </si>
  <si>
    <t>INP_SWEET_SPOT_CAPACITY_SCALING_EXPONENT_N</t>
  </si>
  <si>
    <t>Sweet-spot capacity-scaling exponent (n)</t>
  </si>
  <si>
    <t>n (dimensionless)</t>
  </si>
  <si>
    <t>sweet-spot.ts DEFAULT_N — the six-tenths capacity-scaling-law exponent (chemical-plant cost-scaling literature default, n≈0.6–0.7); a hardcoded engine default, not case-specific to this run</t>
  </si>
  <si>
    <t>INP_WATER_DENSITY_PUMP_SIZING_WORKED_CALC</t>
  </si>
  <si>
    <t>Water density (pump-sizing worked calc)</t>
  </si>
  <si>
    <t>irrigation:pump-sizing · "Pump hydraulic power" assumption: "P = rho x g x Q x H, water rho 1000 kg/m3, g 9.81 m/s2"</t>
  </si>
  <si>
    <t>INP_STANDARD_GRAVITATIONAL_ACCELERATION</t>
  </si>
  <si>
    <t>Standard gravitational acceleration</t>
  </si>
  <si>
    <t>m/s2</t>
  </si>
  <si>
    <t>INP_ABB_CIRCUIT_BREAKERS</t>
  </si>
  <si>
    <t>ABB Circuit Breakers</t>
  </si>
  <si>
    <t>£</t>
  </si>
  <si>
    <t>catalogue</t>
  </si>
  <si>
    <t>db:farnell · MPN 1SDA067417R1 · 0 in stock</t>
  </si>
  <si>
    <t>INP_WAGO_TERMINAL_BLOCKS</t>
  </si>
  <si>
    <t>WAGO Terminal Blocks</t>
  </si>
  <si>
    <t>db:farnell · MPN 2002-1301 · 6053 in stock</t>
  </si>
  <si>
    <t>INP_TDK_LAMBDA_3_PHASE_POWER_INPUT</t>
  </si>
  <si>
    <t>TDK-Lambda 3 Phase Power Input</t>
  </si>
  <si>
    <t>db:mouser · MPN DRB240-24-3-A0 · 16 In Stock</t>
  </si>
  <si>
    <t>INP_ABB_CIRCUIT_BREAKER</t>
  </si>
  <si>
    <t>ABB Circuit Breaker</t>
  </si>
  <si>
    <t>db:lm-only · MPN 1SDA067417R1</t>
  </si>
  <si>
    <t>INP_PRAHER_BACKWASH_SERVICE_VALVE_NEST</t>
  </si>
  <si>
    <t>Praher Backwash / Service Valve Nest</t>
  </si>
  <si>
    <t>db:tavily · MPN AQUASTAR 4000</t>
  </si>
  <si>
    <t>INP_WEDECO_XYLEM_UV_DISINFECTION</t>
  </si>
  <si>
    <t>WEDECO (Xylem) Uv Disinfection</t>
  </si>
  <si>
    <t>db:tavily · MPN Spektron 30e</t>
  </si>
  <si>
    <t>INP_PENTAIR_STRUCTURAL_SOFTENER_VESSEL</t>
  </si>
  <si>
    <t>Pentair Structural Softener Vessel</t>
  </si>
  <si>
    <t>db:lm-only · MPN 36X72 COMP 6"TF 6"BF</t>
  </si>
  <si>
    <t>INP_GRUNDFOS_FERTIGATION_DOSING_PUMP</t>
  </si>
  <si>
    <t>Grundfos Fertigation Dosing Pump</t>
  </si>
  <si>
    <t>db:tavily · MPN 96122012</t>
  </si>
  <si>
    <t>INP_INSTALL_FACTOR</t>
  </si>
  <si>
    <t>Install factor</t>
  </si>
  <si>
    <t>costStack.ratios_applied.install_factor — Water / fertigation / irrigation plant — FIELD-ERECTED (built on site, NO factory/margin/channel). Installed CAPEX = raw materials + field installation + FOAK/contingency + EPC/engineering.</t>
  </si>
  <si>
    <t>INP_FOAK_CONTINGENCY_FACTOR</t>
  </si>
  <si>
    <t>FOAK contingency factor</t>
  </si>
  <si>
    <t>costStack.ratios_applied.foak_contingency_factor — Water / fertigation / irrigation plant — FIELD-ERECTED (built on site, NO factory/margin/channel). Installed CAPEX = raw materials + field installation + FOAK/contingency + EPC/engineering.</t>
  </si>
  <si>
    <t>INP_EPC_ENGINEERING_FACTOR</t>
  </si>
  <si>
    <t>EPC/engineering factor</t>
  </si>
  <si>
    <t>costStack.ratios_applied.epc_engineering_factor — Water / fertigation / irrigation plant — FIELD-ERECTED (built on site, NO factory/margin/channel). Installed CAPEX = raw materials + field installation + FOAK/contingency + EPC/engineering.</t>
  </si>
  <si>
    <t>INP_INSTALLED_COST_FACTOR_CENTRAL</t>
  </si>
  <si>
    <t>Installed-cost factor (central)</t>
  </si>
  <si>
    <t>×</t>
  </si>
  <si>
    <t>costBasis.rollup.install_factor_central — Installed = purchased × skid-modular factor 2.5–3.5 (not the stick-built 4.74). Excludes contingency + EPC + owner's cost; add ~30% for an all-in figure.</t>
  </si>
  <si>
    <t>INP_CORPUS_MEDIAN_UV_DISINFECTION_4_KW_600X510X660_MM</t>
  </si>
  <si>
    <t>Corpus median — Uv Disinfection · 4 kW · 600x510x660 mm</t>
  </si>
  <si>
    <t>corpus anchor, median £34,360, n=5 · tag V-102</t>
  </si>
  <si>
    <t>INP_CORPUS_MEDIAN_SOFTENER_VESSEL_1_2_M_DIA_X_1_3_M</t>
  </si>
  <si>
    <t>Corpus median — Softener Vessel · 1.2 m dia x 1.3 m</t>
  </si>
  <si>
    <t>corpus anchor, median £12,581, n=5 · tag V-106</t>
  </si>
  <si>
    <t>INP_CORPUS_MEDIAN_GAC_FILTER_1_3_M_DIA_X_1_4_M</t>
  </si>
  <si>
    <t>Corpus median — Gac Filter · 1.3 m dia x 1.4 m</t>
  </si>
  <si>
    <t>corpus anchor, median £18, n=5 · tag V-101</t>
  </si>
  <si>
    <t>INP_CORPUS_MEDIAN_HOOGENDOORN_ISII_REMOTE_MONITORING</t>
  </si>
  <si>
    <t>Corpus median — Hoogendoorn iSii Remote Monitoring</t>
  </si>
  <si>
    <t>corpus anchor, median £982, n=5 · tag X-118</t>
  </si>
  <si>
    <t>INP_CORPUS_MEDIAN_LEVEL_TRANSMITTER_0_1_4_M</t>
  </si>
  <si>
    <t>Corpus median — Level Transmitter · 0–1.4 m</t>
  </si>
  <si>
    <t>corpus anchor, median £2,800, n=5 · tag LT-201–213</t>
  </si>
  <si>
    <t>INP_CORPUS_MEDIAN_CLEANING_TANK_1_4_M_DIA_X_1_3_M</t>
  </si>
  <si>
    <t>Corpus median — Cleaning Tank · 1.4 m dia x 1.3 m</t>
  </si>
  <si>
    <t>corpus anchor, median £8,082, n=5 · tag TK-102</t>
  </si>
  <si>
    <t>Equipment &amp; Dimensions Register — one row per manifest part, self-auditing geometry</t>
  </si>
  <si>
    <t>VOLUME and FOOTPRINT are IN-CELL FORMULAS over the L/W/H or D/H columns — corrupt a dimension and they move on recalc, never a python-baked number. 'Canonical name' is the ONE name registry for this part; the two check columns cross-reference the BoM ledger and the drawing-name match this SAME part got from parts_ledger.py's covered() — where the surfaces genuinely diverge, the check FAILS honestly rather than being forced green.</t>
  </si>
  <si>
    <t>Tag</t>
  </si>
  <si>
    <t>Canonical name</t>
  </si>
  <si>
    <t>Module</t>
  </si>
  <si>
    <t>Shape</t>
  </si>
  <si>
    <t>L (mm)</t>
  </si>
  <si>
    <t>W (mm)</t>
  </si>
  <si>
    <t>H (mm)</t>
  </si>
  <si>
    <t>D (mm)</t>
  </si>
  <si>
    <t>Volume (m3)</t>
  </si>
  <si>
    <t>Footprint (m2)</t>
  </si>
  <si>
    <t>Material</t>
  </si>
  <si>
    <t>MPN / status</t>
  </si>
  <si>
    <t>Drawing appearances</t>
  </si>
  <si>
    <t>Name in BoM (live check)</t>
  </si>
  <si>
    <t>Name in drawings (live check)</t>
  </si>
  <si>
    <t>D-101</t>
  </si>
  <si>
    <t>3 Phase Power Input</t>
  </si>
  <si>
    <t>Power distribution</t>
  </si>
  <si>
    <t>box</t>
  </si>
  <si>
    <t>n/a — not a fabricated part (bought-out assembly)</t>
  </si>
  <si>
    <t>TDK-Lambda DRB240-24-3-A0 · IDENTIFIED</t>
  </si>
  <si>
    <t>5/7</t>
  </si>
  <si>
    <t>EP-101</t>
  </si>
  <si>
    <t>Main Switchboard</t>
  </si>
  <si>
    <t>Energy storage source</t>
  </si>
  <si>
    <t>Schneider Electric BlokSeT MB301M · IDENTIFIED</t>
  </si>
  <si>
    <t>EP-102</t>
  </si>
  <si>
    <t>Mains Incomer</t>
  </si>
  <si>
    <t>ABB 1SDA067417R1 · IDENTIFIED</t>
  </si>
  <si>
    <t>3/7</t>
  </si>
  <si>
    <t>EP-103</t>
  </si>
  <si>
    <t>SCADA / Plant Control System</t>
  </si>
  <si>
    <t>process-support system (catalogue class) · SYSTEM</t>
  </si>
  <si>
    <t>7/7</t>
  </si>
  <si>
    <t>EP-104</t>
  </si>
  <si>
    <t>Motor Control Center</t>
  </si>
  <si>
    <t>Eaton Freedom 2100 · IDENTIFIED</t>
  </si>
  <si>
    <t>4/7</t>
  </si>
  <si>
    <t>G-201</t>
  </si>
  <si>
    <t>Standby Diesel Generator</t>
  </si>
  <si>
    <t>balance-of-plant system (catalogue class) · UTILITY</t>
  </si>
  <si>
    <t>I-102</t>
  </si>
  <si>
    <t>Electrical Control Cabinet</t>
  </si>
  <si>
    <t>Safety protection</t>
  </si>
  <si>
    <t>structural steel</t>
  </si>
  <si>
    <t>made to spec (structural) · BESPOKE</t>
  </si>
  <si>
    <t>I-103</t>
  </si>
  <si>
    <t>Digital Control Panel</t>
  </si>
  <si>
    <t>Control compute communication</t>
  </si>
  <si>
    <t>Siemens 6AV2123-2GB03-0AX0 · IDENTIFIED</t>
  </si>
  <si>
    <t>M-101</t>
  </si>
  <si>
    <t>Distribution Manifold</t>
  </si>
  <si>
    <t>Mass fluid transport process</t>
  </si>
  <si>
    <t>cylinder</t>
  </si>
  <si>
    <t>PVC-U / 304 stainless (WRAS)</t>
  </si>
  <si>
    <t>requirement stated — parametric · NOT FOUND</t>
  </si>
  <si>
    <t>P-101</t>
  </si>
  <si>
    <t>Ro High Pressure Pump</t>
  </si>
  <si>
    <t>Grundfos 96502039 · IDENTIFIED</t>
  </si>
  <si>
    <t>P-102</t>
  </si>
  <si>
    <t>Hand Watering Pump</t>
  </si>
  <si>
    <t>Grundfos 96935501 · IDENTIFIED</t>
  </si>
  <si>
    <t>P-103</t>
  </si>
  <si>
    <t>Drain Transfer Pump</t>
  </si>
  <si>
    <t>Grundfos 96539165 · IDENTIFIED</t>
  </si>
  <si>
    <t>6/7</t>
  </si>
  <si>
    <t>P-104</t>
  </si>
  <si>
    <t>Grundfos SL1.50.65.22.2.50D.C · IDENTIFIED</t>
  </si>
  <si>
    <t>P-105</t>
  </si>
  <si>
    <t>Irrigation Pump</t>
  </si>
  <si>
    <t>—</t>
  </si>
  <si>
    <t>— · —</t>
  </si>
  <si>
    <t>P-106</t>
  </si>
  <si>
    <t>Fertigation Dosing Pump</t>
  </si>
  <si>
    <t>Grundfos 96122012 · IDENTIFIED</t>
  </si>
  <si>
    <t>P-107</t>
  </si>
  <si>
    <t>PVC-U / 304 stainless (WRAS) (via fold: P-106)</t>
  </si>
  <si>
    <t>Grundfos 96122012 · IDENTIFIED (via fold: P-106)</t>
  </si>
  <si>
    <t>7/7 (via fold: P-106)</t>
  </si>
  <si>
    <t>TK-101</t>
  </si>
  <si>
    <t>Cip Tank</t>
  </si>
  <si>
    <t>Maintenance serviceability</t>
  </si>
  <si>
    <t>FRP/GRP</t>
  </si>
  <si>
    <t>made to spec · BESPOKE</t>
  </si>
  <si>
    <t>TK-102</t>
  </si>
  <si>
    <t>Cleaning Tank</t>
  </si>
  <si>
    <t>TK-103</t>
  </si>
  <si>
    <t>Nutrient Tank</t>
  </si>
  <si>
    <t>TK-104</t>
  </si>
  <si>
    <t>FRP/GRP (via fold: TK-103)</t>
  </si>
  <si>
    <t>made to spec · BESPOKE (via fold: TK-103)</t>
  </si>
  <si>
    <t>5/7 (via fold: TK-103)</t>
  </si>
  <si>
    <t>TK-105</t>
  </si>
  <si>
    <t>TK-106</t>
  </si>
  <si>
    <t>Drain Water Tank</t>
  </si>
  <si>
    <t>TK-107</t>
  </si>
  <si>
    <t>FRP/GRP (via fold: TK-106)</t>
  </si>
  <si>
    <t>made to spec · BESPOKE (via fold: TK-106)</t>
  </si>
  <si>
    <t>5/7 (via fold: TK-106)</t>
  </si>
  <si>
    <t>TK-108</t>
  </si>
  <si>
    <t>Fresh Water Tank</t>
  </si>
  <si>
    <t>TK-109</t>
  </si>
  <si>
    <t>TK-110</t>
  </si>
  <si>
    <t>TK-111</t>
  </si>
  <si>
    <t>TK-112</t>
  </si>
  <si>
    <t>TK-113</t>
  </si>
  <si>
    <t>TK-114</t>
  </si>
  <si>
    <t>Drain Collection Sump</t>
  </si>
  <si>
    <t>TK-115</t>
  </si>
  <si>
    <t>FRP/GRP (via fold: TK-114)</t>
  </si>
  <si>
    <t>made to spec · BESPOKE (via fold: TK-114)</t>
  </si>
  <si>
    <t>5/7 (via fold: TK-114)</t>
  </si>
  <si>
    <t>TX-101</t>
  </si>
  <si>
    <t>Transformer</t>
  </si>
  <si>
    <t>Structure containment</t>
  </si>
  <si>
    <t>requirement stated · NOT FOUND</t>
  </si>
  <si>
    <t>TX-102</t>
  </si>
  <si>
    <t>Distribution Transformer</t>
  </si>
  <si>
    <t>Hammond Power Solutions SG3A0075KB · IDENTIFIED</t>
  </si>
  <si>
    <t>U-201</t>
  </si>
  <si>
    <t>Control + Instrument UPS</t>
  </si>
  <si>
    <t>V-101</t>
  </si>
  <si>
    <t>Gac Filter</t>
  </si>
  <si>
    <t>General Carbon HP-1000 · IDENTIFIED</t>
  </si>
  <si>
    <t>V-102</t>
  </si>
  <si>
    <t>Uv Disinfection</t>
  </si>
  <si>
    <t>WEDECO (Xylem) Spektron 30e · IDENTIFIED</t>
  </si>
  <si>
    <t>V-103</t>
  </si>
  <si>
    <t>Gac Softener</t>
  </si>
  <si>
    <t>Pentair Structural 36X72 COMP 6"TF 6"BF · IDENTIFIED</t>
  </si>
  <si>
    <t>V-104</t>
  </si>
  <si>
    <t>Cloth Filter</t>
  </si>
  <si>
    <t>V-105</t>
  </si>
  <si>
    <t>structural steel (via fold: V-104)</t>
  </si>
  <si>
    <t>made to spec (structural) · BESPOKE (via fold: V-104)</t>
  </si>
  <si>
    <t>7/7 (via fold: V-104)</t>
  </si>
  <si>
    <t>V-106</t>
  </si>
  <si>
    <t>Softener Vessel</t>
  </si>
  <si>
    <t>carbon steel</t>
  </si>
  <si>
    <t>V-107</t>
  </si>
  <si>
    <t>Sensata Technologies, Inc. SOL7A4 · IDENTIFIED</t>
  </si>
  <si>
    <t>X-102</t>
  </si>
  <si>
    <t>Electrical Control Panel</t>
  </si>
  <si>
    <t>X-103</t>
  </si>
  <si>
    <t>Concentrate Outlet</t>
  </si>
  <si>
    <t>Environmental interface</t>
  </si>
  <si>
    <t>X-104</t>
  </si>
  <si>
    <t>Permeate Outlet</t>
  </si>
  <si>
    <t>Rittal 1180.000 · IDENTIFIED</t>
  </si>
  <si>
    <t>Z-101</t>
  </si>
  <si>
    <t>Reverse Osmosis Skid</t>
  </si>
  <si>
    <t>Z-102</t>
  </si>
  <si>
    <t>Uf Module Bank</t>
  </si>
  <si>
    <t>requirement stated · MERGED·SYNONYM</t>
  </si>
  <si>
    <t>Z-103</t>
  </si>
  <si>
    <t>Ultrafiltration Module</t>
  </si>
  <si>
    <t>ForgeOS Review Workbook — fischer-codema-v79</t>
  </si>
  <si>
    <t>Live Excel review surface. Yellow cells are editable inputs; green cells are live formulas that recompute downstream. See the '⚠ Checks' tab for invariants that go RED where the engine's numbers do not reconcile.</t>
  </si>
  <si>
    <t>Run provenance</t>
  </si>
  <si>
    <t>Run directory</t>
  </si>
  <si>
    <t>fischer-codema-v79</t>
  </si>
  <si>
    <t>Git short SHA</t>
  </si>
  <si>
    <t>2ddf4dd58</t>
  </si>
  <si>
    <t>State saved at</t>
  </si>
  <si>
    <t>2026-07-04T19:25:20.288Z</t>
  </si>
  <si>
    <t>Project id</t>
  </si>
  <si>
    <t>chain-v2-1783193120288</t>
  </si>
  <si>
    <t>Product class</t>
  </si>
  <si>
    <t>water_treatment</t>
  </si>
  <si>
    <t>Quality scorecard</t>
  </si>
  <si>
    <t>Deterministic gate floor (min gate section)</t>
  </si>
  <si>
    <t>Mean (all sections)</t>
  </si>
  <si>
    <t>Deterministic gates ≥8</t>
  </si>
  <si>
    <t>8/8</t>
  </si>
  <si>
    <t>Iteration</t>
  </si>
  <si>
    <t>Section</t>
  </si>
  <si>
    <t>Score</t>
  </si>
  <si>
    <t>≥8?</t>
  </si>
  <si>
    <t>Defects</t>
  </si>
  <si>
    <t>Sections marked (advisory) are the LLM self-audit — non-gating; amber = advisory concern, red = a deterministic gate breach.</t>
  </si>
  <si>
    <t>Headline  (advisory)</t>
  </si>
  <si>
    <t>Brief compliance  (advisory)</t>
  </si>
  <si>
    <t>4 unverified constraints; 1 failing constraint (storage)</t>
  </si>
  <si>
    <t>Bill of materials  (advisory)</t>
  </si>
  <si>
    <t>Performance card  (advisory)</t>
  </si>
  <si>
    <t>Design narrative  (advisory)</t>
  </si>
  <si>
    <t>Physics fidelity  (advisory)</t>
  </si>
  <si>
    <t>high-severity motor/vessel sizing discrepancies; part_realism=5</t>
  </si>
  <si>
    <t>Drawing gates</t>
  </si>
  <si>
    <t>Cost sanity</t>
  </si>
  <si>
    <t>Physics gates</t>
  </si>
  <si>
    <t>Tool archetype</t>
  </si>
  <si>
    <t>Connectivity</t>
  </si>
  <si>
    <t>X-107 Circuit Breakers: missing_input — Electrical component with no upstream power supply.; X-107 Circuit Breakers: missing_output — Electrical component with no downstream load.; X-110 Circuit Breaker: missing_input — Electrical component with no upstream power supply.; X-110 Circuit Breaker: missing_output — Electrical component with no downstream load.; X-114 PLC Controller: orphan_controller — Controller with no signal connections — not wired to anything it controls.; X-115 Veolia Ro40 Controller: orphan_controller — Controller with no signal connections — not wired to anything it controls.; X-118 Hoogendoorn iSii Remote Monitoring: orphan_controller — Controller with no signal connections — not wired to anything it controls.; X-119 Dc3 Power Controller: orphan_controller — Controller with no signal connections — not wired to anything it controls.; X-120 HMI Touchscreen: orphan_controller — Controller with no signal connections — not wired to anything it controls.; X-121 Siemens S7 1200 PLC: orphan_controller — Controller with no signal connections — not wired to anything it controls.; X-123 Remote Monitoring Gateway: orphan_controller — Controller with no signal connections — not wired to anything it controls.; I-103 Digital Control Panel: missing_output — Electrical component with no downstream load.; EP-102 Mains Incomer: missing_input — Battery-limit origin with no upstream feed drawn — the TYPE classifier has no pattern for this part, but its name names an origin boundary that still needs its fe; X-128 Power Supply Unit: orphan_controller — Controller with no signal connections — not wired to anything it controls.; TX-101 Transformer: missing_input — Electrical component with no upstream power supply.; TX-101 Transformer: missing_output — Electrical component with no downstream load.; X-143 Zoned distribution — department delivery mains: missing_input — Battery-limit origin with no upstream feed drawn — the TYPE classifier has no pattern for this part, but its name names an origin; X-146 Zoned distribution — drain/return risers (gravity): missing_output — Battery-limit sink/drain with no downstream connection drawn — where does this discharge to? The TYPE classifier has no patte; X-147 Zoned distribution — drain collection lines: missing_output — Battery-limit sink/drain with no downstream connection drawn — where does this discharge to? The TYPE classifier has no pattern for; X-148 Zoned distribution — main drain headers: missing_output — Battery-limit sink/drain with no downstream connection drawn — where does this discharge to? The TYPE classifier has no pattern for this; ... and 1 more connectivity concerns</t>
  </si>
  <si>
    <t>Brief compliance</t>
  </si>
  <si>
    <t>Unresolved critic highs</t>
  </si>
  <si>
    <t>Physics fidelity</t>
  </si>
  <si>
    <t>advisory: the LLM critic's own physics opinion is 7/10 — an annotation only, it never scores (B3); advisory: 4 uncorroborated critic note(s) render as advisory notes — visible, never scored</t>
  </si>
  <si>
    <t>Computational checks</t>
  </si>
  <si>
    <t>Deterministic invariants</t>
  </si>
  <si>
    <t>full detail on the ⚠ Checks tab</t>
  </si>
  <si>
    <t>Headline metrics</t>
  </si>
  <si>
    <t>Metric</t>
  </si>
  <si>
    <t>Notes / source</t>
  </si>
  <si>
    <t>45</t>
  </si>
  <si>
    <t>Primary deliverable taken directly from the brief target (parsedBrief.constraints.target_performance). No per-class headline deriver yet for "water_treatment"; surfaced from the brief so the headline is never blank.</t>
  </si>
  <si>
    <t>1,400,000</t>
  </si>
  <si>
    <t>Brief cost ceiling per unit.</t>
  </si>
  <si>
    <t>Cultivation Containers</t>
  </si>
  <si>
    <t>6,000</t>
  </si>
  <si>
    <t>Brief target metric (scale).</t>
  </si>
  <si>
    <t>Ro Permeate Capacity M3 Per</t>
  </si>
  <si>
    <t>8</t>
  </si>
  <si>
    <t>Ro Recovery</t>
  </si>
  <si>
    <t>75</t>
  </si>
  <si>
    <t>Brief target metric (efficiency).</t>
  </si>
  <si>
    <t>Water Storage Capacity</t>
  </si>
  <si>
    <t>120</t>
  </si>
  <si>
    <t>Actuated Valves</t>
  </si>
  <si>
    <t>200</t>
  </si>
  <si>
    <t>Deterministic roll-up of every bill-of-materials line, grouped by equipment category. Sums to the bill-of-materials grand total.</t>
  </si>
  <si>
    <t>Category</t>
  </si>
  <si>
    <t>Cost (£)</t>
  </si>
  <si>
    <t>% of capex</t>
  </si>
  <si>
    <t>Share</t>
  </si>
  <si>
    <t>Enclosure</t>
  </si>
  <si>
    <t>▏</t>
  </si>
  <si>
    <t>Structure &amp; skids</t>
  </si>
  <si>
    <t>Cabling &amp; power runs</t>
  </si>
  <si>
    <t>Total (bill of materials)</t>
  </si>
  <si>
    <t>Renders — photoreal views of the plant</t>
  </si>
  <si>
    <t>The informative views from the Blender scene build: interior hero isometric, annotated interior plan, and the building exterior. Every rendered view file (including the additional corner angles) is listed with its caption on the Drawings register tab; the full-resolution files live in the run folder.</t>
  </si>
  <si>
    <t>Render 1 — Interior iso</t>
  </si>
  <si>
    <t>Interior render — three-quarter hero perspective · plant envelope 22.1 × 27.0 × 4.5 m · principal equipment: TK-106 Drain Water Tank · TK-107 Drain Water Tank · TK-108 Fresh Water Tank · Z-101 Reverse Osmosis Skid · Z-102 Uf Module Bank</t>
  </si>
  <si>
    <t>Render 2 — Interior plan</t>
  </si>
  <si>
    <t>Interior render — plan view, looking down · plant envelope 22.1 × 27.0 × 4.5 m · principal equipment: TK-106 Drain Water Tank · TK-107 Drain Water Tank · TK-108 Fresh Water Tank · Z-101 Reverse Osmosis Skid · Z-102 Uf Module Bank</t>
  </si>
  <si>
    <t>Render 5 — Exterior iso</t>
  </si>
  <si>
    <t>Exterior render — three-quarter hero perspective · plant envelope 22.1 × 27.0 × 4.5 m · building shell + site apron (equipment enclosed)</t>
  </si>
  <si>
    <t>Render 7 — Exterior FR iso</t>
  </si>
  <si>
    <t>Exterior render — front-right corner perspective · plant envelope 22.1 × 27.0 × 4.5 m · building shell + site apron (equipment enclosed)</t>
  </si>
  <si>
    <t>Cost waterfall — BoM → installed ASP</t>
  </si>
  <si>
    <t>Running build-up. Yellow = editable step £; the Running total column is LIVE (each = previous running + this step), so Σ bars = total by construction and editing any step recomputes the installed price. The assembly (B6) and installation (B9) bars are ENGINEERING ESTIMATES derived from the bill's own class subtotals × Lang/Hand-style install factors (derivation table below, sources per line) — never bare numbers. 'costStack anchor' shows the engine's stored figure at each milestone so any divergence is visible.</t>
  </si>
  <si>
    <t>Step</t>
  </si>
  <si>
    <t>Step £ (editable)</t>
  </si>
  <si>
    <t>Running total £ (live)</t>
  </si>
  <si>
    <t>Basis / derivation (costStack anchor for cross-check)</t>
  </si>
  <si>
    <t>Raw materials (BoM)</t>
  </si>
  <si>
    <t>​= Σ Bill of Materials (Ledger) line £ — LIVE link to the bill; edit the bill and this recomputes  ·  engine anchor £800,361</t>
  </si>
  <si>
    <t>​+ Assembly / erection labour</t>
  </si>
  <si>
    <t>ESTIMATE — Σ BoM class subtotals × assembly-&amp;-integration factor: Vessels &amp; tanks 0.10 · Piping &amp; fittings 0.08 · Rotating machinery 0.15 · Electrical &amp; power 0.20 · Instruments, valves &amp; controls 0.10 · Structural &amp; civil 0.05 · Other equipment 0.10 (LIVE from the derivation table below; Lang/Hand-style factors, sources per line). Engine assembly_labour_gbp kept as anchor  ·  engine anchor £320,144</t>
  </si>
  <si>
    <t>​= Factory COGS</t>
  </si>
  <si>
    <t>factory_cogs_gbp (anchor — compare running total)  ·  engine anchor £1,120,505</t>
  </si>
  <si>
    <t>​= OEM transfer price</t>
  </si>
  <si>
    <t>oem_transfer_price_gbp (anchor)  ·  engine anchor £1,120,505</t>
  </si>
  <si>
    <t>​+ Installation / field erection</t>
  </si>
  <si>
    <t>ESTIMATE — Σ BoM class subtotals × install factor: Vessels &amp; tanks 0.45 · Piping &amp; fittings 0.60 · Rotating machinery 0.30 · Electrical &amp; power 0.35 · Instruments, valves &amp; controls 0.40 · Structural &amp; civil 0.50 · Other equipment 0.30 (LIVE from the derivation table below; Lang/Hand-style factors, sources per line). Engine installation_cost_gbp kept as anchor  ·  engine anchor £240,108</t>
  </si>
  <si>
    <t>​= Installed ASP (process equipment)</t>
  </si>
  <si>
    <t>installed_asp_gbp (anchor — process plant installed price)  ·  engine anchor £1,360,613</t>
  </si>
  <si>
    <t>B6 / B9 derivation — BoM class subtotals × Lang/Hand-style factors (Lang 1948 · Hand 1958 · Peters/Timmerhaus/West 5e Tbl 6-5 · Towler &amp; Sinnott)</t>
  </si>
  <si>
    <t>Equipment class</t>
  </si>
  <si>
    <t>BoM subtotal £</t>
  </si>
  <si>
    <t>Lines / mass</t>
  </si>
  <si>
    <t>Factor source (assembly + install)</t>
  </si>
  <si>
    <t>Assembly f</t>
  </si>
  <si>
    <t>Assembly £ (live)</t>
  </si>
  <si>
    <t>Install f</t>
  </si>
  <si>
    <t>Install £ (live)</t>
  </si>
  <si>
    <t>Vessels &amp; tanks</t>
  </si>
  <si>
    <t>8 line(s) · 3,448 kg</t>
  </si>
  <si>
    <t>vessel/tank setting + field erection ≈ 40–50% of purchased (P,T&amp;W 5e Tbl 6-5 install 25–55%; Hand 1958 vessel family)</t>
  </si>
  <si>
    <t>Piping &amp; fittings</t>
  </si>
  <si>
    <t>50 line(s)</t>
  </si>
  <si>
    <t>pipework erection is the labour-dominant field trade ≈ 50–70% of material (Towler &amp; Sinnott piping factor; P,T&amp;W 5e)</t>
  </si>
  <si>
    <t>Rotating machinery</t>
  </si>
  <si>
    <t>7 line(s)</t>
  </si>
  <si>
    <t>machine setting, alignment + commissioning ≈ 25–60% of purchased, mid 30% (P,T&amp;W 5e Tbl 6-5; Hand 1958 pump family)</t>
  </si>
  <si>
    <t>Electrical &amp; power</t>
  </si>
  <si>
    <t>46 line(s)</t>
  </si>
  <si>
    <t>panel wiring/integration ~20%; field electrical (containment, pulling, termination, test) ≈ 15–40% (P,T&amp;W 5e; Towler &amp; Sinnott f_el)</t>
  </si>
  <si>
    <t>Instruments, valves &amp; controls</t>
  </si>
  <si>
    <t>27 line(s)</t>
  </si>
  <si>
    <t>instrument mounting, hook-up, loop check + calibration ≈ 30–50% (Towler &amp; Sinnott f_i; ISA installation norms)</t>
  </si>
  <si>
    <t>Structural &amp; civil</t>
  </si>
  <si>
    <t>5 line(s)</t>
  </si>
  <si>
    <t>steelwork trial-fit ~5%; site erection ≈ 50% of fabricated-steel cost (UK structural-erection norms; P,T&amp;W civil factors)</t>
  </si>
  <si>
    <t>30 line(s)</t>
  </si>
  <si>
    <t>ASSUMPTION — no class signal on these lines; generic process-equipment install 30% (P,T&amp;W 5e 25–55% band, low end) + 10% assembly</t>
  </si>
  <si>
    <t>Σ — feeds the ladder: B6 = ΣF, B9 = ΣH (live)</t>
  </si>
  <si>
    <t>Reconciliation: Σ bars = the ladder's running total by construction (col C is live off col B; B6/B9 are live off this table). The engine's costStack anchors (assembly £320,144 · install £240,108 — blanket class factors) are shown per bar for cross-check; a divergence between the class-derived estimate and the blanket anchor is DISCLOSED, never hidden.</t>
  </si>
  <si>
    <t>Financial model — cost of service first · speculative model in the appendix</t>
  </si>
  <si>
    <t>THE VALID FRAME LEADS: this plant is a cost subsystem, so the tab opens with its lifecycle cost-of-service model (capex + opex + levelised £/unit), every cell live over the yellow 'Inputs &amp; Assumptions' tab. The revenue/EBITDA/NPV/IRR machinery survives only as a clearly-labelled APPENDIX at the bottom — one caveat, stated once. Money £#,##0; margins 0.0%; years 0.0.</t>
  </si>
  <si>
    <t>COST-OF-SERVICE MODEL — the lifecycle cost of the delivered service</t>
  </si>
  <si>
    <t>Levelised cost of delivered output = (capex annualised at CRF 0.117 over 20 yr + annual opex) ÷ annual delivered volume (engine primary output metric (45 m3/h)). Every value cell is a LIVE formula over the yellow Inputs &amp; Assumptions drivers — edit an input and this recomputes.</t>
  </si>
  <si>
    <t>Item</t>
  </si>
  <si>
    <t>Value (£)</t>
  </si>
  <si>
    <t>Basis</t>
  </si>
  <si>
    <t>All-in capex</t>
  </si>
  <si>
    <t>live from Inputs — installed capex (engine costStack all-in / installed ASP)</t>
  </si>
  <si>
    <t>Annualised capex / yr</t>
  </si>
  <si>
    <t>capex × CRF (live off the Inputs discount rate + project life; as-built i=10%, n=20 yr)</t>
  </si>
  <si>
    <t>Energy / yr</t>
  </si>
  <si>
    <t>live from Inputs — connected load × hours × ELECTRICAL load factor × £/kWh (as-built 53 kW × 8,000 h × 65% × £0.15/kWh)</t>
  </si>
  <si>
    <t>Maintenance / yr</t>
  </si>
  <si>
    <t>live from Inputs — 3% of capex/yr</t>
  </si>
  <si>
    <t>Labour + other opex / yr</t>
  </si>
  <si>
    <t>live from Inputs — labour £25,000 + other opex £27,212 (the Inputs basis: unmanned/skid plant unless a headcount signal exists)</t>
  </si>
  <si>
    <t>TOTAL annual opex / yr</t>
  </si>
  <si>
    <t>energy + maintenance + labour + other (sum of the live rows above)</t>
  </si>
  <si>
    <t>Annual delivered volume (m3/h)</t>
  </si>
  <si>
    <t>engine primary output metric (45 m3/h)</t>
  </si>
  <si>
    <t>LEVELISED COST (£/m3)</t>
  </si>
  <si>
    <t>(annualised capex + total opex) ÷ annual delivered volume — live; as-built £6,537.50/m3 over 45 m3/h</t>
  </si>
  <si>
    <t>Sweet spot &amp; brief reconciliation</t>
  </si>
  <si>
    <t>Reconciliation verdict — COMPATIBLE — the brief's cost ceiling and output target fit together</t>
  </si>
  <si>
    <t>The brief is internally consistent: 360,000 m³/yr fits within the £1.40M ceiling. Recommended operating point: 360,000 m³/yr at £623k (£2/m³/yr). Objective: BALANCED (the best cost/output compromise).</t>
  </si>
  <si>
    <t>Primary objective followed: BALANCED — the best cost/output compromise</t>
  </si>
  <si>
    <t>Recommended operating point</t>
  </si>
  <si>
    <t>Reference output — tool snapshot (Q_ref)</t>
  </si>
  <si>
    <t>Reference capex, ex-works — tool snapshot (Q_ref)</t>
  </si>
  <si>
    <t>Capacity-scaling exponent (n)</t>
  </si>
  <si>
    <t>Recommended output (m³/yr)</t>
  </si>
  <si>
    <t>Recommended capex (£)</t>
  </si>
  <si>
    <t>Recommended £/m³/yr</t>
  </si>
  <si>
    <t>Recommended scale vs brief (×)</t>
  </si>
  <si>
    <t>Within cost ceiling?</t>
  </si>
  <si>
    <t>Yes</t>
  </si>
  <si>
    <t>Meets hard output floor?</t>
  </si>
  <si>
    <t>Cost–output frontier (capacity-scaling law) — £/unit falls with scale (economies of scale)</t>
  </si>
  <si>
    <t>Output (m³/yr)</t>
  </si>
  <si>
    <t>Capex (£)</t>
  </si>
  <si>
    <t>£/m³/yr</t>
  </si>
  <si>
    <t>APPENDIX — if the output were sold (speculative — not the valid frame for this plant)</t>
  </si>
  <si>
    <t>⚠ SPECULATIVE APPENDIX — no per-unit market sale price is derivable for this product class, so every revenue / EBITDA / NPV / IRR figure below is NOT a valid investor model until a real sale price is entered on the 'Inputs &amp; Assumptions' tab. This caveat is stated ONCE and covers the whole appendix.</t>
  </si>
  <si>
    <t>Economics — base case (revenue / opex / EBITDA / NPV / IRR)</t>
  </si>
  <si>
    <t>Annual profit &amp; loss</t>
  </si>
  <si>
    <t>Line</t>
  </si>
  <si>
    <t>£ / yr (live)</t>
  </si>
  <si>
    <t>Formula</t>
  </si>
  <si>
    <t>Annual revenue</t>
  </si>
  <si>
    <t>output ×  sale price (£/unit)</t>
  </si>
  <si>
    <t>Consumables — dosing chemicals · nutrient / fertiliser stock · filter media &amp; membranes</t>
  </si>
  <si>
    <t>output × consumable-intensity ratio × consumables price — the classes are the plant's own (from its process/media BoM + contract lines); price them on the Inputs tab</t>
  </si>
  <si>
    <t>Energy cost</t>
  </si>
  <si>
    <t>connected load (kW) × hours × load factor × £/kWh</t>
  </si>
  <si>
    <t>from inputs</t>
  </si>
  <si>
    <t>capex × maint% / 100</t>
  </si>
  <si>
    <t>Total opex</t>
  </si>
  <si>
    <t>Σ feed + energy + labour + maintenance + other</t>
  </si>
  <si>
    <t>EBITDA</t>
  </si>
  <si>
    <t>revenue − total opex</t>
  </si>
  <si>
    <t>Headline metrics (live)</t>
  </si>
  <si>
    <t>EBITDA margin</t>
  </si>
  <si>
    <t>EBITDA ÷ revenue</t>
  </si>
  <si>
    <t>Simple payback</t>
  </si>
  <si>
    <t>capex ÷ EBITDA (only if EBITDA &gt; 0)</t>
  </si>
  <si>
    <t>Discounted cashflow — NPV &amp; IRR (live)</t>
  </si>
  <si>
    <t>Year</t>
  </si>
  <si>
    <t>Cashflow £ (live)</t>
  </si>
  <si>
    <t>Discounted £ (live)</t>
  </si>
  <si>
    <t>capex outflow</t>
  </si>
  <si>
    <t>EBITDA inflow (within project life)</t>
  </si>
  <si>
    <t>NPV</t>
  </si>
  <si>
    <t>Σ discounted cashflow (capex at yr 0 + discounted EBITDA)</t>
  </si>
  <si>
    <t>IRR</t>
  </si>
  <si>
    <t>live =IRR over the year-0..N cashflow row (text n/a when the cashflow never turns positive)</t>
  </si>
  <si>
    <t>Opex breakdown (feeds the pie chart)</t>
  </si>
  <si>
    <t>Driver</t>
  </si>
  <si>
    <t>% of opex (live)</t>
  </si>
  <si>
    <t>Consumables — dosing chemicals · nutrient / fertiliser stock</t>
  </si>
  <si>
    <t>Energy</t>
  </si>
  <si>
    <t>Other</t>
  </si>
  <si>
    <t>Revenue</t>
  </si>
  <si>
    <t>Scenarios — scale sweep &amp; price sensitivity</t>
  </si>
  <si>
    <t>Output sweep (output, m3/h) — capex via the tunable scaling exponent (default linear/modular); payback / NPV / IRR live per row</t>
  </si>
  <si>
    <t>Output (m3/h)</t>
  </si>
  <si>
    <t>Capex £ (live)</t>
  </si>
  <si>
    <t>Revenue £ (live)</t>
  </si>
  <si>
    <t>Total opex £ (live)</t>
  </si>
  <si>
    <t>EBITDA £ (live)</t>
  </si>
  <si>
    <t>Payback yr</t>
  </si>
  <si>
    <t>NPV £ (live)</t>
  </si>
  <si>
    <t>IRR (live)</t>
  </si>
  <si>
    <t>Chart helper — payback capped at 40 yr (text 'n/a' breaks a chart series)</t>
  </si>
  <si>
    <t>Payback yr (chart)</t>
  </si>
  <si>
    <t>Low / Central / High — sale price ±25%, energy ±25%, capex ±15% (at the base output)</t>
  </si>
  <si>
    <t>Driver / metric</t>
  </si>
  <si>
    <t>Low</t>
  </si>
  <si>
    <t>Central</t>
  </si>
  <si>
    <t>High</t>
  </si>
  <si>
    <t>Sale price (±25%)</t>
  </si>
  <si>
    <t>Energy price (±25%)</t>
  </si>
  <si>
    <t>Capex (±15%)</t>
  </si>
  <si>
    <t>Payback yr (live)</t>
  </si>
  <si>
    <t>What-if sensitivity — one driver at a time (±20%), with the EBITDA swing (tornado magnitude); held at the base output</t>
  </si>
  <si>
    <t>Driver (±20%)</t>
  </si>
  <si>
    <t>EBITDA @ −20%</t>
  </si>
  <si>
    <t>EBITDA @ base</t>
  </si>
  <si>
    <t>EBITDA @ +20%</t>
  </si>
  <si>
    <t>Swing £ (|+20 − −20|)</t>
  </si>
  <si>
    <t>Sale price</t>
  </si>
  <si>
    <t>Capex (→ maintenance)</t>
  </si>
  <si>
    <t>Breakeven &amp; combined corners (live)</t>
  </si>
  <si>
    <t>Breakeven sale price (£/unit)</t>
  </si>
  <si>
    <t>EBITDA = 0 at this price (vs the Inputs price)</t>
  </si>
  <si>
    <t>Combined corners → EBITDA £</t>
  </si>
  <si>
    <t>Worst</t>
  </si>
  <si>
    <t>Base</t>
  </si>
  <si>
    <t>Best</t>
  </si>
  <si>
    <t>EBITDA (all drivers swung together)</t>
  </si>
  <si>
    <t>Investment analysis — the sweet-spot finder</t>
  </si>
  <si>
    <t>★ CAPEX → MAX OUTPUT — type a capex budget in the yellow cell; read the biggest plant it buys + its economics (via the tunable scaling exponent)</t>
  </si>
  <si>
    <t>Capex budget (EDIT me) £</t>
  </si>
  <si>
    <t>→ Max production (m3/h)</t>
  </si>
  <si>
    <t>→ Revenue / yr £</t>
  </si>
  <si>
    <t>→ Operating cost / yr £ (interp. from sweep)</t>
  </si>
  <si>
    <t>→ EBITDA / yr £</t>
  </si>
  <si>
    <t>→ Simple payback (yr)</t>
  </si>
  <si>
    <t>→ IRR (annuity)</t>
  </si>
  <si>
    <t>DEPLOYMENT VERDICT</t>
  </si>
  <si>
    <t>NO DEPLOYMENT RECOMMENDED — EBITDA is negative at every scale in the 0.2x–5x sweep at the current inputs (no revenue basis), so there is no point worth deploying capital into. The valid economics for this plant are the cost-of-service model at the top of this tab.</t>
  </si>
  <si>
    <t>Sweet-spot thresholds — live over the scale sweep (Scenarios tab)</t>
  </si>
  <si>
    <t>What</t>
  </si>
  <si>
    <t>Capex £</t>
  </si>
  <si>
    <t>How it's found</t>
  </si>
  <si>
    <t>Break-even scale (EBITDA ≥ 0)</t>
  </si>
  <si>
    <t>first sweep row with EBITDA ≥ 0 (EBITDA rises with scale); 'none in range' when every sweep row is loss-making</t>
  </si>
  <si>
    <t>Viability threshold (IRR ≥ discount rate)</t>
  </si>
  <si>
    <t>first row whose IRR clears the discount rate — capital just covers its cost</t>
  </si>
  <si>
    <t>Investable scale (IRR ≥ hurdle)</t>
  </si>
  <si>
    <t>first row whose IRR clears the editable investor hurdle (Inputs tab) — the SWEET SPOT</t>
  </si>
  <si>
    <t>NPV-max scale (in range)</t>
  </si>
  <si>
    <t>output that maximises NPV across the sweep (trends to the top of the range when economics improve with scale)</t>
  </si>
  <si>
    <t>What moves the sweet spot</t>
  </si>
  <si>
    <t>The SALE PRICE per output unit is the dominant lever (revenue is linear in it and in output). ENERGY price + connected load set the largest variable-opex line. CAPEX and its six-tenths exponent set the absolute investment and the maintenance line. Flex these on the Inputs tab — every threshold + curve moves live.</t>
  </si>
  <si>
    <t>Output m3/h</t>
  </si>
  <si>
    <t>Discount-rate line</t>
  </si>
  <si>
    <t>Hurdle line</t>
  </si>
  <si>
    <t>NPV £</t>
  </si>
  <si>
    <t>Payback yr (cap 40)</t>
  </si>
  <si>
    <t>THE BILL + its provenance + its engineering, on one sheet — ALL COLUMNS VISIBLE (nothing hidden/collapsed). Buy-list: tag · item · qty · unit £ · LIVE line £. 'Cost basis' (cols F–J) = HOW each £ was derived (method / inputs / factors / estimate class / confidence); 'Engineering spec' (cols K–N) = WHY each principal is this size (duty / material / sizing calc / MPN). Σ line £ is live at the foot; commodity lines leave the spec columns blank (correct — they need no sizing basis). ↳ SUB-COMPONENT ROWS are grouped under their parent principal and open COLLAPSED — the sheet reads as the buy list; expand a parent's + on the left margin to see its children (their £ is apportioned into the parent line). MPN STATUS: engineered TBD 1/61 bought-out lines await detailed design (score penalised by the engineered-TBD fraction — a fully-TBD bill cannot reach 8) · commodity 8/15 small parts carry 'commodity — MPN at procurement' (commodity noun family + unit £ ≤ £100, both required — unpenalised, tallied separately; real practice carries no MPN on class-basis commodity parts at concept stage) · generic-spec 0/0 engine-refused process valves carry 'generic spec — MPN at procurement' (a spec-complete DN/material/rating on the row itself, no £ cap — unpenalised) · OEM-proprietary 2/2 lines carry 'OEM-proprietary (no public MPN)' (a recorded research finding on the row, never self-declared — unpenalised). ROW CHECK CONTRACT (score = 10 × rows-passing ÷ rows − 4 × engineered-TBD-fraction = 10 × 417/417 − 4 × 0.016 = 9.9): MPN TALLIES: resolved 60/61 · engineered TBD 1/61 (penalised) · commodity 'MPN at procurement' 8/15 (unpenalised, visible; noun family + unit £ ≤ £100, both required) · generic spec — MPN at procurement 0/0 (unpenalised, visible; engine-refused process valve with a spec-complete DN/material/rating on its own row, no £ cap) · OEM-proprietary (no public MPN) 2/2 (unpenalised, visible; requires a recorded research finding on the row, never self-declared). Tag/Item=required_nonempty · Class fit=computed · Qty=required_nonempty · Unit £ / Line £=computed · Basis=required_nonempty · Material=computed · MPN / datasheet=computed. A dash / empty / unverifiable contracted cell FAILS its row — honest red beats fake green.</t>
  </si>
  <si>
    <t>Qty</t>
  </si>
  <si>
    <t>Unit £</t>
  </si>
  <si>
    <t>Line £</t>
  </si>
  <si>
    <t>Cost method</t>
  </si>
  <si>
    <t>Key inputs</t>
  </si>
  <si>
    <t>Factors</t>
  </si>
  <si>
    <t>Est class</t>
  </si>
  <si>
    <t>Confidence</t>
  </si>
  <si>
    <t>Duty / rating</t>
  </si>
  <si>
    <t>Sizing calc (basis)</t>
  </si>
  <si>
    <t>MPN / datasheet</t>
  </si>
  <si>
    <t>Row check</t>
  </si>
  <si>
    <t>Audit: check evidence (build-computed)</t>
  </si>
  <si>
    <t>class_reference</t>
  </si>
  <si>
    <t>class-reference price (no itemised inputs)</t>
  </si>
  <si>
    <t>floored; catalogue</t>
  </si>
  <si>
    <t>moderate</t>
  </si>
  <si>
    <t>N/A — proprietary assembly / bought-out package, see datasheet</t>
  </si>
  <si>
    <t>catalogue · floored to min credible price</t>
  </si>
  <si>
    <t>Rittal 1180.000</t>
  </si>
  <si>
    <t>catalogue-class budget (no itemised inputs)</t>
  </si>
  <si>
    <t>high</t>
  </si>
  <si>
    <t>Circuit Breakers</t>
  </si>
  <si>
    <t>ABB 1SDA067417R1</t>
  </si>
  <si>
    <t>Terminal Blocks</t>
  </si>
  <si>
    <t>WAGO 2002-1301</t>
  </si>
  <si>
    <t>TDK-Lambda DRB240-24-3-A0</t>
  </si>
  <si>
    <t>llm_estimate</t>
  </si>
  <si>
    <t>model estimate (no itemised inputs)</t>
  </si>
  <si>
    <t>parametric</t>
  </si>
  <si>
    <t>low</t>
  </si>
  <si>
    <t>DC Power Cabling</t>
  </si>
  <si>
    <t>bottom-up parametric</t>
  </si>
  <si>
    <t>commodity — MPN at procurement</t>
  </si>
  <si>
    <t>60 kVA</t>
  </si>
  <si>
    <t>£320/kVA; install; rating-based</t>
  </si>
  <si>
    <t>Standby Diesel Generator · 60 kVA · 862x733x948 mm</t>
  </si>
  <si>
    <t>rating-based: 60 kVA × £320/kVA (UK-2026 installed mid; band £200-440/kVA) — standby diesel genset @ £/kVA [£44,840 above band → grounded to market]</t>
  </si>
  <si>
    <t>Pramac GBW60P</t>
  </si>
  <si>
    <t>5 kVA</t>
  </si>
  <si>
    <t>£550/kVA; install; rating-based</t>
  </si>
  <si>
    <t>Control + Instrument UPS · 5 kW (30 min) · 600x510x660 mm</t>
  </si>
  <si>
    <t>rating-based: 5 kVA × £550/kVA (UK-2026 installed mid; band £300-950/kVA) — UPS @ £/kVA [£21,500 above band → grounded to market]</t>
  </si>
  <si>
    <t>Eaton 9SX5KI</t>
  </si>
  <si>
    <t>53 kW</t>
  </si>
  <si>
    <t>£50/kW; install; class budget; catalogue</t>
  </si>
  <si>
    <t>SCADA / Plant Control System · 53 kW plant</t>
  </si>
  <si>
    <t>installed process system — catalogue-class budget: £60k base (redundant PLC racks + SCADA servers + operator HMIs + I/O + plant network + software licences + panel build + commissioning; supply + install) + £50/kW × ~53 kW connected plant load</t>
  </si>
  <si>
    <t>Hoogendoorn iSii</t>
  </si>
  <si>
    <t>75 kVA</t>
  </si>
  <si>
    <t>£28/kVA; install; rating-based</t>
  </si>
  <si>
    <t>Distribution Transformer · 75 kVA</t>
  </si>
  <si>
    <t>rating-based: 75 kVA × £28/kVA (UK-2026 installed mid; band £15-55/kVA) — transformer @ £/kVA [£18 below band → grounded to market]</t>
  </si>
  <si>
    <t>Hammond Power Solutions SG3A0075KB</t>
  </si>
  <si>
    <t>Eaton Freedom 2100</t>
  </si>
  <si>
    <t>364 m²</t>
  </si>
  <si>
    <t>£25/m²; take-off; parametric</t>
  </si>
  <si>
    <t>Toray HFU-2020AN RO Membrane Elements · 364 m² area</t>
  </si>
  <si>
    <t>membrane/filtration media</t>
  </si>
  <si>
    <t>membrane-area parametric: 364 m² × £25/m² (spiral-wound/UF module supply, UK-2026; NOT a steel take-off)</t>
  </si>
  <si>
    <t>bespoke fabrication to drawing — see sizing basis</t>
  </si>
  <si>
    <t>—.1</t>
  </si>
  <si>
    <t>↳ Pressure Vessel Shell · 15 m³/h</t>
  </si>
  <si>
    <t>incl. in parent</t>
  </si>
  <si>
    <t>incl. in parent line</t>
  </si>
  <si>
    <t>—.2</t>
  </si>
  <si>
    <t>↳ Filter Media / Membrane Elements</t>
  </si>
  <si>
    <t>—.3</t>
  </si>
  <si>
    <t>↳ Upper Distribution Header</t>
  </si>
  <si>
    <t>—.4</t>
  </si>
  <si>
    <t>↳ Lower Underdrain / Nozzle Plate</t>
  </si>
  <si>
    <t>—.5</t>
  </si>
  <si>
    <t>↳ Backwash / Service Valve Nest</t>
  </si>
  <si>
    <t>—.6</t>
  </si>
  <si>
    <t>↳ Differential-Pressure Gauges</t>
  </si>
  <si>
    <t>—.7</t>
  </si>
  <si>
    <t>↳ Air Scour / Vent</t>
  </si>
  <si>
    <t>—.8</t>
  </si>
  <si>
    <t>↳ Sample Cock</t>
  </si>
  <si>
    <t>—.9</t>
  </si>
  <si>
    <t>↳ Skid Frame &amp; Pipework</t>
  </si>
  <si>
    <t>—.10</t>
  </si>
  <si>
    <t>↳ Nameplate</t>
  </si>
  <si>
    <t>Z-103.1</t>
  </si>
  <si>
    <t>Z-103.2</t>
  </si>
  <si>
    <t>Z-103.3</t>
  </si>
  <si>
    <t>Z-103.4</t>
  </si>
  <si>
    <t>Z-103.5</t>
  </si>
  <si>
    <t>Z-103.6</t>
  </si>
  <si>
    <t>Z-103.7</t>
  </si>
  <si>
    <t>Z-103.8</t>
  </si>
  <si>
    <t>Z-103.9</t>
  </si>
  <si>
    <t>Z-103.10</t>
  </si>
  <si>
    <t>Hydraulic Connectors</t>
  </si>
  <si>
    <t>median £34,360, n=5</t>
  </si>
  <si>
    <t>35%; £12,012→£17,540; lifted; corpus; catalogue</t>
  </si>
  <si>
    <t>Uv Disinfection · 4 kW · 600x510x660 mm</t>
  </si>
  <si>
    <t>catalogue · MoC: PVC-U / 304 stainless (WRAS) for potable-water service (WRAS-approved wetted materials) · lifted £12,012→£17,540 to the engine corpus p25 (median £34,360, n=5; line was 35% of median — under-priced vs the engine's own forge-truth reference)</t>
  </si>
  <si>
    <t>WEDECO (Xylem) Spektron 30e</t>
  </si>
  <si>
    <t>V-102.1</t>
  </si>
  <si>
    <t>↳ Process Unit</t>
  </si>
  <si>
    <t>V-102.2</t>
  </si>
  <si>
    <t>↳ Inlet / Outlet Manifolds</t>
  </si>
  <si>
    <t>V-102.3</t>
  </si>
  <si>
    <t>↳ Flow Control Valve</t>
  </si>
  <si>
    <t>V-102.4</t>
  </si>
  <si>
    <t>↳ Dosing / Lamp Module</t>
  </si>
  <si>
    <t>V-102.5</t>
  </si>
  <si>
    <t>↳ Local Sensor</t>
  </si>
  <si>
    <t>V-102.6</t>
  </si>
  <si>
    <t>↳ Control &amp; Power Module</t>
  </si>
  <si>
    <t>V-102.7</t>
  </si>
  <si>
    <t>↳ Mounting Frame</t>
  </si>
  <si>
    <t>5 mm; 1.3 m; 13 kPa; 120 MPa; 6 m²; 259 kg; median £12,581</t>
  </si>
  <si>
    <t>×1.3; × 259; £4.5/kg; × 1.25; 28%; £3,548→£8,000; lifted;</t>
  </si>
  <si>
    <t>Softener Vessel · 1.2 m dia x 1.3 m</t>
  </si>
  <si>
    <t>tapered wall 5 mm = P·r/(σ·E)+c · ⌀1.2×1.3 m (open top (no head)) · P=13 kPa head · σ=120 MPa → 6 m² × 259 kg carbon steel @ £4.5/kg supply × 1.25 erection + fittings · named part Pentair Structural '36X72 COMP 6"TF 6"BF' rejected: Engine B priced it £840 via its small-parts commodity curve — no catalogue class exists for a bespoke fabricated tank/vessel shell; a materials take-off is used instead · lifted £3,548→£8,000 to the engine corpus p25 (median £12,581, n=5; line was 28% of median — under-priced vs the engine's own forge-truth reference)</t>
  </si>
  <si>
    <t>Pentair Structural 36X72 COMP 6"TF 6"BF</t>
  </si>
  <si>
    <t>V-106.1</t>
  </si>
  <si>
    <t>↳ Shell Course</t>
  </si>
  <si>
    <t>V-106.2</t>
  </si>
  <si>
    <t>↳ Top Head / Roof</t>
  </si>
  <si>
    <t>V-106.3</t>
  </si>
  <si>
    <t>↳ Base / Floor Plate</t>
  </si>
  <si>
    <t>V-106.4</t>
  </si>
  <si>
    <t>↳ Support Skirt / Legs</t>
  </si>
  <si>
    <t>V-106.5</t>
  </si>
  <si>
    <t>↳ Manway &amp; Cover</t>
  </si>
  <si>
    <t>V-106.6</t>
  </si>
  <si>
    <t>↳ Inlet Nozzle Set</t>
  </si>
  <si>
    <t>V-106.7</t>
  </si>
  <si>
    <t>↳ Outlet Nozzle Set</t>
  </si>
  <si>
    <t>V-106.8</t>
  </si>
  <si>
    <t>↳ Drain Nozzle</t>
  </si>
  <si>
    <t>V-106.9</t>
  </si>
  <si>
    <t>↳ Overflow / Weir</t>
  </si>
  <si>
    <t>V-106.10</t>
  </si>
  <si>
    <t>↳ Internal Distribution</t>
  </si>
  <si>
    <t>V-106.11</t>
  </si>
  <si>
    <t>↳ Tank Vent / Pressure Relief</t>
  </si>
  <si>
    <t>V-106.12</t>
  </si>
  <si>
    <t>↳ Access Ladder &amp; Platform</t>
  </si>
  <si>
    <t>V-106.13</t>
  </si>
  <si>
    <t>↳ Internal Lining / Coating</t>
  </si>
  <si>
    <t>V-106.14</t>
  </si>
  <si>
    <t>↳ Earthing Boss</t>
  </si>
  <si>
    <t>V-106.15</t>
  </si>
  <si>
    <t>Fertigation Dosing Pump · 8 kW · 600x510x660 mm</t>
  </si>
  <si>
    <t>catalogue · MoC: PVC-U / 304 stainless (WRAS) for potable-water service (WRAS-approved wetted materials)</t>
  </si>
  <si>
    <t>Grundfos 96122012</t>
  </si>
  <si>
    <t>P-106.1</t>
  </si>
  <si>
    <t>↳ Casing</t>
  </si>
  <si>
    <t>P-106.2</t>
  </si>
  <si>
    <t>↳ Impeller / Rotor</t>
  </si>
  <si>
    <t>P-106.3</t>
  </si>
  <si>
    <t>↳ Drive Motor · 7.5 kW</t>
  </si>
  <si>
    <t>P-106.4</t>
  </si>
  <si>
    <t>↳ Variable-Speed Drive · 7.5 kW</t>
  </si>
  <si>
    <t>catalogue; parametric</t>
  </si>
  <si>
    <t>P-106.5</t>
  </si>
  <si>
    <t>↳ Flexible Coupling</t>
  </si>
  <si>
    <t>P-106.6</t>
  </si>
  <si>
    <t>↳ Coupling Guard</t>
  </si>
  <si>
    <t>P-106.7</t>
  </si>
  <si>
    <t>↳ Baseplate</t>
  </si>
  <si>
    <t>P-106.8</t>
  </si>
  <si>
    <t>↳ Mechanical Seal</t>
  </si>
  <si>
    <t>P-106.9</t>
  </si>
  <si>
    <t>↳ Suction Isolation Valve (on Fertigation Dosing Pump)</t>
  </si>
  <si>
    <t>P-106.10</t>
  </si>
  <si>
    <t>↳ Discharge Isolation Valve (on Fertigation Dosing Pump)</t>
  </si>
  <si>
    <t>P-106.11</t>
  </si>
  <si>
    <t>↳ Non-Return Valve (on Fertigation Dosing Pump)</t>
  </si>
  <si>
    <t>P-106.12</t>
  </si>
  <si>
    <t>↳ Discharge Pressure Gauge</t>
  </si>
  <si>
    <t>P-106.13</t>
  </si>
  <si>
    <t>↳ Anti-Vibration Mounts</t>
  </si>
  <si>
    <t>6 mm; 1.1 m; 11 kPa; 18 MPa; 5 m²; 58 kg</t>
  </si>
  <si>
    <t>×1.1; × 58; £12.0/kg; × 1.25</t>
  </si>
  <si>
    <t>Nutrient Tank · 1.1 m dia x 1.1 m</t>
  </si>
  <si>
    <t>tapered wall 6 mm = P·r/(σ·E)+c · ⌀1.1×1.1 m (open top (no head)) · P=11 kPa head · σ=18 MPa → 5 m² × 58 kg FRP/GRP @ £12.0/kg supply × 1.25 erection + fittings</t>
  </si>
  <si>
    <t>TK-103.1</t>
  </si>
  <si>
    <t>↳ Tank Wall (laminate)</t>
  </si>
  <si>
    <t>TK-103.2</t>
  </si>
  <si>
    <t>↳ Tank Floor (graded to centre)</t>
  </si>
  <si>
    <t>TK-103.3</t>
  </si>
  <si>
    <t>↳ Dual Drain / Centre Standpipe</t>
  </si>
  <si>
    <t>TK-103.4</t>
  </si>
  <si>
    <t>↳ Side Drain &amp; Overflow</t>
  </si>
  <si>
    <t>TK-103.5</t>
  </si>
  <si>
    <t>↳ Inlet Distribution Ring</t>
  </si>
  <si>
    <t>TK-103.6</t>
  </si>
  <si>
    <t>↳ Internal Flow Baffles</t>
  </si>
  <si>
    <t>TK-103.7</t>
  </si>
  <si>
    <t>↳ Rim Stiffener</t>
  </si>
  <si>
    <t>TK-103.8</t>
  </si>
  <si>
    <t>↳ Access Walkway &amp; Handrail</t>
  </si>
  <si>
    <t>TK-103.9</t>
  </si>
  <si>
    <t>↳ Internal Gelcoat / Lining</t>
  </si>
  <si>
    <t>TK-103.10</t>
  </si>
  <si>
    <t>TK-103.11</t>
  </si>
  <si>
    <t>3 kW</t>
  </si>
  <si>
    <t>£700/kW; install; rating-based</t>
  </si>
  <si>
    <t>Hand Watering Pump · 25 m³/h · 900x500x700 mm</t>
  </si>
  <si>
    <t>rating-based: 3 kW × £700/kW (UK-2026 installed mid; band £350-1300/kW) — process pump (skid: casing+motor+VSD) @ £/kW [£8,110 above band → grounded to market] · motor kW from contract hand_watering_pump_motor_kw (the line's own rating is a flow, not a power) · MoC: PVC-U / 304 stainless (WRAS) for potable-water service (WRAS-approved wetted materials)</t>
  </si>
  <si>
    <t>Grundfos 96935501</t>
  </si>
  <si>
    <t>P-102.1</t>
  </si>
  <si>
    <t>P-102.2</t>
  </si>
  <si>
    <t>P-102.3</t>
  </si>
  <si>
    <t>↳ Drive Motor · 3 kW</t>
  </si>
  <si>
    <t>P-102.4</t>
  </si>
  <si>
    <t>↳ Variable-Speed Drive · 3 kW</t>
  </si>
  <si>
    <t>P-102.5</t>
  </si>
  <si>
    <t>P-102.6</t>
  </si>
  <si>
    <t>P-102.7</t>
  </si>
  <si>
    <t>P-102.8</t>
  </si>
  <si>
    <t>P-102.9</t>
  </si>
  <si>
    <t>↳ Suction Isolation Valve (on Hand Watering Pump) (on Hand Watering Pump)</t>
  </si>
  <si>
    <t>P-102.10</t>
  </si>
  <si>
    <t>↳ Discharge Isolation Valve (on Hand Watering Pump) (on Hand Watering Pump)</t>
  </si>
  <si>
    <t>P-102.11</t>
  </si>
  <si>
    <t>↳ Non-Return Valve (on Hand Watering Pump) (on Hand Watering Pump)</t>
  </si>
  <si>
    <t>P-102.12</t>
  </si>
  <si>
    <t>P-102.13</t>
  </si>
  <si>
    <t>6 mm; 1.4 m; 14 kPa; 18 MPa; 13 m²; 160 kg</t>
  </si>
  <si>
    <t>×1.4; × 160; £12.0/kg; × 1.25</t>
  </si>
  <si>
    <t>Drain Collection Sump · 2.1 m dia x 1.4 m</t>
  </si>
  <si>
    <t>tapered wall 6 mm = P·r/(σ·E)+c · ⌀2.1×1.4 m (open top (no head)) · P=14 kPa head · σ=18 MPa → 13 m² × 160 kg FRP/GRP @ £12.0/kg supply × 1.25 erection + fittings</t>
  </si>
  <si>
    <t>TK-114.1</t>
  </si>
  <si>
    <t>TK-114.2</t>
  </si>
  <si>
    <t>TK-114.3</t>
  </si>
  <si>
    <t>TK-114.4</t>
  </si>
  <si>
    <t>TK-114.5</t>
  </si>
  <si>
    <t>TK-114.6</t>
  </si>
  <si>
    <t>TK-114.7</t>
  </si>
  <si>
    <t>TK-114.8</t>
  </si>
  <si>
    <t>TK-114.9</t>
  </si>
  <si>
    <t>TK-114.10</t>
  </si>
  <si>
    <t>TK-114.11</t>
  </si>
  <si>
    <t>2kw</t>
  </si>
  <si>
    <t>Drain Transfer Pump · 2 kW · 600x510x660 mm</t>
  </si>
  <si>
    <t>real DB median of 1 comparable 2kw 'pump' parts (forge-truth.db) · MoC: PVC-U / 304 stainless (WRAS) for potable-water service (WRAS-approved wetted materials)</t>
  </si>
  <si>
    <t>Grundfos SL1.50.65.22.2.50D.C</t>
  </si>
  <si>
    <t>P-104.1</t>
  </si>
  <si>
    <t>P-104.2</t>
  </si>
  <si>
    <t>P-104.3</t>
  </si>
  <si>
    <t>↳ Drive Motor · 2.2 kW</t>
  </si>
  <si>
    <t>P-104.4</t>
  </si>
  <si>
    <t>↳ Variable-Speed Drive · 2.2 kW</t>
  </si>
  <si>
    <t>P-104.5</t>
  </si>
  <si>
    <t>P-104.6</t>
  </si>
  <si>
    <t>P-104.7</t>
  </si>
  <si>
    <t>P-104.8</t>
  </si>
  <si>
    <t>P-104.9</t>
  </si>
  <si>
    <t>↳ Suction Isolation Valve (on Drain Transfer Pump) (on Drain Transfer Pump)</t>
  </si>
  <si>
    <t>P-104.10</t>
  </si>
  <si>
    <t>↳ Discharge Isolation Valve (on Drain Transfer Pump) (on Drain Transfer Pump)</t>
  </si>
  <si>
    <t>P-104.11</t>
  </si>
  <si>
    <t>↳ Non-Return Valve (on Drain Transfer Pump) (on Drain Transfer Pump)</t>
  </si>
  <si>
    <t>P-104.12</t>
  </si>
  <si>
    <t>P-104.13</t>
  </si>
  <si>
    <t>3 m²; 0 bar</t>
  </si>
  <si>
    <t>£90/m²; take-off</t>
  </si>
  <si>
    <t>Cloth Filter · 80 m³/h · 3 m² area</t>
  </si>
  <si>
    <t>structural steelwork take-off: 3 m² plan × £90/m² (UK-2026 fabricated + erected; service=structural, dry, 0 bar — NOT a pressure shell) + £8k connections</t>
  </si>
  <si>
    <t>V-104.1</t>
  </si>
  <si>
    <t>↳ Drum / Element · 80 m³/h</t>
  </si>
  <si>
    <t>V-104.2</t>
  </si>
  <si>
    <t>↳ Media / Mesh Panels</t>
  </si>
  <si>
    <t>V-104.3</t>
  </si>
  <si>
    <t>↳ Drive Gearmotor · 1 kW</t>
  </si>
  <si>
    <t>V-104.4</t>
  </si>
  <si>
    <t>↳ Backwash Spray Bar</t>
  </si>
  <si>
    <t>V-104.5</t>
  </si>
  <si>
    <t>↳ Backwash Pump</t>
  </si>
  <si>
    <t>V-104.6</t>
  </si>
  <si>
    <t>↳ Reject Trough</t>
  </si>
  <si>
    <t>V-104.7</t>
  </si>
  <si>
    <t>↳ Differential-Pressure Switch</t>
  </si>
  <si>
    <t>V-104.8</t>
  </si>
  <si>
    <t>↳ Support Frame</t>
  </si>
  <si>
    <t>V-104.9</t>
  </si>
  <si>
    <t>↳ Local Control Panel</t>
  </si>
  <si>
    <t>Gac Softener · 15 m³/h · 0.9 m dia x 1.8 m</t>
  </si>
  <si>
    <t>V-103.1</t>
  </si>
  <si>
    <t>V-103.2</t>
  </si>
  <si>
    <t>V-103.3</t>
  </si>
  <si>
    <t>V-103.4</t>
  </si>
  <si>
    <t>V-103.5</t>
  </si>
  <si>
    <t>V-103.6</t>
  </si>
  <si>
    <t>V-103.7</t>
  </si>
  <si>
    <t>V-103.8</t>
  </si>
  <si>
    <t>V-103.9</t>
  </si>
  <si>
    <t>V-103.10</t>
  </si>
  <si>
    <t>45 m³</t>
  </si>
  <si>
    <t>× 2; catalogue</t>
  </si>
  <si>
    <t>Irrigation Pump · 90 m³/h · 1379x766x1073 mm</t>
  </si>
  <si>
    <t>catalogue · MoC: PVC-U / 304 stainless (WRAS) for potable-water service (WRAS-approved wetted materials) · demand-sized: peak irrigation demand = 45 m³/h per department × 2 departments</t>
  </si>
  <si>
    <t>Grundfos 96539165</t>
  </si>
  <si>
    <t>P-103.1</t>
  </si>
  <si>
    <t>P-103.2</t>
  </si>
  <si>
    <t>P-103.3</t>
  </si>
  <si>
    <t>↳ Drive Motor · 11 kW</t>
  </si>
  <si>
    <t>P-103.4</t>
  </si>
  <si>
    <t>↳ Variable-Speed Drive · 11 kW</t>
  </si>
  <si>
    <t>P-103.5</t>
  </si>
  <si>
    <t>P-103.6</t>
  </si>
  <si>
    <t>P-103.7</t>
  </si>
  <si>
    <t>P-103.8</t>
  </si>
  <si>
    <t>P-103.9</t>
  </si>
  <si>
    <t>↳ Suction Isolation Valve (on Irrigation Pump) (on Irrigation Pump)</t>
  </si>
  <si>
    <t>P-103.10</t>
  </si>
  <si>
    <t>↳ Discharge Isolation Valve (on Irrigation Pump) (on Irrigation Pump)</t>
  </si>
  <si>
    <t>P-103.11</t>
  </si>
  <si>
    <t>↳ Non-Return Valve (on Irrigation Pump) (on Irrigation Pump)</t>
  </si>
  <si>
    <t>P-103.12</t>
  </si>
  <si>
    <t>P-103.13</t>
  </si>
  <si>
    <t>Distribution Manifold · 45 m³/h · 700x595x770 mm</t>
  </si>
  <si>
    <t>distribution-manifold parametric: 45 m³/h delivery duty × £25/(m³·h) + £600 base — fabricated header + isolation/non-return valves + gauge tappings + supports (supply-only materials; field labour in the cost stack) · MoC: PVC-U / 304 stainless (WRAS) for potable-water service (WRAS-approved wetted materials)</t>
  </si>
  <si>
    <t>8 m²; 0 bar</t>
  </si>
  <si>
    <t>Reverse Osmosis Skid · 2.3 m dia x 2.4 m</t>
  </si>
  <si>
    <t>structural steelwork take-off: 8 m² plan × £90/m² (UK-2026 fabricated + erected; service=structural, dry, 0 bar — NOT a pressure shell) + £8k connections</t>
  </si>
  <si>
    <t>Z-101.1</t>
  </si>
  <si>
    <t>Z-101.2</t>
  </si>
  <si>
    <t>Z-101.3</t>
  </si>
  <si>
    <t>Z-101.4</t>
  </si>
  <si>
    <t>Z-101.5</t>
  </si>
  <si>
    <t>Z-101.6</t>
  </si>
  <si>
    <t>Z-101.7</t>
  </si>
  <si>
    <t>Z-101.8</t>
  </si>
  <si>
    <t>Z-101.9</t>
  </si>
  <si>
    <t>Z-101.10</t>
  </si>
  <si>
    <t>4kw</t>
  </si>
  <si>
    <t>Ro High Pressure Pump · 4 kW · 600x510x660 mm</t>
  </si>
  <si>
    <t>real DB median of 1 comparable 4kw 'pump' parts (forge-truth.db) · MoC: PVC-U / 304 stainless (WRAS) for potable-water service (WRAS-approved wetted materials)</t>
  </si>
  <si>
    <t>Grundfos 96502039</t>
  </si>
  <si>
    <t>P-101.1</t>
  </si>
  <si>
    <t>P-101.2</t>
  </si>
  <si>
    <t>P-101.3</t>
  </si>
  <si>
    <t>↳ Drive Motor · 4.2 kW</t>
  </si>
  <si>
    <t>P-101.4</t>
  </si>
  <si>
    <t>↳ Variable-Speed Drive · 4.2 kW</t>
  </si>
  <si>
    <t>P-101.5</t>
  </si>
  <si>
    <t>P-101.6</t>
  </si>
  <si>
    <t>P-101.7</t>
  </si>
  <si>
    <t>P-101.8</t>
  </si>
  <si>
    <t>P-101.9</t>
  </si>
  <si>
    <t>↳ Suction Isolation Valve (on Ro High Pressure Pump)</t>
  </si>
  <si>
    <t>P-101.10</t>
  </si>
  <si>
    <t>↳ Discharge Isolation Valve (on Ro High Pressure Pump)</t>
  </si>
  <si>
    <t>P-101.11</t>
  </si>
  <si>
    <t>↳ Non-Return Valve (on Ro High Pressure Pump)</t>
  </si>
  <si>
    <t>P-101.12</t>
  </si>
  <si>
    <t>P-101.13</t>
  </si>
  <si>
    <t>median £18, n=5</t>
  </si>
  <si>
    <t>22%; £4→£18; lifted; corpus; catalogue</t>
  </si>
  <si>
    <t>Gac Filter · 1.3 m dia x 1.4 m</t>
  </si>
  <si>
    <t>catalogue · MoC: PVC-U / 304 stainless (WRAS) for potable-water service (WRAS-approved wetted materials) · lifted £4→£18 to the engine corpus 0.6×median (median £18, n=5; line was 22% of median — under-priced vs the engine's own forge-truth reference)</t>
  </si>
  <si>
    <t>General Carbon HP-1000</t>
  </si>
  <si>
    <t>V-101.1</t>
  </si>
  <si>
    <t>V-101.2</t>
  </si>
  <si>
    <t>V-101.3</t>
  </si>
  <si>
    <t>V-101.4</t>
  </si>
  <si>
    <t>V-101.5</t>
  </si>
  <si>
    <t>V-101.6</t>
  </si>
  <si>
    <t>V-101.7</t>
  </si>
  <si>
    <t>V-101.8</t>
  </si>
  <si>
    <t>V-101.9</t>
  </si>
  <si>
    <t>V-101.10</t>
  </si>
  <si>
    <t>6 mm; 3.7 m; 36 kPa; 18 MPa; 54 m²; 656 kg</t>
  </si>
  <si>
    <t>×3.7; × 656; £12.0/kg; × 1.25</t>
  </si>
  <si>
    <t>Fresh Water Tank · 3.7 m dia x 3.7 m</t>
  </si>
  <si>
    <t>tapered wall 6 mm = P·r/(σ·E)+c · ⌀3.7×3.7 m (open top (no head)) · P=36 kPa head · σ=18 MPa → 54 m² × 656 kg FRP/GRP @ £12.0/kg supply × 1.25 erection + fittings</t>
  </si>
  <si>
    <t>TK-108.1</t>
  </si>
  <si>
    <t>TK-108.2</t>
  </si>
  <si>
    <t>TK-108.3</t>
  </si>
  <si>
    <t>TK-108.4</t>
  </si>
  <si>
    <t>TK-108.5</t>
  </si>
  <si>
    <t>TK-108.6</t>
  </si>
  <si>
    <t>TK-108.7</t>
  </si>
  <si>
    <t>TK-108.8</t>
  </si>
  <si>
    <t>TK-108.9</t>
  </si>
  <si>
    <t>TK-108.10</t>
  </si>
  <si>
    <t>TK-108.11</t>
  </si>
  <si>
    <t>Drain Water Tank · 3.7 m dia x 3.7 m</t>
  </si>
  <si>
    <t>TK-106.1</t>
  </si>
  <si>
    <t>TK-106.2</t>
  </si>
  <si>
    <t>TK-106.3</t>
  </si>
  <si>
    <t>TK-106.4</t>
  </si>
  <si>
    <t>TK-106.5</t>
  </si>
  <si>
    <t>TK-106.6</t>
  </si>
  <si>
    <t>TK-106.7</t>
  </si>
  <si>
    <t>TK-106.8</t>
  </si>
  <si>
    <t>TK-106.9</t>
  </si>
  <si>
    <t>TK-106.10</t>
  </si>
  <si>
    <t>TK-106.11</t>
  </si>
  <si>
    <t>Compartment Spacers</t>
  </si>
  <si>
    <t>bottom-up parametric · commodity-floor (estimate £0.11 renders £0; 'spacers' → £3)</t>
  </si>
  <si>
    <t>Uf Membrane Bank · 364 m² area</t>
  </si>
  <si>
    <t>membrane-area parametric: 364 m² × £25/m² (spiral-wound/UF module supply, UK-2026; NOT a steel take-off) · merged synonym line(s): 'Ultrafiltration Module' (was £14,825), 'Uf Module Bank' (was £14,825)</t>
  </si>
  <si>
    <t>take-off</t>
  </si>
  <si>
    <t>Z-102.1</t>
  </si>
  <si>
    <t>Z-102.2</t>
  </si>
  <si>
    <t>Z-102.3</t>
  </si>
  <si>
    <t>Z-102.4</t>
  </si>
  <si>
    <t>Z-102.5</t>
  </si>
  <si>
    <t>Z-102.6</t>
  </si>
  <si>
    <t>Z-102.7</t>
  </si>
  <si>
    <t>Z-102.8</t>
  </si>
  <si>
    <t>Z-102.9</t>
  </si>
  <si>
    <t>Z-102.10</t>
  </si>
  <si>
    <t>PLC Controller</t>
  </si>
  <si>
    <t>Siemens 6ES7241-1CH32-0XB0</t>
  </si>
  <si>
    <t>Veolia Ro40 Controller</t>
  </si>
  <si>
    <t>bottom-up parametric · OEM-proprietary — no public MPN (verified 2026-07-04: Veolia Water Technologies RO40 (Ionpro RO skid controller line) datasheets + distributor catalogues checked — no publicly listed part/model number found)</t>
  </si>
  <si>
    <t>OEM-proprietary (no public MPN)</t>
  </si>
  <si>
    <t>Modbus Interface</t>
  </si>
  <si>
    <t>Ethernet Ip Module</t>
  </si>
  <si>
    <t>HMS Networks AB7072-B</t>
  </si>
  <si>
    <t>median £982, n=5</t>
  </si>
  <si>
    <t>29%; £280→£982; lifted; corpus; catalogue</t>
  </si>
  <si>
    <t>Hoogendoorn iSii Remote Monitoring</t>
  </si>
  <si>
    <t>catalogue · lifted £280→£982 to the engine corpus 0.6×median (median £982, n=5; line was 29% of median — under-priced vs the engine's own forge-truth reference)</t>
  </si>
  <si>
    <t>HMS Networks (Ewon) FLEXY20500_00MA</t>
  </si>
  <si>
    <t>Dc3 Power Controller</t>
  </si>
  <si>
    <t>bottom-up parametric · OEM-proprietary — no public MPN (verified 2026-07-04: Veolia Water Technologies DC3 (Terion dosing/power controller line) datasheets + distributor catalogues checked — no publicly listed part/model number found)</t>
  </si>
  <si>
    <t>HMI Touchscreen</t>
  </si>
  <si>
    <t>Panasonic Industrial Automation AWHS1R070</t>
  </si>
  <si>
    <t>Remote Monitoring Gateway</t>
  </si>
  <si>
    <t>Siemens 6AV2123-2GB03-0AX0</t>
  </si>
  <si>
    <t>Solenoid Valves</t>
  </si>
  <si>
    <t>Sensata Technologies, Inc. SOL7A4</t>
  </si>
  <si>
    <t>£1.85/DN·mm</t>
  </si>
  <si>
    <t>Pneumatic Actuated Valves</t>
  </si>
  <si>
    <t>actuated-valve assembly (actuator + valve body as ONE unit): £80 base + £1.85/DN·mm × DN65 assumed (2½ in class) = £200 (UK-2026 trade supply, never the bare-valve band) · MoC: PVC-U / 304 stainless (WRAS) for potable-water service (WRAS-approved wetted materials)</t>
  </si>
  <si>
    <t>Bürkert Type 2000</t>
  </si>
  <si>
    <t>Flow Control Valves</t>
  </si>
  <si>
    <t>Pentair Fleck 2900S</t>
  </si>
  <si>
    <t>install; class budget; catalogue</t>
  </si>
  <si>
    <t>Inlet Flow Control Valve · 45 m³/h · DN100 modulating control valve (45 m³/h @ 2 m/s)</t>
  </si>
  <si>
    <t>installed actuator — catalogue-class budget</t>
  </si>
  <si>
    <t>Pneumatic Control Valve</t>
  </si>
  <si>
    <t>Bürkert Type 2301</t>
  </si>
  <si>
    <t>Conductivity Sensor</t>
  </si>
  <si>
    <t>Myron L 750-II-CS51</t>
  </si>
  <si>
    <t>Flow Meter</t>
  </si>
  <si>
    <t>Endress+Hauser DMA50-AAABA1</t>
  </si>
  <si>
    <t>Ph Sensor</t>
  </si>
  <si>
    <t>Endress+Hauser CPS11E</t>
  </si>
  <si>
    <t>Orp Sensor</t>
  </si>
  <si>
    <t>Endress+Hauser CPS12D</t>
  </si>
  <si>
    <t>1.4 m; median £2,800, n=5</t>
  </si>
  <si>
    <t>×2; ×8; ×1; 32%; £900→£1,843; lifted; corpus; install; cla</t>
  </si>
  <si>
    <t>Level Transmitter · 0–1.4 m</t>
  </si>
  <si>
    <t>installed instrument — catalogue-class budget · qty 13 = one per monitored vessel (a contract-declared control variable is measured on EVERY vessel that holds it — stated engineering rule); locations: softener vessel ×2 (0–1.4 m), nutrient tank ×8 (0–1.4 m), drain collection sump ×2 (0–1.4 m), gac filter ×1 (0–1.4 m) · lifted £900→£1,843 to the engine corpus p25 (median £2,800, n=5; line was 32% of median — under-priced vs the engine's own forge-truth reference)</t>
  </si>
  <si>
    <t>Endress+Hauser Waterpilot FMX21</t>
  </si>
  <si>
    <t>LT-214</t>
  </si>
  <si>
    <t>median £2,800, n=5</t>
  </si>
  <si>
    <t>32%; £900→£1,843; lifted; corpus; install; class budget; c</t>
  </si>
  <si>
    <t>Level Transmitter · 0–3 m</t>
  </si>
  <si>
    <t>installed instrument — catalogue-class budget · lifted £900→£1,843 to the engine corpus p25 (median £2,800, n=5; line was 32% of median — under-priced vs the engine's own forge-truth reference)</t>
  </si>
  <si>
    <t>LT-215–217</t>
  </si>
  <si>
    <t>4 m; median £2,800, n=5</t>
  </si>
  <si>
    <t>×1; ×2; 32%; £900→£1,843; lifted; corpus; install; class b</t>
  </si>
  <si>
    <t>Level Transmitter · 0–4 m</t>
  </si>
  <si>
    <t>installed instrument — catalogue-class budget · qty 3 = one per monitored vessel (a contract-declared control variable is measured on EVERY vessel that holds it — stated engineering rule); locations: fresh water tank ×1 (0–4 m), drain water tank ×2 (0–4 m) · lifted £900→£1,843 to the engine corpus p25 (median £2,800, n=5; line was 32% of median — under-priced vs the engine's own forge-truth reference)</t>
  </si>
  <si>
    <t>46%; £1,300→£2,800; lifted; corpus; install; class budget;</t>
  </si>
  <si>
    <t>pH Analyser · pH 0–14 (control 0.3)</t>
  </si>
  <si>
    <t>installed instrument — catalogue-class budget · lifted £1,300→£2,800 to the engine corpus 0.6×median (median £2,800, n=5; line was 46% of median — under-priced vs the engine's own forge-truth reference)</t>
  </si>
  <si>
    <t>Hach LXV404.99.05112</t>
  </si>
  <si>
    <t>5 bar</t>
  </si>
  <si>
    <t>×2; ×8; ×1; install; class budget; catalogue</t>
  </si>
  <si>
    <t>Pressure Transmitter · 0–5 bar</t>
  </si>
  <si>
    <t>installed instrument — catalogue-class budget · qty 17 = one per monitored vessel (a contract-declared control variable is measured on EVERY vessel that holds it — stated engineering rule); locations: softener vessel ×2 (0–5 bar), nutrient tank ×8 (0–5 bar), drain collection sump ×2 (0–5 bar), reverse osmosis skid ×1 (0–5 bar), gac filter ×1 (0–5 bar), fresh water tank ×1 (0–5 b</t>
  </si>
  <si>
    <t>Telemecanique XMLP150PD130</t>
  </si>
  <si>
    <t>Silica Analyzer</t>
  </si>
  <si>
    <t>Hach 5500sc</t>
  </si>
  <si>
    <t>Chlorine Sensor</t>
  </si>
  <si>
    <t>Hach LXV45B.99.11022</t>
  </si>
  <si>
    <t>Tds Sensor</t>
  </si>
  <si>
    <t>Mains Incomer · 125 A · 400 V 3-phase LV incomer · 125 A ACB frame (sized to 53 kW connected load, PF 0.9, 25% margin)</t>
  </si>
  <si>
    <t>Main Switchboard · 125 A · 400 V 3-phase LV incomer · 125 A ACB frame (sized to 53 kW connected load, PF 0.9, 25% margin)</t>
  </si>
  <si>
    <t>Schneider Electric BlokSeT MB301M</t>
  </si>
  <si>
    <t>Power Supply Unit</t>
  </si>
  <si>
    <t>Omron Automation and Safety S8VS-09024BP</t>
  </si>
  <si>
    <t>Surge Protection Device</t>
  </si>
  <si>
    <t>Phoenix Contact 2838199</t>
  </si>
  <si>
    <t>Sample Valves</t>
  </si>
  <si>
    <t>Swagelok SS-42GS4</t>
  </si>
  <si>
    <t>Flexmount Connectors</t>
  </si>
  <si>
    <t>Painted Carbon Steel Skid Frame · 2.3 m dia x 2.4 m</t>
  </si>
  <si>
    <t>painted structural carbon steel (S275/S355)</t>
  </si>
  <si>
    <t>made-to-spec · structural budget estimate</t>
  </si>
  <si>
    <t>364 m²; 37 m²</t>
  </si>
  <si>
    <t>× 8; take-off; parametric</t>
  </si>
  <si>
    <t>Grp Membrane Housings · 364 m² area</t>
  </si>
  <si>
    <t>membrane-housing parametric: 364 m² membrane area ÷ 37 m²/element → 10 × 8-in GRP pressure housing @ £1,100 (UK-2026 supply; NOT a steel take-off)</t>
  </si>
  <si>
    <t>Painted Steel Skid Frame · 2.3 m dia x 2.4 m</t>
  </si>
  <si>
    <t>Sst304 Skid Frame · 2.3 m dia x 2.4 m</t>
  </si>
  <si>
    <t>304 stainless steel</t>
  </si>
  <si>
    <t>Leveling Feet</t>
  </si>
  <si>
    <t>bottom-up parametric · commodity-floor (estimate £0.11 renders £0; 'feet' → £3)</t>
  </si>
  <si>
    <t>Transformer · 75 kW · 1090x927x1199 mm</t>
  </si>
  <si>
    <t>rating-based: 75 kVA × £28/kVA (UK-2026 installed mid; band £15-55/kVA) — transformer @ £/kVA [£15 below band → grounded to market]</t>
  </si>
  <si>
    <t>TBD (detailed design)</t>
  </si>
  <si>
    <t>Pressure Relief Valve · 4 kW · 600x510x660 mm</t>
  </si>
  <si>
    <t>Goetze Series 851</t>
  </si>
  <si>
    <t>Low Pressure Switch</t>
  </si>
  <si>
    <t>Danfoss 060-121966</t>
  </si>
  <si>
    <t>High Pressure Switch</t>
  </si>
  <si>
    <t>Danfoss 060-310266</t>
  </si>
  <si>
    <t>Emergency Stop Button</t>
  </si>
  <si>
    <t>Eaton 216516</t>
  </si>
  <si>
    <t>0 m²; 0 bar</t>
  </si>
  <si>
    <t>structural steelwork take-off: 0 m² plan × £90/m² (UK-2026 fabricated + erected; service=structural, dry, 0 bar — NOT a pressure shell) + £8k connections</t>
  </si>
  <si>
    <t>Rittal VX25 8284.500</t>
  </si>
  <si>
    <t>Cable Trays</t>
  </si>
  <si>
    <t>Legrand SRFL100G</t>
  </si>
  <si>
    <t>Overcurrent Protection</t>
  </si>
  <si>
    <t>Schneider Electric LV430630</t>
  </si>
  <si>
    <t>Leak Detection Sensor</t>
  </si>
  <si>
    <t>nVent Raychem TT-1000</t>
  </si>
  <si>
    <t>Motor Overload Protection</t>
  </si>
  <si>
    <t>Siemens 3RU2126-4DB0</t>
  </si>
  <si>
    <t>Emergency Stop Switch</t>
  </si>
  <si>
    <t>Banner Engineering SSA-EB1PS1-02-A01</t>
  </si>
  <si>
    <t>Cable Glands</t>
  </si>
  <si>
    <t>Cabletec CG-M20-IP68</t>
  </si>
  <si>
    <t>6 mm; 1.3 m; 13 kPa; 18 MPa; 7 m²; 89 kg; median £8,082, n</t>
  </si>
  <si>
    <t>×1.3; × 89; £12.0/kg; × 1.25; 42%; £3,404→£4,000; lifted;</t>
  </si>
  <si>
    <t>Cleaning Tank · 1.4 m dia x 1.3 m</t>
  </si>
  <si>
    <t>tapered wall 6 mm = P·r/(σ·E)+c · ⌀1.4×1.3 m (open top (no head)) · P=13 kPa head · σ=18 MPa → 7 m² × 89 kg FRP/GRP @ £12.0/kg supply × 1.25 erection + fittings · lifted £3,404→£4,000 to the engine corpus p25 (median £8,082, n=5; line was 42% of median — under-priced vs the engine's own forge-truth reference)</t>
  </si>
  <si>
    <t>TK-102.1 / TK-101.1</t>
  </si>
  <si>
    <t>TK-102.2 / TK-101.2</t>
  </si>
  <si>
    <t>TK-102.3 / TK-101.3</t>
  </si>
  <si>
    <t>TK-102.4 / TK-101.4</t>
  </si>
  <si>
    <t>TK-102.5 / TK-101.5</t>
  </si>
  <si>
    <t>TK-102.6 / TK-101.6</t>
  </si>
  <si>
    <t>TK-102.7 / TK-101.7</t>
  </si>
  <si>
    <t>TK-102.8 / TK-101.8</t>
  </si>
  <si>
    <t>TK-102.9 / TK-101.9</t>
  </si>
  <si>
    <t>TK-102.10 / TK-101.10</t>
  </si>
  <si>
    <t>TK-102.11 / TK-101.11</t>
  </si>
  <si>
    <t>3 Part Union Fittings</t>
  </si>
  <si>
    <t>C01</t>
  </si>
  <si>
    <t>water connection: Gac Softener → Softener Vessel · 14.5 m3/h</t>
  </si>
  <si>
    <t>pipe £66/m @ DN80 (HDPE/</t>
  </si>
  <si>
    <t>10.8 m; 25 m³; 1.4 m</t>
  </si>
  <si>
    <t>£66/m; × 10.8; install</t>
  </si>
  <si>
    <t>moderate — deterministic take-off (routed length × rate)</t>
  </si>
  <si>
    <t>HDPE/PVC-U</t>
  </si>
  <si>
    <t>pipe £66/m @ DN80 (HDPE/PVC-U) × 10.8 m + 2 ends · sized 25 m³/h @ 1.4 m/s · branch duty (default — endpoint not on main loop) · installed cost — supply + installation labour + terminations included (uk-2026 supply+install model; not a bare-fittings/component price)</t>
  </si>
  <si>
    <t>DN80 HDPE/PVC-U pipe, 10.8 m</t>
  </si>
  <si>
    <t>C02</t>
  </si>
  <si>
    <t>water connection: Gac Softener → Drain Collection Sump · 45 m3/h</t>
  </si>
  <si>
    <t>pipe £36/m @ DN32 (HDPE/</t>
  </si>
  <si>
    <t>20.4 m; 5 m³; 1.7 m</t>
  </si>
  <si>
    <t>£36/m; × 20.4; install</t>
  </si>
  <si>
    <t>pipe £36/m @ DN32 (HDPE/PVC-U) × 20.4 m + 2 ends · sized 5 m³/h @ 1.7 m/s · bleed/drain duty (~make-up balance) · installed cost — supply + installation labour + terminations included (uk-2026 supply+install model; not a bare-fittings/component price)</t>
  </si>
  <si>
    <t>DN32 HDPE/PVC-U pipe, 20.4 m</t>
  </si>
  <si>
    <t>C03</t>
  </si>
  <si>
    <t>water connection: Uf Module Bank → Ro High Pressure Pump · 11 m3/h</t>
  </si>
  <si>
    <t>21.5 m; 25 m³; 1.4 m</t>
  </si>
  <si>
    <t>£66/m; × 21.5; install</t>
  </si>
  <si>
    <t>pipe £66/m @ DN80 (HDPE/PVC-U) × 21.5 m + 2 ends · sized 25 m³/h @ 1.4 m/s · branch duty (default — endpoint not on main loop) · installed cost — supply + installation labour + terminations included (uk-2026 supply+install model; not a bare-fittings/component price)</t>
  </si>
  <si>
    <t>DN80 HDPE/PVC-U pipe, 21.5 m</t>
  </si>
  <si>
    <t>C04</t>
  </si>
  <si>
    <t>water connection: Uf Module Bank → Drain Collection Sump · 45 m3/h</t>
  </si>
  <si>
    <t>22.1 m; 5 m³; 1.7 m</t>
  </si>
  <si>
    <t>£36/m; × 22.1; install</t>
  </si>
  <si>
    <t>pipe £36/m @ DN32 (HDPE/PVC-U) × 22.1 m + 2 ends · sized 5 m³/h @ 1.7 m/s · bleed/drain duty (~make-up balance) · installed cost — supply + installation labour + terminations included (uk-2026 supply+install model; not a bare-fittings/component price)</t>
  </si>
  <si>
    <t>DN32 HDPE/PVC-U pipe, 22.1 m</t>
  </si>
  <si>
    <t>C05</t>
  </si>
  <si>
    <t>water connection: Ro High Pressure Pump → Reverse Osmosis Skid · 11 m3/h</t>
  </si>
  <si>
    <t>30.9 m; 25 m³; 1.4 m</t>
  </si>
  <si>
    <t>£66/m; × 30.9; install</t>
  </si>
  <si>
    <t>pipe £66/m @ DN80 (HDPE/PVC-U) × 30.9 m + 2 ends · sized 25 m³/h @ 1.4 m/s · branch duty (default — endpoint not on main loop) · installed cost — supply + installation labour + terminations included (uk-2026 supply+install model; not a bare-fittings/component price)</t>
  </si>
  <si>
    <t>DN80 HDPE/PVC-U pipe, 30.9 m</t>
  </si>
  <si>
    <t>C06</t>
  </si>
  <si>
    <t>water connection: Ro High Pressure Pump → Drain Collection Sump · 45 m3/h</t>
  </si>
  <si>
    <t>35.1 m; 5 m³; 1.7 m</t>
  </si>
  <si>
    <t>£36/m; × 35.1; install</t>
  </si>
  <si>
    <t>pipe £36/m @ DN32 (HDPE/PVC-U) × 35.1 m + 2 ends · sized 5 m³/h @ 1.7 m/s · bleed/drain duty (~make-up balance) · installed cost — supply + installation labour + terminations included (uk-2026 supply+install model; not a bare-fittings/component price)</t>
  </si>
  <si>
    <t>DN32 HDPE/PVC-U pipe, 35.1 m</t>
  </si>
  <si>
    <t>C07</t>
  </si>
  <si>
    <t>water connection: Cloth Filter → Gac Filter · 80 m3/h</t>
  </si>
  <si>
    <t>18.3 m; 25 m³; 1.4 m</t>
  </si>
  <si>
    <t>£66/m; × 18.3; install</t>
  </si>
  <si>
    <t>pipe £66/m @ DN80 (HDPE/PVC-U) × 18.3 m + 2 ends · sized 25 m³/h @ 1.4 m/s · branch duty (default — endpoint not on main loop) · installed cost — supply + installation labour + terminations included (uk-2026 supply+install model; not a bare-fittings/component price)</t>
  </si>
  <si>
    <t>DN80 HDPE/PVC-U pipe, 18.3 m</t>
  </si>
  <si>
    <t>C08</t>
  </si>
  <si>
    <t>water connection: Cloth Filter → Drain Collection Sump · 45 m3/h</t>
  </si>
  <si>
    <t>23.2 m; 5 m³; 1.7 m</t>
  </si>
  <si>
    <t>£36/m; × 23.2; install</t>
  </si>
  <si>
    <t>pipe £36/m @ DN32 (HDPE/PVC-U) × 23.2 m + 2 ends · sized 5 m³/h @ 1.7 m/s · bleed/drain duty (~make-up balance) · installed cost — supply + installation labour + terminations included (uk-2026 supply+install model; not a bare-fittings/component price)</t>
  </si>
  <si>
    <t>DN32 HDPE/PVC-U pipe, 23.2 m</t>
  </si>
  <si>
    <t>C09</t>
  </si>
  <si>
    <t>water connection: Gac Filter → Uv Disinfection · 90 m3/h</t>
  </si>
  <si>
    <t>20.7 m; 25 m³; 1.4 m; 45 m³</t>
  </si>
  <si>
    <t>£66/m; × 20.7; × 2; install</t>
  </si>
  <si>
    <t>pipe £66/m @ DN80 (HDPE/PVC-U) × 20.7 m + 2 ends · sized 25 m³/h @ 1.4 m/s · branch duty (default — endpoint not on main loop) · installed cost — supply + installation labour + terminations included (uk-2026 supply+install model; not a bare-fittings/component price) · demand-sized: peak irrigation demand = 45 m³/h per department × 2 departments</t>
  </si>
  <si>
    <t>DN80 HDPE/PVC-U pipe, 20.7 m</t>
  </si>
  <si>
    <t>C10</t>
  </si>
  <si>
    <t>water connection: Gac Filter → Drain Collection Sump · 45 m3/h</t>
  </si>
  <si>
    <t>29.6 m; 5 m³; 1.7 m</t>
  </si>
  <si>
    <t>£36/m; × 29.6; install</t>
  </si>
  <si>
    <t>pipe £36/m @ DN32 (HDPE/PVC-U) × 29.6 m + 2 ends · sized 5 m³/h @ 1.7 m/s · bleed/drain duty (~make-up balance) · installed cost — supply + installation labour + terminations included (uk-2026 supply+install model; not a bare-fittings/component price)</t>
  </si>
  <si>
    <t>DN32 HDPE/PVC-U pipe, 29.6 m</t>
  </si>
  <si>
    <t>C11</t>
  </si>
  <si>
    <t>water connection: Uv Disinfection → Drain Collection Sump · 45 m3/h</t>
  </si>
  <si>
    <t>27.7 m; 5 m³; 1.7 m</t>
  </si>
  <si>
    <t>£36/m; × 27.7; install</t>
  </si>
  <si>
    <t>pipe £36/m @ DN32 (HDPE/PVC-U) × 27.7 m + 2 ends · sized 5 m³/h @ 1.7 m/s · bleed/drain duty (~make-up balance) · installed cost — supply + installation labour + terminations included (uk-2026 supply+install model; not a bare-fittings/component price)</t>
  </si>
  <si>
    <t>DN32 HDPE/PVC-U pipe, 27.7 m</t>
  </si>
  <si>
    <t>C12</t>
  </si>
  <si>
    <t>water connection: Drain Collection Sump → Drain Water Tank · 45 m3/h</t>
  </si>
  <si>
    <t>11.7 m; 5 m³; 1.7 m</t>
  </si>
  <si>
    <t>£36/m; × 11.7; install</t>
  </si>
  <si>
    <t>pipe £36/m @ DN32 (HDPE/PVC-U) × 11.7 m + 2 ends · sized 5 m³/h @ 1.7 m/s · bleed/drain duty (~make-up balance) · installed cost — supply + installation labour + terminations included (uk-2026 supply+install model; not a bare-fittings/component price)</t>
  </si>
  <si>
    <t>DN32 HDPE/PVC-U pipe, 11.7 m</t>
  </si>
  <si>
    <t>C13</t>
  </si>
  <si>
    <t>water connection: Drain Collection Sump → Uv Disinfection · 90 m3/h</t>
  </si>
  <si>
    <t>22.4 m; 5 m³; 1.7 m; 45 m³</t>
  </si>
  <si>
    <t>£36/m; × 22.4; × 2; install</t>
  </si>
  <si>
    <t>pipe £36/m @ DN32 (HDPE/PVC-U) × 22.4 m + 2 ends · sized 5 m³/h @ 1.7 m/s · bleed/drain duty (~make-up balance) · installed cost — supply + installation labour + terminations included (uk-2026 supply+install model; not a bare-fittings/component price) · demand-sized: peak irrigation demand = 45 m³/h per department × 2 departments</t>
  </si>
  <si>
    <t>DN32 HDPE/PVC-U pipe, 22.4 m</t>
  </si>
  <si>
    <t>C14</t>
  </si>
  <si>
    <t>water connection: Drain Collection Sump → Hand Watering Pump · 25 m3/h</t>
  </si>
  <si>
    <t>29.2 m; 5 m³; 1.7 m</t>
  </si>
  <si>
    <t>£36/m; × 29.2; install</t>
  </si>
  <si>
    <t>pipe £36/m @ DN32 (HDPE/PVC-U) × 29.2 m + 2 ends · sized 5 m³/h @ 1.7 m/s · bleed/drain duty (~make-up balance) · installed cost — supply + installation labour + terminations included (uk-2026 supply+install model; not a bare-fittings/component price)</t>
  </si>
  <si>
    <t>DN32 HDPE/PVC-U pipe, 29.2 m</t>
  </si>
  <si>
    <t>C15</t>
  </si>
  <si>
    <t>water connection: Drain Collection Sump → Cloth Filter · 80 m3/h</t>
  </si>
  <si>
    <t>18.0 m; 5 m³; 1.7 m</t>
  </si>
  <si>
    <t>£36/m; × 18.0; install</t>
  </si>
  <si>
    <t>pipe £36/m @ DN32 (HDPE/PVC-U) × 18.0 m + 2 ends · sized 5 m³/h @ 1.7 m/s · bleed/drain duty (~make-up balance) · installed cost — supply + installation labour + terminations included (uk-2026 supply+install model; not a bare-fittings/component price)</t>
  </si>
  <si>
    <t>DN32 HDPE/PVC-U pipe, 18.0 m</t>
  </si>
  <si>
    <t>C16</t>
  </si>
  <si>
    <t>water connection: Drain Collection Sump → Gac Softener · 14.5 m3/h</t>
  </si>
  <si>
    <t>9.2 m; 5 m³; 1.7 m</t>
  </si>
  <si>
    <t>£36/m; × 9.2; install</t>
  </si>
  <si>
    <t>pipe £36/m @ DN32 (HDPE/PVC-U) × 9.2 m + 2 ends · sized 5 m³/h @ 1.7 m/s · bleed/drain duty (~make-up balance) · installed cost — supply + installation labour + terminations included (uk-2026 supply+install model; not a bare-fittings/component price)</t>
  </si>
  <si>
    <t>DN32 HDPE/PVC-U pipe, 9.2 m</t>
  </si>
  <si>
    <t>C17</t>
  </si>
  <si>
    <t>water connection: Drain Collection Sump → Irrigation Pump · 90 m3/h</t>
  </si>
  <si>
    <t>26.5 m; 5 m³; 1.7 m; 45 m³</t>
  </si>
  <si>
    <t>£36/m; × 26.5; × 2; install</t>
  </si>
  <si>
    <t>pipe £36/m @ DN32 (HDPE/PVC-U) × 26.5 m + 2 ends · sized 5 m³/h @ 1.7 m/s · bleed/drain duty (~make-up balance) · installed cost — supply + installation labour + terminations included (uk-2026 supply+install model; not a bare-fittings/component price) · demand-sized: peak irrigation demand = 45 m³/h per department × 2 departments</t>
  </si>
  <si>
    <t>DN32 HDPE/PVC-U pipe, 26.5 m</t>
  </si>
  <si>
    <t>C18</t>
  </si>
  <si>
    <t>water connection: Drain Collection Sump → Reverse Osmosis Skid · 45 m3/h</t>
  </si>
  <si>
    <t>4.8 m; 5 m³; 1.7 m</t>
  </si>
  <si>
    <t>£36/m; × 4.8; install</t>
  </si>
  <si>
    <t>pipe £36/m @ DN32 (HDPE/PVC-U) × 4.8 m + 2 ends · sized 5 m³/h @ 1.7 m/s · bleed/drain duty (~make-up balance) · installed cost — supply + installation labour + terminations included (uk-2026 supply+install model; not a bare-fittings/component price)</t>
  </si>
  <si>
    <t>DN32 HDPE/PVC-U pipe, 4.8 m</t>
  </si>
  <si>
    <t>C19</t>
  </si>
  <si>
    <t>water connection: Drain Collection Sump → Ro High Pressure Pump · 11 m3/h</t>
  </si>
  <si>
    <t>30.2 m; 5 m³; 1.7 m</t>
  </si>
  <si>
    <t>£36/m; × 30.2; install</t>
  </si>
  <si>
    <t>pipe £36/m @ DN32 (HDPE/PVC-U) × 30.2 m + 2 ends · sized 5 m³/h @ 1.7 m/s · bleed/drain duty (~make-up balance) · installed cost — supply + installation labour + terminations included (uk-2026 supply+install model; not a bare-fittings/component price)</t>
  </si>
  <si>
    <t>DN32 HDPE/PVC-U pipe, 30.2 m</t>
  </si>
  <si>
    <t>C20</t>
  </si>
  <si>
    <t>water connection: Drain Collection Sump → Gac Filter · 45 m3/h</t>
  </si>
  <si>
    <t>23.8 m; 5 m³; 1.7 m</t>
  </si>
  <si>
    <t>£36/m; × 23.8; install</t>
  </si>
  <si>
    <t>pipe £36/m @ DN32 (HDPE/PVC-U) × 23.8 m + 2 ends · sized 5 m³/h @ 1.7 m/s · bleed/drain duty (~make-up balance) · installed cost — supply + installation labour + terminations included (uk-2026 supply+install model; not a bare-fittings/component price)</t>
  </si>
  <si>
    <t>DN32 HDPE/PVC-U pipe, 23.8 m</t>
  </si>
  <si>
    <t>C21</t>
  </si>
  <si>
    <t>water connection: Drain Collection Sump → Uf Module Bank · 45 m3/h</t>
  </si>
  <si>
    <t>8.4 m; 5 m³; 1.7 m</t>
  </si>
  <si>
    <t>£36/m; × 8.4; install</t>
  </si>
  <si>
    <t>pipe £36/m @ DN32 (HDPE/PVC-U) × 8.4 m + 2 ends · sized 5 m³/h @ 1.7 m/s · bleed/drain duty (~make-up balance) · installed cost — supply + installation labour + terminations included (uk-2026 supply+install model; not a bare-fittings/component price)</t>
  </si>
  <si>
    <t>DN32 HDPE/PVC-U pipe, 8.4 m</t>
  </si>
  <si>
    <t>C22</t>
  </si>
  <si>
    <t>water connection: Drain Collection Sump → Cleaning Tank · 4 m3/h</t>
  </si>
  <si>
    <t>20.1 m; 5 m³; 1.7 m</t>
  </si>
  <si>
    <t>£36/m; × 20.1; install</t>
  </si>
  <si>
    <t>pipe £36/m @ DN32 (HDPE/PVC-U) × 20.1 m + 2 ends · sized 5 m³/h @ 1.7 m/s · bleed/drain duty (~make-up balance) · installed cost — supply + installation labour + terminations included (uk-2026 supply+install model; not a bare-fittings/component price)</t>
  </si>
  <si>
    <t>DN32 HDPE/PVC-U pipe, 20.1 m</t>
  </si>
  <si>
    <t>C23</t>
  </si>
  <si>
    <t>water connection: Drain Collection Sump → Cip Tank · 4 m3/h</t>
  </si>
  <si>
    <t>23.7 m; 5 m³; 1.7 m</t>
  </si>
  <si>
    <t>£36/m; × 23.7; install</t>
  </si>
  <si>
    <t>pipe £36/m @ DN32 (HDPE/PVC-U) × 23.7 m + 2 ends · sized 5 m³/h @ 1.7 m/s · bleed/drain duty (~make-up balance) · installed cost — supply + installation labour + terminations included (uk-2026 supply+install model; not a bare-fittings/component price)</t>
  </si>
  <si>
    <t>DN32 HDPE/PVC-U pipe, 23.7 m</t>
  </si>
  <si>
    <t>C24</t>
  </si>
  <si>
    <t>water connection: Drain Water Tank → Drain Transfer Pump · 45 m3/h</t>
  </si>
  <si>
    <t>28.6 m; 5 m³; 1.7 m</t>
  </si>
  <si>
    <t>£36/m; × 28.6; install</t>
  </si>
  <si>
    <t>pipe £36/m @ DN32 (HDPE/PVC-U) × 28.6 m + 2 ends · sized 5 m³/h @ 1.7 m/s · bleed/drain duty (~make-up balance) · installed cost — supply + installation labour + terminations included (uk-2026 supply+install model; not a bare-fittings/component price)</t>
  </si>
  <si>
    <t>DN32 HDPE/PVC-U pipe, 28.6 m</t>
  </si>
  <si>
    <t>C25</t>
  </si>
  <si>
    <t>water connection: Drain Transfer Pump → Cip Tank · 4 m3/h</t>
  </si>
  <si>
    <t>27.3 m; 5 m³; 1.7 m</t>
  </si>
  <si>
    <t>£36/m; × 27.3; install</t>
  </si>
  <si>
    <t>pipe £36/m @ DN32 (HDPE/PVC-U) × 27.3 m + 2 ends · sized 5 m³/h @ 1.7 m/s · bleed/drain duty (~make-up balance) · installed cost — supply + installation labour + terminations included (uk-2026 supply+install model; not a bare-fittings/component price)</t>
  </si>
  <si>
    <t>DN32 HDPE/PVC-U pipe, 27.3 m</t>
  </si>
  <si>
    <t>C26</t>
  </si>
  <si>
    <t>water connection: Cip Tank → Cleaning Tank · 4 m3/h</t>
  </si>
  <si>
    <t>3.1 m; 25 m³; 1.4 m</t>
  </si>
  <si>
    <t>£66/m; × 3.1; install</t>
  </si>
  <si>
    <t>pipe £66/m @ DN80 (HDPE/PVC-U) × 3.1 m + 2 ends · sized 25 m³/h @ 1.4 m/s · branch duty (default — endpoint not on main loop) · installed cost — supply + installation labour + terminations included (uk-2026 supply+install model; not a bare-fittings/component price)</t>
  </si>
  <si>
    <t>DN80 HDPE/PVC-U pipe, 3.1 m</t>
  </si>
  <si>
    <t>C27</t>
  </si>
  <si>
    <t>water connection: Cip Tank → Drain Collection Sump · 45 m3/h</t>
  </si>
  <si>
    <t>C28</t>
  </si>
  <si>
    <t>water connection: Cleaning Tank → Fresh Water Tank · 4 m3/h</t>
  </si>
  <si>
    <t>13.7 m; 5 m³; 1.7 m</t>
  </si>
  <si>
    <t>£36/m; × 13.7; 0.4%; install</t>
  </si>
  <si>
    <t>pipe £36/m @ DN32 (HDPE/PVC-U) × 13.7 m + 2 ends · sized 5 m³/h @ 1.7 m/s · make-up water duty (~0.4% of recirc) · installed cost — supply + installation labour + terminations included (uk-2026 supply+install model; not a bare-fittings/component price)</t>
  </si>
  <si>
    <t>DN32 HDPE/PVC-U pipe, 13.7 m</t>
  </si>
  <si>
    <t>C29</t>
  </si>
  <si>
    <t>water connection: Cleaning Tank → Drain Collection Sump · 45 m3/h</t>
  </si>
  <si>
    <t>24.3 m; 5 m³; 1.7 m</t>
  </si>
  <si>
    <t>£36/m; × 24.3; install</t>
  </si>
  <si>
    <t>pipe £36/m @ DN32 (HDPE/PVC-U) × 24.3 m + 2 ends · sized 5 m³/h @ 1.7 m/s · bleed/drain duty (~make-up balance) · installed cost — supply + installation labour + terminations included (uk-2026 supply+install model; not a bare-fittings/component price)</t>
  </si>
  <si>
    <t>DN32 HDPE/PVC-U pipe, 24.3 m</t>
  </si>
  <si>
    <t>C30</t>
  </si>
  <si>
    <t>water connection: Fresh Water Tank → Nutrient Tank · —</t>
  </si>
  <si>
    <t>5.0 m; 5 m³; 1.7 m</t>
  </si>
  <si>
    <t>£36/m; × 5.0; 0.4%; install</t>
  </si>
  <si>
    <t>pipe £36/m @ DN32 (HDPE/PVC-U) × 5.0 m + 2 ends · sized 5 m³/h @ 1.7 m/s · make-up water duty (~0.4% of recirc) · installed cost — supply + installation labour + terminations included (uk-2026 supply+install model; not a bare-fittings/component price)</t>
  </si>
  <si>
    <t>DN32 HDPE/PVC-U pipe, 5.0 m</t>
  </si>
  <si>
    <t>C31</t>
  </si>
  <si>
    <t>water connection: Fresh Water Tank → Permeate Outlet · 90 m3/h</t>
  </si>
  <si>
    <t>30.6 m; 5 m³; 1.7 m; 45 m³</t>
  </si>
  <si>
    <t>£36/m; × 30.6; 0.4%; × 2; install</t>
  </si>
  <si>
    <t>pipe £36/m @ DN32 (HDPE/PVC-U) × 30.6 m + 2 ends · sized 5 m³/h @ 1.7 m/s · make-up water duty (~0.4% of recirc) · installed cost — supply + installation labour + terminations included (uk-2026 supply+install model; not a bare-fittings/component price) · demand-sized: peak irrigation demand = 45 m³/h per department × 2 departments</t>
  </si>
  <si>
    <t>DN32 HDPE/PVC-U pipe, 30.6 m</t>
  </si>
  <si>
    <t>C32</t>
  </si>
  <si>
    <t>water connection: Fresh Water Tank → Softener Vessel · 14.5 m3/h</t>
  </si>
  <si>
    <t>31.1 m; 5 m³; 1.7 m</t>
  </si>
  <si>
    <t>£36/m; × 31.1; 0.4%; install</t>
  </si>
  <si>
    <t>pipe £36/m @ DN32 (HDPE/PVC-U) × 31.1 m + 2 ends · sized 5 m³/h @ 1.7 m/s · make-up water duty (~0.4% of recirc) · installed cost — supply + installation labour + terminations included (uk-2026 supply+install model; not a bare-fittings/component price)</t>
  </si>
  <si>
    <t>DN32 HDPE/PVC-U pipe, 31.1 m</t>
  </si>
  <si>
    <t>C33</t>
  </si>
  <si>
    <t>water connection: Fresh Water Tank → Drain Collection Sump · 45 m3/h</t>
  </si>
  <si>
    <t>27.2 m; 5 m³; 1.7 m</t>
  </si>
  <si>
    <t>£36/m; × 27.2; 0.4%; install</t>
  </si>
  <si>
    <t>pipe £36/m @ DN32 (HDPE/PVC-U) × 27.2 m + 2 ends · sized 5 m³/h @ 1.7 m/s · make-up water duty (~0.4% of recirc) · installed cost — supply + installation labour + terminations included (uk-2026 supply+install model; not a bare-fittings/component price)</t>
  </si>
  <si>
    <t>DN32 HDPE/PVC-U pipe, 27.2 m</t>
  </si>
  <si>
    <t>C34</t>
  </si>
  <si>
    <t>water connection: Fresh Water Tank → Drain Transfer Pump · 45 m3/h</t>
  </si>
  <si>
    <t>36.5 m; 5 m³; 1.7 m</t>
  </si>
  <si>
    <t>£36/m; × 36.5; 0.4%; install</t>
  </si>
  <si>
    <t>pipe £36/m @ DN32 (HDPE/PVC-U) × 36.5 m + 2 ends · sized 5 m³/h @ 1.7 m/s · make-up water duty (~0.4% of recirc) · installed cost — supply + installation labour + terminations included (uk-2026 supply+install model; not a bare-fittings/component price)</t>
  </si>
  <si>
    <t>DN32 HDPE/PVC-U pipe, 36.5 m</t>
  </si>
  <si>
    <t>C35</t>
  </si>
  <si>
    <t>water connection: Fresh Water Tank → Drain Water Tank · —</t>
  </si>
  <si>
    <t>20.0 m; 5 m³; 1.7 m</t>
  </si>
  <si>
    <t>£36/m; × 20.0; 0.4%; install</t>
  </si>
  <si>
    <t>pipe £36/m @ DN32 (HDPE/PVC-U) × 20.0 m + 2 ends · sized 5 m³/h @ 1.7 m/s · make-up water duty (~0.4% of recirc) · installed cost — supply + installation labour + terminations included (uk-2026 supply+install model; not a bare-fittings/component price)</t>
  </si>
  <si>
    <t>DN32 HDPE/PVC-U pipe, 20.0 m</t>
  </si>
  <si>
    <t>C36</t>
  </si>
  <si>
    <t>water connection: Fertigation Dosing Pump → Hand Watering Pump · 25 m3/h</t>
  </si>
  <si>
    <t>pipe £28/m @ DN20 (HDPE/</t>
  </si>
  <si>
    <t>29.6 m; 2 m³; 1.8 m</t>
  </si>
  <si>
    <t>£28/m; × 29.6; install</t>
  </si>
  <si>
    <t>pipe £28/m @ DN20 (HDPE/PVC-U) × 29.6 m + 2 ends · sized 2 m³/h @ 1.8 m/s · chemical-dosing branch duty · installed cost — supply + installation labour + terminations included (uk-2026 supply+install model; not a bare-fittings/component price)</t>
  </si>
  <si>
    <t>DN20 HDPE/PVC-U pipe, 29.6 m</t>
  </si>
  <si>
    <t>C37</t>
  </si>
  <si>
    <t>water connection: Fertigation Dosing Pump → Drain Collection Sump · 45 m3/h</t>
  </si>
  <si>
    <t>19.4 m; 5 m³; 1.7 m</t>
  </si>
  <si>
    <t>£36/m; × 19.4; install</t>
  </si>
  <si>
    <t>pipe £36/m @ DN32 (HDPE/PVC-U) × 19.4 m + 2 ends · sized 5 m³/h @ 1.7 m/s · bleed/drain duty (~make-up balance) · installed cost — supply + installation labour + terminations included (uk-2026 supply+install model; not a bare-fittings/component price)</t>
  </si>
  <si>
    <t>DN32 HDPE/PVC-U pipe, 19.4 m</t>
  </si>
  <si>
    <t>C38</t>
  </si>
  <si>
    <t>water connection: Hand Watering Pump → Irrigation Pump · 90 m3/h</t>
  </si>
  <si>
    <t>6.5 m; 25 m³; 1.4 m; 45 m³</t>
  </si>
  <si>
    <t>£66/m; × 6.5; × 2; install</t>
  </si>
  <si>
    <t>pipe £66/m @ DN80 (HDPE/PVC-U) × 6.5 m + 2 ends · sized 25 m³/h @ 1.4 m/s · branch duty (default — endpoint not on main loop) · installed cost — supply + installation labour + terminations included (uk-2026 supply+install model; not a bare-fittings/component price) · demand-sized: peak irrigation demand = 45 m³/h per department × 2 departments</t>
  </si>
  <si>
    <t>DN80 HDPE/PVC-U pipe, 6.5 m</t>
  </si>
  <si>
    <t>C39</t>
  </si>
  <si>
    <t>water connection: Hand Watering Pump → Drain Collection Sump · 45 m3/h</t>
  </si>
  <si>
    <t>33.5 m; 5 m³; 1.7 m</t>
  </si>
  <si>
    <t>£36/m; × 33.5; install</t>
  </si>
  <si>
    <t>pipe £36/m @ DN32 (HDPE/PVC-U) × 33.5 m + 2 ends · sized 5 m³/h @ 1.7 m/s · bleed/drain duty (~make-up balance) · installed cost — supply + installation labour + terminations included (uk-2026 supply+install model; not a bare-fittings/component price)</t>
  </si>
  <si>
    <t>DN32 HDPE/PVC-U pipe, 33.5 m</t>
  </si>
  <si>
    <t>C40</t>
  </si>
  <si>
    <t>water connection: Irrigation Pump → Distribution Manifold · 45 m3/h</t>
  </si>
  <si>
    <t>pipe £104/m @ DN125 (HDP</t>
  </si>
  <si>
    <t>1.9 m; 60 m³; 1.4 m</t>
  </si>
  <si>
    <t>£104/m; × 1.9; install</t>
  </si>
  <si>
    <t>pipe £104/m @ DN125 (HDPE/PVC-U) × 1.9 m + 2 ends · sized 60 m³/h @ 1.4 m/s · distribution/header branch duty · installed cost — supply + installation labour + terminations included (uk-2026 supply+install model; not a bare-fittings/component price)</t>
  </si>
  <si>
    <t>DN125 HDPE/PVC-U pipe, 1.9 m</t>
  </si>
  <si>
    <t>C41</t>
  </si>
  <si>
    <t>water connection: Irrigation Pump → Drain Collection Sump · 45 m3/h</t>
  </si>
  <si>
    <t>£36/m; × 31.1; install</t>
  </si>
  <si>
    <t>pipe £36/m @ DN32 (HDPE/PVC-U) × 31.1 m + 2 ends · sized 5 m³/h @ 1.7 m/s · bleed/drain duty (~make-up balance) · installed cost — supply + installation labour + terminations included (uk-2026 supply+install model; not a bare-fittings/component price)</t>
  </si>
  <si>
    <t>C42</t>
  </si>
  <si>
    <t>electrical connection: Mains Incomer → Standby Diesel Generator · 4.2 A</t>
  </si>
  <si>
    <t>cable £3/m</t>
  </si>
  <si>
    <t>1.5 mm</t>
  </si>
  <si>
    <t>£3/m·conductor; × 1; ×1; £6/end; × 2; install</t>
  </si>
  <si>
    <t>Cu conductor, LSZH/XLPE insulated (BS 6724/BS 5467 class)</t>
  </si>
  <si>
    <t>cable £3/m·conductor @ 1.5 mm² × 1 conductor(s) (1∥×1 core) + £6/end-lug × 2 ends · installed cost — supply + installation labour + terminations included (uk-2026 supply+install model; not a bare-fittings/component price)</t>
  </si>
  <si>
    <t>1 × 1.5 mm² Cu, 9.6 m</t>
  </si>
  <si>
    <t>C43</t>
  </si>
  <si>
    <t>electrical connection: Standby Diesel Generator → Distribution Transformer · 4.2 A</t>
  </si>
  <si>
    <t>1 × 1.5 mm² Cu, 8.0 m</t>
  </si>
  <si>
    <t>C44</t>
  </si>
  <si>
    <t>electrical connection: Distribution Transformer → Main Switchboard · 4.2 A</t>
  </si>
  <si>
    <t>1 × 1.5 mm² Cu, 20.7 m</t>
  </si>
  <si>
    <t>C45</t>
  </si>
  <si>
    <t>electrical connection: Main Switchboard → Motor Control Center · 4.2 A</t>
  </si>
  <si>
    <t>1 × 1.5 mm² Cu, 5.4 m</t>
  </si>
  <si>
    <t>C46</t>
  </si>
  <si>
    <t>electrical connection: Motor Control Center → 3 Phase Power Input · 4.2 A</t>
  </si>
  <si>
    <t>1 × 1.5 mm² Cu, 5.7 m</t>
  </si>
  <si>
    <t>C47</t>
  </si>
  <si>
    <t>electrical connection: Motor Control Center → Uv Disinfection · 8.2 A</t>
  </si>
  <si>
    <t>1 × 1.5 mm² Cu, 30.1 m</t>
  </si>
  <si>
    <t>C48</t>
  </si>
  <si>
    <t>electrical connection: Motor Control Center → Fertigation Dosing Pump · 15 A</t>
  </si>
  <si>
    <t>1 × 1.5 mm² Cu, 8.7 m</t>
  </si>
  <si>
    <t>C49</t>
  </si>
  <si>
    <t>electrical connection: Motor Control Center → Hand Watering Pump · 4.2 A</t>
  </si>
  <si>
    <t>1 × 1.5 mm² Cu, 36.4 m</t>
  </si>
  <si>
    <t>C50</t>
  </si>
  <si>
    <t>electrical connection: Motor Control Center → Drain Transfer Pump · 3.9 A</t>
  </si>
  <si>
    <t>C51</t>
  </si>
  <si>
    <t>electrical connection: Motor Control Center → Cloth Filter · 4.2 A</t>
  </si>
  <si>
    <t>1 × 1.5 mm² Cu, 26.2 m</t>
  </si>
  <si>
    <t>C52</t>
  </si>
  <si>
    <t>electrical connection: Motor Control Center → Irrigation Pump · 4.2 A</t>
  </si>
  <si>
    <t>1 × 1.5 mm² Cu, 33.2 m</t>
  </si>
  <si>
    <t>C53</t>
  </si>
  <si>
    <t>electrical connection: Motor Control Center → Ro High Pressure Pump · 8.4 A</t>
  </si>
  <si>
    <t>1 × 1.5 mm² Cu, 37.6 m</t>
  </si>
  <si>
    <t>C54</t>
  </si>
  <si>
    <t>electrical connection: Motor Control Center → Gac Filter · 4.2 A</t>
  </si>
  <si>
    <t>1 × 1.5 mm² Cu, 38.9 m</t>
  </si>
  <si>
    <t>C55</t>
  </si>
  <si>
    <t>electrical connection: Motor Control Center → Permeate Outlet · 4.2 A</t>
  </si>
  <si>
    <t>1 × 1.5 mm² Cu, 24.5 m</t>
  </si>
  <si>
    <t>C56</t>
  </si>
  <si>
    <t>electrical connection: Motor Control Center → Concentrate Outlet · 4.2 A</t>
  </si>
  <si>
    <t>1 × 1.5 mm² Cu, 21.5 m</t>
  </si>
  <si>
    <t>C57</t>
  </si>
  <si>
    <t>water connection: Ultrafiltration Module → Fresh Water Tank · 1.35 m3/h</t>
  </si>
  <si>
    <t>20.6 m; 5 m³; 1.7 m</t>
  </si>
  <si>
    <t>£36/m; × 20.6; 0.4%; install</t>
  </si>
  <si>
    <t>pipe £36/m @ DN32 (HDPE/PVC-U) × 20.6 m + 2 ends · sized 5 m³/h @ 1.7 m/s · make-up water duty (~0.4% of recirc) · installed cost — supply + installation labour + terminations included (uk-2026 supply+install model; not a bare-fittings/component price)</t>
  </si>
  <si>
    <t>DN32 HDPE/PVC-U pipe, 20.6 m</t>
  </si>
  <si>
    <t>C58</t>
  </si>
  <si>
    <t>water connection: Permeate Outlet → Cip Tank · 4 m3/h</t>
  </si>
  <si>
    <t>50.9 m; 25 m³; 1.4 m</t>
  </si>
  <si>
    <t>£66/m; × 50.9; install</t>
  </si>
  <si>
    <t>pipe £66/m @ DN80 (HDPE/PVC-U) × 50.9 m + 2 ends · sized 25 m³/h @ 1.4 m/s · branch duty (default — endpoint not on main loop) · installed cost — supply + installation labour + terminations included (uk-2026 supply+install model; not a bare-fittings/component price)</t>
  </si>
  <si>
    <t>DN80 HDPE/PVC-U pipe, 50.9 m</t>
  </si>
  <si>
    <t>C59</t>
  </si>
  <si>
    <t>water connection: Softener Vessel → Ultrafiltration Module · 14.5 m3/h</t>
  </si>
  <si>
    <t>25.4 m; 25 m³; 1.4 m</t>
  </si>
  <si>
    <t>£66/m; × 25.4; install</t>
  </si>
  <si>
    <t>pipe £66/m @ DN80 (HDPE/PVC-U) × 25.4 m + 2 ends · sized 25 m³/h @ 1.4 m/s · branch duty (default — endpoint not on main loop) · installed cost — supply + installation labour + terminations included (uk-2026 supply+install model; not a bare-fittings/component price)</t>
  </si>
  <si>
    <t>DN80 HDPE/PVC-U pipe, 25.4 m</t>
  </si>
  <si>
    <t>C60</t>
  </si>
  <si>
    <t>water connection: Nutrient Tank → Drain Collection Sump · 45 m3/h</t>
  </si>
  <si>
    <t>31.4 m; 5 m³; 1.7 m</t>
  </si>
  <si>
    <t>£36/m; × 31.4; install</t>
  </si>
  <si>
    <t>pipe £36/m @ DN32 (HDPE/PVC-U) × 31.4 m + 2 ends · sized 5 m³/h @ 1.7 m/s · bleed/drain duty (~make-up balance) · installed cost — supply + installation labour + terminations included (uk-2026 supply+install model; not a bare-fittings/component price)</t>
  </si>
  <si>
    <t>DN32 HDPE/PVC-U pipe, 31.4 m</t>
  </si>
  <si>
    <t>C61</t>
  </si>
  <si>
    <t>water connection: Distribution Manifold → Drain Collection Sump · 45 m3/h</t>
  </si>
  <si>
    <t>32.4 m; 5 m³; 1.7 m</t>
  </si>
  <si>
    <t>£36/m; × 32.4; install</t>
  </si>
  <si>
    <t>pipe £36/m @ DN32 (HDPE/PVC-U) × 32.4 m + 2 ends · sized 5 m³/h @ 1.7 m/s · bleed/drain duty (~make-up balance) · installed cost — supply + installation labour + terminations included (uk-2026 supply+install model; not a bare-fittings/component price)</t>
  </si>
  <si>
    <t>DN32 HDPE/PVC-U pipe, 32.4 m</t>
  </si>
  <si>
    <t>C62</t>
  </si>
  <si>
    <t>water connection: Reverse Osmosis Skid → Drain Collection Sump · 45 m3/h</t>
  </si>
  <si>
    <t>11.6 m; 5 m³; 1.7 m</t>
  </si>
  <si>
    <t>£36/m; × 11.6; install</t>
  </si>
  <si>
    <t>pipe £36/m @ DN32 (HDPE/PVC-U) × 11.6 m + 2 ends · sized 5 m³/h @ 1.7 m/s · bleed/drain duty (~make-up balance) · installed cost — supply + installation labour + terminations included (uk-2026 supply+install model; not a bare-fittings/component price)</t>
  </si>
  <si>
    <t>DN32 HDPE/PVC-U pipe, 11.6 m</t>
  </si>
  <si>
    <t>C63</t>
  </si>
  <si>
    <t>electrical connection: Motor Control Center → Electrical Control Panel · 4.2 A</t>
  </si>
  <si>
    <t>1 × 1.5 mm² Cu, 7.5 m</t>
  </si>
  <si>
    <t>C64</t>
  </si>
  <si>
    <t>electrical connection: Electrical Control Panel → Digital Control Panel · 0.5 A</t>
  </si>
  <si>
    <t>1 × 1.5 mm² Cu, 2.9 m</t>
  </si>
  <si>
    <t>C65</t>
  </si>
  <si>
    <t>electrical connection: Motor Control Center → Control + Instrument UPS · 4.2 A</t>
  </si>
  <si>
    <t>C66</t>
  </si>
  <si>
    <t>electrical connection: Control + Instrument UPS → Digital Control Panel · 0.5 A</t>
  </si>
  <si>
    <t>1 × 1.5 mm² Cu, 2.5 m</t>
  </si>
  <si>
    <t>C67</t>
  </si>
  <si>
    <t>electrical connection: Motor Control Center → SCADA / Plant Control System · 4.2 A</t>
  </si>
  <si>
    <t>C68</t>
  </si>
  <si>
    <t>electrical connection: Motor Control Center → Digital Control Panel · 0.5 A</t>
  </si>
  <si>
    <t>C69</t>
  </si>
  <si>
    <t>electrical connection: Motor Control Center → Electrical Control Cabinet · 4.2 A</t>
  </si>
  <si>
    <t>C70</t>
  </si>
  <si>
    <t>electrical connection: Electrical Control Cabinet → Digital Control Panel · 0.5 A</t>
  </si>
  <si>
    <t>1 × 1.5 mm² Cu, 29.2 m</t>
  </si>
  <si>
    <t>C71</t>
  </si>
  <si>
    <t>electrical connection: Motor Control Center → Digital Control Panel · —</t>
  </si>
  <si>
    <t>power feeder, 8.0 m (design current unknown)</t>
  </si>
  <si>
    <t>214 m; 7.7 m; 30 m; 45 m³; 1.3 m; 90 m³</t>
  </si>
  <si>
    <t>£20.8/m; 20%; £104/m; × 7.7; × 30; × 5; install; parametri</t>
  </si>
  <si>
    <t>Zoned distribution — department delivery mains · DN125 PVC-U · 214 m</t>
  </si>
  <si>
    <t>PVC-U (thermoplastic pressure pipework, solvent-weld)</t>
  </si>
  <si>
    <t>parametric estimate — zoned-delivery distribution network (engineered allowance, NOT per-pipe routed; client distribution-section scope): 214 m × £20.8/m supply-only materials (20% of the uk-2026 supply+install £104/m @ DN125; installation labour is carried by the cost-stack field-install factors — no double count) · length-priced: qty = the run length in metres, unit = £/m · derivation: parametric — not routed (zoned-delivery distribution network, engineered allowance): delivery mains (department spines) = 2 group(s) × (10 branches × 7.7 m branch pitch + 30 m plant-room stand-off) = 214 m; DN125 at 45 m³/h ≤ 1.3 m/s (surge-limited delivery main on a cycling valve network)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</si>
  <si>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DN125 PVC-U pressure pipe + fittings + hangers, 214 m (supply)</t>
  </si>
  <si>
    <t>X-144</t>
  </si>
  <si>
    <t>280 m; 7 m; 1.3 m; 0.5 m; 45 m³; 90 m³</t>
  </si>
  <si>
    <t>£20.8/m; 20%; £104/m; × 7; × 1.3; × 30; × 5; install; para</t>
  </si>
  <si>
    <t>Zoned distribution — delivery risers · DN125 PVC-U · 280 m</t>
  </si>
  <si>
    <t>parametric estimate — zoned-delivery distribution network (engineered allowance, NOT per-pipe routed; client distribution-section scope): 280 m × £20.8/m supply-only materials (20% of the uk-2026 supply+install £104/m @ DN125; installation labour is carried by the cost-stack field-install factors — no double count) · length-priced: qty = the run length in metres, unit = £/m · derivation: parametric — not routed (zoned-delivery distribution network, engineered allowance): delivery risers = 40 risers (200 zones ÷ 5 levels) × 7 m (5 levels × 1.3 m tier pitch + 0.5 m) = 280 m; DN125 at 45 m³/h ≤ 1.3 m/s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</si>
  <si>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DN125 PVC-U pressure pipe + fittings + hangers, 280 m (supply)</t>
  </si>
  <si>
    <t>X-145</t>
  </si>
  <si>
    <t>8,280 m; 2.76 m; 41.4 m; 8280 m; 45 m³; 3.0 m; 90 m³</t>
  </si>
  <si>
    <t>£13.2/m; 20%; £66/m; × 2.76; × 41.4; × 30; × 5; install; p</t>
  </si>
  <si>
    <t>Zoned distribution — zone laterals (flood-fill lines) · DN75 PVC-U · 8,280 m</t>
  </si>
  <si>
    <t>parametric estimate — zoned-delivery distribution network (engineered allowance, NOT per-pipe routed; client distribution-section scope): 8,280 m × £13.2/m supply-only materials (20% of the uk-2026 supply+install £66/m @ DN75; installation labour is carried by the cost-stack field-install factors — no double count) · length-priced: qty = the run length in metres, unit = £/m · derivation: parametric — not routed (zoned-delivery distribution network, engineered allowance): zone laterals = 200 zones × (30 positions/zone ÷ 2 rows × 2.76 m position pitch) = 200 × 41.4 m = 8280 m; DN75 at the 45 m³/h open-zone flood-fill duty ≤ 3.0 m/s (short-duration fill)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</si>
  <si>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DN75 PVC-U pressure pipe + fittings + hangers, 8,280 m (supply)</t>
  </si>
  <si>
    <t>X-146</t>
  </si>
  <si>
    <t>4,200 m; 7 m; 4200 m; 45 m³; 1.4 m; 90 m³</t>
  </si>
  <si>
    <t>£20.8/m; 20%; £104/m; × 7; × 30; × 5; install; parametric</t>
  </si>
  <si>
    <t>Zoned distribution — drain/return risers (gravity) · DN110 PVC-U · 4,200 m</t>
  </si>
  <si>
    <t>parametric estimate — zoned-delivery distribution network (engineered allowance, NOT per-pipe routed; client distribution-section scope): 4,200 m × £20.8/m supply-only materials (20% of the uk-2026 supply+install £104/m @ DN110; installation labour is carried by the cost-stack field-install factors — no double count) · length-priced: qty = the run length in metres, unit = £/m · derivation: parametric — not routed (zoned-delivery distribution network, engineered allowance): drain/return risers (mirror of the delivery grid) = 600 gravity drops (an outlet per 2 positions per level) × 7 m = 4200 m; DN110 gravity at 45 m³/h ≤ 1.4 m/s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</si>
  <si>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DN110 PVC-U pressure pipe + fittings + hangers, 4,200 m (supply)</t>
  </si>
  <si>
    <t>X-147</t>
  </si>
  <si>
    <t>1,656 m; 41.4 m; 1656 m; 1.4 m; 45 m³; 90 m³</t>
  </si>
  <si>
    <t>£20.8/m; 20%; £104/m; × 41.4; × 20; × 30; × 5; install; pa</t>
  </si>
  <si>
    <t>Zoned distribution — drain collection lines · DN110 PVC-U · 1,656 m</t>
  </si>
  <si>
    <t>parametric estimate — zoned-delivery distribution network (engineered allowance, NOT per-pipe routed; client distribution-section scope): 1,656 m × £20.8/m supply-only materials (20% of the uk-2026 supply+install £104/m @ DN110; installation labour is carried by the cost-stack field-install factors — no double count) · length-priced: qty = the run length in metres, unit = £/m · derivation: parametric — not routed (zoned-delivery distribution network, engineered allowance): drain collection lines = 2 floor lines/branch × 41.4 m × 20 branches = 1656 m; DN110 gravity ≤ 1.4 m/s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</si>
  <si>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DN110 PVC-U pressure pipe + fittings + hangers, 1,656 m (supply)</t>
  </si>
  <si>
    <t>X-148</t>
  </si>
  <si>
    <t>214 m; 45 m³; 0.8 m; 90 m³</t>
  </si>
  <si>
    <t>£35.2/m; 20%; £176/m; × 30; × 5; install; parametric</t>
  </si>
  <si>
    <t>Zoned distribution — main drain headers · DN160 PVC-U · 214 m</t>
  </si>
  <si>
    <t>parametric estimate — zoned-delivery distribution network (engineered allowance, NOT per-pipe routed; client distribution-section scope): 214 m × £35.2/m supply-only materials (20% of the uk-2026 supply+install £176/m @ DN160; installation labour is carried by the cost-stack field-install factors — no double count) · length-priced: qty = the run length in metres, unit = £/m · derivation: parametric — not routed (zoned-delivery distribution network, engineered allowance): main drain headers = the delivery-spine mirror (214 m); DN160 at 45 m³/h ≤ 0.8 m/s part-full gravity equivalent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</si>
  <si>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DN160 PVC-U pressure pipe + fittings + hangers, 214 m (supply)</t>
  </si>
  <si>
    <t>428 m; 107 m; 45 m³; 90 m³</t>
  </si>
  <si>
    <t>£16.4/m; 20%; £82/m; × 2; × 30; × 5; install; parametric</t>
  </si>
  <si>
    <t>Hand watering — ring main to both departments · DN90 PVC-U · 428 m</t>
  </si>
  <si>
    <t>parametric estimate — client section E scope (hand-watering ring main — engineered allowance, NOT per-pipe routed): 428 m × £16.4/m supply-only materials (20% of the uk-2026 supply+install £82/m @ DN90; installation labour is carried by the cost-stack field-install factors — no double count) · length-priced: qty = the run length in metres, unit = £/m · derivation: parametric — not routed (zoned-delivery distribution network, engineered allowance): hand-watering ring main = 2 delivery group(s)/department(s) × 2 legs (ring out-and-return along the 107 m delivery spine, serving every branch head) = 428 m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</si>
  <si>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DN90 PVC-U pressure pipe + fittings + hangers, 428 m (supply)</t>
  </si>
  <si>
    <t>X-150</t>
  </si>
  <si>
    <t>parametric estimate (no itemised inputs)</t>
  </si>
  <si>
    <t>Zoned distribution — delivery inlet stubs, one per served position · 6,000 off</t>
  </si>
  <si>
    <t>parametric estimate — zoned-delivery distribution network: 6,000 served positions × £6 inlet-stub materials allowance (tee + stub + inlet fitting, ex-works) · parametric — not routed (zoned-delivery distribution network, engineered allowance): one delivery inlet stub + fitting per served position = 6000</t>
  </si>
  <si>
    <t>Small-bore PVC-U tee + stub + inlet fitting (supply)</t>
  </si>
  <si>
    <t>X-151</t>
  </si>
  <si>
    <t>Zoned distribution — drain outlet connections (one per 2 positions) · 3,000 off</t>
  </si>
  <si>
    <t>parametric estimate — zoned-delivery distribution network: 3,000 drain outlets × £9 gravity tee/branch materials allowance (ex-works) · parametric — not routed (zoned-delivery distribution network, engineered allowance): one gravity drain outlet per 2 served positions = 3000</t>
  </si>
  <si>
    <t>PVC-U gravity tee/branch outlet fitting (supply)</t>
  </si>
  <si>
    <t>V-110</t>
  </si>
  <si>
    <t>Zoned distribution — zone valve connection kits · 200 off</t>
  </si>
  <si>
    <t>parametric estimate — zoned-delivery distribution network: 200 valve zones × £40 connection-kit materials allowance; the actuated valve assemblies themselves are priced on their own BoM line (assembly family £/DN) — this kit is the pipework tie-in only, no double count · parametric — not routed (zoned-delivery distribution network, engineered allowance): one zone connection kit (valve stub-in, unions, supports) per sectioning valve = 200</t>
  </si>
  <si>
    <t>Zone valve stub-in: unions, supports, riser tie-in (supply; valve body + actuator priced on the actuated-valve assembly line)</t>
  </si>
  <si>
    <t>V-111</t>
  </si>
  <si>
    <t>× 20; install; parametric</t>
  </si>
  <si>
    <t>Hand watering — tap/hose stations (riser, hand valve + quick connector) · 44 off</t>
  </si>
  <si>
    <t>parametric estimate — client section E scope (hand-watering ring main — engineered allowance, NOT per-pipe routed): 44 tap/hose stations × £45 per-station materials allowance (brass hand valve ~£14 + quick-release hose coupler ~£9 + ring-main tee, riser stub + clamps ~£22, ex-works; installation labour is carried by the cost-stack field-install factors — no double count) · parametric — not routed (zoned-delivery distribution network, engineered allowance): hand-watering tap risers (each a hand valve + quick connector) = 2 per branch × 20 branches + 2 per delivery group at the plant/irrigation room (4) = 44</t>
  </si>
  <si>
    <t>Ring-main riser stub-in: brass hand valve, quick-release hose coupler, tee + clamps (supply)</t>
  </si>
  <si>
    <t>Σ TOTAL</t>
  </si>
  <si>
    <t>Coverage by drawing (parts-ledger.json)</t>
  </si>
  <si>
    <t>Drawing</t>
  </si>
  <si>
    <t>Expected</t>
  </si>
  <si>
    <t>Present</t>
  </si>
  <si>
    <t>% present</t>
  </si>
  <si>
    <t>blender</t>
  </si>
  <si>
    <t>general-arrangement</t>
  </si>
  <si>
    <t>pid</t>
  </si>
  <si>
    <t>single-line-diagram</t>
  </si>
  <si>
    <t>panel-schedule</t>
  </si>
  <si>
    <t>block-flow-diagram</t>
  </si>
  <si>
    <t>process-schedules</t>
  </si>
  <si>
    <t>parts-ledger grand_total_gbp</t>
  </si>
  <si>
    <t>Compare against the LIVE Σ line £ at row 403. See the ⚠ Checks tab for the reconciliation row.</t>
  </si>
  <si>
    <t>Brief — original vs engine-enhanced</t>
  </si>
  <si>
    <t>The verbatim client brief (left) and the engine's structured, enhanced interpretation (right) that drives the whole design.</t>
  </si>
  <si>
    <t>Original brief (verbatim)</t>
  </si>
  <si>
    <t>Engine-enhanced brief (structured)</t>
  </si>
  <si>
    <t>Water, Fertigation and Ebb/Flow Irrigation Plant — Indoor Multi-Layer Cultivation Facility</t>
  </si>
  <si>
    <t>Product summary</t>
  </si>
  <si>
    <t>We are designing and specifying a complete water-handling, purification, fertigation and ebb/flow irrigation plant that supplies a large indoor multi-layer cultivation facility. The deliverable is the WATER SYSTEM ONLY — the purification train, the water storage, the nutrient-dosing (fertigation) units, the flood-and-drain (ebb/flow) distribution network, the drain-water recovery, a hand-watering ring main, and the irrigation/fertigation process-control computer. This is a process and fluid-handling plant: pumps, pipes, tanks, reverse osmosis, filtration, valves and dosing. The grow-lighting, the climate/heating-ventilation/cooling hardware, the cultivation rack framework and the building are NOT part of this plant — they are supplied by others and are explicitly out of scope. This is modelled on a real turnkey supplier offer (Codema Systems Group, offer 3201262, "Farm 2", 2020) totalling €1,395,019.</t>
  </si>
  <si>
    <t>Automated water purification, storage, and nutrient-dosing (fertigation) system for indoor controlled-environment agriculture.</t>
  </si>
  <si>
    <t>Target market: indoor and vertical-farming operators, controlled-environment-agriculture growers, glasshouse and horticulture operators across the United Kingdom and Europe who need a turnkey water-treatment, fertigation and irrigation plant for a multi-layer growing facility.</t>
  </si>
  <si>
    <t>System description (the six delivered subsystems):</t>
  </si>
  <si>
    <t>Primary product</t>
  </si>
  <si>
    <t>A. WATER PURIFICATION — treats incoming potable mains water to the feed quality the growing system needs.</t>
  </si>
  <si>
    <t>Conditioned, nutrient-dosed irrigation water</t>
  </si>
  <si>
    <t>​- Reverse-osmosis unit: hourly permeate capacity 8.0 cubic metres per hour, raw-tap-water blending capacity 1.2 to 1.6 cubic metres per hour, recovery factor 75 percent, working pressure 10.6 bar at 15 degrees Celsius feed, minimum inlet pressure 2.1 bar, water supply required at least 10.7 cubic metres per hour, electrical supply 3 by 400 volt plus neutral 50 hertz, total installed 5.5 kilowatts, consumption 4.2 kilowatts; stainless-steel supporting frame with inlet section, pre-filter set, frequency-controlled high-pressure pump, integrated permeate flushing line, a first-water flush, the membranes in high-pressure lines, and a central programmable-logic-controller panel for fully automatic operation. Water-supply connection DN63 polyvinyl-chloride, reject/waste connection DN50, permeate connection DN50.</t>
  </si>
  <si>
    <t>​- Particle filter: one 80-micron cleanable particle filter in the inlet line of the carbon filter, distributor with 2-inch connections, transparent housing.</t>
  </si>
  <si>
    <t>Construction materials</t>
  </si>
  <si>
    <t>​- Granular-activated-carbon filter: nominal filtration capacity 14.5 cubic metres per hour, one 42-inch tank, pressure drop about 0.5 bar, DN80 connections.</t>
  </si>
  <si>
    <t>Polyvinyl chloride (PVC), stainless steel, galvanized steel, glass-fibre-reinforced plastic (FRP)</t>
  </si>
  <si>
    <t>​- Water softener: capacity 14.0 cubic metres per hour, minimum 1.75 cubic metres per hour per softener tank, two glass-fibre-reinforced-plastic softener tanks with food-quality strong-acid cation resin (350 litres of resin per tank), automatic brine regeneration with one polyethylene brine vessel holding 355 kilograms of salt; 91 cubic metres treated between regenerations, 35 to 88 kilograms of salt and 2.8 cubic metres of water per regeneration, hardness reduction to 0.1 degrees of hardness or better, 15 watts in operation.</t>
  </si>
  <si>
    <t>​- Raw-tap-water blending line: adjustable valve and flow indicator on the carbon-filter outlet to blend plus or minus 15 percent of the permeate capacity back into the produced water.</t>
  </si>
  <si>
    <t>Derived requirements</t>
  </si>
  <si>
    <t>​- Connection lines: a DN63 polyvinyl-chloride city-water line to the reverse-osmosis unit (within 50 metres), a DN50 polyvinyl-chloride waste line to the sewer, and a DN63 polyvinyl-chloride fresh-water line from the reverse-osmosis unit to the fresh-water tank (within 50 metres).</t>
  </si>
  <si>
    <t>• RO Feed Water Demand: 10.7 m3/h   (stated)</t>
  </si>
  <si>
    <t>B. WATER STORAGE — galvanised Class-A storage tanks with wall-protection blanket, a 0.6-millimetre black anti-algae liner and a duplex polyurethane-coated lowest ring, set on concrete tiles.</t>
  </si>
  <si>
    <t>• RO Permeate Production: 8 m3/h   (stated)</t>
  </si>
  <si>
    <t>​- One fresh-water tank, 3.64 metres diameter by 3.88 metres high, 40 cubic metres.</t>
  </si>
  <si>
    <t>• RO Reject Waste Flow: 2.67 m3/h   (derived)</t>
  </si>
  <si>
    <t>​- Two drain-water tanks, 3.64 metres diameter by 3.88 metres high, 40 cubic metres each.</t>
  </si>
  <si>
    <t>• Maximum Blended Water Production: 9.6 m3/h   (derived)</t>
  </si>
  <si>
    <t>​- Level monitoring: a 4-channel level processor with one pressure sensor per tank.</t>
  </si>
  <si>
    <t>• Total Irrigation Flow Capacity: 90 m3/h   (derived)</t>
  </si>
  <si>
    <t>​- Suction lines: DN110 polyvinyl-chloride from the fresh-water tank to the hand-watering unit; DN160 polyvinyl-chloride suction lines from the fresh-water tank to each of the two fertiliser units and from each drain-water tank to its fertiliser unit; each with a butterfly valve and a bottom connection.</t>
  </si>
  <si>
    <t>• Irrigation Delivery Pressure: 3.5 bar   (stated)</t>
  </si>
  <si>
    <t>C. FERTILISER (FERTIGATION) UNITS — two A/B nutrient-dosing units, each 45 cubic metres per hour, for the multi-layer ebb/flow system, dosing the A and B fertiliser streams simultaneously by suction. Each unit consists of:</t>
  </si>
  <si>
    <t>• Total Water Storage Capacity: 120 m3   (derived)</t>
  </si>
  <si>
    <t>​- a stainless-steel frame with adjustable supports;</t>
  </si>
  <si>
    <t>• Drain Water Recovery Storage: 80 m3   (derived)</t>
  </si>
  <si>
    <t>​- two 125-millimetre Keystone Composeal manual butterfly valves and two 125-millimetre check valves;</t>
  </si>
  <si>
    <t>• Fertiliser Stock Inventory: 8000 L   (derived)</t>
  </si>
  <si>
    <t>​- one double-action electrically-operated 125-millimetre Keystone Composeal valve for reusing drain water, with an electrical-conductivity supply measuring sensor;</t>
  </si>
  <si>
    <t>• Softener Regeneration Interval: 8.5 h   (derived)</t>
  </si>
  <si>
    <t>​- one Lowara e-SHE 50-160/75 circulation pump, 7.5 kilowatts, 45 cubic metres per hour at 3.5 bar, with thermostat and polyvinyl-chloride flanges;</t>
  </si>
  <si>
    <t>• Maximum Salt Consumption Rate: 10.3 kg/h   (derived)</t>
  </si>
  <si>
    <t>​- one 0-to-10-bar pressure sensor for the frequency controller;</t>
  </si>
  <si>
    <t>• Total Major Pump Installed Power: 20.5 kW   (derived)</t>
  </si>
  <si>
    <t>​- an A-B dosing system on the simultaneous-suction principle: a stainless-steel motorised control unit, two polyvinyl-chloride venturi injectors, two flowmeters, two membrane control valves, and two shunt lines on the pump suction/discharge;</t>
  </si>
  <si>
    <t>• Softener Resin Volume: 700 L   (derived)</t>
  </si>
  <si>
    <t>​- an electrical-conductivity / pH measuring shunt (110-millimetre, Hoogendoorn): a bypass line with a 25-millimetre tube, two ball valves, and electrical-conductivity and pH sensors;</t>
  </si>
  <si>
    <t>• Target Water Hardness: 0.1 dH   (stated)</t>
  </si>
  <si>
    <t>​- one acid dosing pump (Iwaki EWN-C21VCER) with a 100-litre barrel, and one chemical dosing pump (Iwaki EWN-C21VHERA) with a 100-litre barrel;</t>
  </si>
  <si>
    <t>​- one 90-millimetre paddle-wheel flowmeter and one 110-millimetre check valve.</t>
  </si>
  <si>
    <t>Operating conditions</t>
  </si>
  <si>
    <t>Each unit has a pump switch panel (main switch, magnet switch, thermal protection, control/alarm relays, manual start, indication lamps, acoustic and free-potential alarm, Danfoss frequency controller). Nutrient stock: eight 1,000-litre polyester fertiliser tanks (four A, four B) with hinged covers and suction sets, and eight electric mixers on stainless-steel frames.</t>
  </si>
  <si>
    <t>• ro_feed_temperature: 15 C   (stated)</t>
  </si>
  <si>
    <t>D. EBB/FLOW (FLOOD-AND-DRAIN) IRRIGATION INSTALLATION — the flood-and-drain distribution and drain network for the cultivation containers.</t>
  </si>
  <si>
    <t>• ro_working_pressure: 10.6 bar   (stated)</t>
  </si>
  <si>
    <t>​- Layout: 2 departments, 10 cultivation tunnels per department, 5 layers per tunnel, 4 rows per layer, 15 containers per row — 6,000 cultivation containers total, each 2,760 by 1,290 millimetres; flood depth 15 millimetres; one inlet per container at 1.5 cubic metres per hour; 30 containers per valve, 200 electrically-actuated valves; one valve per department open at a time, giving a maximum demand of 45 cubic metres per hour per department.</t>
  </si>
  <si>
    <t>• ro_minimum_inlet_pressure: 2.1 bar   (stated)</t>
  </si>
  <si>
    <t>​- Mainlines: DN125 polyvinyl-chloride main line from each fertiliser unit to its department, with two riser connections per tunnel.</t>
  </si>
  <si>
    <t>• electrical_supply: 400V 3-phase + Neutral, 50Hz   (stated)</t>
  </si>
  <si>
    <t>​- Risers, valves, distribution: two DN125 risers per cultivation room, each riser fitted with five 2.5-inch electric valves; each valve section feeds 30 containers (two rows of 15) via a DN75 distribution line running the length of the tunnel, with an inlet to each container.</t>
  </si>
  <si>
    <t>​- Drain lines: a DN110 outlet per two containers to a DN110 riser (five outlets per riser, one per layer), 15 risers per tunnel side to a DN110 floor drain line, collected into a DN160 main drain line per compartment running to the drain pit.</t>
  </si>
  <si>
    <t>Notes</t>
  </si>
  <si>
    <t>​- Drain-water pit: a 5,000-litre drain pit per cultivation room with a 45-cubic-metre-per-hour submersible pump discharging through a DN110 line to the cloth filter.</t>
  </si>
  <si>
    <t>The brief incorrectly classified the system as a 'continuous chemical process with solvent recovery'. It is actually a batch/continuous water purification, storage, and fertigation plant for horticulture. Grow-lighting, HVAC, and civil works are explicitly excluded from the scope.</t>
  </si>
  <si>
    <t>​- Cloth-filter unit: an 80-cubic-metre-per-hour cloth filter per cultivation room on a high-density-polyethylene tank, with a self-priming 45-cubic-metre-per-hour pump returning the filtered drain water to the drain-water tank for reuse.</t>
  </si>
  <si>
    <t>E. HAND-WATERING INSTALLATION — a frequency-controlled pump, 25 cubic metres per hour at 3.0 bar, on a stainless-steel frame, feeding a DN90 polyvinyl-chloride hand-watering ring main to both departments with 44 risers (two per tunnel plus four at the irrigation room), each with a hand valve and a quick connector.</t>
  </si>
  <si>
    <t>F. PROCESS-CONTROL COMPUTER — a horticultural irrigation/fertigation process computer (Hoogendoorn iSii class) managing the irrigation scheduling, the closed-loop electrical-conductivity and pH correction, level and flow monitoring, and the safety and fault alarms. Hardware: the process computer in a cabinet, two monitors, a 750-volt-ampere uninterruptible power supply, a radiation sensor, an Ethernet-CAN interface, and 22 distributed datapoint input/output casings. Water hardware: two pulse/litre counters, two inductive electrical-conductivity sensors and transmitters, two pH sensors, two pH transmitters, two pH-sensor armatures. Bus terminals: 4-channel digital-input, 4-to-20-milliamp and 0-to-20-milliamp analogue-input, and 55 four-channel digital-output AC/DC terminals. Software functions: two irrigation units with pump, 200 valves, two electrical-conductivity controls, two pH controls, two pH checks, two 16-choice fertiliser-selection groups, 20 crop sections, 20 registration groups, 20 recipes. Control cabling: control-bus and multi-core signal cable runs (500 to 2,000 metres each).</t>
  </si>
  <si>
    <t>Key constraints (the brief's target metrics):</t>
  </si>
  <si>
    <t>​- Total cultivation containers (trays): approximately 6,000 (the irrigation network sizing driver)</t>
  </si>
  <si>
    <t>​- Maximum irrigation demand: approximately 45 cubic metres per hour per department (two departments)</t>
  </si>
  <si>
    <t>​- Reverse-osmosis permeate capacity: approximately 8 cubic metres per hour at approximately 75 percent recovery</t>
  </si>
  <si>
    <t>​- Granular-activated-carbon and softener throughput: approximately 14 to 14.5 cubic metres per hour</t>
  </si>
  <si>
    <t>​- Water-storage capacity: three tanks of approximately 40 cubic metres each (one fresh, two drain)</t>
  </si>
  <si>
    <t>​- Fertigation: two A/B dosing units of approximately 45 cubic metres per hour, each with an approximately 7.5-kilowatt circulation pump at approximately 3.5 bar, closed-loop electrical-conductivity and pH correction, and eight 1,000-litre nutrient stock tanks (four A, four B)</t>
  </si>
  <si>
    <t>​- Hand watering: approximately 25 cubic metres per hour at approximately 3 bar</t>
  </si>
  <si>
    <t>​- Pipework: thermoplastic (polyvinyl-chloride) pressure pipework throughout, DN50 to DN160, sized for the stated flows</t>
  </si>
  <si>
    <t>​- Electrical supply: 400 volt, three-phase, 50 hertz; the design must state the connected and average electrical load (the plant is pumps, dosing and controls — of the order of low tens of kilowatts, NOT megawatts)</t>
  </si>
  <si>
    <t>​- Number of actuated valves: approximately 200</t>
  </si>
  <si>
    <t>​- Design life: 20 years</t>
  </si>
  <si>
    <t>​- Annual production volume: 6 units per year</t>
  </si>
  <si>
    <t>​- Unit cost ceiling: approximately £1,250,000 to £1,400,000 installed for the water, storage, fertigation, irrigation and control plant</t>
  </si>
  <si>
    <t>​- Primary objective: balanced — the lowest installed cost that meets the irrigation throughput, the water-purity and the layout targets</t>
  </si>
  <si>
    <t>Cost and calibration context (the real Codema offer — the ground truth the engine must reproduce):</t>
  </si>
  <si>
    <t>​- A. Water purification: approximately £85,000 (€94,735)</t>
  </si>
  <si>
    <t>​- B. Water storage: approximately £31,000 (€34,553)</t>
  </si>
  <si>
    <t>​- C. Fertiliser/fertigation units: approximately £92,000 (€102,234)</t>
  </si>
  <si>
    <t>​- D. Ebb/flow irrigation installation: approximately £895,000 (€993,750) — the dominant cost, overwhelmingly installed polyvinyl-chloride pipework, the approximately 200 actuated valves, the risers and the drain network, plus installation labour, NOT major equipment</t>
  </si>
  <si>
    <t>​- E. Hand watering: approximately £24,000 (€26,857)</t>
  </si>
  <si>
    <t>​- F. Process-control computer: approximately £128,000 (€142,890)</t>
  </si>
  <si>
    <t>​- Total: approximately £1,250,000 (€1,395,019)</t>
  </si>
  <si>
    <t>​- The ebb/flow irrigation network (D) is roughly 71 percent of the total, so the bill of materials and the cost build-up must capture the long pipe runs, the approximately 200 actuated valves, the risers and the drain network — not just the major equipment.</t>
  </si>
  <si>
    <t>Safety and regulatory:</t>
  </si>
  <si>
    <t>​- Pressure Systems Safety Regulations for the pressurised vessels and the reverse-osmosis high-pressure section</t>
  </si>
  <si>
    <t>​- Control of Substances Hazardous to Health assessment for the acid and concentrated-nutrient dosing chemicals (corrosive; segregated bunded storage, eyewash and personal protective equipment)</t>
  </si>
  <si>
    <t>​- Water Supply (Water Fittings) Regulations and backflow prevention on the mains connection (Fluid Category protection)</t>
  </si>
  <si>
    <t>​- Machinery Directive, Low Voltage Directive and Electromagnetic Compatibility Directive for the equipment</t>
  </si>
  <si>
    <t>​- Legionella / water-hygiene control on the stored and recirculated water</t>
  </si>
  <si>
    <t>​- UKCA marking</t>
  </si>
  <si>
    <t>Explicitly EXCLUDED (out of scope — supplied by others, per the Codema exemptions):</t>
  </si>
  <si>
    <t>​- the grow-lighting / assimilation lighting and its switchboards</t>
  </si>
  <si>
    <t>​- the climate / heating, ventilation and cooling hardware and the climate-control computer</t>
  </si>
  <si>
    <t>​- the cultivation rack framework</t>
  </si>
  <si>
    <t>​- the building, civil works and excavation</t>
  </si>
  <si>
    <t>​- the main electrical switchboard and the feeder cables to it, and earthing/cable tray/cable penetrations</t>
  </si>
  <si>
    <t>Sub-modules expected: mains water intake and backflow protection, water softening, granular-activated-carbon filtration, particle filtration, reverse-osmosis purification and blending, fresh-water and drain-water storage with level monitoring, A/B nutrient dosing and electrical-conductivity/pH correction, nutrient stock-tank storage and mixing, ebb/flow distribution mains/risers/actuated valve sections, gravity drain collection and drain pit, drain-water cloth filtration and return, hand-watering ring main, irrigation/fertigation process-control and instrumentation, and the control cabling.</t>
  </si>
  <si>
    <t>Client offer vs this design, by subsystem</t>
  </si>
  <si>
    <t>Mapping: each BoM line is classed to a client section by its SERVICE/SCOPE family — the MOST SPECIFIC subsystem keyword match wins (ties in the client's own A→F order); an interconnect line follows its service (electrical/control cabling → the controls section; pipework touching the distribution/drain network → that section; other process runs → their source endpoint's section); plant-wide field instrumentation → the controls-and-instrumentation section. Each row states WHICH line families it counted. Unallocated lines are shown separately, NEVER forced into a match, and Σ sections + unallocated equals the bill total EXACTLY (asserted at build). The client's section prices are INSTALLED, so the comparison column is the engine installed-equivalent = section BoM materials × 1.7 (this run's installed ÷ materials ratio from the cost stack). Recorded scope decisions (briefs-loop/fischer_farms_codema.decisions.json) render inline: a diverging section covered by a decision reads CONSISTENT WITH RECORDED DECISION (who/date/rationale + the real numbers); a diverging section with NO recorded decision still fails.</t>
  </si>
  <si>
    <t>Client section</t>
  </si>
  <si>
    <t>Client offer £ (installed)</t>
  </si>
  <si>
    <t>This design £ (BoM materials)</t>
  </si>
  <si>
    <t>Installed-equivalent £</t>
  </si>
  <si>
    <t>Δ vs offer £</t>
  </si>
  <si>
    <t>Honest note</t>
  </si>
  <si>
    <t>A. Water purification</t>
  </si>
  <si>
    <t>CONSISTENT WITH RECORDED DECISION — engine 2.1× the client section (installed-equiv £174,896 vs client £85,000). The engine's fuller purification design stands versus the leaner client offer — accepted scope, not a defect to tune away. — Tristan Fischer, 2026-07-03. Rationale: The engine includes an ultrafiltration membrane bank, ultraviolet disinfection and duplicated granular-activated-carbon/softener treatment trains that the client's offer never priced; the whole-plant total remains ~1.1x the client's GBP 1,250,000 offer. [evidence: engine installed-equivalent ~2.3x the client section (v61: GBP 198,958 vs GBP 85,000); whole-plant total 1.11x]  ·  COUNTED: 12× section scope stems (most-specific match) £90,228 · 7× process interconnect (by source endpoint) £12,652</t>
  </si>
  <si>
    <t>B. Water storage</t>
  </si>
  <si>
    <t>CONSISTENT WITH RECORDED DECISION — engine 2.5× the client section (installed-equiv £77,093 vs client £31,000). The engine's fuller tank scope stands versus the leaner client offer — accepted scope, not a defect to tune away. — Tristan Fischer, 2026-07-03. Rationale: The engine prices fuller installed tank scope (~GBP 23k per installed 40 m3 galvanised tank vs the client's ~GBP 10k) plus level instrumentation the client's offer never priced; the whole-plant total remains ~1.1x the client's GBP 1,250,000 offer. [evidence: engine installed-equivalent ~2.4x the client section (v61: GBP 74,465 vs GBP 31,000); whole-plant total 1.11x]  ·  COUNTED: 2× section scope stems (most-specific match) £40,845 · 4× process interconnect (by source endpoint) £3,834 · 1× process interconnect (by destination endpoint) £670</t>
  </si>
  <si>
    <t>C. Fertiliser/fertigation units</t>
  </si>
  <si>
    <t>engine installed-equivalent within 24% of the client section  ·  COUNTED: 2× section scope stems (most-specific match) £40,020 · 1× process interconnect (by source endpoint) £1,004</t>
  </si>
  <si>
    <t>D. Ebb/flow irrigation installation</t>
  </si>
  <si>
    <t>engine installed-equivalent within 17% of the client section  ·  COUNTED: 16× section scope stems (most-specific match) £405,378 · 33× distribution/drain-network pipework £33,324</t>
  </si>
  <si>
    <t>E. Hand watering</t>
  </si>
  <si>
    <t>engine installed-equivalent within 19% of the client section  ·  COUNTED: 3× section scope stems (most-specific match) £11,499</t>
  </si>
  <si>
    <t>F. Process-control computer</t>
  </si>
  <si>
    <t>CONSISTENT WITH RECORDED DECISION — engine 1.9× the client section (installed-equiv £238,906 vs client £128,000). The engine's fuller controls-and-instrumentation design stands versus the leaner client offer — accepted scope, not a defect to tune away. — Tristan Fischer, 2026-07-03. Rationale: The engine includes a SCADA/process-control system plus plant-wide field instrumentation (17 banded level transmitters and the electrical/control cabling) that the client's single process-control-computer line never priced; the whole-plant total remains ~1.1x the client's GBP 1,250,000 offer. [evidence: engine installed-equivalent ~1.8x the client section (v61: GBP 234,124 vs GBP 128,000); whole-plant total 1.11x]  ·  COUNTED: 24× section scope stems (most-specific match) £86,868 · 18× field instrumentation (plant-wide) £52,076 · 24× electrical/control cabling £1,589</t>
  </si>
  <si>
    <t>(engine lines not mapped to any client section)</t>
  </si>
  <si>
    <t>engine-added scope with no client section counterpart (e.g. standby power, skid frames, CIP) — kept VISIBLY unallocated, never forced into a section  ·  COUNTED: 25× no section family match £35,452 · 1× interconnect with no in-scope endpoint £398</t>
  </si>
  <si>
    <t>TOTAL</t>
  </si>
  <si>
    <t>engine installed capex (cost stack) vs the client's total offer</t>
  </si>
  <si>
    <t>Design-basis statement — codes, duties, fluid &amp; utilisation basis</t>
  </si>
  <si>
    <t>The rules this design was ACTUALLY sized to, one page. Every line is DERIVED LIVE from the module that owns it (pipe/duct sizing constants, the electrical model's BS 7671 ladder, ISO 3098 print legibility, the contract quantities, the Inputs utilisation drivers) with its source stated — never hand-typed. Change the rule at source and this statement follows on rebuild. The Cross-ref check column formula-verifies every live Inputs-tab reference actually resolves to a populated cell.</t>
  </si>
  <si>
    <t>Discipline</t>
  </si>
  <si>
    <t>Source (module constant / contract quantity — never hand-typed)</t>
  </si>
  <si>
    <t>Cross-ref check</t>
  </si>
  <si>
    <t>Process &amp; piping</t>
  </si>
  <si>
    <t>Pipe sizing basis — target velocity, liquid lines</t>
  </si>
  <si>
    <t>m/s</t>
  </si>
  <si>
    <t>connection_sizing.DEFAULT_LIQUID_VELOCITY_MS — D = √(4Q/πv), next standard DN up</t>
  </si>
  <si>
    <t>Target velocity, gas / vapour lines</t>
  </si>
  <si>
    <t>connection_sizing.DEFAULT_GAS_VELOCITY_MS</t>
  </si>
  <si>
    <t>Target velocity, steam lines</t>
  </si>
  <si>
    <t>connection_sizing.DEFAULT_STEAM_VELOCITY_MS</t>
  </si>
  <si>
    <t>Velocity limit, liquid lines (line-list spec)</t>
  </si>
  <si>
    <t>connection_sizing.LIQUID_VELOCITY_LIMIT_MS — the ≤ limit every line is checked against</t>
  </si>
  <si>
    <t>Velocity limit, gas lines (erosion)</t>
  </si>
  <si>
    <t>connection_sizing.GAS_VELOCITY_LIMIT_MS (API RP 14E erosion ballpark)</t>
  </si>
  <si>
    <t>Velocity limit, steam lines (erosion)</t>
  </si>
  <si>
    <t>connection_sizing.STEAM_VELOCITY_LIMIT_MS</t>
  </si>
  <si>
    <t>Standard pipe size ladder</t>
  </si>
  <si>
    <t>DN15–DN300 (14 standard bores)</t>
  </si>
  <si>
    <t>DN</t>
  </si>
  <si>
    <t>connection_sizing.PIPE_DN_LADDER — the ONE ladder the sizer, line list and BoM share</t>
  </si>
  <si>
    <t>Duct sizing basis — target air velocity</t>
  </si>
  <si>
    <t>draw_hvac.DEFAULT_DUCT_VELOCITY_MS — duct area = airflow ÷ target velocity</t>
  </si>
  <si>
    <t>Duct velocity ceiling (flagged above)</t>
  </si>
  <si>
    <t>draw_hvac.DUCT_VELOCITY_MAX_MS</t>
  </si>
  <si>
    <t>Distribution voltage (this design)</t>
  </si>
  <si>
    <t>400 V 3-ph LV</t>
  </si>
  <si>
    <t>electrical_distribution_model.select_distribution_voltage(53 kW) — 53 kW ≤ 250 kW → standard 400 V LV board</t>
  </si>
  <si>
    <t>Cable conductor sizes — preferred ladder</t>
  </si>
  <si>
    <t>1.5–400 (17 sizes)</t>
  </si>
  <si>
    <t>mm²</t>
  </si>
  <si>
    <t>electrical_distribution_model.CABLE_CSA_LADDER — BS 7671 / IEC 60228 preferred sizes</t>
  </si>
  <si>
    <t>Cable ampacity basis</t>
  </si>
  <si>
    <t>BS 7671 Method C (conservative single-core copper)</t>
  </si>
  <si>
    <t>electrical_distribution_model._CSA_AMPACITY_A</t>
  </si>
  <si>
    <t>Assumed displacement power factor</t>
  </si>
  <si>
    <t>electrical_distribution_model.POWER_FACTOR (stated, kW↔A)</t>
  </si>
  <si>
    <t>Practical LV main-board current ceiling</t>
  </si>
  <si>
    <t>A</t>
  </si>
  <si>
    <t>electrical_distribution_model.PRACTICAL_LV_BOARD_CURRENT_A — past this the model steps up</t>
  </si>
  <si>
    <t>Minimum lettering on printed A1 sheets</t>
  </si>
  <si>
    <t>mm</t>
  </si>
  <si>
    <t>a1_print.MIN_TEXT_MM — ISO 3098 minimum lettering height; pagination splits a drawing onto more A1 sheets until met</t>
  </si>
  <si>
    <t>Design flows &amp; duties</t>
  </si>
  <si>
    <t>fertigation dosing capacity m3 per hr</t>
  </si>
  <si>
    <t>m³/h</t>
  </si>
  <si>
    <t>orchestratorContract.quantities.fertigation_dosing_capacity_m3_per_hr (calculator)</t>
  </si>
  <si>
    <t>fertigation dosing total m3 h</t>
  </si>
  <si>
    <t>orchestratorContract.quantities.fertigation_dosing_total_m3_h (demand-coverage)</t>
  </si>
  <si>
    <t>irrigation demand m3 h</t>
  </si>
  <si>
    <t>orchestratorContract.quantities.irrigation_demand_m3_h (calculator)</t>
  </si>
  <si>
    <t>irrigation pump flow m3 h</t>
  </si>
  <si>
    <t>orchestratorContract.quantities.irrigation_pump_flow_m3_h (tool:irrigation:pump-sizing)</t>
  </si>
  <si>
    <t>uv disinfection throughput m3 h</t>
  </si>
  <si>
    <t>orchestratorContract.quantities.uv_disinfection_throughput_m3_h (calculator)</t>
  </si>
  <si>
    <t>transformer kva</t>
  </si>
  <si>
    <t>kVA</t>
  </si>
  <si>
    <t>orchestratorContract.quantities.transformer_kva (tool:electrical:transformer-sizing)</t>
  </si>
  <si>
    <t>connected electrical load kw</t>
  </si>
  <si>
    <t>kW</t>
  </si>
  <si>
    <t>orchestratorContract.quantities.connected_electrical_load_kw (calculator)</t>
  </si>
  <si>
    <t>Process fluid</t>
  </si>
  <si>
    <t>Design fluid density</t>
  </si>
  <si>
    <t>kg/m³</t>
  </si>
  <si>
    <t>process-fluid density (median of 3 engine worked-calc input(s)) — resolved by _process_fluid_density from the engine's own worked-calc inputs</t>
  </si>
  <si>
    <t>Utilisation drivers</t>
  </si>
  <si>
    <t>Water / service utilisation (levelised-cost divisor)</t>
  </si>
  <si>
    <t>LIVE ← 'Inputs &amp; Assumptions'!$B$14 — annual delivered volume = design flow × 8760 × THIS driver</t>
  </si>
  <si>
    <t>Electrical load factor (energy line only)</t>
  </si>
  <si>
    <t>LIVE ← 'Inputs &amp; Assumptions'!$B$11 — average÷peak electrical ratio — sizes the energy cost, never the water divisor</t>
  </si>
  <si>
    <t>Operating hours basis</t>
  </si>
  <si>
    <t>LIVE ← 'Inputs &amp; Assumptions'!$B$12 — hours per year the plant runs</t>
  </si>
  <si>
    <t>Drawing register</t>
  </si>
  <si>
    <t>Every engineering drawing and render in this dossier. The File column names the print-ready ISO A1 vector PDF set in the run's drawings/ folder (841 × 594 mm, smallest lettering ≥ 2.5 mm on paper per ISO 3098; multi-sheet drawings carry match lines). The workbook tabs embed reduced PNG previews — print from the A1 PDFs, never from the previews. Gates is the drawing's own G1-G9 deterministic verdict (drawing_gates.py); the footer row formula-checks that every registered drawing shares ONE revision and ONE issue date.</t>
  </si>
  <si>
    <t>Drawing No.</t>
  </si>
  <si>
    <t>Title</t>
  </si>
  <si>
    <t>Rev</t>
  </si>
  <si>
    <t>Date</t>
  </si>
  <si>
    <t>Scale</t>
  </si>
  <si>
    <t>Sheets</t>
  </si>
  <si>
    <t>Min lettering</t>
  </si>
  <si>
    <t>File (A1 print set)</t>
  </si>
  <si>
    <t>Preview tab</t>
  </si>
  <si>
    <t>File check</t>
  </si>
  <si>
    <t>Gates (G1-G9)</t>
  </si>
  <si>
    <t>Audit: PDFs found</t>
  </si>
  <si>
    <t>Audit: missing sheets</t>
  </si>
  <si>
    <t>Audit: gates failing</t>
  </si>
  <si>
    <t>Audit: gates pass (1/0)</t>
  </si>
  <si>
    <t>FF-GA-001</t>
  </si>
  <si>
    <t>General Arrangement</t>
  </si>
  <si>
    <t>P1</t>
  </si>
  <si>
    <t>2026-07-04</t>
  </si>
  <si>
    <t>1:200  (@ A1)</t>
  </si>
  <si>
    <t>2.89 mm</t>
  </si>
  <si>
    <t>drawings/ga-A1.pdf</t>
  </si>
  <si>
    <t>FF-PID-001</t>
  </si>
  <si>
    <t>Piping &amp; Instrumentation Diagram</t>
  </si>
  <si>
    <t>NTS</t>
  </si>
  <si>
    <t>3.25 mm</t>
  </si>
  <si>
    <t>drawings/pid-A1.pdf
drawings/pid-A1-sheet2.pdf
drawings/pid-A1-sheet3.pdf
drawings/pid-A1-sheet4.pdf
drawings/pid-A1-sheet5.pdf
drawings/pid-A1-sheet6.pdf
drawings/pid-A1-sheet7.pdf
drawings/pid-A1-sheet8.pdf
drawings/pid-A1-sheet9.pdf
drawings/pid-A1-sheet10.pdf
drawings/pid-A1-sheet11.pdf
drawings/pid-A1-sheet12.pdf</t>
  </si>
  <si>
    <t>FF-BFD-001</t>
  </si>
  <si>
    <t>Block Flow Diagram</t>
  </si>
  <si>
    <t>2.7 mm</t>
  </si>
  <si>
    <t>drawings/bfd-A1.pdf
drawings/bfd-A1-sheet2.pdf
drawings/bfd-A1-sheet3.pdf
drawings/bfd-A1-sheet4.pdf
drawings/bfd-A1-sheet5.pdf
drawings/bfd-A1-sheet6.pdf</t>
  </si>
  <si>
    <t>FF-SLD-001</t>
  </si>
  <si>
    <t>Single-Line Electrical Diagram</t>
  </si>
  <si>
    <t>3.05 mm</t>
  </si>
  <si>
    <t>drawings/single-line-A1.pdf</t>
  </si>
  <si>
    <t>Block flow diagram of the process.</t>
  </si>
  <si>
    <t>Full-size vector sheets: drawings/bfd-A1.pdf (sheets 1-6, ISO A1, lettering ≥2.5 mm) — see the Drawings register tab. Reading guide: each block is one major process step — follow the stream arrows left to right; block names match the Quantities and BoM module groupings.</t>
  </si>
  <si>
    <t>Piping &amp; instrumentation diagram.</t>
  </si>
  <si>
    <t>Full-size vector sheets: drawings/pid-A1.pdf (sheets 1-12, ISO A1, lettering ≥2.5 mm) — see the Drawings register tab. Reading guide: top band = the process train in flow order (follow the numbered lines left to right), lower band = utility / dosing tie-ins; line numbers match the Process schedules tab.</t>
  </si>
  <si>
    <t>Valve list and instrument index — sortable sections parsed from process-schedules.md and cross-referenced to the P&amp;ID. The LINE LIST lives once, on the 'Line &amp; velocity' tab.</t>
  </si>
  <si>
    <t>Process line list — see the 'Line &amp; velocity' tab</t>
  </si>
  <si>
    <t>→ Line &amp; velocity</t>
  </si>
  <si>
    <t>THE line list: every routed line ONCE (as-routed tags, e.g. 201-PR-DN65) with its size, computed flow/velocity vs the erosion band, length, £ and per-row contract check. The 80-row block previously duplicated here carried the same physical lines in two tag dialects, plus artefact rows (a from==to self-loop; 4-20 mA instrument signal cables misfiled as pipes) — signals are on the instrument index below, never the pipe list.</t>
  </si>
  <si>
    <t>Process valve list</t>
  </si>
  <si>
    <t>Type</t>
  </si>
  <si>
    <t>Service</t>
  </si>
  <si>
    <t>Line / location</t>
  </si>
  <si>
    <t>Size</t>
  </si>
  <si>
    <t>Set / Cv</t>
  </si>
  <si>
    <t>Fail</t>
  </si>
  <si>
    <t>PCV-201</t>
  </si>
  <si>
    <t>Control valve</t>
  </si>
  <si>
    <t>Flow Control Valve (assembly component)</t>
  </si>
  <si>
    <t>242-WT-DN20</t>
  </si>
  <si>
    <t>DN20</t>
  </si>
  <si>
    <t>modulating</t>
  </si>
  <si>
    <t>FC</t>
  </si>
  <si>
    <t>FF-PID-001 S1-S12</t>
  </si>
  <si>
    <t>PSV-201 (×2)</t>
  </si>
  <si>
    <t>Pressure relief (PSV)</t>
  </si>
  <si>
    <t>Tank Vent / Pressure Relief (assembly component)</t>
  </si>
  <si>
    <t>DN65</t>
  </si>
  <si>
    <t>0.13 bar (design P) — derived from V-106's stated design pressure (13 kPa, basis)</t>
  </si>
  <si>
    <t>n/a (self-actuated)</t>
  </si>
  <si>
    <t>HV-201 (×2)</t>
  </si>
  <si>
    <t>Manual isolation</t>
  </si>
  <si>
    <t>Suction Isolation Valve (assembly component)</t>
  </si>
  <si>
    <t>201-PR</t>
  </si>
  <si>
    <t>n/a (isolation — full bore)</t>
  </si>
  <si>
    <t>n/a (manual)</t>
  </si>
  <si>
    <t>HV-202 (×2)</t>
  </si>
  <si>
    <t>Discharge Isolation Valve (assembly component)</t>
  </si>
  <si>
    <t>202-PR</t>
  </si>
  <si>
    <t>not derivable — Fertigation Dosing Pump states no flow duty (host pump has no m3/h to size a line from)</t>
  </si>
  <si>
    <t>NV-201 (×2)</t>
  </si>
  <si>
    <t>Non-return (check)</t>
  </si>
  <si>
    <t>Non-Return Valve (assembly component)</t>
  </si>
  <si>
    <t>203-PR</t>
  </si>
  <si>
    <t>n/a (check — passive)</t>
  </si>
  <si>
    <t>n/a (passive)</t>
  </si>
  <si>
    <t>HV-203</t>
  </si>
  <si>
    <t>204-PR</t>
  </si>
  <si>
    <t>DN100 — derived from host pump duty (25 m3/h @ 1.3 m/s suction)</t>
  </si>
  <si>
    <t>HV-204</t>
  </si>
  <si>
    <t>205-PR</t>
  </si>
  <si>
    <t>DN50</t>
  </si>
  <si>
    <t>NV-202</t>
  </si>
  <si>
    <t>206-PR</t>
  </si>
  <si>
    <t>HV-205 (×2)</t>
  </si>
  <si>
    <t>HV-206 (×2)</t>
  </si>
  <si>
    <t>NV-203 (×2)</t>
  </si>
  <si>
    <t>HV-207</t>
  </si>
  <si>
    <t>207-PR</t>
  </si>
  <si>
    <t>DN200 — derived from host pump duty (90 m3/h @ 1.3 m/s suction)</t>
  </si>
  <si>
    <t>HV-208</t>
  </si>
  <si>
    <t>208-PR</t>
  </si>
  <si>
    <t>DN125 — derived from host pump duty (90 m3/h @ 2 m/s discharge)</t>
  </si>
  <si>
    <t>NV-204</t>
  </si>
  <si>
    <t>209-PR</t>
  </si>
  <si>
    <t>HV-209</t>
  </si>
  <si>
    <t>210-PR</t>
  </si>
  <si>
    <t>not derivable — Ro High Pressure Pump states no flow duty (host pump has no m3/h to size a line from)</t>
  </si>
  <si>
    <t>HV-210</t>
  </si>
  <si>
    <t>211-PR</t>
  </si>
  <si>
    <t>DN125</t>
  </si>
  <si>
    <t>NV-205</t>
  </si>
  <si>
    <t>212-WT</t>
  </si>
  <si>
    <t>XV-201</t>
  </si>
  <si>
    <t>Solenoid shut-off</t>
  </si>
  <si>
    <t>213-WT</t>
  </si>
  <si>
    <t>on/off (tight-shutoff)</t>
  </si>
  <si>
    <t>XV-202 (×200)</t>
  </si>
  <si>
    <t>Actuated isolation</t>
  </si>
  <si>
    <t>214-PR</t>
  </si>
  <si>
    <t>DN32</t>
  </si>
  <si>
    <t>PCV-202</t>
  </si>
  <si>
    <t>DN100 modulating control valve (45 m³/h @ 2 m/s), on the inlet of Softener Vessel; modulated against the tank level transmitter to balance the recirculation flow</t>
  </si>
  <si>
    <t>XV-203</t>
  </si>
  <si>
    <t>215-PR</t>
  </si>
  <si>
    <t>PCV-203</t>
  </si>
  <si>
    <t>216-WT</t>
  </si>
  <si>
    <t>PSV-202</t>
  </si>
  <si>
    <t>Process instruments</t>
  </si>
  <si>
    <t>ISA</t>
  </si>
  <si>
    <t>Measured</t>
  </si>
  <si>
    <t>Location</t>
  </si>
  <si>
    <t>Range</t>
  </si>
  <si>
    <t>Signal</t>
  </si>
  <si>
    <t>Loop</t>
  </si>
  <si>
    <t>PT-218</t>
  </si>
  <si>
    <t>PT</t>
  </si>
  <si>
    <t>Differential-Pressure Gauges — TBD (detailed design)</t>
  </si>
  <si>
    <t>Pressure</t>
  </si>
  <si>
    <t>Coplanar gauge / DP</t>
  </si>
  <si>
    <t>X-912</t>
  </si>
  <si>
    <t>4–20 mA</t>
  </si>
  <si>
    <t>PT-219</t>
  </si>
  <si>
    <t>PT-220…224</t>
  </si>
  <si>
    <t>Discharge Pressure Gauge — TBD (detailed design)</t>
  </si>
  <si>
    <t>P-101 (4 off)</t>
  </si>
  <si>
    <t>PT-222</t>
  </si>
  <si>
    <t>PT-225</t>
  </si>
  <si>
    <t>PT-226</t>
  </si>
  <si>
    <t>PT-227</t>
  </si>
  <si>
    <t>PT-228</t>
  </si>
  <si>
    <t>PT-229</t>
  </si>
  <si>
    <t>PT-230</t>
  </si>
  <si>
    <t>PT-231</t>
  </si>
  <si>
    <t>X-913</t>
  </si>
  <si>
    <t>FT-201</t>
  </si>
  <si>
    <t>FT</t>
  </si>
  <si>
    <t>Flow</t>
  </si>
  <si>
    <t>Electromagnetic</t>
  </si>
  <si>
    <t>lines (e.g. 243-PR-DN32)</t>
  </si>
  <si>
    <t>AT-202</t>
  </si>
  <si>
    <t>AT (pH)</t>
  </si>
  <si>
    <t>pH / conductivity</t>
  </si>
  <si>
    <t>Memosens electrode</t>
  </si>
  <si>
    <t>vessels (e.g. V-106)</t>
  </si>
  <si>
    <t>0–14 pH</t>
  </si>
  <si>
    <t>AT-203</t>
  </si>
  <si>
    <t>AT (ORP)</t>
  </si>
  <si>
    <t>Redox (ORP)</t>
  </si>
  <si>
    <t>Pt ORP electrode</t>
  </si>
  <si>
    <t>−1500 to +1500 mV</t>
  </si>
  <si>
    <t>LT-201…213</t>
  </si>
  <si>
    <t>LT</t>
  </si>
  <si>
    <t>Level</t>
  </si>
  <si>
    <t>Guided-radar</t>
  </si>
  <si>
    <t>vessels (e.g. V-106) (13 off)</t>
  </si>
  <si>
    <t>0–1.4 m</t>
  </si>
  <si>
    <t>0–3 m</t>
  </si>
  <si>
    <t>LT-215…217</t>
  </si>
  <si>
    <t>vessels (e.g. V-106) (3 off)</t>
  </si>
  <si>
    <t>0–4 m</t>
  </si>
  <si>
    <t>ISE / glass electrode</t>
  </si>
  <si>
    <t>PT-201…217</t>
  </si>
  <si>
    <t>Piezoresistive</t>
  </si>
  <si>
    <t>P-101 (17 off)</t>
  </si>
  <si>
    <t>0–5 bar</t>
  </si>
  <si>
    <t>AT-204</t>
  </si>
  <si>
    <t>AT</t>
  </si>
  <si>
    <t>Composition</t>
  </si>
  <si>
    <t>NDIR analyser</t>
  </si>
  <si>
    <t>FT-202</t>
  </si>
  <si>
    <t>PT-232</t>
  </si>
  <si>
    <t>Cross-schedule consistency — schedule item totals vs the BoM</t>
  </si>
  <si>
    <t>Check</t>
  </si>
  <si>
    <t>Measured / compared</t>
  </si>
  <si>
    <t>Audit: schedule count</t>
  </si>
  <si>
    <t>Audit: BoM count</t>
  </si>
  <si>
    <t>Valve count: schedule vs BoM</t>
  </si>
  <si>
    <t>Instrument count: schedule vs BoM</t>
  </si>
  <si>
    <t>General arrangement / plant layout.</t>
  </si>
  <si>
    <t>Full-size vector sheets: drawings/ga-A1.pdf (sheet 1 of 1, ISO A1, lettering ≥2.5 mm) — see the Drawings register tab. Reading guide: plan view with elevations — equipment outlines carry the same tags as the Part names tab; dimensions in mm, datum ±0.000 = finished floor level.</t>
  </si>
  <si>
    <t>HVAC / ventilation layout.</t>
  </si>
  <si>
    <t>Full-size vector sheets: drawings/hvac-A1.pdf (sheet 1 of 1, ISO A1, lettering ≥2.5 mm) — see the Drawings register tab. Reading guide: duct runs overlay the GA footprint with supply vs extract airflow arrows; equipment tags match the Part names tab.</t>
  </si>
  <si>
    <t>Electrical — single-line diagram + panel / load schedule</t>
  </si>
  <si>
    <t>The electrical design on ONE tab: single-line diagram (preview) above, the panel / load schedule below. Every number on this tab renders from ONE dataset — the schedule (the converged connection schedule): Design I = P·1000 / (√3·V·pf·η) — pf 0.85 / η 0.90 for motor circuits, pf 1.0 / η 1.0 for resistive loads — from each circuit's INSTALLED motor frame. ΔU % is the cable volt-drop over its length / CSA at Design I. 'In spec' is a LIVE formula = (ΔU ≤ 5 %) — a missing/dash ΔU renders ✗, never a pass. Auto-generated; not for construction. ROW CHECK CONTRACT (score = 10 × rows-passing ÷ rows = 10 × 21/22 = 9.5): Ckt/Description=required_nonempty · Conn. load (kW)=required_nonempty · Design I (A)=computed · Protective device=computed · Cable=computed · Length (m)=required_nonempty · ΔU (%)=computed · In spec=computed · Board reconciliation=computed · Drawing ↔ schedule=computed. A dash / empty / unverifiable contracted cell FAILS its row — honest red beats fake green.</t>
  </si>
  <si>
    <t>Full-size vector sheets: drawings/single-line-A1.pdf (sheet 1 of 1, ISO A1, lettering ≥2.5 mm) — see the Drawings register tab. Reading guide: read top-down from the utility incomer through the main board to each feeder; feeder tags and loads match the Panel schedule tab.</t>
  </si>
  <si>
    <t>Convention: the schedule below is the single source for the electrical numbers on this tab. On the drawing, a ×N grouped circuit is labelled with its PER-UNIT current (the schedule's Design I is the whole circuit), and the LV system is stated at its 400 V nominal (a legacy '415 V' label names the same UK LV system). Where a drawing label and the schedule differ, the schedule governs.</t>
  </si>
  <si>
    <t>⛔ 1 of 22 rows FAIL — single cause: board reference(s) absent from the single-line drawing: MAIN DISTRIBUTION BOARD (TP&amp;N)</t>
  </si>
  <si>
    <t>Fix route: route the electrical circuits in the scene (wire the electrical_bus edges) so route-manifest / connection-schedule carry real cable lengths, compute ΔU% = f(length, CSA, Design I) in draw_panel_schedule at source, and generate the single-line + schedule from the ONE distribution dataset so kVA / voltage / board names cannot diverge</t>
  </si>
  <si>
    <t>MAIN DISTRIBUTION BOARD (TP&amp;N)</t>
  </si>
  <si>
    <t>Field</t>
  </si>
  <si>
    <t>Board reference</t>
  </si>
  <si>
    <t>Board type</t>
  </si>
  <si>
    <t>Main distribution board</t>
  </si>
  <si>
    <t>Supply source</t>
  </si>
  <si>
    <t>Utility LV incomer (400 V distribution board)</t>
  </si>
  <si>
    <t>System</t>
  </si>
  <si>
    <t>400 V 3-phase + N (TP&amp;N)</t>
  </si>
  <si>
    <t>Busbar rating</t>
  </si>
  <si>
    <t>100 A</t>
  </si>
  <si>
    <t>Incoming feeder</t>
  </si>
  <si>
    <t>1.5 mm² · 5.4 m · ΔU 0.038%</t>
  </si>
  <si>
    <t>Total connected load</t>
  </si>
  <si>
    <t>44.7 kW</t>
  </si>
  <si>
    <t>Board demand (busbar)</t>
  </si>
  <si>
    <t>86 A</t>
  </si>
  <si>
    <t>Ckt</t>
  </si>
  <si>
    <t>Description</t>
  </si>
  <si>
    <t>Ways</t>
  </si>
  <si>
    <t>Conn. load (kW)</t>
  </si>
  <si>
    <t>Design I (A)</t>
  </si>
  <si>
    <t>Protective device</t>
  </si>
  <si>
    <t>Cable (CSA · cores)</t>
  </si>
  <si>
    <t>Length (m)</t>
  </si>
  <si>
    <t>ΔU (%)</t>
  </si>
  <si>
    <t>In spec</t>
  </si>
  <si>
    <t>Audit: device rating (A)</t>
  </si>
  <si>
    <t>Audit: Iz (A) — BS 7671 Method-C ampacity</t>
  </si>
  <si>
    <t>Audit: kW (parsed per-unit)</t>
  </si>
  <si>
    <t>Audit: Design I (parsed)</t>
  </si>
  <si>
    <t>W1</t>
  </si>
  <si>
    <t>6 A MCB (sized)</t>
  </si>
  <si>
    <t>1.5 mm² · 3c+E</t>
  </si>
  <si>
    <t>W2</t>
  </si>
  <si>
    <t>10 A MCB (sized)</t>
  </si>
  <si>
    <t>W3–4</t>
  </si>
  <si>
    <t>7.50 (×2=15.0)</t>
  </si>
  <si>
    <t>16 A MCB (sized)</t>
  </si>
  <si>
    <t>W5</t>
  </si>
  <si>
    <t>W6–7</t>
  </si>
  <si>
    <t>1.92 (×2=3.8)</t>
  </si>
  <si>
    <t>W8–9</t>
  </si>
  <si>
    <t>0.60 (×2=1.2)</t>
  </si>
  <si>
    <t>W10</t>
  </si>
  <si>
    <t>Irrigation / nutrient pump</t>
  </si>
  <si>
    <t>20 A MCB (sized)</t>
  </si>
  <si>
    <t>W11</t>
  </si>
  <si>
    <t>W12</t>
  </si>
  <si>
    <t>W13</t>
  </si>
  <si>
    <t>W14</t>
  </si>
  <si>
    <t>W15</t>
  </si>
  <si>
    <t>W16</t>
  </si>
  <si>
    <t>W17</t>
  </si>
  <si>
    <t>W18</t>
  </si>
  <si>
    <t>W19</t>
  </si>
  <si>
    <t>Digital Control Panel  (control / aux feeder)</t>
  </si>
  <si>
    <t>TOTALS</t>
  </si>
  <si>
    <t>Sub-distribution board</t>
  </si>
  <si>
    <t>Local sub-distribution (MV feeder → local step-down transformer)</t>
  </si>
  <si>
    <t>20 A</t>
  </si>
  <si>
    <t>1.5 mm² · 20.7 m · ΔU 0.147%</t>
  </si>
  <si>
    <t>9.7 kW</t>
  </si>
  <si>
    <t>18 A</t>
  </si>
  <si>
    <t>Board &amp; drawing reconciliation — contract checks (scored with the circuit rows above). These compare TWO ARTEFACTS (schedule ↔ single-line drawing ↔ contract): each side's value is EMBEDDED on the 'Audit data' sheet with its provenance, and the Row check is a live formula over those operand cells.</t>
  </si>
  <si>
    <t>MAIN DISTRIBUTION BOARD (TP&amp;N) · [board reconciliation]</t>
  </si>
  <si>
    <t>Σ circuit design current 86 A vs busbar demand 86 A (ratio 1); busbar rating: 100 A</t>
  </si>
  <si>
    <t>Main Switchboard · [board reconciliation]</t>
  </si>
  <si>
    <t>Σ circuit design current 18 A vs busbar demand 18 A (ratio 1); busbar rating: 20 A</t>
  </si>
  <si>
    <t>single-line ↔ schedule · system voltage</t>
  </si>
  <si>
    <t>schedule system 400 V 3-phase; drawing voltages: 11000/400 V, 400 V</t>
  </si>
  <si>
    <t>single-line ↔ schedule · board hierarchy</t>
  </si>
  <si>
    <t>schedule boards: MAIN DISTRIBUTION BOARD (TP&amp;N), Main Switchboard</t>
  </si>
  <si>
    <t>single-line ↔ schedule · transformer kVA</t>
  </si>
  <si>
    <t>drawing transformer 75.0 kVA vs contract quantity 75.0 kVA</t>
  </si>
  <si>
    <t>Line &amp; velocity schedule</t>
  </si>
  <si>
    <t>Every sized run, SPLIT so units never mix: process-pipe lines (flow, velocity vs the erosion band) · electrical &amp; signal cables (current A, volt-drop band) · other services. Velocity is COMPUTED (the sizer's as-sized value when it carried a real flow, else v = Q ÷ A from the endpoint-matched contract flow over the sizer's DN bore); 'In spec' is the computed band comparison — never a default tick. Basis shows the flow/velocity derivation + how each Line £ is built. ROW CHECK CONTRACT (score = 10 × rows-passing ÷ rows = 10 × 68/71 = 9.6): Tag/From/To/Size=required_nonempty · Rating=computed · Velocity / ΔU=computed · Spec limit=required_nonempty · In spec=computed · Length (m)=required_nonempty · Line £ + Basis=required_nonempty. A dash / empty / unverifiable contracted cell FAILS its row — honest red beats fake green.</t>
  </si>
  <si>
    <t>⛔ 3 of 71 rows FAIL — top causes: 2× velocity underivable — no flow demand on the edge and no contract flow/throughput quantity matches either endpoint; 1× no carried current on the run; ΔU% missing — volt-drop unverifiable (dash is never in-spec)</t>
  </si>
  <si>
    <t>Fix route: author the real flow demand (required_value) on every fluid topology edge at source (universal-contract-sizing → connection ledger) so connection_sizing sizes bores from true flows; the schedule then carries computed velocities and the band check passes on the re-sized lines</t>
  </si>
  <si>
    <t>Process pipe lines — flow (m³/s) · velocity limit ≤ 3 m/s</t>
  </si>
  <si>
    <t>Basis note — common to the rows below (factored out of the per-row cells): cost model: model:uk-2026-supply+install</t>
  </si>
  <si>
    <t>From</t>
  </si>
  <si>
    <t>To</t>
  </si>
  <si>
    <t>Rating</t>
  </si>
  <si>
    <t>Velocity / ΔU</t>
  </si>
  <si>
    <t>Spec limit</t>
  </si>
  <si>
    <t>Audit: band</t>
  </si>
  <si>
    <t>201-PR-DN65</t>
  </si>
  <si>
    <t>14.5 m3/h</t>
  </si>
  <si>
    <t>≤3 m/s velocity</t>
  </si>
  <si>
    <t>DN65 pipe, 7.8 m, ΔP≈2.1 kPa · £60/m × 7.8 m · install £467 · as-sized by connection_sizing (post-upsize) from 14.5 m3/h</t>
  </si>
  <si>
    <t>202-PR-DN125</t>
  </si>
  <si>
    <t>DN125 pipe, 10.8 m, ΔP≈0.7 kPa · £130/m × 10.8 m · install £1,409 · as-sized by connection_sizing (post-upsize) from 45 m3/h</t>
  </si>
  <si>
    <t>203-PR-DN50</t>
  </si>
  <si>
    <t>11 m3/h</t>
  </si>
  <si>
    <t>DN50 pipe, 10.1 m, ΔP≈3.9 kPa · £48/m × 10.1 m · install £486 · as-sized by connection_sizing (post-upsize) from 11 m3/h</t>
  </si>
  <si>
    <t>204-PR-DN125</t>
  </si>
  <si>
    <t>DN125 pipe, 22.1 m, ΔP≈1.4 kPa · £130/m × 22.1 m · install £2,878 · as-sized by connection_sizing (post-upsize) from 45 m3/h</t>
  </si>
  <si>
    <t>205-PR-DN50</t>
  </si>
  <si>
    <t>DN50 pipe, 27.9 m, ΔP≈10.8 kPa · £48/m × 27.9 m · install £1,339 · as-sized by connection_sizing (post-upsize) from 11 m3/h</t>
  </si>
  <si>
    <t>206-PR-DN125</t>
  </si>
  <si>
    <t>DN125 pipe, 32.1 m, ΔP≈2.1 kPa · £130/m × 32.1 m · install £4,177 · as-sized by connection_sizing (post-upsize) from 45 m3/h</t>
  </si>
  <si>
    <t>207-PR-DN150</t>
  </si>
  <si>
    <t>DN150</t>
  </si>
  <si>
    <t>80 m3/h</t>
  </si>
  <si>
    <t>DN150 pipe, 21.3 m, ΔP≈1.6 kPa · £165/m × 21.3 m · install £3,521 · as-sized by connection_sizing (post-upsize) from 80 m3/h</t>
  </si>
  <si>
    <t>208-PR-DN125</t>
  </si>
  <si>
    <t>DN125 pipe, 20.2 m, ΔP≈1.3 kPa · £130/m × 20.2 m · install £2,627 · as-sized by connection_sizing (post-upsize) from 45 m3/h</t>
  </si>
  <si>
    <t>209-PR-DN150</t>
  </si>
  <si>
    <t>90 m3/h</t>
  </si>
  <si>
    <t>DN150 pipe, 23.7 m, ΔP≈2.2 kPa · £165/m × 23.7 m · install £3,909 · as-sized by connection_sizing (post-upsize) from 90 m3/h</t>
  </si>
  <si>
    <t>210-PR-DN125</t>
  </si>
  <si>
    <t>DN125 pipe, 29.6 m, ΔP≈1.9 kPa · £130/m × 29.6 m · install £3,847 · as-sized by connection_sizing (post-upsize) from 45 m3/h</t>
  </si>
  <si>
    <t>211-PR-DN125</t>
  </si>
  <si>
    <t>DN125 pipe, 24.7 m, ΔP≈1.6 kPa · £130/m × 24.7 m · install £3,212 · as-sized by connection_sizing (post-upsize) from 45 m3/h</t>
  </si>
  <si>
    <t>212-WT-DN125</t>
  </si>
  <si>
    <t>DN125 pipe, 11.7 m, ΔP≈0.8 kPa · £130/m × 11.7 m · install £1,526 · as-sized by connection_sizing (post-upsize) from 45 m3/h</t>
  </si>
  <si>
    <t>213-PR-DN150</t>
  </si>
  <si>
    <t>DN150 pipe, 19.4 m, ΔP≈1.8 kPa · £165/m × 19.4 m · install £3,199 · as-sized by connection_sizing (post-upsize) from 90 m3/h</t>
  </si>
  <si>
    <t>214-WT-DN80</t>
  </si>
  <si>
    <t>DN80</t>
  </si>
  <si>
    <t>25 m3/h</t>
  </si>
  <si>
    <t>DN80 pipe, 26.2 m, ΔP≈6.6 kPa · £74/m × 26.2 m · install £1,936 · as-sized by connection_sizing (post-upsize) from 25 m3/h</t>
  </si>
  <si>
    <t>215-PR-DN150</t>
  </si>
  <si>
    <t>DN150 pipe, 10.0 m, ΔP≈0.8 kPa · £165/m × 10.0 m · install £1,650 · as-sized by connection_sizing (post-upsize) from 80 m3/h</t>
  </si>
  <si>
    <t>216-PR-DN65</t>
  </si>
  <si>
    <t>DN65 pipe, 6.2 m, ΔP≈1.7 kPa · £60/m × 6.2 m · install £370 · as-sized by connection_sizing (post-upsize) from 14.5 m3/h</t>
  </si>
  <si>
    <t>217-PR-DN150</t>
  </si>
  <si>
    <t>DN150 pipe, 23.5 m, ΔP≈2.2 kPa · £165/m × 23.5 m · install £3,871 · as-sized by connection_sizing (post-upsize) from 90 m3/h</t>
  </si>
  <si>
    <t>218-PR-DN125</t>
  </si>
  <si>
    <t>DN125 pipe, 4.8 m, ΔP≈0.3 kPa · £130/m × 4.8 m · install £628 · as-sized by connection_sizing (post-upsize) from 45 m3/h</t>
  </si>
  <si>
    <t>219-PR-DN50</t>
  </si>
  <si>
    <t>DN50 pipe, 27.2 m, ΔP≈10.5 kPa · £48/m × 27.2 m · install £1,306 · as-sized by connection_sizing (post-upsize) from 11 m3/h</t>
  </si>
  <si>
    <t>220-PR-DN65</t>
  </si>
  <si>
    <t>DN65 pipe, 23.8 m, ΔP≈6.4 kPa · £60/m × 23.8 m · install £1,425 · as-sized by connection_sizing (post-upsize) from 14.5 m3/h</t>
  </si>
  <si>
    <t>221-PR-DN125</t>
  </si>
  <si>
    <t>DN125 pipe, 8.4 m, ΔP≈0.5 kPa · £130/m × 8.4 m · install £1,088 · as-sized by connection_sizing (post-upsize) from 45 m3/h</t>
  </si>
  <si>
    <t>222-PR-DN32</t>
  </si>
  <si>
    <t>4 m3/h</t>
  </si>
  <si>
    <t>DN32 pipe, 20.1 m, ΔP≈8.8 kPa · £34/m × 20.1 m · install £683 · as-sized by connection_sizing (post-upsize) from 4 m3/h</t>
  </si>
  <si>
    <t>223-PR-DN32</t>
  </si>
  <si>
    <t>DN32 pipe, 23.7 m, ΔP≈10.4 kPa · £34/m × 23.7 m · install £806 · as-sized by connection_sizing (post-upsize) from 4 m3/h</t>
  </si>
  <si>
    <t>224-WT-DN125</t>
  </si>
  <si>
    <t>DN125 pipe, 33.1 m, ΔP≈2.2 kPa · £130/m × 33.1 m · install £4,303 · as-sized by connection_sizing (post-upsize) from 45 m3/h</t>
  </si>
  <si>
    <t>225-PR-DN32</t>
  </si>
  <si>
    <t>DN32 pipe, 45.2 m, ΔP≈19.7 kPa · £34/m × 45.2 m · install £1,537 · as-sized by connection_sizing (post-upsize) from 4 m3/h</t>
  </si>
  <si>
    <t>226-PR-DN32</t>
  </si>
  <si>
    <t>DN32 pipe, 3.1 m, ΔP≈1.4 kPa · £34/m × 3.1 m · install £106 · as-sized by connection_sizing (post-upsize) from 4 m3/h</t>
  </si>
  <si>
    <t>227-PR-DN125</t>
  </si>
  <si>
    <t>DN125 pipe, 20.4 m, ΔP≈1.3 kPa · £130/m × 20.4 m · install £2,655 · as-sized by connection_sizing (post-upsize) from 45 m3/h</t>
  </si>
  <si>
    <t>228-WT-DN32</t>
  </si>
  <si>
    <t>DN32 pipe, 13.7 m, ΔP≈6.0 kPa · £34/m × 13.7 m · install £464 · as-sized by connection_sizing (post-upsize) from 4 m3/h</t>
  </si>
  <si>
    <t>229-PR-DN125</t>
  </si>
  <si>
    <t>DN125 pipe, 24.3 m, ΔP≈1.6 kPa · £130/m × 24.3 m · install £3,154 · as-sized by connection_sizing (post-upsize) from 45 m3/h</t>
  </si>
  <si>
    <t>230-WT-DN25</t>
  </si>
  <si>
    <t>DN25 (nominal — flow unknown)</t>
  </si>
  <si>
    <t>UNVERIFIED</t>
  </si>
  <si>
    <t>≤3 m/s velocity (UNVERIFIED — no flow demand)</t>
  </si>
  <si>
    <t>DN25 nominal pipe, 5.0 m (flow unknown) · £28/m × 5.0 m · install £140</t>
  </si>
  <si>
    <t>velocity underivable — no flow demand on the edge and no contract flow/throughput quantity matches either endpoint</t>
  </si>
  <si>
    <t>231-WT-DN150</t>
  </si>
  <si>
    <t>DN150 pipe, 30.6 m, ΔP≈2.9 kPa · £99/m × 30.6 m · install £3,031 · as-sized by connection_sizing (post-upsize) from 90 m3/h</t>
  </si>
  <si>
    <t>232-WT-DN65</t>
  </si>
  <si>
    <t>DN65 pipe, 31.1 m, ΔP≈8.4 kPa · £60/m × 31.1 m · install £1,868 · as-sized by connection_sizing (post-upsize) from 14.5 m3/h</t>
  </si>
  <si>
    <t>233-WT-DN125</t>
  </si>
  <si>
    <t>DN125 pipe, 27.2 m, ΔP≈1.8 kPa · £130/m × 27.2 m · install £3,540 · as-sized by connection_sizing (post-upsize) from 45 m3/h</t>
  </si>
  <si>
    <t>234-WT-DN125</t>
  </si>
  <si>
    <t>DN125 pipe, 25.4 m, ΔP≈1.7 kPa · £130/m × 25.4 m · install £3,302 · as-sized by connection_sizing (post-upsize) from 45 m3/h</t>
  </si>
  <si>
    <t>235-WT-DN25</t>
  </si>
  <si>
    <t>DN25 nominal pipe, 20.0 m (flow unknown) · £28/m × 20.0 m · install £559</t>
  </si>
  <si>
    <t>236-WT-DN80</t>
  </si>
  <si>
    <t>DN80 pipe, 30.2 m, ΔP≈7.6 kPa · £74/m × 30.2 m · install £2,237 · as-sized by connection_sizing (post-upsize) from 25 m3/h</t>
  </si>
  <si>
    <t>237-PR-DN125</t>
  </si>
  <si>
    <t>DN125 pipe, 15.8 m, ΔP≈1.0 kPa · £130/m × 15.8 m · install £2,050 · as-sized by connection_sizing (post-upsize) from 45 m3/h</t>
  </si>
  <si>
    <t>238-WT-DN150</t>
  </si>
  <si>
    <t>DN150 pipe, 6.5 m, ΔP≈0.6 kPa · £165/m × 6.5 m · install £1,079 · as-sized by connection_sizing (post-upsize) from 90 m3/h</t>
  </si>
  <si>
    <t>239-WT-DN125</t>
  </si>
  <si>
    <t>DN125 pipe, 30.5 m, ΔP≈2.0 kPa · £130/m × 30.5 m · install £3,965 · as-sized by connection_sizing (post-upsize) from 45 m3/h</t>
  </si>
  <si>
    <t>240-PR-DN125</t>
  </si>
  <si>
    <t>DN125 pipe, 1.9 m, ΔP≈0.1 kPa · £130/m × 1.9 m · install £243 · as-sized by connection_sizing (post-upsize) from 45 m3/h</t>
  </si>
  <si>
    <t>241-PR-DN125</t>
  </si>
  <si>
    <t>DN125 pipe, 28.1 m, ΔP≈1.8 kPa · £130/m × 28.1 m · install £3,648 · as-sized by connection_sizing (post-upsize) from 45 m3/h</t>
  </si>
  <si>
    <t>1.35 m3/h</t>
  </si>
  <si>
    <t>DN20 pipe, 20.6 m, ΔP≈15.4 kPa · £13/m × 20.6 m · install £272 · as-sized by connection_sizing (post-upsize) from 1.35 m3/h</t>
  </si>
  <si>
    <t>243-PR-DN32</t>
  </si>
  <si>
    <t>DN32 pipe, 50.9 m, ΔP≈22.2 kPa · £34/m × 50.9 m · install £1,730 · as-sized by connection_sizing (post-upsize) from 4 m3/h</t>
  </si>
  <si>
    <t>244-PR-DN65</t>
  </si>
  <si>
    <t>DN65 pipe, 25.4 m, ΔP≈6.8 kPa · £60/m × 25.4 m · install £1,526 · as-sized by connection_sizing (post-upsize) from 14.5 m3/h</t>
  </si>
  <si>
    <t>245-PR-DN125</t>
  </si>
  <si>
    <t>DN125 pipe, 31.4 m, ΔP≈2.0 kPa · £130/m × 31.4 m · install £4,079 · as-sized by connection_sizing (post-upsize) from 45 m3/h</t>
  </si>
  <si>
    <t>246-PR-DN125</t>
  </si>
  <si>
    <t>DN125 pipe, 29.4 m, ΔP≈1.9 kPa · £130/m × 29.4 m · install £3,821 · as-sized by connection_sizing (post-upsize) from 45 m3/h</t>
  </si>
  <si>
    <t>247-PR-DN125</t>
  </si>
  <si>
    <t>DN125 pipe, 11.6 m, ΔP≈0.8 kPa · £130/m × 11.6 m · install £1,511 · as-sized by connection_sizing (post-upsize) from 45 m3/h</t>
  </si>
  <si>
    <t>Σ Process pipe lines</t>
  </si>
  <si>
    <t>Electrical &amp; signal cables — current (A) · volt-drop limit ≤ 5 %</t>
  </si>
  <si>
    <t>1.5 mm²</t>
  </si>
  <si>
    <t>4.2 A</t>
  </si>
  <si>
    <t>≤5% volt-drop</t>
  </si>
  <si>
    <t>1 × 1.5 mm² Cu, 9.6 m · £3/m × 9.6 m · install £29 · volt-drop at 4.2 A over 9.61 m</t>
  </si>
  <si>
    <t>1 × 1.5 mm² Cu, 8.0 m · £3/m × 8.0 m · install £24 · volt-drop at 4.2 A over 8.01 m</t>
  </si>
  <si>
    <t>1 × 1.5 mm² Cu, 20.7 m · £3/m × 20.7 m · install £62 · volt-drop at 4.2 A over 20.72 m</t>
  </si>
  <si>
    <t>1 × 1.5 mm² Cu, 5.4 m · £3/m × 5.4 m · install £16 · volt-drop at 4.2 A over 5.43 m</t>
  </si>
  <si>
    <t>1 × 1.5 mm² Cu, 6.1 m · £3/m × 6.1 m · install £18 · volt-drop at 4.2 A over 6.07 m</t>
  </si>
  <si>
    <t>1 × 1.5 mm² Cu, 5.7 m · £3/m × 5.7 m · install £17 · volt-drop at 4.2 A over 5.73 m</t>
  </si>
  <si>
    <t>48</t>
  </si>
  <si>
    <t>1 × 1.5 mm² Cu, 5.7 m · £3/m × 5.7 m · install £17 · volt-drop at 4.2 A over 5.72 m</t>
  </si>
  <si>
    <t>49</t>
  </si>
  <si>
    <t>1 × 1.5 mm² Cu, 6.3 m · £3/m × 6.3 m · install £19 · volt-drop at 4.2 A over 6.26 m</t>
  </si>
  <si>
    <t>50</t>
  </si>
  <si>
    <t>8.2 A</t>
  </si>
  <si>
    <t>1 × 1.5 mm² Cu, 27.1 m · £3/m × 27.1 m · install £81 · volt-drop at 8.2 A over 27.07 m</t>
  </si>
  <si>
    <t>51</t>
  </si>
  <si>
    <t>15 A</t>
  </si>
  <si>
    <t>1 × 1.5 mm² Cu, 20.7 m · £3/m × 20.7 m · install £62 · volt-drop at 15 A over 20.74 m</t>
  </si>
  <si>
    <t>52</t>
  </si>
  <si>
    <t>1 × 1.5 mm² Cu, 33.4 m · £3/m × 33.5 m · install £100 · volt-drop at 4.2 A over 33.45 m</t>
  </si>
  <si>
    <t>53</t>
  </si>
  <si>
    <t>3.9 A</t>
  </si>
  <si>
    <t>1 × 1.5 mm² Cu, 37.3 m · £3/m × 37.3 m · install £112 · volt-drop at 3.9 A over 37.27 m</t>
  </si>
  <si>
    <t>54</t>
  </si>
  <si>
    <t>1 × 1.5 mm² Cu, 23.2 m · £3/m × 23.2 m · install £70 · volt-drop at 4.2 A over 23.22 m</t>
  </si>
  <si>
    <t>55</t>
  </si>
  <si>
    <t>1 × 1.5 mm² Cu, 30.2 m · £3/m × 30.2 m · install £91 · volt-drop at 4.2 A over 30.25 m</t>
  </si>
  <si>
    <t>56</t>
  </si>
  <si>
    <t>8.4 A</t>
  </si>
  <si>
    <t>1 × 1.5 mm² Cu, 34.6 m · £3/m × 34.6 m · install £104 · volt-drop at 8.4 A over 34.63 m</t>
  </si>
  <si>
    <t>57</t>
  </si>
  <si>
    <t>1 × 1.5 mm² Cu, 38.9 m · £3/m × 38.9 m · install £117 · volt-drop at 4.2 A over 38.88 m</t>
  </si>
  <si>
    <t>58</t>
  </si>
  <si>
    <t>1 × 1.5 mm² Cu, 24.5 m · £3/m × 24.5 m · install £74 · volt-drop at 4.2 A over 24.51 m</t>
  </si>
  <si>
    <t>59</t>
  </si>
  <si>
    <t>1 × 1.5 mm² Cu, 21.5 m · £3/m × 21.5 m · install £65 · volt-drop at 4.2 A over 21.51 m</t>
  </si>
  <si>
    <t>60</t>
  </si>
  <si>
    <t>1 × 1.5 mm² Cu, 33.2 m · £3/m × 33.2 m · install £100 · volt-drop at 4.2 A over 33.22 m</t>
  </si>
  <si>
    <t>61</t>
  </si>
  <si>
    <t>(unsized — no design current)</t>
  </si>
  <si>
    <t>≤5% volt-drop (UNVERIFIED — no design current)</t>
  </si>
  <si>
    <t>power feeder, 28.1 m (design current unknown) · £3/m × 28.1 m · install £84</t>
  </si>
  <si>
    <t>no carried current on the run; ΔU% missing — volt-drop unverifiable (dash is never in-spec)</t>
  </si>
  <si>
    <t>62</t>
  </si>
  <si>
    <t>0.5 A</t>
  </si>
  <si>
    <t>1 × 1.5 mm² Cu, 31.5 m · £3/m × 31.5 m · install £94 · volt-drop at 0.5 A over 31.49 m</t>
  </si>
  <si>
    <t>63</t>
  </si>
  <si>
    <t>1 × 1.5 mm² Cu, 25.4 m · £3/m × 25.4 m · install £76 · volt-drop at 0.5 A over 25.37 m</t>
  </si>
  <si>
    <t>64</t>
  </si>
  <si>
    <t>1 × 1.5 mm² Cu, 27.5 m · £3/m × 27.5 m · install £82 · volt-drop at 0.5 A over 27.48 m</t>
  </si>
  <si>
    <t>66</t>
  </si>
  <si>
    <t>1 × 1.5 mm² Cu, 29.1 m · £3/m × 29.1 m · install £87 · volt-drop at 0.5 A over 29.06 m</t>
  </si>
  <si>
    <t>Σ Electrical &amp; signal cables</t>
  </si>
  <si>
    <t>Rows FAILING the column contract (all sections, live count)</t>
  </si>
  <si>
    <t>Assembly &amp; erection sequence — derived from this design</t>
  </si>
  <si>
    <t>Order of works DERIVED FROM THE DESIGN: civils sized from the placed-plant footprint, one erection step per process region (GA order) with equipment grouped by module, pipework/electrical quantified from the connection schedule, and durations from the group counts × the unit norms footnoted below (ESTIMATE). Hold / witness points gate each step. A site-specific construction phase plan (CDM) is still required before works begin.</t>
  </si>
  <si>
    <t>LARGEST LIFT: Fresh Water Tank [TK-108] at 656 kg (heaviest vessel mass in the bill of materials) → 20 t mobile crane (or lorry-mounted HIAB). Rule (ESTIMATE): crane rated ≥5× the load at a ~10 m working radius.</t>
  </si>
  <si>
    <t>Heavy lifts (&gt;1 t): none — no BoM item exceeds 1,000 kg, so there is no further lift plant to call out beyond the largest-lift line above.</t>
  </si>
  <si>
    <t>Phase / activity</t>
  </si>
  <si>
    <t>Scope — equipment groups (tags)</t>
  </si>
  <si>
    <t>Predecessor</t>
  </si>
  <si>
    <t>Lifting plant</t>
  </si>
  <si>
    <t>Duration</t>
  </si>
  <si>
    <t>Days (live)</t>
  </si>
  <si>
    <t>Hold / witness point</t>
  </si>
  <si>
    <t>Site set-out &amp; civils</t>
  </si>
  <si>
    <t>Ground-bearing slab 22.8 × 26.6 m (606.2 m², from the placed-plant footprint) + plinths, bunds &amp; drainage falls</t>
  </si>
  <si>
    <t>Site handover</t>
  </si>
  <si>
    <t>Excavator, concrete pump</t>
  </si>
  <si>
    <t>~15.5 crew-days (ESTIMATE)</t>
  </si>
  <si>
    <t>Set-out survey + concrete cube tests signed off</t>
  </si>
  <si>
    <t>Erect &amp; set — Maintenance serviceability</t>
  </si>
  <si>
    <t>Cip Tank TK-101; Cleaning Tank TK-102</t>
  </si>
  <si>
    <t>Civils complete &amp; cured</t>
  </si>
  <si>
    <t>20 t mobile crane (or lorry-mounted HIAB)</t>
  </si>
  <si>
    <t>~1 crew-day (ESTIMATE)</t>
  </si>
  <si>
    <t>Vessel hydrostatic (leak) test witnessed; machines: alignment + rotation (bump) test</t>
  </si>
  <si>
    <t>Erect &amp; set — Mass fluid transport process</t>
  </si>
  <si>
    <t>8× Nutrient Tank TK-103, TK-104, TK-105, TK-109 (+4 more) — see GA; 2× Cloth Filter V-104, V-105; 2× Drain Collection Sump TK-114, TK-115; 2× Drain Transfer Pump P-103, P-104; 2× Drain Water Tank TK-106, TK-107; 2× Fertigation Dosing Pump P-106, P-107; 2× Softener Vessel V-106, V-107; Distribution Manifold M-101; Fresh Water Tank TK-108; Gac Filter V-101; (+8 more groups, 8 items — see GA)</t>
  </si>
  <si>
    <t>Erect &amp; set — Maintenance serviceability set</t>
  </si>
  <si>
    <t>~9.5 crew-days (ESTIMATE)</t>
  </si>
  <si>
    <t>Erect &amp; set — Structure containment</t>
  </si>
  <si>
    <t>Transformer TX-101</t>
  </si>
  <si>
    <t>Erect &amp; set — Mass fluid transport process set</t>
  </si>
  <si>
    <t>Forklift / pallet truck</t>
  </si>
  <si>
    <t>~0.5 crew-days (ESTIMATE)</t>
  </si>
  <si>
    <t>Alignment + rotation (bump) test recorded</t>
  </si>
  <si>
    <t>Erect &amp; set — Energy storage source</t>
  </si>
  <si>
    <t>Main Switchboard EP-101; Mains Incomer EP-102</t>
  </si>
  <si>
    <t>Erect &amp; set — Structure containment set</t>
  </si>
  <si>
    <t>Erect &amp; set — Environmental interface</t>
  </si>
  <si>
    <t>Concentrate Outlet X-103; Permeate Outlet X-104</t>
  </si>
  <si>
    <t>Erect &amp; set — Energy storage source set</t>
  </si>
  <si>
    <t>Erect &amp; set — Power distribution</t>
  </si>
  <si>
    <t>3 Phase Power Input D-101; Control + Instrument UPS U-201; Distribution Transformer TX-102; Electrical Control Panel X-102; Motor Control Center EP-104; SCADA / Plant Control System EP-103; Standby Diesel Generator G-201</t>
  </si>
  <si>
    <t>Erect &amp; set — Environmental interface set</t>
  </si>
  <si>
    <t>~2 crew-days (ESTIMATE)</t>
  </si>
  <si>
    <t>Erect &amp; set — Control compute communication</t>
  </si>
  <si>
    <t>Digital Control Panel I-103</t>
  </si>
  <si>
    <t>Erect &amp; set — Power distribution set</t>
  </si>
  <si>
    <t>Erect &amp; set — Safety protection</t>
  </si>
  <si>
    <t>Electrical Control Cabinet I-102</t>
  </si>
  <si>
    <t>Erect &amp; set — Control compute communication set</t>
  </si>
  <si>
    <t>Pipework &amp; interconnections</t>
  </si>
  <si>
    <t>996.7 m of sized pipe across 71 runs (DN125 443.6 m, DN150 135 m, DN20 20.6 m, DN25 (nominal — flow unknown) 25 m, DN32 156.6 m, DN50 65.2 m) — per the connection schedule / Line &amp; velocity tab</t>
  </si>
  <si>
    <t>Equipment set &amp; grouted</t>
  </si>
  <si>
    <t>Pipe trolleys, chain hoists</t>
  </si>
  <si>
    <t>~40 crew-days (ESTIMATE)</t>
  </si>
  <si>
    <t>Pressure / leak test certificate per line</t>
  </si>
  <si>
    <t>Electrical installation</t>
  </si>
  <si>
    <t>533.8 m of LV cable per the connection schedule; boards &amp; distribution per the Electrical tab (single-line + panel schedule)</t>
  </si>
  <si>
    <t>Cable routes / trays installed</t>
  </si>
  <si>
    <t>Cable drum jacks</t>
  </si>
  <si>
    <t>~9 crew-days (ESTIMATE)</t>
  </si>
  <si>
    <t>Insulation-resistance + earth-continuity tests</t>
  </si>
  <si>
    <t>Instrumentation, controls &amp; SCADA</t>
  </si>
  <si>
    <t>51 instrument loop(s) from the bill of materials — mount, hook-up, loop-check</t>
  </si>
  <si>
    <t>Electrical energised (LV)</t>
  </si>
  <si>
    <t>Hand tools</t>
  </si>
  <si>
    <t>~6.5 crew-days (ESTIMATE)</t>
  </si>
  <si>
    <t>Loop checks + calibration certificates</t>
  </si>
  <si>
    <t>Pre-commissioning &amp; commissioning</t>
  </si>
  <si>
    <t>Whole plant — flush, fill, leak-check, energise, wet-commission, performance test (47 principal items)</t>
  </si>
  <si>
    <t>All systems installed &amp; tested</t>
  </si>
  <si>
    <t>~10 crew-days (ESTIMATE)</t>
  </si>
  <si>
    <t>Water-on, functional + performance test; client witness</t>
  </si>
  <si>
    <t>​="Critical-path total (serial programme): "&amp;TEXT(SUM($G$9:$G$21),"0.0")&amp;" crew-day(s) (ESTIMATE norms, footnoted below) — reconciliation: no independent construction-programme duration exists elsewhere in this dossier (checked: Cost waterfall, Financial model) to compare against; nothing diverges"</t>
  </si>
  <si>
    <t>Duration norms used above — stated, industry-plausible defaults (ESTIMATE, not design-derived)</t>
  </si>
  <si>
    <t>civils: 40 m² slab per crew-day</t>
  </si>
  <si>
    <t>ESTIMATE — ground-bearing slab + plinths/bunds, incl. set-out &amp; cure wait overlap</t>
  </si>
  <si>
    <t>vessel: 3 vessel lifts per crane-day</t>
  </si>
  <si>
    <t>ESTIMATE — set, level, grout &amp; hold — light vessels (&lt;5 t) on a mobile crane</t>
  </si>
  <si>
    <t>machine: 4 items per crew-day</t>
  </si>
  <si>
    <t>ESTIMATE — skid/machine set + alignment on prepared plinths</t>
  </si>
  <si>
    <t>pipe: 25 m installed &amp; tested per crew-day</t>
  </si>
  <si>
    <t>ESTIMATE — carbon/PE process pipe incl. supports, per 2-fitter crew</t>
  </si>
  <si>
    <t>cable: 60 m pulled &amp; terminated per crew-day</t>
  </si>
  <si>
    <t>ESTIMATE — LV power/control cable on tray, per 2-electrician crew</t>
  </si>
  <si>
    <t>loop: 8 instrument loops per crew-day</t>
  </si>
  <si>
    <t>ESTIMATE — mount, hook-up, loop-check &amp; calibration certificate</t>
  </si>
  <si>
    <t>commission: 10 principal items per day + 5 days flat</t>
  </si>
  <si>
    <t>ESTIMATE — flush/fill/leak-check, energise, wet-commission, performance test</t>
  </si>
  <si>
    <t>Preliminary hazard &amp; risk register PLUS the regulatory / compliance duties, on one sheet (both derive from the same universal hazard library). Risk rows come LIVE from the physics critic (CORROBORATED findings only — an uncorroborated critic note is never a hazard; see 'Engine advisories' below), the deterministic gate flags, the cost-sanity check and the equipment present; the regulatory section adds the engine's compliance-gate verdict and the jurisdiction × hazard → regulation matrix. Score = S × L (≤7 Low / 8–14 Medium / ≥15 High). Every row is TRIAGED from its own provenance + content: an ENGINE-FIXABLE row (a design defect the engine controls — sizing / spec / coverage / consistency) is an OPEN DEFECT that names its routed fix stage and can never ship as 'tolerable with mitigation'; only a genuinely EXTERNAL risk (inherent process hazard, site / utility / supply-chain / regulatory factor) carries a mitigation. Universal — not plant-specific. Preliminary; a site-specific HAZID / HAZOP and a regulatory review are required before construction / sale. TAB SCORE = register structure &amp; completeness, not a claim of 'no risk' — read the register summary below the 'Risk register' heading. ROW CHECK CONTRACT (score = 10 × rows-passing ÷ rows = 10 × 8/8 = 10.0): Class=computed · Mitigation / fix route=required_nonempty · Residual=computed. A dash / empty / unverifiable contracted cell FAILS its row — honest red beats fake green.</t>
  </si>
  <si>
    <t>Risk register</t>
  </si>
  <si>
    <t>Register summary: 8 genuine hazard(s) in this register — 0 High / 6 Medium / 2 Low — plus 4 uncorroborated engine advisory(ies) listed separately in 'Engine advisories' below (NOT counted as hazards, no severity/likelihood scoring). The 'TAB QUALITY' score above this register measures structure &amp; completeness of the triage, never the absence of risk.</t>
  </si>
  <si>
    <t>Hazard / finding</t>
  </si>
  <si>
    <t>Cause</t>
  </si>
  <si>
    <t>S</t>
  </si>
  <si>
    <t>L</t>
  </si>
  <si>
    <t>Mitigation / fix route</t>
  </si>
  <si>
    <t>Residual</t>
  </si>
  <si>
    <t>Source</t>
  </si>
  <si>
    <t>Audit: check evidence (build-computed triage)</t>
  </si>
  <si>
    <t>Process safety / HSE</t>
  </si>
  <si>
    <t>Toxic / asphyxiant gas release</t>
  </si>
  <si>
    <t>Biological or chemical processes can release ammonia, hydrogen sulphide or chlorine.</t>
  </si>
  <si>
    <t>Medium</t>
  </si>
  <si>
    <t>EXTERNAL</t>
  </si>
  <si>
    <t>Gas detection, forced ventilation, scrubbing, respiratory PPE, confined-space controls.</t>
  </si>
  <si>
    <t>Tolerable (with mitigation)</t>
  </si>
  <si>
    <t>Equipment present in the bill of materials</t>
  </si>
  <si>
    <t>Stored pressure energy</t>
  </si>
  <si>
    <t>Pressurised vessels and lines can fail explosively.</t>
  </si>
  <si>
    <t>Design + periodic inspection to pressure code, relief devices, written scheme of examination.</t>
  </si>
  <si>
    <t>Rotating machinery — entanglement / mechanical failure</t>
  </si>
  <si>
    <t>Exposed rotating parts; stored mechanical energy; loss of a duty machine upsets the process.</t>
  </si>
  <si>
    <t>Fixed guarding, lock-off / isolation (LOTO), N+1 standby on critical duties, vibration monitoring.</t>
  </si>
  <si>
    <t>Electrical — shock / arc-flash</t>
  </si>
  <si>
    <t>High fault energy at switchgear and transformers; shock risk from LV / HV.</t>
  </si>
  <si>
    <t>BS 7671 installation, arc-flash assessment, lock-off, IP-rated enclosures, RCD + earthing.</t>
  </si>
  <si>
    <t>Working at height / confined space (tanks &amp; vessels)</t>
  </si>
  <si>
    <t>Tank tops present a fall risk; tank interiors are confined spaces (atmosphere / drowning).</t>
  </si>
  <si>
    <t>Edge protection, confined-space permit-to-work, atmosphere testing, rescue plan.</t>
  </si>
  <si>
    <t>Environmental discharge to controlled waters</t>
  </si>
  <si>
    <t>Process effluent or sludge discharged to controlled waters requires consent.</t>
  </si>
  <si>
    <t>Discharge permit, effluent treatment to consent limits, monitoring + reporting.</t>
  </si>
  <si>
    <t>Chemical handling — corrosive / reactive</t>
  </si>
  <si>
    <t>Dosing chemicals are corrosive or reactive; incompatible mixing is hazardous.</t>
  </si>
  <si>
    <t>Bunding, segregated storage, COSHH assessment, PPE, eyewash / safety shower.</t>
  </si>
  <si>
    <t>Radiation — ultraviolet / ozone exposure</t>
  </si>
  <si>
    <t>Ultraviolet reactors emit harmful UV; ozone is a respiratory irritant.</t>
  </si>
  <si>
    <t>Interlocked enclosures, UV-opaque shielding, ozone detection + destruct.</t>
  </si>
  <si>
    <t>Engine advisories (uncorroborated — do not treat as hazards)</t>
  </si>
  <si>
    <t>Advisory (uncorroborated — not a hazard)</t>
  </si>
  <si>
    <t>Why it does not score / clearing action</t>
  </si>
  <si>
    <t>Engineering — design (physics-critic advisory)</t>
  </si>
  <si>
    <t>The 'Drive Motor' for the Fertigation Dosing Pump is rated at 7.5 kW, but the parent 'Fertigation Dosing Pump' component is rated at 8 kW. This is a minor mismatch in the drive-train rating reconciliation.</t>
  </si>
  <si>
    <t>No deterministic check over the delivered artefacts can confirm this claim.  ·  CLEARING ACTION: Stage 7.5 physics-critic LLM output variance, not a design property. The corroboration layer already excludes it from scoring on every run, regardless of how the critic re-phrases the claim on a re-roll — no design action is required and re-running Stage 7.5 is NOT expected to clear it. It will move into the risk register automatically if a future run's deterministic check corroborates it against the delivered design.</t>
  </si>
  <si>
    <t>The 'Ro High Pressure Pump' has its service block defined as 'rotating_electrical' with fluid 'none' and phase 'none'. Because this pump handles high-pressure water (10.6 bar per the brief), its service block must reflect fluid 'process_water', phase 'liquid', and pressure_bar '10.6'.</t>
  </si>
  <si>
    <t>The 'Drive Motor' for the Ro High Pressure Pump is rated at 4.2 kW, but the parent 'Ro High Pressure Pump' component is rated at 4 kW. This is a minor mismatch in the drive-train rating reconciliation.</t>
  </si>
  <si>
    <t>The 'Differential pH electrode + transmitter' is field-mounted on the 'Drain Water Tank' in this module, but the brief specifies that the pH/EC measuring shunt is located on the fertigation bypass line (Hoogendoorn shunt).</t>
  </si>
  <si>
    <t>Regulatory &amp; compliance</t>
  </si>
  <si>
    <t>Jurisdiction: UK   ·   compliance-gate verdict: WARN (0/0 class standards covered). Statutory duties below are derived from the jurisdiction + the hazards present (universal matrix), not a per-class list — verify before sale / construction.</t>
  </si>
  <si>
    <t>Engine compliance-gate verdict</t>
  </si>
  <si>
    <t>No class-standards registered for "water_treatment". Compliance check skipped — engineer must verify manually before sale.</t>
  </si>
  <si>
    <t>Statutory duties that always apply (UK)</t>
  </si>
  <si>
    <t>Regulation / standard</t>
  </si>
  <si>
    <t>Applies because</t>
  </si>
  <si>
    <t>Status</t>
  </si>
  <si>
    <t>Health and Safety at Work etc. Act 1974</t>
  </si>
  <si>
    <t>Overarching duty of care to workers and others.</t>
  </si>
  <si>
    <t>Mandatory — verify</t>
  </si>
  <si>
    <t>Management of Health and Safety at Work Regulations 1999</t>
  </si>
  <si>
    <t>Suitable &amp; sufficient risk assessment.</t>
  </si>
  <si>
    <t>Construction (Design and Management) Regulations 2015 (CDM)</t>
  </si>
  <si>
    <t>Design + construction safety duties.</t>
  </si>
  <si>
    <t>Supply of Machinery (Safety) Regulations 2008 (UKCA)</t>
  </si>
  <si>
    <t>Machinery conformity + UKCA marking.</t>
  </si>
  <si>
    <t>Hazard-driven regulations (from the equipment present)</t>
  </si>
  <si>
    <t>Triggered by (hazard present)</t>
  </si>
  <si>
    <t>Control of Substances Hazardous to Health Regulations 2002 (COSHH)</t>
  </si>
  <si>
    <t>Toxic / asphyxiant gas release; Chemical handling — corrosive / reactive</t>
  </si>
  <si>
    <t>Pressure Systems Safety Regulations 2000 (PSSR)</t>
  </si>
  <si>
    <t>Pressure Equipment (Safety) Regulations 2016</t>
  </si>
  <si>
    <t>Provision and Use of Work Equipment Regulations 1998 (PUWER)</t>
  </si>
  <si>
    <t>Electricity at Work Regulations 1989</t>
  </si>
  <si>
    <t>BS 7671 Requirements for Electrical Installations</t>
  </si>
  <si>
    <t>Work at Height Regulations 2005</t>
  </si>
  <si>
    <t>Confined Spaces Regulations 1997</t>
  </si>
  <si>
    <t>Environmental Permitting (England and Wales) Regulations 2016</t>
  </si>
  <si>
    <t>Dangerous Substances and Explosive Atmospheres Regulations 2002 (DSEAR)</t>
  </si>
  <si>
    <t>Control of Artificial Optical Radiation at Work Regulations 2010</t>
  </si>
  <si>
    <t>Holds &amp; exclusions — the honest open-items register</t>
  </si>
  <si>
    <t>Every hold is DERIVED LIVE from a failing check or column contract at build time — never hand-typed — so this register is always current: fix the item at source, rebuild, and its hold disappears. Impact is the SAME live count already in Scope, expressed as £ or a scope %; Owner routes to the mechanism that clears it. The dossier ships as a draft WITH these holds against it; the exclusions restate what was never in scope, each reconciled against the client-offer's own named sections.</t>
  </si>
  <si>
    <t>HOLDS — 5 open item(s), numbered</t>
  </si>
  <si>
    <t>Hold</t>
  </si>
  <si>
    <t>Scope (live count)</t>
  </si>
  <si>
    <t>Impact (£ or %)</t>
  </si>
  <si>
    <t>Owner</t>
  </si>
  <si>
    <t>Derived from</t>
  </si>
  <si>
    <t>Clears when</t>
  </si>
  <si>
    <t>HOLD-001</t>
  </si>
  <si>
    <t>Line sizing pending flow allocation</t>
  </si>
  <si>
    <t>2 line(s) with no derivable flow (velocity unverifiable)</t>
  </si>
  <si>
    <t>Process/piping engineering — Line &amp; velocity</t>
  </si>
  <si>
    <t>Line &amp; velocity column contract (live per-row evaluation)</t>
  </si>
  <si>
    <t>author the real flow demand on every fluid topology edge at source — the contract then re-passes and this hold clears</t>
  </si>
  <si>
    <t>HOLD-002</t>
  </si>
  <si>
    <t>Bought-out manufacturer part numbers pending detailed design</t>
  </si>
  <si>
    <t>1/61 engineered bought-out lines carry an explicit 'TBD (detailed design)' part number (commodity lines 'MPN at procurement' are tallied separately and carry no hold: 8)</t>
  </si>
  <si>
    <t>Procurement / detailed design — BoM ledger</t>
  </si>
  <si>
    <t>Bill of Materials ledger column contract (live TBD count)</t>
  </si>
  <si>
    <t>resolve real MPNs at detailed design (Stage 17.6 library / supplier RFQs) — the TBD count then falls and this hold clears</t>
  </si>
  <si>
    <t>HOLD-003</t>
  </si>
  <si>
    <t>Panel circuits failing the schedule column contract</t>
  </si>
  <si>
    <t>1/22 circuit row(s) FAIL (missing ΔU / out-of-band volt-drop)</t>
  </si>
  <si>
    <t>Electrical engineering — Panel schedule</t>
  </si>
  <si>
    <t>Panel schedule column contract (live per-circuit evaluation)</t>
  </si>
  <si>
    <t>route + size the failing circuits so ΔU computes in-band</t>
  </si>
  <si>
    <t>HOLD-004</t>
  </si>
  <si>
    <t>Needs input — coverage_partial</t>
  </si>
  <si>
    <t>3 drawing(s) partially covered (worst 83%): panel-schedule: 19/23; pid: 36/39; process-schedules: 20/21 — minor over-decomposition detail; principal systems are represented</t>
  </si>
  <si>
    <t>Engine self-repair — Coverage</t>
  </si>
  <si>
    <t>self-repair loop (severity MED, tab Coverage)</t>
  </si>
  <si>
    <t>each engineering drawing must represent every PRINCIPAL part; minor decomposition detail may be represented by its parent | repair: no deterministic single-answer fix — human / sou</t>
  </si>
  <si>
    <t>HOLD-005</t>
  </si>
  <si>
    <t>Needs input — advisory_critic_notes</t>
  </si>
  <si>
    <t>4 critic note(s) are UNCORROBORATED by any deterministic check over the delivered artefacts — rendered as advisory, never scored: The 'Drive Motor' for the Fertigation Dosing Pump</t>
  </si>
  <si>
    <t>Engine self-repair — Risk &amp; Regulatory</t>
  </si>
  <si>
    <t>self-repair loop (severity INFO, tab Risk &amp; Regulatory)</t>
  </si>
  <si>
    <t>a critic finding may score only when corroborated by a deterministic check over delivered artefacts (B3 finding-set extension) | repair: no deterministic single-answer fix — human</t>
  </si>
  <si>
    <t>EXCLUSIONS — never in this plant's scope, each reconciled against the client-offer's own sections</t>
  </si>
  <si>
    <t>• the grow-lighting / assimilation lighting and its switchboards — CONFIRMED outside the reference client offer (no matching section among its 6 named section(s) — a different trade's scope entirely, not merely a £0 line within it)</t>
  </si>
  <si>
    <t>• the climate / heating, ventilation and cooling hardware and the climate-control computer — cites client-offer section F (Process-control computer)</t>
  </si>
  <si>
    <t>• the cultivation rack framework — CONFIRMED outside the reference client offer (no matching section among its 6 named section(s) — a different trade's scope entirely, not merely a £0 line within it)</t>
  </si>
  <si>
    <t>• the building, civil works and excavation — CONFIRMED outside the reference client offer (no matching section among its 6 named section(s) — a different trade's scope entirely, not merely a £0 line within it)</t>
  </si>
  <si>
    <t>• the main electrical switchboard and the feeder cables to it, and earthing/cable tray/cable penetrations — CONFIRMED outside the reference client offer (no matching section among its 6 named section(s) — a different trade's scope entirely, not merely a £0 line within it)</t>
  </si>
  <si>
    <t>Questions for the customer — confirm or correct</t>
  </si>
  <si>
    <t>Customers don't know what they want — so every value the engine had to assume, every brief field still missing, every physics contradiction and every unexplained divergence from your offer is a NUMBERED QUESTION here. Each row is derived live from a named engine artefact at build time (never hand-typed): answer it in the brief or record a scope decision, rebuild, and the row disappears. What changes if your answer differs is stated per row.</t>
  </si>
  <si>
    <t>OPEN QUESTIONS — 5, numbered (each names the artefact that raised it)</t>
  </si>
  <si>
    <t>Q#</t>
  </si>
  <si>
    <t>Question for the customer</t>
  </si>
  <si>
    <t>Why it matters — what changes if the answer differs</t>
  </si>
  <si>
    <t>Assumption in force (until answered)</t>
  </si>
  <si>
    <t>Provenance (engine artefact that raised it)</t>
  </si>
  <si>
    <t>Q-001</t>
  </si>
  <si>
    <t>What is the required max mass kg? The brief does not state it and no class default exists.</t>
  </si>
  <si>
    <t>a stated mass cap becomes a hard constraint on the skid/structure and the transport &amp; lifting plan; today nothing bounds the plant's shipped mass</t>
  </si>
  <si>
    <t>none in force — the field is empty in the design basis; the design proceeds unconstrained on it</t>
  </si>
  <si>
    <t>brief augmentation (still_missing) — 1-parsed-brief-augmented.json</t>
  </si>
  <si>
    <t>Q-002</t>
  </si>
  <si>
    <t>What is the required operating environment? The brief does not state it and no class default exists.</t>
  </si>
  <si>
    <t>the ambient min/max drive thermal sizing (heater/chiller duty, derating), material selection and IP ratings; today no ambient-envelope check can run</t>
  </si>
  <si>
    <t>Q-003</t>
  </si>
  <si>
    <t>We assumed target process = Continuous chemical process: capture; field-erected fixed plant with closed-loop solvent/reagent recovery and automated… — confirm or correct.</t>
  </si>
  <si>
    <t>every quantity derived from this field moves if the real value differs (it entered the design as if the brief had stated it)</t>
  </si>
  <si>
    <t>inferred: Continuous chemical process: capture; field-erected fixed plant with closed-loop solvent/reagent re… — Process inferred from brief mission/description for water_treatment. class-agnostic inference from brief text for unmapped class 'water_tre…</t>
  </si>
  <si>
    <t>brief augmentation (was_filled) — 1-parsed-brief-augmented.json</t>
  </si>
  <si>
    <t>Q-004</t>
  </si>
  <si>
    <t>Please review: For each thin sub-module: confirm whether it should be split further OR accept that the sub-module is genuinely a single-component unit.</t>
  </si>
  <si>
    <t>A thin sub-module may indicate the chain missed components OR that the sub-module truly is simple (e.g. a single moulded enclosure). Without human review you can't tell which.</t>
  </si>
  <si>
    <t>grammar: 7 sub-module(s) UNDER-DENSE (&lt;5 words; need 5-7 for a real BoM): fertigation_dosing_system::fertigation_dosing_system__primary_assembly (1 words), sensing_instrumentation::sensing_instrument…</t>
  </si>
  <si>
    <t>design-decisions register — gate-unrepaired::sub_module_word_density (unrepaired_gate, module fertigation_dosing_system)</t>
  </si>
  <si>
    <t>Q-005</t>
  </si>
  <si>
    <t>Please review: Trim the module overview to only describe what exists in the design data.</t>
  </si>
  <si>
    <t>Inflated prose creates the false impression of completeness. Same readability concern.</t>
  </si>
  <si>
    <t>grammar: 2 module(s) name components in overview that are absent from sub-modules (procurement gap): power_distribution: overview mentions 2 concrete components not present in any sub-module word — m…</t>
  </si>
  <si>
    <t>design-decisions register — gate-unrepaired::module_prose_subset_of_sub_modules (unrepaired_gate, module power_distribution)</t>
  </si>
  <si>
    <t>Quality &amp; Audit — every section and tab against the ≥8 floor + the ship gate</t>
  </si>
  <si>
    <t>The engine's own quality surface, on one tab: the dossier verdict (stated ONCE, here), every DETERMINISTIC section and every tab scored against the ≥8 floor (the LLM self-audit's opinions render as advisory annotations — visible, never scoring; B3), and the deterministic ship-gate audit findings. The AIM is ≥8 EVERYWHERE — the floor, not the average. See ⚠ Checks for the live arithmetic invariants.</t>
  </si>
  <si>
    <t>MIN deterministic section score  9/10</t>
  </si>
  <si>
    <t>9/9 deterministic sections ≥8</t>
  </si>
  <si>
    <t>LLM self-audit min 5/10 — ADVISORY, uncorroborated; annotates, never floors (B3)   ·   AIM: every section ≥8</t>
  </si>
  <si>
    <t>Score (deterministic)</t>
  </si>
  <si>
    <t>vs ≥8 floor</t>
  </si>
  <si>
    <t>Self-audit opinion (advisory — never floors)</t>
  </si>
  <si>
    <t>Top defect (why it's below 8)</t>
  </si>
  <si>
    <t>X-107 Circuit Breakers: missing_input — Electrical component with no upstream power supply.</t>
  </si>
  <si>
    <t>self-audit opinion: 6 — advisory, uncorroborated</t>
  </si>
  <si>
    <t>self-audit opinion: 5 — advisory, uncorroborated</t>
  </si>
  <si>
    <t>advisory: the LLM critic's own physics opinion is 7/10 — an annotation only, it never scores (B3)</t>
  </si>
  <si>
    <t>Performance card</t>
  </si>
  <si>
    <t>self-audit opinion: 9 — advisory, uncorroborated</t>
  </si>
  <si>
    <t>— (no deterministic section — the deliverable is scored on the per-tab table below)</t>
  </si>
  <si>
    <t>self-audit opinion: 8 — advisory, uncorroborated</t>
  </si>
  <si>
    <t>Engine quality metrics — the dossier's own confidence rating</t>
  </si>
  <si>
    <t>Deterministic sections at ≥8 (AIM: all)</t>
  </si>
  <si>
    <t>9 / 9</t>
  </si>
  <si>
    <t>AIM: 100%</t>
  </si>
  <si>
    <t>Min deterministic section score (floors)</t>
  </si>
  <si>
    <t>9/10</t>
  </si>
  <si>
    <t>Min self-audit opinion (advisory — never floors)</t>
  </si>
  <si>
    <t>5/10</t>
  </si>
  <si>
    <t>Traceability — every number → the brief</t>
  </si>
  <si>
    <t>100%</t>
  </si>
  <si>
    <t>Calc-coverage — every number shows its formula</t>
  </si>
  <si>
    <t>69%</t>
  </si>
  <si>
    <t>Per-tab quality — every tab against the ≥8 floor (worst: Executive Summary 9/10; 0 FAIL, 0 UNSCORED). Score = live formula; muted 'Audit:' columns hold the embedded score operands (passed/checked per component + the governing cap).</t>
  </si>
  <si>
    <t>Top issue / coverage gap (fix at source)</t>
  </si>
  <si>
    <t>Basis — mechanism &amp; caps (stated)</t>
  </si>
  <si>
    <t>Audit: governing cap</t>
  </si>
  <si>
    <t>Audit: p1</t>
  </si>
  <si>
    <t>Audit: c1</t>
  </si>
  <si>
    <t>Audit: p2</t>
  </si>
  <si>
    <t>Audit: c2</t>
  </si>
  <si>
    <t>Audit: p3</t>
  </si>
  <si>
    <t>Audit: c3</t>
  </si>
  <si>
    <t>Audit: p4</t>
  </si>
  <si>
    <t>Audit: c4</t>
  </si>
  <si>
    <t>Audit: p5</t>
  </si>
  <si>
    <t>Audit: c5</t>
  </si>
  <si>
    <t>capped at the dossier FLOOR (9/10): the cover cannot claim a higher score than its weakest sheet — fix that sheet to raise this one</t>
  </si>
  <si>
    <t>MIRROR of the dossier floor (min of every deterministic section &amp; non-mirror tab) — re-stamped from the CURRENT scores, never a stale earlier cap; own content check: cover compliance arithmetic (achieved vs target re-evaluated per row) — brief-compli</t>
  </si>
  <si>
    <t>THE dossier floor — min score of every deterministic section &amp; non-mirror tab (identical to the verdict computation); own content check: floor mirror + audit-surface integrity (rows tie to the live scorecard) — per-tab table rows name real scored tab</t>
  </si>
  <si>
    <t>dashboard integrity (every quoted number vs its engine source) — section scores match the engine scorecard 14/14; capex category % = 100 × £ / Σ (per-row arithmetic) 10/10; Σ capex categories ≈ the BoM materials total 1/1; cell completeness+type cont</t>
  </si>
  <si>
    <t>client-offer reconciliation (live section mapping) — client-offer reconciliation sections consistent (incl. decision-covered) 6/6; every live section rendered as a reconciliation row 1/1; cell completeness+type contract 20/20 · score = min over check</t>
  </si>
  <si>
    <t>quantity provenance (source + where-from + used-by per row) — provenance-verified quantity rows 113/113; cell completeness+type contract 339/339 · score = min over checks of 10 × passed/checked</t>
  </si>
  <si>
    <t>worked-calc coverage (every definition resolves to a computed result; inputs populated) + tool-flow consumption — worked-calc definitions resolve to a computed result 13/13; calc input rows carry their value 37/37; tool outputs consumed downstream 37</t>
  </si>
  <si>
    <t>1/61 ENGINEERED bought-out lines carry MPN 'TBD (detailed design)' — an ESTIMATE-stage gap; score = arithmetic − 4 × engineered-TBD-fraction = 10.0 − 0.1 (8 commodity + 2 OEM-proprietary line(s) tallied separately, unpenalised)</t>
  </si>
  <si>
    <t>column-contract arithmetic: 10 × 417/417 rows passing; content checks: BoM ledger column contract (per-row Row check) — cell completeness+type contract 2895/2917 · score = min over checks of 10 × passed/checked</t>
  </si>
  <si>
    <t>cost-waterfall arithmetic ties (each step vs its named costStack anchor; sums close) — waterfall rows tie live to their stated costStack anchor 6/6; assembly/install rows computed live from their factors 7/7; Σ class subtotals ≈ the BoM materials tot</t>
  </si>
  <si>
    <t>1 orphan numeric literal(s) in the financial model (e.g. row 14 col 2) — a model number must be driven, not typed</t>
  </si>
  <si>
    <t>formula integrity (cells reference drivers; no orphan literals) + scenario arithmetic (live) — model value cells are live formulas or declared (yellow) inputs 225/226; cell completeness+type contract 395/395 · score = min over checks of 10 × passed/c</t>
  </si>
  <si>
    <t>resolved-endpoint fraction (every ← / → tag must exist) + per-row status — connection rows carry a computed OK status (0 unresolved endpoints, no missing-tie evidence) 49/49; cell completeness+type contract 106/106 · score = min over checks of 10 × p</t>
  </si>
  <si>
    <t>parts-ledger: 3 orphan + 1 not-found equipment item(s) — V-107, V-108, V-109, TX-101</t>
  </si>
  <si>
    <t>dedupe + completeness (every BoM tag present exactly once) + cross-link + MPN/status coverage (parts-ledger.json) — part tags unique (each physical thing named once) 93/93; every principal carries an MPN or an honest TBD status 93/93; master tags cro</t>
  </si>
  <si>
    <t>column-contract arithmetic: 10 × 8/8 rows passing; content checks: risk-register column contract (per-row triage) — cell completeness+type contract 176/176 · score = min over checks of 10 × passed/checked</t>
  </si>
  <si>
    <t>13/13 steps carry design-derived content (footprint / region groups / schedule quantities / BoM lift mass)</t>
  </si>
  <si>
    <t>arithmetic: 10 × min(steps 13/13, heavy-lift callouts 1/1, programme reconciliation 1/1); content checks: design-derived step arithmetic — steps with design-derived duration + predecessor 13/13; heavy (&gt;1 t) items called out with a crane class 1/1; c</t>
  </si>
  <si>
    <t>cell contract: 16 of 400 required cells empty/invalid across 16 row(s) — e.g. row 26: 'Size' placeholder '—'</t>
  </si>
  <si>
    <t>schedule column contract (per-cell completeness + type over every schedule row, from the drawings/*.md source) + cross-schedule item-count reconciliation vs the BoM — cross-schedule item-count reconciliation vs the BoM 2/2; cell completeness+type con</t>
  </si>
  <si>
    <t>3/71 rows FAIL the column contract (arithmetic score 10 × 68/71 = 9.6) — e.g. Fresh Water Tank→Nutrient Tank: velocity underivable — no flow demand on the edge and no contract flow/throughput quantity matches either endpoint · Fresh Water Tank→Drain Water Tank: velocity underivable — no flow demand on the edge and no contract flow/throughput quantity matches either endpoint · Motor Control Center→Digital Control Panel: no carried current on the run</t>
  </si>
  <si>
    <t>column-contract arithmetic: 10 × 68/71 rows passing; content checks: line &amp; velocity column contract (per-row Row check) — cell completeness+type contract 497/497 · score = min over checks of 10 × passed/checked</t>
  </si>
  <si>
    <t>glossary contract (every term defined + no orphan terms) — every rendered term carries a definition 59/59; terms actually used somewhere in the workbook 59/59 · score = min over checks of 10 × passed/checked</t>
  </si>
  <si>
    <t>1/22 circuit/board/drawing rows FAIL the column contract (arithmetic score 10 × 21/22 = 9.5) — e.g. single-line ↔ schedule · board hierarchy: board reference(s) absent from the single-line drawing: MAIN DISTRIBUTION BOARD (TP&amp;N)</t>
  </si>
  <si>
    <t>column-contract arithmetic: 10 × 21/22 rows passing; content checks: panel-schedule column contract + single-line drawing coverage — cell completeness+type contract 179/179 · score = min over checks of 10 × passed/checked</t>
  </si>
  <si>
    <t>26/26 basis lines carry a value + a named source; 26/26 carry a unit or are a stated dimensionless ratio; 3/3 live cross-references resolve</t>
  </si>
  <si>
    <t>arithmetic: 10 × min(sourced 26/26, unit-or-ratio 26/26, cross-ref resolves 3/3); content checks: design-basis completeness arithmetic — basis rows carrying a value + a named source 26/26; numeric values carrying a unit (or a stated dimensionless rat</t>
  </si>
  <si>
    <t>5 open hold(s) + 5 exclusion(s) — every hold derived live from a failing check/contract, fully quantified (Impact) and routed (Owner); every exclusion explicitly reconciled against the client offer — nothing left as a bare, unlinked disclosure</t>
  </si>
  <si>
    <t>arithmetic: 10 × min(complete 5/5, impact 5/5, owner 5/5, exclusions cited 5/5); content checks: live-derivation check (each hold re-derived from the current contract results) — holds carrying item/scope/source/clears 5/5; holds carrying a numeric Im</t>
  </si>
  <si>
    <t>5 open question(s) for the customer — every row derived live from a named engine artefact (brief augmentation / plausibility critic / decisions register / client-offer reconciliation); an answered question disappears on rebuild</t>
  </si>
  <si>
    <t>live-derivation check (each question re-derived from the run's own artefacts: brief augmentation, plausibility critic, decisions register, client-offer reconciliation) — rendered questions match the LIVE re-derivation (stale/dropped question = fail)</t>
  </si>
  <si>
    <t>318/318 invariants pass</t>
  </si>
  <si>
    <t>fail-count formula: 10 if 0 FAIL else max(0, 8 − 2 × fails) — deterministic invariants pass 129/129; cell completeness+type contract 194/194 · score = min over checks of 10 × passed/checked</t>
  </si>
  <si>
    <t>Render part coverage 27/27 (100%)</t>
  </si>
  <si>
    <t>render mechanism: parts-ledger coverage × default-size litter × typed-shape × vision-critic verdict (render-vision-critique.json) — drawing part coverage (blender) 27/27 · score = min over checks of 10 × passed/checked</t>
  </si>
  <si>
    <t>GA part coverage 27/27 (100%)</t>
  </si>
  <si>
    <t>GA mechanism: parts-ledger coverage × default-size litter × layout-divergence × typed-shape checks — drawing part coverage (general-arrangement) 27/27 · score = min over checks of 10 × passed/checked</t>
  </si>
  <si>
    <t>P&amp;ID part coverage 36/39 (92%)</t>
  </si>
  <si>
    <t>P&amp;ID part-coverage arithmetic (parts_ledger ✓/✗ vs the BoM) — drawing part coverage (pid) 36/39 · score = min over checks of 10 × passed/checked</t>
  </si>
  <si>
    <t>Block-flow part coverage 18/18 (100%)</t>
  </si>
  <si>
    <t>block-flow part-coverage arithmetic (parts_ledger) — drawing part coverage (block-flow-diagram) 18/18 · score = min over checks of 10 × passed/checked</t>
  </si>
  <si>
    <t>out of scope for this archetype — VERIFIED, not scored: HVAC's climate hardware (heating / ventilation / cooling) is supplied by others (per the brief), confirmed by both checks below — excluded from the ≥8 floor rather than penalised for having no HVAC engineering to show.</t>
  </si>
  <si>
    <t>HVAC duty-scoped check: contract duty signal → drawing coverage; no duty → honest out-of-scope disclosure (capped 8) — confirmed no HVAC/ventilation/cooling contract duty (contract quantities scanned) 1/1; brief's own exclusions cite the climate/HVAC</t>
  </si>
  <si>
    <t>5 drawing(s) registered with 21 print-ready A1 sheet PDF(s), all present on disk, lettering ≥2.5 mm</t>
  </si>
  <si>
    <t>drawing-register integrity: every registered A1 print PDF exists on disk + ISO 3098 2.5 mm lettering bar — registered drawings with their print set present 4/4; cell completeness+type contract 27/28 · score = min over checks of 10 × passed/checked</t>
  </si>
  <si>
    <t>generative benchmark sanity net (gate 36): independent top-down LLM expectation diffed against the bottom-up engine, per-dimension — benchmark dimensions within the expectation envelope 4/4; gate-36 verdict is not RADICAL 1/1; cell completeness+type</t>
  </si>
  <si>
    <t>1 driver(s) never referenced by any live formula (orphan inputs): Design process flow (peak)</t>
  </si>
  <si>
    <t>driver integrity (every input driver consumed by a live formula) — drivers referenced by a live formula somewhere 17/18; cell completeness+type contract 54/54 · score = min over checks of 10 × passed/checked</t>
  </si>
  <si>
    <t>cell completeness+type contract 270/270 · score = min over checks of 10 × passed/checked</t>
  </si>
  <si>
    <t>cell contract: 6 of 423 required cells empty/invalid across 3 row(s) — e.g. row 19: 'Material' placeholder '—'; 'Drawing appearances' placeholder '—'</t>
  </si>
  <si>
    <t>cell completeness+type contract 417/423 · score = min over checks of 10 × passed/checked</t>
  </si>
  <si>
    <t>audit-operand register contract (every embedded operand carries its label + provenance; per-row Cell check formulas) — cell completeness+type contract 304/304 · score = min over checks of 10 × passed/checked</t>
  </si>
  <si>
    <t>index integrity (both directions) — index rows point at an existing tab 32/32; every sheet listed in the index 32/32; cell completeness+type contract 96/96 · score = min over checks of 10 × passed/checked</t>
  </si>
  <si>
    <t>LIVE FLOOR — min of every deterministic section &amp; non-mirror tab (the ONE VERDICT's number, computed in-cell)</t>
  </si>
  <si>
    <t>LIVE OPEN ISSUES — sections/tabs below 8 or unscored (computed in-cell over the same score cells)</t>
  </si>
  <si>
    <t>⚠ Deterministic ship-gate audit — every per-tab check (no LLM)</t>
  </si>
  <si>
    <t>Findings: 0 HIGH · 1 MED · 0 LOW · 1 total — a HIGH finding means the dossier is NOT validated.</t>
  </si>
  <si>
    <t>Coverage</t>
  </si>
  <si>
    <t>Severity</t>
  </si>
  <si>
    <t>Message</t>
  </si>
  <si>
    <t>Actual</t>
  </si>
  <si>
    <t>MED</t>
  </si>
  <si>
    <t>coverage_partial</t>
  </si>
  <si>
    <t>3 partial drawings, worst 83%</t>
  </si>
  <si>
    <t>every principal system represented on each drawing (≥95% coverage)</t>
  </si>
  <si>
    <t>INFO</t>
  </si>
  <si>
    <t>advisory_critic_notes</t>
  </si>
  <si>
    <t>4 critic note(s) are UNCORROBORATED by any deterministic check over the delivered artefacts — rendered as advisory, never scored: The 'Drive Motor' for the Fertigation Dosing Pump is rated at 7.5… | The 'Ro High Pressure Pump' has its service block defined as…</t>
  </si>
  <si>
    <t>4 advisory notes</t>
  </si>
  <si>
    <t>advisory notes are visible but carry no score penalty</t>
  </si>
  <si>
    <t>BENCHMARK NET — independent generative-LLM expectation (top-down) vs the engine (bottom-up)</t>
  </si>
  <si>
    <t>deterministic output deviates from the benchmark — review recommended  ·  model: z-ai/glm-5.2  ·  worst verdict: warn</t>
  </si>
  <si>
    <t>Dimension</t>
  </si>
  <si>
    <t>LLM expected (top-down)</t>
  </si>
  <si>
    <t>Engine (bottom-up)</t>
  </si>
  <si>
    <t>Ratio</t>
  </si>
  <si>
    <t>Verdict / note</t>
  </si>
  <si>
    <t>all-in cost</t>
  </si>
  <si>
    <t>£800,000–1,400,000 (mid £1,100,000)</t>
  </si>
  <si>
    <t>£1,120,505 (costStack.oem_transfer_price_gbp)</t>
  </si>
  <si>
    <t>1.02×</t>
  </si>
  <si>
    <t>output — irrigation_flow</t>
  </si>
  <si>
    <t>90 m3/h (contract.irrigation_pump_flow_m3_h)</t>
  </si>
  <si>
    <t>2.00×</t>
  </si>
  <si>
    <t>output — ro_permeate_flow</t>
  </si>
  <si>
    <t>8 m3/h</t>
  </si>
  <si>
    <t>8 m³/h (contract.ro_permeate_capacity_m3_h)</t>
  </si>
  <si>
    <t>1.00×</t>
  </si>
  <si>
    <t>output — storage_capacity</t>
  </si>
  <si>
    <t>120 m3</t>
  </si>
  <si>
    <t>120 m3 (contract.water_storage_delivered_m3)</t>
  </si>
  <si>
    <t>Independent sense-check — generative LLM expectation vs the deterministic engine</t>
  </si>
  <si>
    <t>An LLM independently estimates, TOP-DOWN from the market, what a plant like this should cost, output and be built from. The deterministic engine builds BOTTOM-UP from parts. The two methods are diffed: a large gap means one is wrong. This is the engine's own sanity check — shown here so you can see it, not just trust it.</t>
  </si>
  <si>
    <t>SENSE-CHECK VERDICT: WARN</t>
  </si>
  <si>
    <t>deterministic output deviates from the benchmark — review recommended</t>
  </si>
  <si>
    <t>All-in cost — LLM top-down envelope vs the engine</t>
  </si>
  <si>
    <t>All-in cost</t>
  </si>
  <si>
    <t>£800,000–£1,400,000 (mid £1,100,000)</t>
  </si>
  <si>
    <t>£1,120,505</t>
  </si>
  <si>
    <t>1.0×</t>
  </si>
  <si>
    <t>Highly automated 45 m3/h irrigation distribution with 200 actuated valves and 8 m3/h RO skid typically runs £18k-30k per m3/h of total flow due to heavy automation and piping scope.</t>
  </si>
  <si>
    <t>Per-dimension divergence — 4 checked (cost · output · sizing · components)</t>
  </si>
  <si>
    <t>LLM expected</t>
  </si>
  <si>
    <t>Engine (deterministic)</t>
  </si>
  <si>
    <t>Verdict</t>
  </si>
  <si>
    <t>2.0×</t>
  </si>
  <si>
    <t>Per-line-item faults — 7 lines the LLM flags as wrong in the engine's bill</t>
  </si>
  <si>
    <t>Bill line</t>
  </si>
  <si>
    <t>What's wrong</t>
  </si>
  <si>
    <t>Magnitude</t>
  </si>
  <si>
    <t>LLM-suggested</t>
  </si>
  <si>
    <t>Likely cause</t>
  </si>
  <si>
    <t>Irrigation pump specified at 90 m³/h instead of required 45 m³/h</t>
  </si>
  <si>
    <t>2× too high</t>
  </si>
  <si>
    <t>45 m³/h pump</t>
  </si>
  <si>
    <t>wrong sizing parameter propagated from contract.irrigation_pump_flow_m3_h</t>
  </si>
  <si>
    <t>— | qty 8280 | unit £13.2 | Zoned distribution — zone laterals (flood-fill lines) · DN75 PVC</t>
  </si>
  <si>
    <t>Qty 8280 (likely metres or segments) far exceeds small-warehouse scale</t>
  </si>
  <si>
    <t>~10-20× too high</t>
  </si>
  <si>
    <t>~400-800 m total</t>
  </si>
  <si>
    <t>wrong quantity / treated reel-or-sheet price as per-unit</t>
  </si>
  <si>
    <t>— | qty 4200 | unit £20.8 | Zoned distribution — drain/return risers (gravity) · DN110 PVC-U</t>
  </si>
  <si>
    <t>Qty 4200 excessive for plant footprint</t>
  </si>
  <si>
    <t>~10× too high</t>
  </si>
  <si>
    <t>~400 m</t>
  </si>
  <si>
    <t>wrong quantity</t>
  </si>
  <si>
    <t>— | qty 6000 | unit £6 | Zoned distribution — delivery inlet stubs</t>
  </si>
  <si>
    <t>Qty 6000 stubs impossible for small plant</t>
  </si>
  <si>
    <t>~30× too high</t>
  </si>
  <si>
    <t>~200 stubs</t>
  </si>
  <si>
    <t>wrong quantity / per-cell commodity error</t>
  </si>
  <si>
    <t>— | qty 3000 | unit £9 | Zoned distribution — drain outlet connections</t>
  </si>
  <si>
    <t>Qty 3000 excessive</t>
  </si>
  <si>
    <t>~15× too high</t>
  </si>
  <si>
    <t>~200 connections</t>
  </si>
  <si>
    <t>TK-106 | qty 2 | unit £13615 | Drain Water Tank · 3.7 m dia x 3.7 m</t>
  </si>
  <si>
    <t>Individual tanks ~40 m³; total storage meets 120 m³ only if all tanks combined, but labelled as drain not general storage</t>
  </si>
  <si>
    <t>mis-classified / undersized per tank</t>
  </si>
  <si>
    <t>one 120 m³ or 3×40 m³ fresh-water tanks</t>
  </si>
  <si>
    <t>wrong size-or-volume / mis-classified commodity</t>
  </si>
  <si>
    <t>FCV-201–202</t>
  </si>
  <si>
    <t>Inlet control valve rated 45 m³/h while irrigation pump is 90 m³/h</t>
  </si>
  <si>
    <t>inconsistent with pump</t>
  </si>
  <si>
    <t>90 m³/h valve or align pump to 45</t>
  </si>
  <si>
    <t>inconsistent flow parameter</t>
  </si>
  <si>
    <t>LLM-expected bill structure (top-down — what the cost SHOULD break into)</t>
  </si>
  <si>
    <t>Expected line / category</t>
  </si>
  <si>
    <t>% of cost</t>
  </si>
  <si>
    <t>Piping, Fittings &amp; Actuated Valves</t>
  </si>
  <si>
    <t>35%</t>
  </si>
  <si>
    <t>200 actuated valves plus extensive distribution to 6000 containers dominates</t>
  </si>
  <si>
    <t>Automation, Control &amp; Instrumentation</t>
  </si>
  <si>
    <t>20%</t>
  </si>
  <si>
    <t>PLC/SCADA to manage 200 valves and process logic</t>
  </si>
  <si>
    <t>Pumps &amp; Storage</t>
  </si>
  <si>
    <t>15%</t>
  </si>
  <si>
    <t>120 m3 tank and distribution/booster pumps</t>
  </si>
  <si>
    <t>Treatment Skids (RO, Filtration, UV)</t>
  </si>
  <si>
    <t>8 m3/h RO and pre/post treatment</t>
  </si>
  <si>
    <t>Civil, Structural &amp; Installation Labor</t>
  </si>
  <si>
    <t>Trenching, skid mounting, container integration</t>
  </si>
  <si>
    <t>LLM reasoning (how the top-down expectation was formed)</t>
  </si>
  <si>
    <t>While the raw water treatment capacity (45 m3/h) is modest, the sheer scale of automation (200 actuated valves) and distribution (6000 cultivation containers) drives the cost toward the £1M+ mark, making the £1.4M ceiling realistic but tight. The bill of materials is dominated by mechanical piping/valves and the control system required to orchestrate the complex irrigation network, rather than the water treatment technology itself.</t>
  </si>
  <si>
    <t>⚠ Computational checks — live invariants (== the CLI verifier)</t>
  </si>
  <si>
    <t>EXACTLY the checks scripts/deterministic-checks.py reports, rendered as LIVE Excel formulas over the data cells (cols J+). Edit a data cell and STATUS recomputes. RED = the engine's numbers do not reconcile.</t>
  </si>
  <si>
    <t>ACTUAL</t>
  </si>
  <si>
    <t>EXPECTED</t>
  </si>
  <si>
    <t>Δ (actual-exp)</t>
  </si>
  <si>
    <t>Tol</t>
  </si>
  <si>
    <t>Detail / why</t>
  </si>
  <si>
    <t>DATA (live inputs — editable)</t>
  </si>
  <si>
    <t>AGGREGATE DATA — one row per collapsed per-line invariant (P=line · Q=per-unit/actual £ · R=expected £ · S=qty · T=live mismatch flag). Edit Q/R/S and the aggregate row recomputes.</t>
  </si>
  <si>
    <t>E1 · CONSISTENCY — per-unit×count, Σsub==line, rating==quantity</t>
  </si>
  <si>
    <t>BoM X-104: unit_gbp x qty == line_gbp</t>
  </si>
  <si>
    <t>All 173 BoM lines: unit £ × qty == line £ (aggregate — mismatching lines list individually)</t>
  </si>
  <si>
    <t>173 per-line invariants collapsed — each line lives in the DATA block (cols P–T, rows 5–177) with a LIVE mismatch flag at its own tolerance; ACTUAL = the number of mismatching lines. 0 exception(s) below.</t>
  </si>
  <si>
    <t>BoM X-107: unit_gbp x qty == line_gbp</t>
  </si>
  <si>
    <t>All 17 BoM lines: Σ sub-component £ == line £ (aggregate — mismatching lines list individually)</t>
  </si>
  <si>
    <t>17 per-line invariants collapsed — each line lives in the DATA block (cols P–T, rows 178–194) with a LIVE mismatch flag at its own tolerance; ACTUAL = the number of mismatching lines. 0 exception(s) below.</t>
  </si>
  <si>
    <t>BoM X-108: unit_gbp x qty == line_gbp</t>
  </si>
  <si>
    <t>BoM V-102: emitted kW rating == uv_disinfection_power_kw</t>
  </si>
  <si>
    <t>V-102 requirement states 4 kW; contract uv_disinfection_power_kw = 4.1 kW. They must agree.</t>
  </si>
  <si>
    <t>BoM D-101: unit_gbp x qty == line_gbp</t>
  </si>
  <si>
    <t>BoM P-106: emitted kW rating == fertigation_dosing_pump_power_kw</t>
  </si>
  <si>
    <t>P-106 requirement states 8 kW; contract fertigation_dosing_pump_power_kw = 7.5 kW. They must agree.</t>
  </si>
  <si>
    <t>BoM X-109: unit_gbp x qty == line_gbp</t>
  </si>
  <si>
    <t>BoM P-104: emitted kW rating == drain_transfer_pump_power_kw</t>
  </si>
  <si>
    <t>P-104 requirement states 2 kW; contract drain_transfer_pump_power_kw = 1.923 kW. They must agree.</t>
  </si>
  <si>
    <t>BoM G-201: unit_gbp x qty == line_gbp</t>
  </si>
  <si>
    <t>BoM P-101: emitted kW rating == ro_high_pressure_pump_power_kw</t>
  </si>
  <si>
    <t>P-101 requirement states 4 kW; contract ro_high_pressure_pump_power_kw = 4.2 kW. They must agree.</t>
  </si>
  <si>
    <t>BoM U-201: unit_gbp x qty == line_gbp</t>
  </si>
  <si>
    <t>modules: every described sub-module carries components (no hollow module)</t>
  </si>
  <si>
    <t>every sub-module that describes components backs its prose with ≥1 component word</t>
  </si>
  <si>
    <t>BoM EP-103: unit_gbp x qty == line_gbp</t>
  </si>
  <si>
    <t>BoM TX-102: unit_gbp x qty == line_gbp</t>
  </si>
  <si>
    <t>E2 · ADEQUACY — rating ≥ duty (motor, breaker, cable, vessel, chiller)</t>
  </si>
  <si>
    <t>BoM EP-104: unit_gbp x qty == line_gbp</t>
  </si>
  <si>
    <t>Main incomer kVA &gt;= connected load x 1.25</t>
  </si>
  <si>
    <t>Incomer 75 kVA (total_supply_demand_kva) must be &gt;= 53 kW x 1.25 = 66.25 kVA (kVA &gt;= kW for any power factor); magnitude sanity ceiling &lt;= connected load 53 kW x 100 = 5300 (an absurdly-large rating must FAIL, not pass as 'adequate').</t>
  </si>
  <si>
    <t>BoM X-110: unit_gbp x qty == line_gbp</t>
  </si>
  <si>
    <t>Cable CSA &gt;= ampacity: Standby Diesel Generator</t>
  </si>
  <si>
    <t>Mains Incomer-&gt;Standby Diesel Generator: 4.2 A needs &gt;= 1.5 mm2 copper (air-rated ladder); chosen 1.5 mm2.</t>
  </si>
  <si>
    <t>BoM X-111: unit_gbp x qty == line_gbp</t>
  </si>
  <si>
    <t>Cable CSA &gt;= ampacity: Distribution Transformer</t>
  </si>
  <si>
    <t>Standby Diesel Gen-&gt;Distribution Transformer: 4.2 A needs &gt;= 1.5 mm2 copper (air-rated ladder); chosen 1.5 mm2.</t>
  </si>
  <si>
    <t>BoM F-1: unit_gbp x qty == line_gbp</t>
  </si>
  <si>
    <t>Cable CSA &gt;= ampacity: Main Switchboard</t>
  </si>
  <si>
    <t>Distribution Trans-&gt;Main Switchboard: 4.2 A needs &gt;= 1.5 mm2 copper (air-rated ladder); chosen 1.5 mm2.</t>
  </si>
  <si>
    <t>BoM X-112: unit_gbp x qty == line_gbp</t>
  </si>
  <si>
    <t>Cable CSA &gt;= ampacity: Motor Control Center</t>
  </si>
  <si>
    <t>Main Switchboard-&gt;Motor Control Center: 4.2 A needs &gt;= 1.5 mm2 copper (air-rated ladder); chosen 1.5 mm2.</t>
  </si>
  <si>
    <t>BoM V-102: unit_gbp x qty == line_gbp</t>
  </si>
  <si>
    <t>Cable CSA &gt;= ampacity: Electrical Control Panel</t>
  </si>
  <si>
    <t>Motor Control Cent-&gt;Electrical Control Panel: 4.2 A needs &gt;= 1.5 mm2 copper (air-rated ladder); chosen 1.5 mm2.</t>
  </si>
  <si>
    <t>BoM V-106: unit_gbp x qty == line_gbp</t>
  </si>
  <si>
    <t>Cable CSA &gt;= ampacity: 3 Phase Power Input</t>
  </si>
  <si>
    <t>Motor Control Cent-&gt;3 Phase Power Input: 4.2 A needs &gt;= 1.5 mm2 copper (air-rated ladder); chosen 1.5 mm2.</t>
  </si>
  <si>
    <t>BoM P-106: unit_gbp x qty == line_gbp</t>
  </si>
  <si>
    <t>Cable CSA &gt;= ampacity: Control + Instrument UPS</t>
  </si>
  <si>
    <t>Motor Control Cent-&gt;Control + Instrument UPS: 4.2 A needs &gt;= 1.5 mm2 copper (air-rated ladder); chosen 1.5 mm2.</t>
  </si>
  <si>
    <t>BoM TK-103: unit_gbp x qty == line_gbp</t>
  </si>
  <si>
    <t>Cable CSA &gt;= ampacity: SCADA / Plant Control Sy</t>
  </si>
  <si>
    <t>Motor Control Cent-&gt;SCADA / Plant Control Sy: 4.2 A needs &gt;= 1.5 mm2 copper (air-rated ladder); chosen 1.5 mm2.</t>
  </si>
  <si>
    <t>BoM P-102: unit_gbp x qty == line_gbp</t>
  </si>
  <si>
    <t>Cable CSA &gt;= ampacity: Uv Disinfection</t>
  </si>
  <si>
    <t>Motor Control Cent-&gt;Uv Disinfection: 8.2 A needs &gt;= 1.5 mm2 copper (air-rated ladder); chosen 1.5 mm2.</t>
  </si>
  <si>
    <t>BoM TK-114: unit_gbp x qty == line_gbp</t>
  </si>
  <si>
    <t>Cable CSA &gt;= ampacity: Fertigation Dosing Pump</t>
  </si>
  <si>
    <t>Motor Control Cent-&gt;Fertigation Dosing Pump: 15 A needs &gt;= 1.5 mm2 copper (air-rated ladder); chosen 1.5 mm2.</t>
  </si>
  <si>
    <t>BoM P-104: unit_gbp x qty == line_gbp</t>
  </si>
  <si>
    <t>Cable CSA &gt;= ampacity: Hand Watering Pump</t>
  </si>
  <si>
    <t>Motor Control Cent-&gt;Hand Watering Pump: 4.2 A needs &gt;= 1.5 mm2 copper (air-rated ladder); chosen 1.5 mm2.</t>
  </si>
  <si>
    <t>BoM V-104: unit_gbp x qty == line_gbp</t>
  </si>
  <si>
    <t>Cable CSA &gt;= ampacity: Drain Transfer Pump</t>
  </si>
  <si>
    <t>Motor Control Cent-&gt;Drain Transfer Pump: 3.9 A needs &gt;= 1.5 mm2 copper (air-rated ladder); chosen 1.5 mm2.</t>
  </si>
  <si>
    <t>BoM V-103: unit_gbp x qty == line_gbp</t>
  </si>
  <si>
    <t>Cable CSA &gt;= ampacity: Cloth Filter</t>
  </si>
  <si>
    <t>Motor Control Cent-&gt;Cloth Filter: 4.2 A needs &gt;= 1.5 mm2 copper (air-rated ladder); chosen 1.5 mm2.</t>
  </si>
  <si>
    <t>BoM P-103: unit_gbp x qty == line_gbp</t>
  </si>
  <si>
    <t>Cable CSA &gt;= ampacity: Irrigation Pump</t>
  </si>
  <si>
    <t>Motor Control Cent-&gt;Irrigation Pump: 4.2 A needs &gt;= 1.5 mm2 copper (air-rated ladder); chosen 1.5 mm2.</t>
  </si>
  <si>
    <t>BoM M-101: unit_gbp x qty == line_gbp</t>
  </si>
  <si>
    <t>Cable CSA &gt;= ampacity: Ro High Pressure Pump</t>
  </si>
  <si>
    <t>Motor Control Cent-&gt;Ro High Pressure Pump: 8.4 A needs &gt;= 1.5 mm2 copper (air-rated ladder); chosen 1.5 mm2.</t>
  </si>
  <si>
    <t>BoM Z-101: unit_gbp x qty == line_gbp</t>
  </si>
  <si>
    <t>Cable CSA &gt;= ampacity: Gac Filter</t>
  </si>
  <si>
    <t>Motor Control Cent-&gt;Gac Filter: 4.2 A needs &gt;= 1.5 mm2 copper (air-rated ladder); chosen 1.5 mm2.</t>
  </si>
  <si>
    <t>BoM P-101: unit_gbp x qty == line_gbp</t>
  </si>
  <si>
    <t>Cable CSA &gt;= ampacity: Permeate Outlet</t>
  </si>
  <si>
    <t>Motor Control Cent-&gt;Permeate Outlet: 4.2 A needs &gt;= 1.5 mm2 copper (air-rated ladder); chosen 1.5 mm2.</t>
  </si>
  <si>
    <t>BoM V-101: unit_gbp x qty == line_gbp</t>
  </si>
  <si>
    <t>Cable CSA &gt;= ampacity: Concentrate Outlet</t>
  </si>
  <si>
    <t>Motor Control Cent-&gt;Concentrate Outlet: 4.2 A needs &gt;= 1.5 mm2 copper (air-rated ladder); chosen 1.5 mm2.</t>
  </si>
  <si>
    <t>BoM TK-108: unit_gbp x qty == line_gbp</t>
  </si>
  <si>
    <t>Cable CSA &gt;= ampacity: Electrical Control Cabin</t>
  </si>
  <si>
    <t>Motor Control Cent-&gt;Electrical Control Cabin: 4.2 A needs &gt;= 1.5 mm2 copper (air-rated ladder); chosen 1.5 mm2.</t>
  </si>
  <si>
    <t>BoM TK-106: unit_gbp x qty == line_gbp</t>
  </si>
  <si>
    <t>BoM X-113: unit_gbp x qty == line_gbp</t>
  </si>
  <si>
    <t>E4 · COST — per-line price band &amp; Σ lines == cover total</t>
  </si>
  <si>
    <t>BoM F-2: unit_gbp x qty == line_gbp</t>
  </si>
  <si>
    <t>BoM X-104: unit price within x5 of price_estimate_gbp</t>
  </si>
  <si>
    <t>X-104 (Rittal 1180.000): BoM unit £800 vs price_estimate_gbp £286 = x2.8. Flag when &gt;x5 or &lt;x0.2.</t>
  </si>
  <si>
    <t>BoM X-114: unit_gbp x qty == line_gbp</t>
  </si>
  <si>
    <t>BoM X-107: unit price within x5 of distributor_price_gbp</t>
  </si>
  <si>
    <t>X-107 (ABB 1SDA067417R1): BoM unit £283 vs distributor_price_gbp £283 = x1.0. Flag when &gt;x5 or &lt;x0.2.</t>
  </si>
  <si>
    <t>BoM X-115: unit_gbp x qty == line_gbp</t>
  </si>
  <si>
    <t>BoM X-108: unit price within x5 of distributor_price_gbp</t>
  </si>
  <si>
    <t>X-108 (WAGO 2002-1301): BoM unit £1 vs distributor_price_gbp £1 = x0.8. Flag when &gt;x5 or &lt;x0.2.</t>
  </si>
  <si>
    <t>BoM X-116: unit_gbp x qty == line_gbp</t>
  </si>
  <si>
    <t>BoM D-101: unit price within x5 of distributor_price_gbp</t>
  </si>
  <si>
    <t>D-101 (TDK-Lambda DRB240-24-3-A0): BoM unit £168 vs distributor_price_gbp £168 = x1.0. Flag when &gt;x5 or &lt;x0.2.</t>
  </si>
  <si>
    <t>BoM X-117: unit_gbp x qty == line_gbp</t>
  </si>
  <si>
    <t>BoM TX-102: unit price within x5 of price_estimate_gbp</t>
  </si>
  <si>
    <t>TX-102 (Hammond Power Solutions SG3A0075KB): price GROUNDED to the market band (£3,000); the pre-grounding price_estimate_gbp £18 was rejected as out-of-band — banding against it is not meaningful.</t>
  </si>
  <si>
    <t>BoM X-118: unit_gbp x qty == line_gbp</t>
  </si>
  <si>
    <t>BoM EP-104: unit price within x5 of price_estimate_gbp</t>
  </si>
  <si>
    <t>EP-104 (Eaton Freedom 2100): price DELIBERATELY CORRECTED by the pricing pass (£3,000; basis: catalogue · floored to min credible price); the parametric price_estimate_gbp £25 was rejected/superseded by that correction — banding against it is self-contradictory.</t>
  </si>
  <si>
    <t>BoM X-119: unit_gbp x qty == line_gbp</t>
  </si>
  <si>
    <t>BoM X-110: unit price within x5 of distributor_price_gbp</t>
  </si>
  <si>
    <t>X-110 (ABB 1SDA067417R1): BoM unit £283 vs distributor_price_gbp £283 = x1.0. Flag when &gt;x5 or &lt;x0.2.</t>
  </si>
  <si>
    <t>BoM X-120: unit_gbp x qty == line_gbp</t>
  </si>
  <si>
    <t>BoM V-102: unit price within x5 of price_estimate_gbp</t>
  </si>
  <si>
    <t>V-102 (WEDECO (Xylem) Spektron 30e): BoM unit £17,540 vs price_estimate_gbp £12,012 = x1.5. Flag when &gt;x5 or &lt;x0.2.</t>
  </si>
  <si>
    <t>BoM X-121: unit_gbp x qty == line_gbp</t>
  </si>
  <si>
    <t>BoM P-106: unit price within x5 of price_estimate_gbp</t>
  </si>
  <si>
    <t>P-106 (Grundfos 96122012): BoM unit £8,634 vs price_estimate_gbp £8,634 = x1.0. Flag when &gt;x5 or &lt;x0.2.</t>
  </si>
  <si>
    <t>BoM X-122: unit_gbp x qty == line_gbp</t>
  </si>
  <si>
    <t>BoM P-102: unit price within x5 of price_estimate_gbp</t>
  </si>
  <si>
    <t>P-102 (Grundfos 96935501): price GROUNDED to the market band (£2,500); the pre-grounding price_estimate_gbp £8,110 was rejected as out-of-band — banding against it is not meaningful.</t>
  </si>
  <si>
    <t>BoM X-123: unit_gbp x qty == line_gbp</t>
  </si>
  <si>
    <t>BoM P-104: unit price within x5 of price_estimate_gbp</t>
  </si>
  <si>
    <t>P-104 (Grundfos SL1.50.65.22.2.50D.C): BoM unit £1,850 vs price_estimate_gbp £7,319 = x0.3. Flag when &gt;x5 or &lt;x0.2.</t>
  </si>
  <si>
    <t>BoM I-103: unit_gbp x qty == line_gbp</t>
  </si>
  <si>
    <t>BoM V-103: unit price within x5 of price_estimate_gbp</t>
  </si>
  <si>
    <t>V-103 (Pentair Structural 36X72 COMP 6"TF 6"BF): BoM unit £14,825 vs price_estimate_gbp £14,825 = x1.0. Flag when &gt;x5 or &lt;x0.2.</t>
  </si>
  <si>
    <t>BoM X-124: unit_gbp x qty == line_gbp</t>
  </si>
  <si>
    <t>BoM P-103: unit price within x5 of price_estimate_gbp</t>
  </si>
  <si>
    <t>P-103 (Grundfos 96539165): BoM unit £9,413 vs price_estimate_gbp £9,413 = x1.0. Flag when &gt;x5 or &lt;x0.2.</t>
  </si>
  <si>
    <t>BoM X-125: unit_gbp x qty == line_gbp</t>
  </si>
  <si>
    <t>BoM P-101: unit price within x5 of price_estimate_gbp</t>
  </si>
  <si>
    <t>P-101 (Grundfos 96502039): BoM unit £3,850 vs price_estimate_gbp £8,470 = x0.5. Flag when &gt;x5 or &lt;x0.2.</t>
  </si>
  <si>
    <t>BoM X-126: unit_gbp x qty == line_gbp</t>
  </si>
  <si>
    <t>BoM V-101: unit price within x5 of price_estimate_gbp</t>
  </si>
  <si>
    <t>V-101 (General Carbon HP-1000): BoM unit £18 vs price_estimate_gbp £4 = x4.0. Flag when &gt;x5 or &lt;x0.2.</t>
  </si>
  <si>
    <t>BoM FCV-201–202: unit_gbp x qty == line_gbp</t>
  </si>
  <si>
    <t>BoM X-114: unit price within x5 of distributor_price_gbp</t>
  </si>
  <si>
    <t>X-114 (Siemens 6ES7241-1CH32-0XB0): BoM unit £160 vs distributor_price_gbp £160 = x1.0. Flag when &gt;x5 or &lt;x0.2.</t>
  </si>
  <si>
    <t>BoM V-107: unit_gbp x qty == line_gbp</t>
  </si>
  <si>
    <t>BoM X-116: unit price within x5 of distributor_price_gbp</t>
  </si>
  <si>
    <t>X-116 (Siemens 6ES7241-1CH32-0XB0): BoM unit £160 vs distributor_price_gbp £160 = x1.0. Flag when &gt;x5 or &lt;x0.2.</t>
  </si>
  <si>
    <t>BoM V-108: unit_gbp x qty == line_gbp</t>
  </si>
  <si>
    <t>BoM X-117: unit price within x5 of price_estimate_gbp</t>
  </si>
  <si>
    <t>X-117 (HMS Networks AB7072-B): BoM unit £330 vs price_estimate_gbp £330 = x1.0. Flag when &gt;x5 or &lt;x0.2.</t>
  </si>
  <si>
    <t>BoM I-104: unit_gbp x qty == line_gbp</t>
  </si>
  <si>
    <t>BoM X-118: unit price within x5 of price_estimate_gbp</t>
  </si>
  <si>
    <t>X-118 (HMS Networks (Ewon) FLEXY20500_00MA): BoM unit £982 vs price_estimate_gbp £280 = x3.5. Flag when &gt;x5 or &lt;x0.2.</t>
  </si>
  <si>
    <t>BoM I-105: unit_gbp x qty == line_gbp</t>
  </si>
  <si>
    <t>BoM X-120: unit price within x5 of distributor_price_gbp</t>
  </si>
  <si>
    <t>X-120 (Panasonic Industrial Automation AWHS1R070): BoM unit £589 vs distributor_price_gbp £589 = x1.0. Flag when &gt;x5 or &lt;x0.2.</t>
  </si>
  <si>
    <t>BoM I-106: unit_gbp x qty == line_gbp</t>
  </si>
  <si>
    <t>BoM X-121: unit price within x5 of distributor_price_gbp</t>
  </si>
  <si>
    <t>X-121 (Siemens 6ES7241-1CH32-0XB0): BoM unit £160 vs distributor_price_gbp £160 = x1.0. Flag when &gt;x5 or &lt;x0.2.</t>
  </si>
  <si>
    <t>BoM I-107: unit_gbp x qty == line_gbp</t>
  </si>
  <si>
    <t>BoM X-122: unit price within x5 of price_estimate_gbp</t>
  </si>
  <si>
    <t>X-122 (Moxa MGate MB3180): BoM unit £380 vs price_estimate_gbp £380 = x1.0. Flag when &gt;x5 or &lt;x0.2.</t>
  </si>
  <si>
    <t>BoM LT-201–213: unit_gbp x qty == line_gbp</t>
  </si>
  <si>
    <t>BoM X-123: unit price within x5 of price_estimate_gbp</t>
  </si>
  <si>
    <t>X-123 (HMS Networks (Ewon) FLEXY20500_00MA): BoM unit £280 vs price_estimate_gbp £280 = x1.0. Flag when &gt;x5 or &lt;x0.2.</t>
  </si>
  <si>
    <t>BoM LT-214: unit_gbp x qty == line_gbp</t>
  </si>
  <si>
    <t>BoM I-103: unit price within x5 of distributor_price_gbp</t>
  </si>
  <si>
    <t>I-103 (Siemens 6AV2123-2GB03-0AX0): BoM unit £850 vs distributor_price_gbp £850 = x1.0. Flag when &gt;x5 or &lt;x0.2.</t>
  </si>
  <si>
    <t>BoM LT-215–217: unit_gbp x qty == line_gbp</t>
  </si>
  <si>
    <t>BoM X-124: unit price within x5 of distributor_price_gbp</t>
  </si>
  <si>
    <t>X-124 (Sensata Technologies, Inc. SOL7A4): BoM unit £393 vs distributor_price_gbp £393 = x1.0. Flag when &gt;x5 or &lt;x0.2.</t>
  </si>
  <si>
    <t>BoM AT-201: unit_gbp x qty == line_gbp</t>
  </si>
  <si>
    <t>BoM X-125: unit price within x5 of price_estimate_gbp</t>
  </si>
  <si>
    <t>X-125 (Bürkert Type 2000): price DELIBERATELY CORRECTED by the pricing pass (£200; basis: actuated-valve assembly (actuator + valve body as ONE unit): £80 base + £1.85/DN); the parametric price_estimate_gbp £35 was rejected/superseded by that correction — banding against it is self-contradictory.</t>
  </si>
  <si>
    <t>BoM PT-201–217: unit_gbp x qty == line_gbp</t>
  </si>
  <si>
    <t>BoM X-126: unit price within x5 of price_estimate_gbp</t>
  </si>
  <si>
    <t>X-126 (Pentair Fleck 2900S): BoM unit £18 vs price_estimate_gbp £18 = x1.0. Flag when &gt;x5 or &lt;x0.2.</t>
  </si>
  <si>
    <t>BoM I-108: unit_gbp x qty == line_gbp</t>
  </si>
  <si>
    <t>BoM V-107: unit price within x5 of distributor_price_gbp</t>
  </si>
  <si>
    <t>V-107 (Sensata Technologies, Inc. SOL7A4): BoM unit £393 vs distributor_price_gbp £393 = x1.0. Flag when &gt;x5 or &lt;x0.2.</t>
  </si>
  <si>
    <t>BoM I-109: unit_gbp x qty == line_gbp</t>
  </si>
  <si>
    <t>BoM V-108: unit price within x5 of price_estimate_gbp</t>
  </si>
  <si>
    <t>V-108 (Bürkert Type 2301): price DELIBERATELY CORRECTED by the pricing pass (£200; basis: actuated-valve assembly (actuator + valve body as ONE unit): £80 base + £1.85/DN); the parametric price_estimate_gbp £18 was rejected/superseded by that correction — banding against it is self-contradictory.</t>
  </si>
  <si>
    <t>BoM I-110: unit_gbp x qty == line_gbp</t>
  </si>
  <si>
    <t>BoM I-104: unit price within x5 of price_estimate_gbp</t>
  </si>
  <si>
    <t>I-104 (Myron L 750-II-CS51): BoM unit £12 vs price_estimate_gbp £12 = x1.0. Flag when &gt;x5 or &lt;x0.2.</t>
  </si>
  <si>
    <t>BoM X-127: unit_gbp x qty == line_gbp</t>
  </si>
  <si>
    <t>BoM I-105: unit price within x5 of distributor_price_gbp</t>
  </si>
  <si>
    <t>I-105 (Endress+Hauser DMA50-AAABA1): BoM unit £691 vs distributor_price_gbp £691 = x1.0. Flag when &gt;x5 or &lt;x0.2.</t>
  </si>
  <si>
    <t>BoM EP-102: unit_gbp x qty == line_gbp</t>
  </si>
  <si>
    <t>BoM I-106: unit price within x5 of price_estimate_gbp</t>
  </si>
  <si>
    <t>I-106 (Endress+Hauser CPS11E): BoM unit £12 vs price_estimate_gbp £12 = x1.0. Flag when &gt;x5 or &lt;x0.2.</t>
  </si>
  <si>
    <t>BoM EP-101: unit_gbp x qty == line_gbp</t>
  </si>
  <si>
    <t>BoM I-107: unit price within x5 of price_estimate_gbp</t>
  </si>
  <si>
    <t>I-107 (Endress+Hauser CPS12D): BoM unit £12 vs price_estimate_gbp £12 = x1.0. Flag when &gt;x5 or &lt;x0.2.</t>
  </si>
  <si>
    <t>BoM X-128: unit_gbp x qty == line_gbp</t>
  </si>
  <si>
    <t>BoM I-108: unit price within x5 of price_estimate_gbp</t>
  </si>
  <si>
    <t>I-108 (Hach 5500sc): BoM unit £280 vs price_estimate_gbp £280 = x1.0. Flag when &gt;x5 or &lt;x0.2.</t>
  </si>
  <si>
    <t>BoM X-129: unit_gbp x qty == line_gbp</t>
  </si>
  <si>
    <t>BoM I-109: unit price within x5 of price_estimate_gbp</t>
  </si>
  <si>
    <t>I-109 (Hach LXV45B.99.11022): BoM unit £12 vs price_estimate_gbp £12 = x1.0. Flag when &gt;x5 or &lt;x0.2.</t>
  </si>
  <si>
    <t>BoM X-106: unit_gbp x qty == line_gbp</t>
  </si>
  <si>
    <t>BoM I-110: unit price within x5 of price_estimate_gbp</t>
  </si>
  <si>
    <t>I-110 (Myron L 750-II-CS51): BoM unit £12 vs price_estimate_gbp £12 = x1.0. Flag when &gt;x5 or &lt;x0.2.</t>
  </si>
  <si>
    <t>BoM X-105: unit_gbp x qty == line_gbp</t>
  </si>
  <si>
    <t>BoM X-127: unit price within x5 of distributor_price_gbp</t>
  </si>
  <si>
    <t>X-127 (Endress+Hauser DMA50-AAABA1): BoM unit £691 vs distributor_price_gbp £691 = x1.0. Flag when &gt;x5 or &lt;x0.2.</t>
  </si>
  <si>
    <t>BoM X-130: unit_gbp x qty == line_gbp</t>
  </si>
  <si>
    <t>BoM EP-102: unit price within x5 of distributor_price_gbp</t>
  </si>
  <si>
    <t>EP-102 (ABB 1SDA067417R1): BoM unit £283 vs distributor_price_gbp £283 = x1.0. Flag when &gt;x5 or &lt;x0.2.</t>
  </si>
  <si>
    <t>BoM X-131: unit_gbp x qty == line_gbp</t>
  </si>
  <si>
    <t>BoM EP-101: unit price within x5 of price_estimate_gbp</t>
  </si>
  <si>
    <t>EP-101 (Schneider Electric BlokSeT MB301M): BoM unit £4,250 vs price_estimate_gbp £4,250 = x1.0. Flag when &gt;x5 or &lt;x0.2.</t>
  </si>
  <si>
    <t>BoM X-132: unit_gbp x qty == line_gbp</t>
  </si>
  <si>
    <t>BoM X-128: unit price within x5 of distributor_price_gbp</t>
  </si>
  <si>
    <t>X-128 (Omron Automation and Safety S8VS-09024BP): BoM unit £219 vs distributor_price_gbp £214 = x1.0. Flag when &gt;x5 or &lt;x0.2.</t>
  </si>
  <si>
    <t>BoM F-3: unit_gbp x qty == line_gbp</t>
  </si>
  <si>
    <t>BoM X-129: unit price within x5 of price_estimate_gbp</t>
  </si>
  <si>
    <t>X-129 (Phoenix Contact 2838199): BoM unit £250 vs price_estimate_gbp £250 = x1.0. Flag when &gt;x5 or &lt;x0.2.</t>
  </si>
  <si>
    <t>BoM X-133: unit_gbp x qty == line_gbp</t>
  </si>
  <si>
    <t>BoM X-130: unit price within x5 of price_estimate_gbp</t>
  </si>
  <si>
    <t>X-130 (Swagelok SS-42GS4): BoM unit £18 vs price_estimate_gbp £18 = x1.0. Flag when &gt;x5 or &lt;x0.2.</t>
  </si>
  <si>
    <t>BoM X-134: unit_gbp x qty == line_gbp</t>
  </si>
  <si>
    <t>BoM V-109: unit price within x5 of price_estimate_gbp</t>
  </si>
  <si>
    <t>V-109 (Goetze Series 851): BoM unit £18 vs price_estimate_gbp £18 = x1.0. Flag when &gt;x5 or &lt;x0.2.</t>
  </si>
  <si>
    <t>BoM X-135: unit_gbp x qty == line_gbp</t>
  </si>
  <si>
    <t>BoM I-111: unit price within x5 of price_estimate_gbp</t>
  </si>
  <si>
    <t>I-111 (Danfoss 060-121966): BoM unit £76 vs price_estimate_gbp £76 = x1.0. Flag when &gt;x5 or &lt;x0.2.</t>
  </si>
  <si>
    <t>BoM TX-101: unit_gbp x qty == line_gbp</t>
  </si>
  <si>
    <t>BoM I-112: unit price within x5 of price_estimate_gbp</t>
  </si>
  <si>
    <t>I-112 (Danfoss 060-310266): BoM unit £76 vs price_estimate_gbp £76 = x1.0. Flag when &gt;x5 or &lt;x0.2.</t>
  </si>
  <si>
    <t>BoM V-109: unit_gbp x qty == line_gbp</t>
  </si>
  <si>
    <t>BoM X-136: unit price within x5 of price_estimate_gbp</t>
  </si>
  <si>
    <t>X-136 (Eaton 216516): BoM unit £40 vs price_estimate_gbp £35 = x1.1. Flag when &gt;x5 or &lt;x0.2.</t>
  </si>
  <si>
    <t>BoM I-111: unit_gbp x qty == line_gbp</t>
  </si>
  <si>
    <t>BoM X-137: unit price within x5 of price_estimate_gbp</t>
  </si>
  <si>
    <t>X-137 (Legrand SRFL100G): BoM unit £45 vs price_estimate_gbp £45 = x1.0. Flag when &gt;x5 or &lt;x0.2.</t>
  </si>
  <si>
    <t>BoM I-112: unit_gbp x qty == line_gbp</t>
  </si>
  <si>
    <t>BoM X-138: unit price within x5 of price_estimate_gbp</t>
  </si>
  <si>
    <t>X-138 (Schneider Electric LV430630): BoM unit £6 vs price_estimate_gbp £6 = x0.9. Flag when &gt;x5 or &lt;x0.2.</t>
  </si>
  <si>
    <t>BoM X-136: unit_gbp x qty == line_gbp</t>
  </si>
  <si>
    <t>BoM X-139: unit price within x5 of price_estimate_gbp</t>
  </si>
  <si>
    <t>X-139 (Eaton 216516): BoM unit £40 vs price_estimate_gbp £35 = x1.1. Flag when &gt;x5 or &lt;x0.2.</t>
  </si>
  <si>
    <t>BoM I-102: unit_gbp x qty == line_gbp</t>
  </si>
  <si>
    <t>BoM I-113: unit price within x5 of price_estimate_gbp</t>
  </si>
  <si>
    <t>I-113 (nVent Raychem TT-1000): BoM unit £12 vs price_estimate_gbp £12 = x1.0. Flag when &gt;x5 or &lt;x0.2.</t>
  </si>
  <si>
    <t>BoM X-137: unit_gbp x qty == line_gbp</t>
  </si>
  <si>
    <t>BoM X-140: unit price within x5 of distributor_price_gbp</t>
  </si>
  <si>
    <t>X-140 (Siemens 3RU2126-4DB0): BoM unit £96 vs distributor_price_gbp £96 = x1.0. Flag when &gt;x5 or &lt;x0.2.</t>
  </si>
  <si>
    <t>BoM X-138: unit_gbp x qty == line_gbp</t>
  </si>
  <si>
    <t>BoM I-114: unit price within x5 of distributor_price_gbp</t>
  </si>
  <si>
    <t>I-114 (Banner Engineering SSA-EB1PS1-02-A01): BoM unit £159 vs distributor_price_gbp £159 = x1.0. Flag when &gt;x5 or &lt;x0.2.</t>
  </si>
  <si>
    <t>BoM X-139: unit_gbp x qty == line_gbp</t>
  </si>
  <si>
    <t>BoM X-141: unit price within x5 of price_estimate_gbp</t>
  </si>
  <si>
    <t>X-141 (Cabletec CG-M20-IP68): BoM unit £2 vs price_estimate_gbp £2 = x0.8. Flag when &gt;x5 or &lt;x0.2.</t>
  </si>
  <si>
    <t>BoM I-113: unit_gbp x qty == line_gbp</t>
  </si>
  <si>
    <t>Sigma requirementsBom.line_gbp == cover grand total</t>
  </si>
  <si>
    <t>Sum of 417 BoM line_gbp values vs parts-ledger.grand_total_gbp.</t>
  </si>
  <si>
    <t>BoM X-140: unit_gbp x qty == line_gbp</t>
  </si>
  <si>
    <t>BoM I-114: unit_gbp x qty == line_gbp</t>
  </si>
  <si>
    <t>E5 · CONNECTIVITY/SPEC — out-of-spec tally &amp; velocity limit</t>
  </si>
  <si>
    <t>BoM X-141: unit_gbp x qty == line_gbp</t>
  </si>
  <si>
    <t>Process parts with both fluid in+out (coverage &gt;= 80%)</t>
  </si>
  <si>
    <t>14 of 14 process parts are fully connected (fluid in AND out). The connection graph is incomplete below 80% — a vessel/pump/valve with a missing feed or discharge is a topology gap. 21 concern(s) total.</t>
  </si>
  <si>
    <t>BoM TK-102: unit_gbp x qty == line_gbp</t>
  </si>
  <si>
    <t>Instruments associated to what they measure (coverage &gt;= 80%)</t>
  </si>
  <si>
    <t>14 of 14 instruments are wired (&gt;=1 signal/sense association). Below 80% leaves orphan sensors not tied to the process or the control system.</t>
  </si>
  <si>
    <t>BoM TK-101: unit_gbp x qty == line_gbp</t>
  </si>
  <si>
    <t>Ledger completeness: every part shows its required input + output</t>
  </si>
  <si>
    <t>0 part(s) are missing a required connection in the authored ledger — the design is not fully connected. Each process part must show a fluid INPUT and OUTPUT (naming what it connects to/from); a powered part a power feed; an instrument a signal tie. All parts fully connected. Fix at the ledger completion (close every part's missing direction), not by inventing a render pipe.</t>
  </si>
  <si>
    <t>BoM X-142: unit_gbp x qty == line_gbp</t>
  </si>
  <si>
    <t>Ledger referential integrity: every connection names a real part</t>
  </si>
  <si>
    <t>0 connection reference(s) point to a name that is not an authored part — the graph is not fully traceable. Every edge A→B must name B by its exact part name AND appear in B's inputs. All references resolve; the whole system is traceable part-to-part.</t>
  </si>
  <si>
    <t>BoM C01: unit_gbp x qty == line_gbp</t>
  </si>
  <si>
    <t>Connection rows within_spec == false (tally)</t>
  </si>
  <si>
    <t>0 of 71 connection runs are out of spec (e.g. over-velocity pipe / over-voltdrop cable). All within spec.</t>
  </si>
  <si>
    <t>BoM C02: unit_gbp x qty == line_gbp</t>
  </si>
  <si>
    <t>Worst pipe velocity &lt;= spec limit (DN80)</t>
  </si>
  <si>
    <t>DN80 carries 1.457 m/s vs its stated limit 3 m/s. Over-velocity = erosion / head loss (0 pipe specs over limit).</t>
  </si>
  <si>
    <t>BoM C03: unit_gbp x qty == line_gbp</t>
  </si>
  <si>
    <t>Longest connection run &lt;= plant diagonal x 1.8 (length plausibility)</t>
  </si>
  <si>
    <t>Longest routed run 42 m (Permeate Outlet -&gt; Cip Tank) vs plant footprint diagonal 34 m. A run beyond ~1.8x the diagonal is not physical inside the plant envelope -&gt; the layout is loose and its length x GBP/m cost is inflated. Fix at the placement source (cluster connected equipment), not the cost rate.</t>
  </si>
  <si>
    <t>BoM C04: unit_gbp x qty == line_gbp</t>
  </si>
  <si>
    <t>Total connection length &lt;= diagonal x n_runs x 1.25</t>
  </si>
  <si>
    <t>Total routed connection length 654 m over 47 runs vs a plausible 2008 m (diagonal 34 m x 47 runs x 1.25). A systemic overshoot means the layout strings equipment wider than the building -&gt; inflated pipe/cable take-off.</t>
  </si>
  <si>
    <t>BoM C05: unit_gbp x qty == line_gbp</t>
  </si>
  <si>
    <t>BoM C06: unit_gbp x qty == line_gbp</t>
  </si>
  <si>
    <t>E6 · BRIEF — design realises each stated brief target metric (±5%)</t>
  </si>
  <si>
    <t>BoM C07: unit_gbp x qty == line_gbp</t>
  </si>
  <si>
    <t>Brief target met: irrigation_demand_m3_per_hr</t>
  </si>
  <si>
    <t>Brief target irrigation_demand_m3_per_hr = 45 m3/h; design (irrigation_demand_m3_h) = 90 m3/h — the design must realise the brief target within ±5%.</t>
  </si>
  <si>
    <t>BoM C08: unit_gbp x qty == line_gbp</t>
  </si>
  <si>
    <t>Brief target met: ro_permeate_capacity_m3_per_hr</t>
  </si>
  <si>
    <t>Brief target ro_permeate_capacity_m3_per_hr = 8 m3/h; design (ro_permeate_capacity_m3_h) = 8 m3/h — the design must realise the brief target within ±5%.</t>
  </si>
  <si>
    <t>BoM C09: unit_gbp x qty == line_gbp</t>
  </si>
  <si>
    <t>Brief target met: ro_recovery_percent</t>
  </si>
  <si>
    <t>Brief target ro_recovery_percent = 75 %; design (ro_recovery_percent) = 75 % — the design must realise the brief target within ±5%.</t>
  </si>
  <si>
    <t>BoM C10: unit_gbp x qty == line_gbp</t>
  </si>
  <si>
    <t>Brief target met: water_storage_capacity_m3</t>
  </si>
  <si>
    <t>Brief target water_storage_capacity_m3 = 120 m3; design (water_storage_capacity_m3) = 120 m3 — the design must realise the brief target within ±5%.</t>
  </si>
  <si>
    <t>BoM C11: unit_gbp x qty == line_gbp</t>
  </si>
  <si>
    <t>BoM C12: unit_gbp x qty == line_gbp</t>
  </si>
  <si>
    <t>E7 · PROVENANCE — every engineering-tool output is actually USED by the design (no stale/orphaned tool computations)</t>
  </si>
  <si>
    <t>BoM C13: unit_gbp x qty == line_gbp</t>
  </si>
  <si>
    <t>Tool output used: incident_energy_cal_cm2</t>
  </si>
  <si>
    <t>arc-flash:ieee-1584 incident_energy_cal_cm2=0.741 matches contract incident_energy_cal_cm2.</t>
  </si>
  <si>
    <t>BoM C14: unit_gbp x qty == line_gbp</t>
  </si>
  <si>
    <t>Tool output used: ph_control_kp</t>
  </si>
  <si>
    <t>control-systems:pid-tuning ph_control_kp=0.296464 matches contract ph_control_kp.</t>
  </si>
  <si>
    <t>BoM C15: unit_gbp x qty == line_gbp</t>
  </si>
  <si>
    <t>Tool output used: main_feeder_cable_csa_mm2</t>
  </si>
  <si>
    <t>electrical:cable-sizing main_feeder_cable_csa_mm2=25 matches contract main_feeder_cable_csa_mm2.</t>
  </si>
  <si>
    <t>BoM C16: unit_gbp x qty == line_gbp</t>
  </si>
  <si>
    <t>Tool output used: cable_voltdrop_pct</t>
  </si>
  <si>
    <t>electrical:cable-sizing cable_voltdrop_pct=2.03 matches contract cable_voltdrop_pct.</t>
  </si>
  <si>
    <t>BoM C17: unit_gbp x qty == line_gbp</t>
  </si>
  <si>
    <t>Tool output used: transformer_kva</t>
  </si>
  <si>
    <t>electrical:transformer-sizing transformer_kva=75 matches contract transformer_kva.</t>
  </si>
  <si>
    <t>BoM C18: unit_gbp x qty == line_gbp</t>
  </si>
  <si>
    <t>Tool output used: transformer_secondary_current_a</t>
  </si>
  <si>
    <t>electrical:transformer-sizing transformer_secondary_current_a=108.25 matches contract transformer_secondary_current_a.</t>
  </si>
  <si>
    <t>BoM C19: unit_gbp x qty == line_gbp</t>
  </si>
  <si>
    <t>Tool output used: uv_disinfection_throughput_m3_h</t>
  </si>
  <si>
    <t>first-principles:disinfection uv_disinfection_throughput_m3_h=90 matches contract uv_disinfection_throughput_m3_h.</t>
  </si>
  <si>
    <t>BoM C20: unit_gbp x qty == line_gbp</t>
  </si>
  <si>
    <t>Tool output used: uv_disinfection_power_kw</t>
  </si>
  <si>
    <t>first-principles:disinfection uv_disinfection_power_kw=4.1 matches contract uv_disinfection_power_kw.</t>
  </si>
  <si>
    <t>BoM C21: unit_gbp x qty == line_gbp</t>
  </si>
  <si>
    <t>Tool output used: uv_disinfection_count</t>
  </si>
  <si>
    <t>first-principles:disinfection uv_disinfection_count=1 matches contract uv_disinfection_count.</t>
  </si>
  <si>
    <t>BoM C22: unit_gbp x qty == line_gbp</t>
  </si>
  <si>
    <t>Tool output used: connected_electrical_load_kw</t>
  </si>
  <si>
    <t>first-principles:electrical connected_electrical_load_kw=53 matches contract connected_electrical_load_kw.</t>
  </si>
  <si>
    <t>BoM C23: unit_gbp x qty == line_gbp</t>
  </si>
  <si>
    <t>Tool output used: irrigation_demand_m3_h</t>
  </si>
  <si>
    <t>first-principles:process irrigation_demand_m3_h=90 matches contract irrigation_demand_m3_h.</t>
  </si>
  <si>
    <t>BoM C24: unit_gbp x qty == line_gbp</t>
  </si>
  <si>
    <t>Tool output used: water_storage_capacity_m3</t>
  </si>
  <si>
    <t>first-principles:process water_storage_capacity_m3=120 matches contract water_storage_capacity_m3.</t>
  </si>
  <si>
    <t>BoM C25: unit_gbp x qty == line_gbp</t>
  </si>
  <si>
    <t>Tool output used: softener_vessel_volume_each_m3</t>
  </si>
  <si>
    <t>first-principles:process softener_vessel_volume_each_m3=1.5 matches contract softener_vessel_volume_each_m3.</t>
  </si>
  <si>
    <t>BoM C26: unit_gbp x qty == line_gbp</t>
  </si>
  <si>
    <t>Tool output used: fertigation_dosing_capacity_m3_per_hr</t>
  </si>
  <si>
    <t>first-principles:process fertigation_dosing_capacity_m3_per_hr=90 matches contract fertigation_dosing_capacity_m3_per_hr.</t>
  </si>
  <si>
    <t>BoM C27: unit_gbp x qty == line_gbp</t>
  </si>
  <si>
    <t>Tool output used: total_supply_demand_kw</t>
  </si>
  <si>
    <t>first-principles:process total_supply_demand_kw=53 matches contract total_supply_demand_kw.</t>
  </si>
  <si>
    <t>BoM C28: unit_gbp x qty == line_gbp</t>
  </si>
  <si>
    <t>Tool output used: main_incomer_breaker_a</t>
  </si>
  <si>
    <t>first-principles:process main_incomer_breaker_a=106 matches contract main_incomer_breaker_a.</t>
  </si>
  <si>
    <t>BoM C29: unit_gbp x qty == line_gbp</t>
  </si>
  <si>
    <t>Tool output used: main_incomer_breaker_frame_a</t>
  </si>
  <si>
    <t>first-principles:process main_incomer_breaker_frame_a=125 matches contract main_incomer_breaker_frame_a.</t>
  </si>
  <si>
    <t>BoM C30: unit_gbp x qty == line_gbp</t>
  </si>
  <si>
    <t>Tool output used: gac_filter_vessel_volume_m3</t>
  </si>
  <si>
    <t>first-principles:solids gac_filter_vessel_volume_m3=1.8 matches contract gac_filter_vessel_volume_m3.</t>
  </si>
  <si>
    <t>BoM C31: unit_gbp x qty == line_gbp</t>
  </si>
  <si>
    <t>Tool output used: gac_vessel_diameter_m</t>
  </si>
  <si>
    <t>gac-filter:liquid-phase-sizing gac_vessel_diameter_m=1.35875 matches contract gac_vessel_diameter_m.</t>
  </si>
  <si>
    <t>BoM C32: unit_gbp x qty == line_gbp</t>
  </si>
  <si>
    <t>Tool output used: softener_salt_consumption_max_kg_per_regen</t>
  </si>
  <si>
    <t>ion-exchange:softener-sizing softener_salt_consumption_max_kg_per_regen=46.1993 matches contract softener_salt_consumption_max_kg_per_regen.</t>
  </si>
  <si>
    <t>BoM C33: unit_gbp x qty == line_gbp</t>
  </si>
  <si>
    <t>Tool output used: drain_collection_sump_volume_each_m3</t>
  </si>
  <si>
    <t>irrigation:ebb-flow-demand drain_collection_sump_volume_each_m3=5 matches contract drain_collection_sump_volume_each_m3.</t>
  </si>
  <si>
    <t>BoM C34: unit_gbp x qty == line_gbp</t>
  </si>
  <si>
    <t>Tool output used: irrigation_pump_motor_kw</t>
  </si>
  <si>
    <t>irrigation:pump-sizing irrigation_pump_motor_kw=9.653 matches contract irrigation_pump_motor_kw.</t>
  </si>
  <si>
    <t>BoM C35: unit_gbp x qty == line_gbp</t>
  </si>
  <si>
    <t>Tool output used: irrigation_pump_flow_m3_h</t>
  </si>
  <si>
    <t>irrigation:pump-sizing irrigation_pump_flow_m3_h=90 matches contract irrigation_pump_flow_m3_h.</t>
  </si>
  <si>
    <t>BoM C36: unit_gbp x qty == line_gbp</t>
  </si>
  <si>
    <t>Tool output used: total_system_mass_kg</t>
  </si>
  <si>
    <t>mass-aggregator:envelope-check total_system_mass_kg=1500.8 matches contract total_system_mass_kg.</t>
  </si>
  <si>
    <t>BoM C37: unit_gbp x qty == line_gbp</t>
  </si>
  <si>
    <t>Tool output used: cloth_filter_area_m2</t>
  </si>
  <si>
    <t>mechanical-filtration:cloth-screen cloth_filter_area_m2=3.46572 matches contract cloth_filter_area_m2.</t>
  </si>
  <si>
    <t>BoM C38: unit_gbp x qty == line_gbp</t>
  </si>
  <si>
    <t>Tool output used: filter_hydraulic_loading_m_h</t>
  </si>
  <si>
    <t>mechanical-filtration:cloth-screen filter_hydraulic_loading_m_h=23.0832 matches contract filter_hydraulic_loading_m_h.</t>
  </si>
  <si>
    <t>BoM C39: unit_gbp x qty == line_gbp</t>
  </si>
  <si>
    <t>Tool output used: acid_dose_rate_ml_min</t>
  </si>
  <si>
    <t>ph-titration:sizing acid_dose_rate_ml_min=640 matches contract acid_dose_rate_ml_min.</t>
  </si>
  <si>
    <t>BoM C40: unit_gbp x qty == line_gbp</t>
  </si>
  <si>
    <t>Tool output used: gac_vessel_mass_kg</t>
  </si>
  <si>
    <t>pressure-vessel:design gac_vessel_mass_kg=600.811 matches contract gac_vessel_mass_kg.</t>
  </si>
  <si>
    <t>BoM C41: unit_gbp x qty == line_gbp</t>
  </si>
  <si>
    <t>Tool output used: softener_vessel_mass_kg</t>
  </si>
  <si>
    <t>pressure-vessel:design softener_vessel_mass_kg=556.127 matches contract softener_vessel_mass_kg.</t>
  </si>
  <si>
    <t>BoM C42: unit_gbp x qty == line_gbp</t>
  </si>
  <si>
    <t>Tool output used: fertigation_dosing_pump_power_kw</t>
  </si>
  <si>
    <t>process:pump-sizing fertigation_dosing_pump_power_kw=7.5 matches contract fertigation_dosing_pump_power_kw.</t>
  </si>
  <si>
    <t>BoM C43: unit_gbp x qty == line_gbp</t>
  </si>
  <si>
    <t>Tool output used: drain_transfer_pump_power_kw</t>
  </si>
  <si>
    <t>process:pump-sizing drain_transfer_pump_power_kw=1.923 matches contract drain_transfer_pump_power_kw.</t>
  </si>
  <si>
    <t>BoM C44: unit_gbp x qty == line_gbp</t>
  </si>
  <si>
    <t>Tool output used: fresh_water_storage_capacity_m3</t>
  </si>
  <si>
    <t>water-storage:buffer-sizing fresh_water_storage_capacity_m3=40 matches contract fresh_water_storage_capacity_m3.</t>
  </si>
  <si>
    <t>BoM C45: unit_gbp x qty == line_gbp</t>
  </si>
  <si>
    <t>Tool output used: drain_water_tank_volume_each_m3</t>
  </si>
  <si>
    <t>water-storage:buffer-sizing drain_water_tank_volume_each_m3=40 matches contract drain_water_tank_volume_each_m3.</t>
  </si>
  <si>
    <t>BoM C46: unit_gbp x qty == line_gbp</t>
  </si>
  <si>
    <t>Tool output used: total_water_storage_volume_m3</t>
  </si>
  <si>
    <t>water-storage:buffer-sizing total_water_storage_volume_m3=261.6 matches contract total_water_storage_volume_m3.</t>
  </si>
  <si>
    <t>BoM C47: unit_gbp x qty == line_gbp</t>
  </si>
  <si>
    <t>Tool output used: ro_membrane_area_m2</t>
  </si>
  <si>
    <t>water-treatment-ro:sizing ro_membrane_area_m2=363.6 matches contract ro_membrane_area_m2.</t>
  </si>
  <si>
    <t>BoM C48: unit_gbp x qty == line_gbp</t>
  </si>
  <si>
    <t>Tool output used: ro_permeate_production_m3_per_hr</t>
  </si>
  <si>
    <t>water-treatment-ro:sizing ro_permeate_production_m3_per_hr=8 matches contract ro_permeate_production_m3_per_hr.</t>
  </si>
  <si>
    <t>BoM C49: unit_gbp x qty == line_gbp</t>
  </si>
  <si>
    <t>Tool output used: estimated_capex_gbp</t>
  </si>
  <si>
    <t>water-treatment-ro:sizing estimated_capex_gbp=115727 matches contract estimated_capex_gbp.</t>
  </si>
  <si>
    <t>BoM C50: unit_gbp x qty == line_gbp</t>
  </si>
  <si>
    <t>BoM C51: unit_gbp x qty == line_gbp</t>
  </si>
  <si>
    <t>BoM C52: unit_gbp x qty == line_gbp</t>
  </si>
  <si>
    <t>BoM C53: unit_gbp x qty == line_gbp</t>
  </si>
  <si>
    <t>Brief compliance — every target vs achieved vs PASS/FAIL</t>
  </si>
  <si>
    <t>BoM C54: unit_gbp x qty == line_gbp</t>
  </si>
  <si>
    <t>BoM C55: unit_gbp x qty == line_gbp</t>
  </si>
  <si>
    <t>BoM C56: unit_gbp x qty == line_gbp</t>
  </si>
  <si>
    <t>BoM C57: unit_gbp x qty == line_gbp</t>
  </si>
  <si>
    <t>BoM C58: unit_gbp x qty == line_gbp</t>
  </si>
  <si>
    <t>BoM C59: unit_gbp x qty == line_gbp</t>
  </si>
  <si>
    <t>BoM C60: unit_gbp x qty == line_gbp</t>
  </si>
  <si>
    <t>BoM C61: unit_gbp x qty == line_gbp</t>
  </si>
  <si>
    <t>BoM C62: unit_gbp x qty == line_gbp</t>
  </si>
  <si>
    <t>BoM C63: unit_gbp x qty == line_gbp</t>
  </si>
  <si>
    <t>Tool provenance — input → output traceability (USED / STALE / ORPHANED)</t>
  </si>
  <si>
    <t>BoM C64: unit_gbp x qty == line_gbp</t>
  </si>
  <si>
    <t>BoM C65: unit_gbp x qty == line_gbp</t>
  </si>
  <si>
    <t>Tool</t>
  </si>
  <si>
    <t>Output field</t>
  </si>
  <si>
    <t>Input — from</t>
  </si>
  <si>
    <t>→ Consumed by</t>
  </si>
  <si>
    <t>BoM C66: unit_gbp x qty == line_gbp</t>
  </si>
  <si>
    <t>arc-flash:ieee-1584</t>
  </si>
  <si>
    <t>incident_energy_cal_cm2</t>
  </si>
  <si>
    <t>cal/cm2</t>
  </si>
  <si>
    <t>inputs from: brief</t>
  </si>
  <si>
    <t>incident_energy_cal_cm2 = 0.741</t>
  </si>
  <si>
    <t>USED</t>
  </si>
  <si>
    <t>BoM C67: unit_gbp x qty == line_gbp</t>
  </si>
  <si>
    <t>control-systems:pid-tuning</t>
  </si>
  <si>
    <t>kp</t>
  </si>
  <si>
    <t>ph_control_kp = 0.296464</t>
  </si>
  <si>
    <t>BoM C68: unit_gbp x qty == line_gbp</t>
  </si>
  <si>
    <t>electrical:cable-sizing</t>
  </si>
  <si>
    <t>main_feeder_cable_csa_mm2</t>
  </si>
  <si>
    <t>mm2</t>
  </si>
  <si>
    <t>inputs from: electrical:transformer-sizing + brief</t>
  </si>
  <si>
    <t>main_feeder_cable_csa_mm2 = 25</t>
  </si>
  <si>
    <t>BoM C69: unit_gbp x qty == line_gbp</t>
  </si>
  <si>
    <t>cable_voltdrop_pct</t>
  </si>
  <si>
    <t>cable_voltdrop_pct = 2.03</t>
  </si>
  <si>
    <t>BoM C70: unit_gbp x qty == line_gbp</t>
  </si>
  <si>
    <t>electrical:transformer-sizing</t>
  </si>
  <si>
    <t>transformer_kva</t>
  </si>
  <si>
    <t>transformer_kva = 75</t>
  </si>
  <si>
    <t>BoM C71: unit_gbp x qty == line_gbp</t>
  </si>
  <si>
    <t>transformer_secondary_current_a</t>
  </si>
  <si>
    <t>transformer_secondary_current_a = 108.25</t>
  </si>
  <si>
    <t>BoM X-143: unit_gbp x qty == line_gbp</t>
  </si>
  <si>
    <t>first-principles:disinfection</t>
  </si>
  <si>
    <t>uv_disinfection_throughput_m3_h</t>
  </si>
  <si>
    <t>medium-pressure UV-C reactor sized to the peak recirculated flow (= irrigation demand 90 m³/h) for Legionella control at ≈40 mJ/cm²</t>
  </si>
  <si>
    <t>uv_disinfection_throughput_m3_h = 90</t>
  </si>
  <si>
    <t>BoM X-144: unit_gbp x qty == line_gbp</t>
  </si>
  <si>
    <t>uv_disinfection_power_kw</t>
  </si>
  <si>
    <t>UV-C lamp electrical draw ≈ 0.045 kW per m³/h at the Legionella dose (90 m³/h × 0.045)</t>
  </si>
  <si>
    <t>uv_disinfection_power_kw = 4.1</t>
  </si>
  <si>
    <t>BoM X-145: unit_gbp x qty == line_gbp</t>
  </si>
  <si>
    <t>uv_disinfection_count</t>
  </si>
  <si>
    <t>off</t>
  </si>
  <si>
    <t>one duty UV-C reactor on the common recirculation main (all stored/recirculated water passes it before distribution)</t>
  </si>
  <si>
    <t>uv_disinfection_count = 1</t>
  </si>
  <si>
    <t>BoM X-146: unit_gbp x qty == line_gbp</t>
  </si>
  <si>
    <t>first-principles:electrical</t>
  </si>
  <si>
    <t>connected_electrical_load_kw</t>
  </si>
  <si>
    <t>sum of pump + dosing + control loads ≈ 53 kW — a pumping/dosing plant, NOT a megawatt facility (lighting + HVAC are out of scope)</t>
  </si>
  <si>
    <t>connected_electrical_load_kw = 53</t>
  </si>
  <si>
    <t>BoM X-147: unit_gbp x qty == line_gbp</t>
  </si>
  <si>
    <t>first-principles:process</t>
  </si>
  <si>
    <t>irrigation_demand_m3_h</t>
  </si>
  <si>
    <t>peak irrigation demand = 45 m³/h per department × 2 departments; lock-gate HARD slot (exit 22)</t>
  </si>
  <si>
    <t>irrigation_demand_m3_h = 90</t>
  </si>
  <si>
    <t>BoM X-148: unit_gbp x qty == line_gbp</t>
  </si>
  <si>
    <t>water_storage_capacity_m3</t>
  </si>
  <si>
    <t>m³</t>
  </si>
  <si>
    <t>total water storage = 3 galvanised tanks (1 fresh + 2 drain) × 40 m³ = 120 m³</t>
  </si>
  <si>
    <t>water_storage_capacity_m3 = 120</t>
  </si>
  <si>
    <t>BoM X-149: unit_gbp x qty == line_gbp</t>
  </si>
  <si>
    <t>softener_vessel_volume_each_m3</t>
  </si>
  <si>
    <t>glass-fibre softener vessel (350 L resin each, 14 m³/h duplex)</t>
  </si>
  <si>
    <t>softener_vessel_volume_each_m3 = 1.5</t>
  </si>
  <si>
    <t>BoM X-150: unit_gbp x qty == line_gbp</t>
  </si>
  <si>
    <t>fertigation_dosing_capacity_m3_per_hr</t>
  </si>
  <si>
    <t>total fertigation dosing capacity = 2 units × 45 m³/h = 90 m³/h</t>
  </si>
  <si>
    <t>fertigation_dosing_capacity_m3_per_hr = 90</t>
  </si>
  <si>
    <t>BoM X-151: unit_gbp x qty == line_gbp</t>
  </si>
  <si>
    <t>total_supply_demand_kw</t>
  </si>
  <si>
    <t>total connected electrical demand of the water plant</t>
  </si>
  <si>
    <t>total_supply_demand_kw = 53</t>
  </si>
  <si>
    <t>BoM V-110: unit_gbp x qty == line_gbp</t>
  </si>
  <si>
    <t>main_incomer_breaker_a</t>
  </si>
  <si>
    <t>main incomer sized from the connected electrical load 53 kW: I = P·1000/(√3·400·0.9)·1.25 = 106 A → next standard 125 A ACB frame</t>
  </si>
  <si>
    <t>main_incomer_breaker_a = 106</t>
  </si>
  <si>
    <t>BoM V-111: unit_gbp x qty == line_gbp</t>
  </si>
  <si>
    <t>main_incomer_breaker_frame_a</t>
  </si>
  <si>
    <t>main_incomer_breaker_frame_a = 125</t>
  </si>
  <si>
    <t>BoM V-102: Sigma sub-component_gbp == line_gbp</t>
  </si>
  <si>
    <t>first-principles:solids</t>
  </si>
  <si>
    <t>gac_filter_vessel_volume_m3</t>
  </si>
  <si>
    <t>granular-activated-carbon filter vessel (1 × 42-inch tank, 14.5 m³/h)</t>
  </si>
  <si>
    <t>gac_filter_vessel_volume_m3 = 1.8</t>
  </si>
  <si>
    <t>BoM V-106: Sigma sub-component_gbp == line_gbp</t>
  </si>
  <si>
    <t>gac-filter:liquid-phase-sizing</t>
  </si>
  <si>
    <t>gac_vessel_diameter_m</t>
  </si>
  <si>
    <t>m</t>
  </si>
  <si>
    <t>gac_vessel_diameter_m = 1.35875</t>
  </si>
  <si>
    <t>BoM P-106: Sigma sub-component_gbp == line_gbp</t>
  </si>
  <si>
    <t>ion-exchange:softener-sizing</t>
  </si>
  <si>
    <t>softener_salt_consumption_max_kg_per_regen</t>
  </si>
  <si>
    <t>kg</t>
  </si>
  <si>
    <t>softener_salt_consumption_max_kg_per_regen = 46.1993</t>
  </si>
  <si>
    <t>BoM TK-103: Sigma sub-component_gbp == line_gbp</t>
  </si>
  <si>
    <t>irrigation:ebb-flow-demand</t>
  </si>
  <si>
    <t>drain_collection_sump_volume_each_m3</t>
  </si>
  <si>
    <t>drain_collection_sump_volume_each_m3 = 5</t>
  </si>
  <si>
    <t>BoM P-102: Sigma sub-component_gbp == line_gbp</t>
  </si>
  <si>
    <t>irrigation:pump-sizing</t>
  </si>
  <si>
    <t>motor_power_kw</t>
  </si>
  <si>
    <t>inputs from: irrigation:ebb-flow-demand + brief</t>
  </si>
  <si>
    <t>irrigation_pump_motor_kw = 9.653</t>
  </si>
  <si>
    <t>BoM TK-114: Sigma sub-component_gbp == line_gbp</t>
  </si>
  <si>
    <t>pump_flow_m3_h</t>
  </si>
  <si>
    <t>irrigation_pump_flow_m3_h = 90</t>
  </si>
  <si>
    <t>BoM P-104: Sigma sub-component_gbp == line_gbp</t>
  </si>
  <si>
    <t>mass-aggregator:envelope-check</t>
  </si>
  <si>
    <t>total_system_mass_kg</t>
  </si>
  <si>
    <t>inputs from: irrigation:pump-sizing, pressure-vessel:design + brief</t>
  </si>
  <si>
    <t>total_system_mass_kg = 1500.8</t>
  </si>
  <si>
    <t>BoM V-104: Sigma sub-component_gbp == line_gbp</t>
  </si>
  <si>
    <t>mechanical-filtration:cloth-screen</t>
  </si>
  <si>
    <t>cloth_filter_area_m2</t>
  </si>
  <si>
    <t>m2</t>
  </si>
  <si>
    <t>cloth_filter_area_m2 = 3.46572</t>
  </si>
  <si>
    <t>BoM V-103: Sigma sub-component_gbp == line_gbp</t>
  </si>
  <si>
    <t>filter_hydraulic_loading_m_h</t>
  </si>
  <si>
    <t>m/h</t>
  </si>
  <si>
    <t>filter_hydraulic_loading_m_h = 23.0832</t>
  </si>
  <si>
    <t>BoM P-103: Sigma sub-component_gbp == line_gbp</t>
  </si>
  <si>
    <t>ph-titration:sizing</t>
  </si>
  <si>
    <t>acid_dose_rate_ml_min</t>
  </si>
  <si>
    <t>mL/min</t>
  </si>
  <si>
    <t>acid_dose_rate_ml_min = 640</t>
  </si>
  <si>
    <t>BoM Z-101: Sigma sub-component_gbp == line_gbp</t>
  </si>
  <si>
    <t>pressure-vessel:design</t>
  </si>
  <si>
    <t>mass_kg</t>
  </si>
  <si>
    <t>inputs from: gac-filter:liquid-phase-sizing + brief</t>
  </si>
  <si>
    <t>gac_vessel_mass_kg = 600.811</t>
  </si>
  <si>
    <t>BoM P-101: Sigma sub-component_gbp == line_gbp</t>
  </si>
  <si>
    <t>softener_vessel_mass_kg = 556.127</t>
  </si>
  <si>
    <t>BoM V-101: Sigma sub-component_gbp == line_gbp</t>
  </si>
  <si>
    <t>process:pump-sizing</t>
  </si>
  <si>
    <t>fertigation_dosing_pump_power_kw = 7.5</t>
  </si>
  <si>
    <t>BoM TK-108: Sigma sub-component_gbp == line_gbp</t>
  </si>
  <si>
    <t>drain_transfer_pump_power_kw = 1.923</t>
  </si>
  <si>
    <t>BoM TK-106: Sigma sub-component_gbp == line_gbp</t>
  </si>
  <si>
    <t>water-storage:buffer-sizing</t>
  </si>
  <si>
    <t>fresh_water_storage_capacity_m3</t>
  </si>
  <si>
    <t>inputs from: irrigation:ebb-flow-demand, water-treatment-ro:sizing + brief</t>
  </si>
  <si>
    <t>fresh_water_storage_capacity_m3 = 40</t>
  </si>
  <si>
    <t>BoM TK-102: Sigma sub-component_gbp == line_gbp</t>
  </si>
  <si>
    <t>drain_water_tank_volume_each_m3</t>
  </si>
  <si>
    <t>drain_water_tank_volume_each_m3 = 40</t>
  </si>
  <si>
    <t>BoM TK-101: Sigma sub-component_gbp == line_gbp</t>
  </si>
  <si>
    <t>total_water_storage_volume_m3</t>
  </si>
  <si>
    <t>total_water_storage_volume_m3 = 261.6</t>
  </si>
  <si>
    <t>water-treatment-ro:sizing</t>
  </si>
  <si>
    <t>ro_membrane_area_m2</t>
  </si>
  <si>
    <t>ro_membrane_area_m2 = 363.6</t>
  </si>
  <si>
    <t>permeate_flow_m3_h</t>
  </si>
  <si>
    <t>ro_permeate_production_m3_per_hr = 8</t>
  </si>
  <si>
    <t>estimated_capex_gbp</t>
  </si>
  <si>
    <t>estimated_capex_gbp = 115727</t>
  </si>
  <si>
    <t>Connection trace — which part connects to what</t>
  </si>
  <si>
    <t>The ledger authors every connection. INPUTS / OUTPUTS are LIVE cell-references to the connected part's own row (col A): select a cell and use Formulas ▸ Trace Precedents / Trace Dependents to draw the arrows, or click through to navigate. Each part also carries its Tag. Bidirectionally consistent. Status is a LIVE formula: OK only when every endpoint resolves to a real row/boundary AND the ledger's own completeness check is clean (columns G/H, muted).</t>
  </si>
  <si>
    <t>93 authored connections   ·   completeness: 0 part(s) missing a required tie   ·   referential integrity: 0 broken reference(s)</t>
  </si>
  <si>
    <t>Part</t>
  </si>
  <si>
    <t>Inputs ← (from)</t>
  </si>
  <si>
    <t>Outputs → (to)</t>
  </si>
  <si>
    <t>Services</t>
  </si>
  <si>
    <t>Audit: unresolved endpoints (build-computed)</t>
  </si>
  <si>
    <t>Audit: missing-tie evidence (build-computed)</t>
  </si>
  <si>
    <t>power</t>
  </si>
  <si>
    <t>signal</t>
  </si>
  <si>
    <t>water</t>
  </si>
  <si>
    <t>power, water</t>
  </si>
  <si>
    <t>power, signal</t>
  </si>
  <si>
    <t>Effluent / disposal — battery limit</t>
  </si>
  <si>
    <t>I-105</t>
  </si>
  <si>
    <t>X-124</t>
  </si>
  <si>
    <t>Cabinets — housed devices + connector proof</t>
  </si>
  <si>
    <t>6 cabinet(s)   ·   4 housed device(s)   ·   1/6 cabinets fully connected   ·   ALL CONNECTORS PROVEN: NO — see ✗ rows</t>
  </si>
  <si>
    <t>SCADA / Plant Control System  [CONTROL CABINET · EP-103]   — 4 device(s) housed   ·   cabinet feeds: 12 in / 0 out   ·   ✗ INCOMPLETE</t>
  </si>
  <si>
    <t>Housed device</t>
  </si>
  <si>
    <t>Function</t>
  </si>
  <si>
    <t>Connectors</t>
  </si>
  <si>
    <t>Audit: n in</t>
  </si>
  <si>
    <t>Audit: n out</t>
  </si>
  <si>
    <t>Circuit Breaker</t>
  </si>
  <si>
    <t>X-110</t>
  </si>
  <si>
    <t>distributes electrical power</t>
  </si>
  <si>
    <t>X-123</t>
  </si>
  <si>
    <t>computes / commands</t>
  </si>
  <si>
    <t>X-128</t>
  </si>
  <si>
    <t>X-129</t>
  </si>
  <si>
    <t>Digital Control Panel  [CONTROL CABINET · I-103]   — 0 device(s) housed   ·   cabinet feeds: 5 in / 0 out   ·   ✗ INCOMPLETE</t>
  </si>
  <si>
    <t>— no discrete devices itemised (cabinet feeds the loads directly) —</t>
  </si>
  <si>
    <t>Electrical Control Panel  [CONTROL CABINET · X-104]   — 0 device(s) housed   ·   cabinet feeds: 1 in / 1 out   ·   ✓ ALL CONNECTED</t>
  </si>
  <si>
    <t>PLC Controller  [CONTROL CABINET · X-114]   — 0 device(s) housed   ·   cabinet feeds: 0 in / 0 out   ·   ✗ INCOMPLETE</t>
  </si>
  <si>
    <t>HMI Touchscreen  [CONTROL CABINET · X-120]   — 0 device(s) housed   ·   cabinet feeds: 0 in / 0 out   ·   ✗ INCOMPLETE</t>
  </si>
  <si>
    <t>Siemens S7 1200 PLC  [CONTROL CABINET · X-121]   — 0 device(s) housed   ·   cabinet feeds: 0 in / 0 out   ·   ✗ INCOMPLETE</t>
  </si>
  <si>
    <t>Contract inputs — traceability (where-from / where-to)</t>
  </si>
  <si>
    <t>Where each INPUT came FROM (its source / the quantities it was computed from) and what it FEEDS into downstream. Apart from the brief, every value traces back to the briefing document.  —  109/111 inputs (98%) trace to the brief.</t>
  </si>
  <si>
    <t>Input</t>
  </si>
  <si>
    <t>Family</t>
  </si>
  <si>
    <t>Where-from (source / inputs)</t>
  </si>
  <si>
    <t>Source detail</t>
  </si>
  <si>
    <t>Used by (where-to)</t>
  </si>
  <si>
    <t>ro_permeate_capacity_m3_h</t>
  </si>
  <si>
    <t>flow_rate</t>
  </si>
  <si>
    <t>← brief (stated requirement)</t>
  </si>
  <si>
    <t>reverse-osmosis permeate capacity (Codema HORTI PURE RO 8 m³/h); lock-gate HARD slot (exit 22)</t>
  </si>
  <si>
    <t>permeate_outlet_line_flow_m3_h, permeate_manifold_line_flow_m3_h</t>
  </si>
  <si>
    <t>calculator</t>
  </si>
  <si>
    <t>← calculated (inputs in Source detail — not yet machine-linked)</t>
  </si>
  <si>
    <t>uv_disinfection_throughput_m3_h, irrigation_pump_motor_kw, irrigation_pump_flow_m3_h</t>
  </si>
  <si>
    <t>← irrigation_demand_m3_h ✓ LIVE formula (Value is computed in-cell)</t>
  </si>
  <si>
    <t>uv_disinfection_power_kw  → part: Uv Disinfection</t>
  </si>
  <si>
    <t>← uv_disinfection_throughput_m3_h ✓ LIVE formula (Value is computed in-cell)</t>
  </si>
  <si>
    <t>→ part: Uv Disinfection</t>
  </si>
  <si>
    <t>← measured: derived</t>
  </si>
  <si>
    <t>hand_watering_discharge_pressure_bar</t>
  </si>
  <si>
    <t>bar</t>
  </si>
  <si>
    <t>pressure</t>
  </si>
  <si>
    <t>hand-watering ring-main delivery pressure (brief-stated 3 bar; sets the hand-watering pump head)</t>
  </si>
  <si>
    <t>→ informs calculations / design rules (see Source detail)</t>
  </si>
  <si>
    <t>volume</t>
  </si>
  <si>
    <t>← tool: water-storage:buffer-sizing</t>
  </si>
  <si>
    <t>brief-pinned 40 (held — water-storage:buffer-sizing suggested 196.8: a 5× divergence, rejected as a gross override of an explicit brief spec)</t>
  </si>
  <si>
    <t>← fresh_water_tank_volume_each_m3, fresh_water_tank_count, drain_water_tank_count ✓ LIVE formula (Value is computed in-cell)</t>
  </si>
  <si>
    <t>water_storage_delivered_m3</t>
  </si>
  <si>
    <t>reverse_osmosis_skid_volume_m3</t>
  </si>
  <si>
    <t>reverse-osmosis packaged skid envelope (3.8 m × 1.4 m × 2.0 m, Codema HORTI PURE RO7-3LP2P, 8 m³/h @ 75% recovery)</t>
  </si>
  <si>
    <t>→ part: Reverse Osmosis Skid</t>
  </si>
  <si>
    <t>reverse_osmosis_skid_count</t>
  </si>
  <si>
    <t>dimensionless</t>
  </si>
  <si>
    <t>one RO purification skid</t>
  </si>
  <si>
    <t>ro_high_pressure_pump_throughput_m3_h</t>
  </si>
  <si>
    <t>RO frequency-controlled high-pressure pump (10.6 bar working pressure, ~10.7 m³/h feed)</t>
  </si>
  <si>
    <t>pressure_vessels_line_flow_m3_h  → part: Discharge Isolation Valve (on Ro High Pressure Pump), Non-Return Valve (on Ro High Pressure Pump), Ro High Pressure Pump, Suction Isolation Valve (on Ro High Pressure Pump)</t>
  </si>
  <si>
    <t>ro_high_pressure_pump_power_kw</t>
  </si>
  <si>
    <t>RO high-pressure pump motor (frequency-controlled; 4.2 kW consumption within the RO skid 5.5 kW installed)</t>
  </si>
  <si>
    <t>→ part: Discharge Isolation Valve (on Ro High Pressure Pump), Non-Return Valve (on Ro High Pressure Pump), Ro High Pressure Pump, Suction Isolation Valve (on Ro High Pressure Pump)</t>
  </si>
  <si>
    <t>ro_high_pressure_pump_count</t>
  </si>
  <si>
    <t>one frequency-controlled RO high-pressure pump</t>
  </si>
  <si>
    <t>← gac_softener_throughput_m3_h</t>
  </si>
  <si>
    <t>→ part: Softener Vessel</t>
  </si>
  <si>
    <t>softener_vessel_count</t>
  </si>
  <si>
    <t>two duplex softener vessels</t>
  </si>
  <si>
    <t>fresh_water_tank_volume_each_m3</t>
  </si>
  <si>
    <t>fresh-water galvanised storage tank (3.64 m dia × 3.88 m, 40 m³)</t>
  </si>
  <si>
    <t>water_storage_capacity_m3  → part: Fresh Water Tank</t>
  </si>
  <si>
    <t>fresh_water_tank_count</t>
  </si>
  <si>
    <t>one fresh-water storage tank</t>
  </si>
  <si>
    <t>brief-pinned 40 (held — water-storage:buffer-sizing suggested 64.8: an explicitly-dimensioned brief storage vessel is held EXACTLY (water-storage:buffer-sizing's 64.8 is a generic buffer-model refinement, rejected))</t>
  </si>
  <si>
    <t>→ part: Drain Water Tank</t>
  </si>
  <si>
    <t>drain_water_tank_count</t>
  </si>
  <si>
    <t>two drain-water storage tanks</t>
  </si>
  <si>
    <t>water_storage_capacity_m3  → part: Drain Water Tank</t>
  </si>
  <si>
    <t>fertigation_dosing_pump_throughput_m3_h</t>
  </si>
  <si>
    <t>A/B fertigation circulation pump (Lowara e-SHE 50-160/75, 45 m³/h @ 3.5 bar)</t>
  </si>
  <si>
    <t>fertigation_dosing_capacity_m3_per_hr, fertigation_dosing_total_m3_h  → part: Discharge Isolation Valve (on Fertigation Dosing Pump), Fertigation Dosing Pump, Fertigation dosing / injection pump — vertical multistage, 30 m3/h @ 53.1 m, 7.5, Non-Return Valve (on Fertigation Dosing Pump) (+1)</t>
  </si>
  <si>
    <t>fertigation_dosing_pump_power_kw</t>
  </si>
  <si>
    <t>← tool: process:pump-sizing</t>
  </si>
  <si>
    <t>brief-pinned 7.5 (held — process:pump-sizing suggested 3.846: 3.846 &lt; the brief 7.5 power rating — a tool must not under-size a must-meet brief spec)</t>
  </si>
  <si>
    <t>connected_electrical_load_kw  → part: Discharge Isolation Valve (on Fertigation Dosing Pump), Fertigation Dosing Pump, Fertigation dosing / injection pump — vertical multistage, 30 m3/h @ 53.1 m, 7.5, Non-Return Valve (on Fertigation Dosing Pump) (+1)</t>
  </si>
  <si>
    <t>fertigation_dosing_pump_count</t>
  </si>
  <si>
    <t>2 A/B fertigation dosing units (one per department)</t>
  </si>
  <si>
    <t>fertigation_dosing_capacity_m3_per_hr, connected_electrical_load_kw  → part: Discharge Isolation Valve (on Fertigation Dosing Pump), Fertigation Dosing Pump, Fertigation dosing / injection pump — vertical multistage, 30 m3/h @ 53.1 m, 7.5, Non-Return Valve (on Fertigation Dosing Pump) (+1)</t>
  </si>
  <si>
    <t>← fertigation_dosing_pump_throughput_m3_h, fertigation_dosing_pump_count ✓ LIVE formula (Value is computed in-cell)</t>
  </si>
  <si>
    <t>→ part: Discharge Isolation Valve (on Fertigation Dosing Pump), Fertigation Dosing Pump, Fertigation dosing / injection pump — vertical multistage, 30 m3/h @ 53.1 m, 7.5, Non-Return Valve (on Fertigation Dosing Pump) (+1)</t>
  </si>
  <si>
    <t>acid_dosing_pump_throughput_m3_h</t>
  </si>
  <si>
    <t>acid metering pump (Iwaki EWN-C21VCER, 100 L barrel, ~40 L/h)</t>
  </si>
  <si>
    <t>acid_dosing_pump_power_kw</t>
  </si>
  <si>
    <t>acid metering pump motor (frequency-controlled)</t>
  </si>
  <si>
    <t>acid_dosing_pump_count</t>
  </si>
  <si>
    <t>2 acid dosing pumps (one per A/B fertigation unit)</t>
  </si>
  <si>
    <t>chemical_dosing_pump_throughput_m3_h</t>
  </si>
  <si>
    <t>chemical/nutrient metering pump (Iwaki EWN-C21VHERA, 100 L barrel, ~40 L/h)</t>
  </si>
  <si>
    <t>chemical_dosing_pump_power_kw</t>
  </si>
  <si>
    <t>chemical metering pump motor (frequency-controlled)</t>
  </si>
  <si>
    <t>chemical_dosing_pump_count</t>
  </si>
  <si>
    <t>2 chemical/nutrient dosing pumps (one per A/B fertigation unit)</t>
  </si>
  <si>
    <t>nutrient_tank_volume_each_m3</t>
  </si>
  <si>
    <t>nutrient stock tank (1,000 L polyester, 4 × A + 4 × B)</t>
  </si>
  <si>
    <t>→ part: Nutrient Tank</t>
  </si>
  <si>
    <t>nutrient_tank_count</t>
  </si>
  <si>
    <t>eight 1,000 L nutrient stock tanks</t>
  </si>
  <si>
    <t>hand_watering_pump_throughput_m3_h</t>
  </si>
  <si>
    <t>hand-watering frequency-controlled pump (25 m³/h @ 3 bar)</t>
  </si>
  <si>
    <t>hand_watering_pump_motor_kw, hand_watering_ring_main_length_m, hand_watering_ring_main_dn_mm, hand_watering_riser_count  → part: Discharge Isolation Valve (on Hand Watering Pump) (on Hand Watering Pump), Hand Watering Pump, Non-Return Valve (on Hand Watering Pump) (on Hand Watering Pump), Suction Isolation Valve (on Hand Watering Pump) (on Hand Watering Pump)</t>
  </si>
  <si>
    <t>hand_watering_pump_count</t>
  </si>
  <si>
    <t>one hand-watering pump</t>
  </si>
  <si>
    <t>connected_electrical_load_kw  → part: Discharge Isolation Valve (on Hand Watering Pump) (on Hand Watering Pump), Hand Watering Pump, Non-Return Valve (on Hand Watering Pump) (on Hand Watering Pump), Suction Isolation Valve (on Hand Watering Pump) (on Hand Watering Pump)</t>
  </si>
  <si>
    <t>← tool: irrigation:ebb-flow-demand</t>
  </si>
  <si>
    <t>brief-pinned 5 (held — irrigation:ebb-flow-demand suggested 600: a 120× divergence, rejected as a gross override of an explicit brief spec)</t>
  </si>
  <si>
    <t>→ part: Drain Collection Sump</t>
  </si>
  <si>
    <t>drain_collection_sump_count</t>
  </si>
  <si>
    <t>2 drain pits (one per cultivation room)</t>
  </si>
  <si>
    <t>drain_transfer_pump_throughput_m3_h</t>
  </si>
  <si>
    <t>drain-pit submersible transfer pump (45 m³/h)</t>
  </si>
  <si>
    <t>drain_manifold_line_flow_m3_h, drain_collection_sump_line_flow_m3_h  → part: Discharge Isolation Valve (on Drain Transfer Pump) (on Drain Transfer Pump), Drain Transfer Pump, Non-Return Valve (on Drain Transfer Pump) (on Drain Transfer Pump), Suction Isolation Valve (on Drain Transfer Pump) (on Drain Transfer Pump)</t>
  </si>
  <si>
    <t>drain_transfer_pump_count</t>
  </si>
  <si>
    <t>2 submersible drain pumps</t>
  </si>
  <si>
    <t>connected_electrical_load_kw  → part: Discharge Isolation Valve (on Drain Transfer Pump) (on Drain Transfer Pump), Drain Transfer Pump, Non-Return Valve (on Drain Transfer Pump) (on Drain Transfer Pump), Suction Isolation Valve (on Drain Transfer Pump) (on Drain Transfer Pump)</t>
  </si>
  <si>
    <t>cloth_filter_throughput_m3_h</t>
  </si>
  <si>
    <t>drain-water cloth filter (80 m³/h) on HDPE tank, returns to drain tank</t>
  </si>
  <si>
    <t>→ part: Cloth Filter</t>
  </si>
  <si>
    <t>cloth_filter_count</t>
  </si>
  <si>
    <t>2 cloth-filter units</t>
  </si>
  <si>
    <t>cultivation_container_count</t>
  </si>
  <si>
    <t>6,000 ebb/flow cultivation containers (2 dept × 10 tunnels × 5 layers × 4 rows × 15) — the irrigation network sizing driver</t>
  </si>
  <si>
    <t>actuated_distribution_valve_count</t>
  </si>
  <si>
    <t>200 electrically-actuated 2.5-inch ebb/flow distribution valves (30 containers each)</t>
  </si>
  <si>
    <t>distribution_main_length_m, distribution_main_dn_mm, distribution_riser_length_m, distribution_riser_dn_mm, distribution_zone_lateral_length_m, distribution_zone_lateral_dn_mm, distribution_drain_riser_length_m, distribution_drain_riser_dn_mm, distribution_drain_collection_length_m, distribution_drain_collection_dn_mm, distribution_drain_main_length_m, distribution_drain_main_dn_mm, distribution_network_length_km, distribution_zone_kits, distribution_position_connections, distribution_drain_outlet_connections, distribution_manifold_count, distribution_manifold_throughput_m3_h</t>
  </si>
  <si>
    <t>distribution_delivery_groups</t>
  </si>
  <si>
    <t>2 delivery departments — each A/B fertigation unit feeds its own department main (DN125 mainline per department)</t>
  </si>
  <si>
    <t>distribution_branch_runs</t>
  </si>
  <si>
    <t>10 cultivation tunnels per department × 2 departments = 20 branch (tunnel) runs</t>
  </si>
  <si>
    <t>distribution_levels_per_branch</t>
  </si>
  <si>
    <t>5 cultivation layers per tunnel — one zone valve per layer per riser</t>
  </si>
  <si>
    <t>distribution_risers_per_branch</t>
  </si>
  <si>
    <t>two DN125 riser connections per cultivation tunnel (brief: "two riser connections per tunnel")</t>
  </si>
  <si>
    <t>distribution_positions_per_zone</t>
  </si>
  <si>
    <t>30 containers per actuated valve section (the flood-fill zone)</t>
  </si>
  <si>
    <t>distribution_zone_rows</t>
  </si>
  <si>
    <t>each valve section feeds two rows of containers ("30 containers (two rows of 15) via a DN75 distribution line")</t>
  </si>
  <si>
    <t>distribution_position_pitch_mm</t>
  </si>
  <si>
    <t>length</t>
  </si>
  <si>
    <t>cultivation container length 2760 mm (container 2760 × 1290 mm) — the along-row position pitch</t>
  </si>
  <si>
    <t>distribution_position_width_mm</t>
  </si>
  <si>
    <t>cultivation container width 1290 mm — sets the branch (tunnel) pitch across the rows</t>
  </si>
  <si>
    <t>distribution_zone_valve_dn_mm</t>
  </si>
  <si>
    <t>dimension</t>
  </si>
  <si>
    <t>2.5-inch electric zone valves → DN65 (the brief's stated valve bore)</t>
  </si>
  <si>
    <t>ro_recovery_percent</t>
  </si>
  <si>
    <t>RO recovery factor (75%)</t>
  </si>
  <si>
    <t>→ design output (feeds cost / financial / drawings)</t>
  </si>
  <si>
    <t>gac_softener_throughput_m3_h</t>
  </si>
  <si>
    <t>GAC / softener treatment throughput (~14.5 m³/h)</t>
  </si>
  <si>
    <t>gac_filter_vessel_volume_m3, softener_vessel_line_flow_m3_h  → part: Gac Softener</t>
  </si>
  <si>
    <t>← fertigation_dosing_pump_power_kw, fertigation_dosing_pump_count, hand_watering_pump_count, drain_transfer_pump_count</t>
  </si>
  <si>
    <t>total_supply_demand_kw, main_incomer_breaker_a</t>
  </si>
  <si>
    <t>building_out_of_scope</t>
  </si>
  <si>
    <t>the building, civils and cultivation rack framework are supplied by others — OUT of scope (no hall is synthesised around the water plant)</t>
  </si>
  <si>
    <t>convergence-report</t>
  </si>
  <si>
    <t>← connected_electrical_load_kw, total_electrical_demand_kw</t>
  </si>
  <si>
    <t>alias of connected_electrical_load_kw = 53 kW by construction (the tool-claimed plant load); the as-routed converged demand 54.772 kW (plant load + distribution parasitic, 3.3% off) RECONCILES within ±10% and is recorded here — the alias itself never moves</t>
  </si>
  <si>
    <t>total_supply_demand_kva</t>
  </si>
  <si>
    <t>area</t>
  </si>
  <si>
    <t>tool:arc-flash:ieee-1584</t>
  </si>
  <si>
    <t>← tool: arc-flash:ieee-1584</t>
  </si>
  <si>
    <t>computed by arc-flash:ieee-1584 (inputs from brief)</t>
  </si>
  <si>
    <t>ph_control_kp</t>
  </si>
  <si>
    <t>tool:control-systems:pid-tuning</t>
  </si>
  <si>
    <t>← tool: control-systems:pid-tuning</t>
  </si>
  <si>
    <t>computed by control-systems:pid-tuning (inputs from brief)</t>
  </si>
  <si>
    <t>tool:electrical:transformer-sizing</t>
  </si>
  <si>
    <t>← tool: electrical:transformer-sizing</t>
  </si>
  <si>
    <t>computed by electrical:transformer-sizing (inputs from brief)</t>
  </si>
  <si>
    <t>→ part: Distribution Transformer, Transformer</t>
  </si>
  <si>
    <t>current</t>
  </si>
  <si>
    <t>tool:electrical:cable-sizing</t>
  </si>
  <si>
    <t>← tool: electrical:cable-sizing</t>
  </si>
  <si>
    <t>computed by electrical:cable-sizing (inputs from brief)</t>
  </si>
  <si>
    <t>→ part: Cable Glands, Cable Trays</t>
  </si>
  <si>
    <t>tool:gac-filter:liquid-phase-sizing</t>
  </si>
  <si>
    <t>← tool: gac-filter:liquid-phase-sizing</t>
  </si>
  <si>
    <t>computed by gac-filter:liquid-phase-sizing (inputs from brief)</t>
  </si>
  <si>
    <t>mass</t>
  </si>
  <si>
    <t>tool:ion-exchange:softener-sizing</t>
  </si>
  <si>
    <t>← tool: ion-exchange:softener-sizing</t>
  </si>
  <si>
    <t>computed by ion-exchange:softener-sizing (inputs from brief)</t>
  </si>
  <si>
    <t>irrigation_pump_motor_kw</t>
  </si>
  <si>
    <t>tool:irrigation:pump-sizing</t>
  </si>
  <si>
    <t>← tool: irrigation:pump-sizing</t>
  </si>
  <si>
    <t>computed by irrigation:pump-sizing from irrigation_demand_m3_h</t>
  </si>
  <si>
    <t>irrigation_pump_flow_m3_h</t>
  </si>
  <si>
    <t>volflow</t>
  </si>
  <si>
    <t>tool:mechanical-filtration:cloth-screen</t>
  </si>
  <si>
    <t>← tool: mechanical-filtration:cloth-screen</t>
  </si>
  <si>
    <t>computed by mechanical-filtration:cloth-screen (inputs from brief)</t>
  </si>
  <si>
    <t>velocity</t>
  </si>
  <si>
    <t>→ part: Fertigation dosing / injection pump — vertical multistage, 30 m3/h @ 53.1 m, 7.5</t>
  </si>
  <si>
    <t>tool:ph-titration:sizing</t>
  </si>
  <si>
    <t>← tool: ph-titration:sizing</t>
  </si>
  <si>
    <t>computed by ph-titration:sizing (inputs from brief)</t>
  </si>
  <si>
    <t>gac_vessel_mass_kg</t>
  </si>
  <si>
    <t>tool:pressure-vessel:design</t>
  </si>
  <si>
    <t>← tool: pressure-vessel:design</t>
  </si>
  <si>
    <t>computed by pressure-vessel:design (inputs from brief)</t>
  </si>
  <si>
    <t>tool:mass-aggregator:envelope-check</t>
  </si>
  <si>
    <t>← tool: mass-aggregator:envelope-check</t>
  </si>
  <si>
    <t>computed by mass-aggregator:envelope-check from irrigation_pump_motor_kw</t>
  </si>
  <si>
    <t>tool:water-treatment-ro:sizing</t>
  </si>
  <si>
    <t>← tool: water-treatment-ro:sizing</t>
  </si>
  <si>
    <t>computed by water-treatment-ro:sizing (inputs from brief)</t>
  </si>
  <si>
    <t>ro_permeate_production_m3_per_hr</t>
  </si>
  <si>
    <t>currency</t>
  </si>
  <si>
    <t>tool:water-storage:buffer-sizing</t>
  </si>
  <si>
    <t>computed by water-storage:buffer-sizing (inputs from brief)</t>
  </si>
  <si>
    <t>drain_transfer_pump_power_kw</t>
  </si>
  <si>
    <t>tool:process:pump-sizing</t>
  </si>
  <si>
    <t>computed by process:pump-sizing (inputs from brief)</t>
  </si>
  <si>
    <t>→ part: Discharge Isolation Valve (on Drain Transfer Pump) (on Drain Transfer Pump), Drain Transfer Pump, Non-Return Valve (on Drain Transfer Pump) (on Drain Transfer Pump), Suction Isolation Valve (on Drain Transfer Pump) (on Drain Transfer Pump)</t>
  </si>
  <si>
    <t>softener_vessel_mass_kg</t>
  </si>
  <si>
    <t>hand_watering_pump_motor_kw</t>
  </si>
  <si>
    <t>demand-coverage</t>
  </si>
  <si>
    <t>← hand_watering_pump_throughput_m3_h</t>
  </si>
  <si>
    <t>demand-coverage: hydraulic motor floor P = Q·ΔP/(36·η) @ ΔP = 2.5 bar, η = 0.62, from hand_watering_pump_throughput_m3_h = 25 m³/h (a sizing-tool value always wins when present)</t>
  </si>
  <si>
    <t>permeate_outlet_line_flow_m3_h</t>
  </si>
  <si>
    <t>← ro_permeate_capacity_m3_h</t>
  </si>
  <si>
    <t>demand-coverage: service-line duty for Permeate Outlet = ro_permeate_capacity_m3_h (8 m³/h) — the one delivered flow in this endpoint's distinctive-token family (the duty that serves/fills/drains it)</t>
  </si>
  <si>
    <t>drain_manifold_line_flow_m3_h</t>
  </si>
  <si>
    <t>← drain_transfer_pump_throughput_m3_h</t>
  </si>
  <si>
    <t>demand-coverage: service-line duty for Drain Manifold = drain_transfer_pump_throughput_m3_h (45 m³/h) — the one delivered flow in this endpoint's distinctive-token family (the duty that serves/fills/drains it)</t>
  </si>
  <si>
    <t>pressure_vessels_line_flow_m3_h</t>
  </si>
  <si>
    <t>← ro_high_pressure_pump_throughput_m3_h</t>
  </si>
  <si>
    <t>demand-coverage: service-line duty for Pressure Vessels = ro_high_pressure_pump_throughput_m3_h (11 m³/h) — the one delivered flow in this endpoint's distinctive-token family (the duty that serves/fills/drains it)</t>
  </si>
  <si>
    <t>permeate_manifold_line_flow_m3_h</t>
  </si>
  <si>
    <t>demand-coverage: service-line duty for Permeate Manifold = ro_permeate_capacity_m3_h (8 m³/h) — the one delivered flow in this endpoint's distinctive-token family (the duty that serves/fills/drains it)</t>
  </si>
  <si>
    <t>cleaning_tank_line_flow_m3_h</t>
  </si>
  <si>
    <t>← (cip one-charge rule)</t>
  </si>
  <si>
    <t>demand-coverage: CIP recirculation duty — one cleaning-solution charge (2 m³, the one-charge rule: ~15% of the plant hourly design flow bounded 0.5–2 m³) turned over in 30 min → 4 m³/h service-line flow for Cleaning Tank</t>
  </si>
  <si>
    <t>cip_tank_line_flow_m3_h</t>
  </si>
  <si>
    <t>demand-coverage: CIP recirculation duty — one cleaning-solution charge (2 m³, the one-charge rule: ~15% of the plant hourly design flow bounded 0.5–2 m³) turned over in 30 min → 4 m³/h service-line flow for Cip Tank</t>
  </si>
  <si>
    <t>volume_m3</t>
  </si>
  <si>
    <t>← water_storage_capacity_m3</t>
  </si>
  <si>
    <t>demand-coverage: DELIVERED storage total for brief metric water_storage_capacity_m3 = Fresh Water Tank 1× 40 m³ (contract quantity family) + Drain Water Tank 2× 40 m³ (contract quantity family) — sums the design's storage-vessel principals (capacity × qty), never the target echo, so a genuine shortfall stays visible</t>
  </si>
  <si>
    <t>fertigation_dosing_total_m3_h</t>
  </si>
  <si>
    <t>← fertigation_dosing_pump_throughput_m3_h</t>
  </si>
  <si>
    <t>demand-coverage: DELIVERED total = 45 m³/h per unit × 2 units (fertigation_dosing_pump_throughput_m3_h × fertigation_dosing_pump_count), corroborated by fertigation_dosing_capacity_m3_per_hr = 90 m³/h — the explicit system total, so no reader mistakes the per-unit figure for the delivery</t>
  </si>
  <si>
    <t>distribution_main_length_m</t>
  </si>
  <si>
    <t>← actuated_distribution_valve_count</t>
  </si>
  <si>
    <t>parametric — not routed (zoned-delivery distribution network, engineered allowance): delivery mains (department spines) = 2 group(s) × (10 branches × 7.7 m branch pitch + 30 m plant-room stand-off) = 214 m; DN125 at 45 m³/h ≤ 1.3 m/s (surge-limited delivery main on a cycling valve network)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</si>
  <si>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distribution_main_dn_mm</t>
  </si>
  <si>
    <t>parametric — not routed (zoned-delivery distribution network, engineered allowance): DN125 from d = √(4·Q/π·v) at the segment service velocity — see distribution_main_length_m for the run derivation</t>
  </si>
  <si>
    <t>distribution_riser_length_m</t>
  </si>
  <si>
    <t>parametric — not routed (zoned-delivery distribution network, engineered allowance): delivery risers = 40 risers (200 zones ÷ 5 levels) × 7 m (5 levels × 1.3 m tier pitch + 0.5 m) = 280 m; DN125 at 45 m³/h ≤ 1.3 m/s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</si>
  <si>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distribution_riser_dn_mm</t>
  </si>
  <si>
    <t>parametric — not routed (zoned-delivery distribution network, engineered allowance): DN125 from d = √(4·Q/π·v) at the segment service velocity — see distribution_riser_length_m for the run derivation</t>
  </si>
  <si>
    <t>distribution_zone_lateral_length_m</t>
  </si>
  <si>
    <t>parametric — not routed (zoned-delivery distribution network, engineered allowance): zone laterals = 200 zones × (30 positions/zone ÷ 2 rows × 2.76 m position pitch) = 200 × 41.4 m = 8280 m; DN75 at the 45 m³/h open-zone flood-fill duty ≤ 3.0 m/s (short-duration fill)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</si>
  <si>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distribution_zone_lateral_dn_mm</t>
  </si>
  <si>
    <t>parametric — not routed (zoned-delivery distribution network, engineered allowance): DN75 from d = √(4·Q/π·v) at the segment service velocity — see distribution_zone_lateral_length_m for the run derivation</t>
  </si>
  <si>
    <t>distribution_drain_riser_length_m</t>
  </si>
  <si>
    <t>parametric — not routed (zoned-delivery distribution network, engineered allowance): drain/return risers (mirror of the delivery grid) = 600 gravity drops (an outlet per 2 positions per level) × 7 m = 4200 m; DN110 gravity at 45 m³/h ≤ 1.4 m/s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</si>
  <si>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distribution_drain_riser_dn_mm</t>
  </si>
  <si>
    <t>parametric — not routed (zoned-delivery distribution network, engineered allowance): DN110 from d = √(4·Q/π·v) at the segment service velocity — see distribution_drain_riser_length_m for the run derivation</t>
  </si>
  <si>
    <t>distribution_drain_collection_length_m</t>
  </si>
  <si>
    <t>parametric — not routed (zoned-delivery distribution network, engineered allowance): drain collection lines = 2 floor lines/branch × 41.4 m × 20 branches = 1656 m; DN110 gravity ≤ 1.4 m/s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</si>
  <si>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distribution_drain_collection_dn_mm</t>
  </si>
  <si>
    <t>parametric — not routed (zoned-delivery distribution network, engineered allowance): DN110 from d = √(4·Q/π·v) at the segment service velocity — see distribution_drain_collection_length_m for the run derivation</t>
  </si>
  <si>
    <t>distribution_drain_main_length_m</t>
  </si>
  <si>
    <t>parametric — not routed (zoned-delivery distribution network, engineered allowance): main drain headers = the delivery-spine mirror (214 m); DN160 at 45 m³/h ≤ 0.8 m/s part-full gravity equivalent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</si>
  <si>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distribution_drain_main_dn_mm</t>
  </si>
  <si>
    <t>parametric — not routed (zoned-delivery distribution network, engineered allowance): DN160 from d = √(4·Q/π·v) at the segment service velocity — see distribution_drain_main_length_m for the run derivation</t>
  </si>
  <si>
    <t>distribution_network_length_km</t>
  </si>
  <si>
    <t>km</t>
  </si>
  <si>
    <t>parametric — not routed (zoned-delivery distribution network, engineered allowance): total zoned-distribution pipework = mains 214 + risers 280 + zone laterals 8280 + drain risers 4200 + drain collection 1656 + drain mains 214 = 14844 m = 14.844 km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</si>
  <si>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distribution_zone_kits</t>
  </si>
  <si>
    <t>parametric — not routed (zoned-delivery distribution network, engineered allowance): one zone connection kit (valve stub-in, unions, supports) per sectioning valve = 200</t>
  </si>
  <si>
    <t>distribution_position_connections</t>
  </si>
  <si>
    <t>parametric — not routed (zoned-delivery distribution network, engineered allowance): one delivery inlet stub + fitting per served position = 6000</t>
  </si>
  <si>
    <t>distribution_drain_outlet_connections</t>
  </si>
  <si>
    <t>parametric — not routed (zoned-delivery distribution network, engineered allowance): one gravity drain outlet per 2 served positions = 3000</t>
  </si>
  <si>
    <t>distribution_manifold_count</t>
  </si>
  <si>
    <t>parametric — not routed (zoned-delivery distribution network, engineered allowance): one distribution manifold station (delivery header, isolation + non-return valves, drain tie-in) per delivery group = 2</t>
  </si>
  <si>
    <t>→ part: Distribution Manifold</t>
  </si>
  <si>
    <t>distribution_manifold_throughput_m3_h</t>
  </si>
  <si>
    <t>parametric — not routed (zoned-delivery distribution network, engineered allowance): each distribution manifold passes its group's 45 m³/h delivery duty (irrigation_pump_flow_m3_h = 90 m³/h delivered ÷ 2 groups (the irrigation_demand_m3_per_hr = 45 m³/h per-group brief metric))</t>
  </si>
  <si>
    <t>hand_watering_ring_main_length_m</t>
  </si>
  <si>
    <t>parametric — not routed (zoned-delivery distribution network, engineered allowance): hand-watering ring main = 2 delivery group(s)/department(s) × 2 legs (ring out-and-return along the 107 m delivery spine, serving every branch head) = 428 m · 200 zones (actuated_distribution_valve_count) × 30 positions/zone (6000 served positions); 2 delivery group(s); 20 branch runs × 5 level(s); fill duty 45 m³/h/group from irrigation_pump_flow_m3_h = 90 m³/h delivered ÷ 2 groups (the irrigation_demand_m3_per_hr = 45 m³/h per-group brief metric)</t>
  </si>
  <si>
    <t>hand_watering_ring_main_dn_mm</t>
  </si>
  <si>
    <t>parametric — not routed (zoned-delivery distribution network, engineered allowance): DN90 from d = √(4·Q/π·v) at the 25 m³/h hand-watering duty (hand_watering_pump_throughput_m3_h) ≤ 1.3 m/s ring velocity — see hand_watering_ring_main_length_m for the run derivation</t>
  </si>
  <si>
    <t>hand_watering_riser_count</t>
  </si>
  <si>
    <t>parametric — not routed (zoned-delivery distribution network, engineered allowance): hand-watering tap risers (each a hand valve + quick connector) = 2 per branch × 20 branches + 2 per delivery group at the plant/irrigation room (4) = 44</t>
  </si>
  <si>
    <t>← connected_electrical_load_kw ✓ LIVE formula (Value is computed in-cell)</t>
  </si>
  <si>
    <t>main_incomer_breaker_frame_a  → part: Mains Incomer</t>
  </si>
  <si>
    <t>← main_incomer_breaker_a</t>
  </si>
  <si>
    <t>→ part: Mains Incomer</t>
  </si>
  <si>
    <t>softener_vessel_line_flow_m3_h</t>
  </si>
  <si>
    <t>demand-coverage: service-line duty for Softener Vessel = gac_softener_throughput_m3_h (14.5 m³/h) — the one delivered flow in this endpoint's distinctive-token family (the duty that serves/fills/drains it)</t>
  </si>
  <si>
    <t>drain_collection_sump_line_flow_m3_h</t>
  </si>
  <si>
    <t>demand-coverage: service-line duty for Drain Collection Sump = drain_transfer_pump_throughput_m3_h (45 m³/h) — the one delivered flow in this endpoint's distinctive-token family (the duty that serves/fills/drains it)</t>
  </si>
  <si>
    <t>interconnect_pipe_length_m</t>
  </si>
  <si>
    <t>derived</t>
  </si>
  <si>
    <t>route-manifest</t>
  </si>
  <si>
    <t>← brief</t>
  </si>
  <si>
    <t>measured routed fluid + thermal pipe length</t>
  </si>
  <si>
    <t>design-loop</t>
  </si>
  <si>
    <t>← total_supply_demand_kw ✓ LIVE formula (Value is computed in-cell)</t>
  </si>
  <si>
    <t>incomer kVA = next standard rating ≥ load × 1.25: 53 kW × 1.25 = 66.25 kVA → 75 kVA (standard ladder 50/75/100/160/250…; kVA ≥ kW for any power factor — the assumption-free adequacy basis the deterministic check verifies)</t>
  </si>
  <si>
    <t>Worked calculations — every value recomputed live + checked</t>
  </si>
  <si>
    <t>Yellow = editable input. Green col B = LIVE formula. 'Engine value' = the value the engine stored; Δ should be ~0 (inputs are display-rounded to 4 s.f.). Legacy calcs (no input map) are RECOMPUTED LIVE from their substitution and cross-checked against the engine value (col H verdict).</t>
  </si>
  <si>
    <t>Shared constants (referenced by formulas below)</t>
  </si>
  <si>
    <t>Constant</t>
  </si>
  <si>
    <t>rho</t>
  </si>
  <si>
    <t>process-fluid density (median of 3 engine worked-calc input(s))</t>
  </si>
  <si>
    <t>rho_air</t>
  </si>
  <si>
    <t>air density</t>
  </si>
  <si>
    <t>g</t>
  </si>
  <si>
    <t>m/s²</t>
  </si>
  <si>
    <t>gravity</t>
  </si>
  <si>
    <t>pi</t>
  </si>
  <si>
    <t>-</t>
  </si>
  <si>
    <t>pi (use PI() in formulas)</t>
  </si>
  <si>
    <t>mu</t>
  </si>
  <si>
    <t>Pa·s</t>
  </si>
  <si>
    <t>dynamic viscosity (water)</t>
  </si>
  <si>
    <t>Tool data-flow — where each tool's inputs came from and where its outputs go</t>
  </si>
  <si>
    <t>Each row: a tool OUTPUT, the INPUT it was computed from (— from), and where that value GOES (→ Consumed by). Status: USED/TRACED = the output flows on; ORPHANED = it appears nowhere downstream; STALE = the downstream value disagrees.</t>
  </si>
  <si>
    <t>Worked calculations — every value recomputed live + cross-checked</t>
  </si>
  <si>
    <t>Arc Flash IEEE 1584   ·   arc-flash:ieee-1584</t>
  </si>
  <si>
    <t>Calc / input</t>
  </si>
  <si>
    <t>Value (live)</t>
  </si>
  <si>
    <t>Formula (text)</t>
  </si>
  <si>
    <t>Engine value</t>
  </si>
  <si>
    <t>Δ</t>
  </si>
  <si>
    <t>Assumptions</t>
  </si>
  <si>
    <t>Incident energy (J/cm2 -&gt; cal/cm2)</t>
  </si>
  <si>
    <t>incident_energy_cal = incident_energy_j x cal_per_j</t>
  </si>
  <si>
    <t xml:space="preserve">  incident_energy_j</t>
  </si>
  <si>
    <t>J/cm2</t>
  </si>
  <si>
    <t xml:space="preserve">  cal_per_j</t>
  </si>
  <si>
    <t>cal/J</t>
  </si>
  <si>
    <t xml:space="preserve">  = result</t>
  </si>
  <si>
    <t>incident_energy_j x cal_per_j</t>
  </si>
  <si>
    <t>J/cm2 from the IEEE 1584-2018 empirical model (governing of full/reduced arcing-current cases)</t>
  </si>
  <si>
    <t>Control Systems PID Tuning   ·   control-systems:pid-tuning</t>
  </si>
  <si>
    <t>FOPTD time constant (Smith two-point fit)</t>
  </si>
  <si>
    <t>tau = 1.5 x (t63 - t28)</t>
  </si>
  <si>
    <t xml:space="preserve">  t63</t>
  </si>
  <si>
    <t>s</t>
  </si>
  <si>
    <t xml:space="preserve">  t28</t>
  </si>
  <si>
    <t>1.5 x (t63 - t28)</t>
  </si>
  <si>
    <t>Smith's method: 28.3% / 63.2% step-response times of the full plant</t>
  </si>
  <si>
    <t>FOPTD dead time</t>
  </si>
  <si>
    <t>theta = t63 - tau</t>
  </si>
  <si>
    <t xml:space="preserve">  tau</t>
  </si>
  <si>
    <t>↳ chained from $B$69</t>
  </si>
  <si>
    <t>t63 - tau</t>
  </si>
  <si>
    <t>dead time from the same two-point FOPTD fit</t>
  </si>
  <si>
    <t>Proportional gain (IMC PI rule)</t>
  </si>
  <si>
    <t>Kp = (1 / K) x tau / (L + theta)</t>
  </si>
  <si>
    <t xml:space="preserve">  K</t>
  </si>
  <si>
    <t xml:space="preserve">  theta</t>
  </si>
  <si>
    <t>↳ chained from $B$74</t>
  </si>
  <si>
    <t xml:space="preserve">  L</t>
  </si>
  <si>
    <t>(1 / K) x tau / (L + theta)</t>
  </si>
  <si>
    <t>IMC / Skogestad SIMC rule; L = the IMC lambda time-constant</t>
  </si>
  <si>
    <t>Integral gain</t>
  </si>
  <si>
    <t>Ki = Kp / Ti</t>
  </si>
  <si>
    <t xml:space="preserve">  Kp</t>
  </si>
  <si>
    <t>↳ chained from $B$81</t>
  </si>
  <si>
    <t xml:space="preserve">  Ti</t>
  </si>
  <si>
    <t>1/s</t>
  </si>
  <si>
    <t>Kp / Ti</t>
  </si>
  <si>
    <t>integral time Ti = 1.635 s from the IMC rule</t>
  </si>
  <si>
    <t>Electrical Main Feeder Cable Sizing (BS 7671)   ·   electrical:cable-sizing</t>
  </si>
  <si>
    <t>De-rated tabulated-current target</t>
  </si>
  <si>
    <t>I_t = I_b / (Ca x Cg)</t>
  </si>
  <si>
    <t xml:space="preserve">  I_b</t>
  </si>
  <si>
    <t xml:space="preserve">  Ca</t>
  </si>
  <si>
    <t xml:space="preserve">  Cg</t>
  </si>
  <si>
    <t>I_b / (Ca x Cg)</t>
  </si>
  <si>
    <t>design current basis: design current (given)</t>
  </si>
  <si>
    <t>Conductor cross-sectional area (standard selection)</t>
  </si>
  <si>
    <t>CSA = smallest standard with ampacity x n_parallel &gt;= I_t</t>
  </si>
  <si>
    <t xml:space="preserve">  I_t</t>
  </si>
  <si>
    <t>↳ chained from $B$95</t>
  </si>
  <si>
    <t xml:space="preserve">  n_parallel</t>
  </si>
  <si>
    <t>smallest standard with ampacity x n_parallel &gt;= I_t</t>
  </si>
  <si>
    <t>copper, 90 C thermosetting, Reference Method C (clipped direct)</t>
  </si>
  <si>
    <t>Volt drop</t>
  </si>
  <si>
    <t>Vd = (mV/A/m) x I_b x L / (1000 x n_parallel)</t>
  </si>
  <si>
    <t xml:space="preserve">  mV/A/m</t>
  </si>
  <si>
    <t>mV/A/m</t>
  </si>
  <si>
    <t>V</t>
  </si>
  <si>
    <t>(mV/A/m) x I_b x L / (1000 x n_parallel)</t>
  </si>
  <si>
    <t>mV/A/m for 25 mm2 copper (BS 7671 Appendix 4)</t>
  </si>
  <si>
    <t>Volt drop as percentage of nominal</t>
  </si>
  <si>
    <t>Vd_pct = 100 x Vd / U_nom</t>
  </si>
  <si>
    <t xml:space="preserve">  Vd</t>
  </si>
  <si>
    <t>↳ chained from $B$107</t>
  </si>
  <si>
    <t xml:space="preserve">  U_nom</t>
  </si>
  <si>
    <t>100 x Vd / U_nom</t>
  </si>
  <si>
    <t>BS 7671 §525 advisory ceiling 3.0% (within limit)</t>
  </si>
  <si>
    <t>Electrical Distribution Transformer Sizing   ·   electrical:transformer-sizing</t>
  </si>
  <si>
    <t>Apparent power demand (informational)</t>
  </si>
  <si>
    <t>S_load = P / pf</t>
  </si>
  <si>
    <t xml:space="preserve">  P</t>
  </si>
  <si>
    <t xml:space="preserve">  pf</t>
  </si>
  <si>
    <t>P / pf</t>
  </si>
  <si>
    <t>informational only — the nameplate mint below is pf-free (kVA &gt;= kW at any pf)</t>
  </si>
  <si>
    <t>Required rating (one-mint incomer rule)</t>
  </si>
  <si>
    <t>S_req = P x (1 + headroom)</t>
  </si>
  <si>
    <t xml:space="preserve">  headroom</t>
  </si>
  <si>
    <t>P x (1 + headroom)</t>
  </si>
  <si>
    <t>kVA &gt;= load x 1.25 — assumption-free adequacy (kVA &gt;= kW at any power factor)</t>
  </si>
  <si>
    <t>Transformer nameplate (next standard rating)</t>
  </si>
  <si>
    <t>S_rated = ceil_to_standard(S_req)</t>
  </si>
  <si>
    <t xml:space="preserve">  S_req</t>
  </si>
  <si>
    <t>↳ chained from $B$125</t>
  </si>
  <si>
    <t>ceil_to_standard(S_req)</t>
  </si>
  <si>
    <t>smallest standard preferred kVA rating &gt;= required (IEC 60076 series + the 75 kVA trade step; ladder 25/50/75/100/160/250…)</t>
  </si>
  <si>
    <t>Primary line current</t>
  </si>
  <si>
    <t>I = S x 1000 / (sqrt(3) x U_LL)</t>
  </si>
  <si>
    <t xml:space="preserve">  S</t>
  </si>
  <si>
    <t xml:space="preserve">  U_LL</t>
  </si>
  <si>
    <t>S x 1000 / (sqrt(3) x U_LL)</t>
  </si>
  <si>
    <t>three-phase line current (line-to-line voltage)</t>
  </si>
  <si>
    <t>Secondary line current</t>
  </si>
  <si>
    <t>Liquid Phase GAC Filter Sizing   ·   gac-filter:liquid-phase-sizing</t>
  </si>
  <si>
    <t>Vessel Volume</t>
  </si>
  <si>
    <t>Q * (EBCT / 60)</t>
  </si>
  <si>
    <t xml:space="preserve">  Q</t>
  </si>
  <si>
    <t xml:space="preserve">  EBCT</t>
  </si>
  <si>
    <t>Cross-sectional Area</t>
  </si>
  <si>
    <t>Q / HLR</t>
  </si>
  <si>
    <t xml:space="preserve">  HLR</t>
  </si>
  <si>
    <t>Vessel Diameter</t>
  </si>
  <si>
    <t>sqrt(4 * A / pi)</t>
  </si>
  <si>
    <t xml:space="preserve">  A</t>
  </si>
  <si>
    <t xml:space="preserve">  pi</t>
  </si>
  <si>
    <t>↳ chained from $B$9</t>
  </si>
  <si>
    <t>Ion Exchange Softener Sizing   ·   ion-exchange:softener-sizing</t>
  </si>
  <si>
    <t>Hardness Removed</t>
  </si>
  <si>
    <t>H_in - H_out</t>
  </si>
  <si>
    <t xml:space="preserve">  H_in</t>
  </si>
  <si>
    <t xml:space="preserve">  H_out</t>
  </si>
  <si>
    <t>dH</t>
  </si>
  <si>
    <t>Hardness Load</t>
  </si>
  <si>
    <t>Q * H_removed * EQ_PER_M3_PER_DH * t_regen</t>
  </si>
  <si>
    <t xml:space="preserve">  H_removed</t>
  </si>
  <si>
    <t xml:space="preserve">  EQ_PER_M3_PER_DH</t>
  </si>
  <si>
    <t xml:space="preserve">  t_regen</t>
  </si>
  <si>
    <t>eq</t>
  </si>
  <si>
    <t>Resin Volume  [build-verified]</t>
  </si>
  <si>
    <t>Hardness Load / RESIN_CAPACITY</t>
  </si>
  <si>
    <t>formula</t>
  </si>
  <si>
    <t>substitution</t>
  </si>
  <si>
    <t>369.59 / 1200.0</t>
  </si>
  <si>
    <t>result</t>
  </si>
  <si>
    <t>Vessel Volume  [build-verified]</t>
  </si>
  <si>
    <t>Resin Volume * VESSEL_FREEBOARD_FACTOR</t>
  </si>
  <si>
    <t>0.3080 * 1.5</t>
  </si>
  <si>
    <t>Salt Consumption  [build-verified]</t>
  </si>
  <si>
    <t>Resin Volume * SALT_DOSAGE</t>
  </si>
  <si>
    <t>0.3080 * 150.0</t>
  </si>
  <si>
    <t>Ebb and Flow Irrigation Demand   ·   irrigation:ebb-flow-demand</t>
  </si>
  <si>
    <t>Flood Volume</t>
  </si>
  <si>
    <t>Container_Count * Area_per_Container * Flood_Depth</t>
  </si>
  <si>
    <t xml:space="preserve">  Container_Count</t>
  </si>
  <si>
    <t xml:space="preserve">  Area_per_Container</t>
  </si>
  <si>
    <t xml:space="preserve">  Flood_Depth</t>
  </si>
  <si>
    <t>Peak Irrigation Flow  [build-verified]</t>
  </si>
  <si>
    <t>Flood Volume / Flood_Time</t>
  </si>
  <si>
    <t>600.0000 / 0.5</t>
  </si>
  <si>
    <t>Drain Collection Sump Volume  [build-verified]</t>
  </si>
  <si>
    <t>Flood Volume * Drain_Fraction</t>
  </si>
  <si>
    <t>600.0000 * 1.0</t>
  </si>
  <si>
    <t>Irrigation Pump Sizing   ·   irrigation:pump-sizing</t>
  </si>
  <si>
    <t>Total system flow</t>
  </si>
  <si>
    <t>flow_lpm = (demand_m3_h x 1000) / 60</t>
  </si>
  <si>
    <t xml:space="preserve">  demand_m3_h</t>
  </si>
  <si>
    <t>L/min</t>
  </si>
  <si>
    <t>(demand_m3_h x 1000) / 60</t>
  </si>
  <si>
    <t>stated peak irrigation demand governs: 90.0 m3/h &gt;= emitter-summed flow 6000 x 2.0 L/h = 12.0 m3/h (pump never undersized vs the demand)</t>
  </si>
  <si>
    <t>Total pump head</t>
  </si>
  <si>
    <t>head = static_head + friction_head + emitter_head</t>
  </si>
  <si>
    <t xml:space="preserve">  static_head</t>
  </si>
  <si>
    <t xml:space="preserve">  friction_head</t>
  </si>
  <si>
    <t xml:space="preserve">  emitter_head</t>
  </si>
  <si>
    <t>static_head + friction_head + emitter_head</t>
  </si>
  <si>
    <t>friction_head from Hazen-Williams (C=150 PVC)</t>
  </si>
  <si>
    <t>Pump hydraulic power</t>
  </si>
  <si>
    <t>P_hyd = 1000 x 9.81 x (Q_m3h / 3600) x head</t>
  </si>
  <si>
    <t xml:space="preserve">  Q_m3h</t>
  </si>
  <si>
    <t xml:space="preserve">  head</t>
  </si>
  <si>
    <t>↳ chained from $B$219</t>
  </si>
  <si>
    <t>W</t>
  </si>
  <si>
    <t>1000 x 9.81 x (Q_m3h / 3600) x head</t>
  </si>
  <si>
    <t>P = rho x g x Q x H, water rho 1000 kg/m3, g 9.81 m/s2</t>
  </si>
  <si>
    <t>Pump shaft power</t>
  </si>
  <si>
    <t>P_shaft = P_hyd / pump_eff</t>
  </si>
  <si>
    <t xml:space="preserve">  P_hyd</t>
  </si>
  <si>
    <t>↳ chained from $B$224</t>
  </si>
  <si>
    <t xml:space="preserve">  pump_eff</t>
  </si>
  <si>
    <t>P_hyd / pump_eff</t>
  </si>
  <si>
    <t>drip pump efficiency 0.65 at duty point</t>
  </si>
  <si>
    <t>Motor input power</t>
  </si>
  <si>
    <t>P_motor = P_shaft / motor_eff</t>
  </si>
  <si>
    <t xml:space="preserve">  P_shaft</t>
  </si>
  <si>
    <t>↳ chained from $B$229</t>
  </si>
  <si>
    <t xml:space="preserve">  motor_eff</t>
  </si>
  <si>
    <t>P_shaft / motor_eff</t>
  </si>
  <si>
    <t>Pipe velocity</t>
  </si>
  <si>
    <t>velocity = (Q_m3h / 3600) / (pipe_area_mm2 / 1000000)</t>
  </si>
  <si>
    <t xml:space="preserve">  pipe_area_mm2</t>
  </si>
  <si>
    <t>(Q_m3h / 3600) / (pipe_area_mm2 / 1000000)</t>
  </si>
  <si>
    <t>keep &lt; 2.5 m/s to avoid erosion / water hammer</t>
  </si>
  <si>
    <t>Mass Budget Aggregator   ·   mass-aggregator:envelope-check</t>
  </si>
  <si>
    <t>Total system mass</t>
  </si>
  <si>
    <t>M_total = M_cells + M_transformer + M_pcs + M_racks + M_tare + M_components</t>
  </si>
  <si>
    <t xml:space="preserve">  M_cells</t>
  </si>
  <si>
    <t xml:space="preserve">  M_transformer</t>
  </si>
  <si>
    <t xml:space="preserve">  M_pcs</t>
  </si>
  <si>
    <t xml:space="preserve">  M_racks</t>
  </si>
  <si>
    <t xml:space="preserve">  M_tare</t>
  </si>
  <si>
    <t xml:space="preserve">  M_components</t>
  </si>
  <si>
    <t>M_cells + M_transformer + M_pcs + M_racks + M_tare + M_components</t>
  </si>
  <si>
    <t>M_racks = rack_count x rack mass each = 0 x 0 kg</t>
  </si>
  <si>
    <t>Mass budget utilisation</t>
  </si>
  <si>
    <t>U = M_total / M_envelope x 100</t>
  </si>
  <si>
    <t xml:space="preserve">  M_total</t>
  </si>
  <si>
    <t>↳ chained from $B$251</t>
  </si>
  <si>
    <t xml:space="preserve">  M_envelope</t>
  </si>
  <si>
    <t>M_total / M_envelope x 100</t>
  </si>
  <si>
    <t>brief mass envelope from max_mass_kg_envelope</t>
  </si>
  <si>
    <t>Mass budget breach (positive = over the envelope)</t>
  </si>
  <si>
    <t>B = M_total - M_envelope</t>
  </si>
  <si>
    <t>M_total - M_envelope</t>
  </si>
  <si>
    <t>Recommended container count</t>
  </si>
  <si>
    <t>N = ceil(M_total / M_envelope)</t>
  </si>
  <si>
    <t>ceil(M_total / M_envelope)</t>
  </si>
  <si>
    <t>round up: any breach forces an additional road-transportable container</t>
  </si>
  <si>
    <t>Cloth/Screen Filter Sizing   ·   mechanical-filtration:cloth-screen</t>
  </si>
  <si>
    <t>Hydraulic Loading Rate</t>
  </si>
  <si>
    <t>4.0 * (micron^0.4) * (20.0 / TSS)^0.5</t>
  </si>
  <si>
    <t xml:space="preserve">  micron</t>
  </si>
  <si>
    <t xml:space="preserve">  TSS</t>
  </si>
  <si>
    <t>Cloth Filter Area</t>
  </si>
  <si>
    <t>pH Titration Sizing   ·   ph-titration:sizing</t>
  </si>
  <si>
    <t>Moles of H+ needed for initial bolus</t>
  </si>
  <si>
    <t>mol_H = (buffer_cap / 1000) x delta_pH x volume_l</t>
  </si>
  <si>
    <t xml:space="preserve">  buffer_cap</t>
  </si>
  <si>
    <t>meq/L</t>
  </si>
  <si>
    <t xml:space="preserve">  delta_pH</t>
  </si>
  <si>
    <t xml:space="preserve">  volume_l</t>
  </si>
  <si>
    <t>mol</t>
  </si>
  <si>
    <t>(buffer_cap / 1000) x delta_pH x volume_l</t>
  </si>
  <si>
    <t>buffer_cap in meq/L; divide by 1000 to convert meq to eq (= mol H+ for monoprotic)</t>
  </si>
  <si>
    <t>Initial bolus volume of acid/base</t>
  </si>
  <si>
    <t>initial_dose_ml = mol_H / acid_conc x 1000</t>
  </si>
  <si>
    <t xml:space="preserve">  mol_H</t>
  </si>
  <si>
    <t>↳ chained from $B$288</t>
  </si>
  <si>
    <t xml:space="preserve">  acid_conc</t>
  </si>
  <si>
    <t>mol/L</t>
  </si>
  <si>
    <t>mL</t>
  </si>
  <si>
    <t>mol_H / acid_conc x 1000</t>
  </si>
  <si>
    <t>Volume = moles / concentration; x 1000 converts L to mL</t>
  </si>
  <si>
    <t>CO2 production rate in moles per hour</t>
  </si>
  <si>
    <t>co2_mol_h = co2_g_h / 44</t>
  </si>
  <si>
    <t xml:space="preserve">  co2_g_h</t>
  </si>
  <si>
    <t>g/h</t>
  </si>
  <si>
    <t>mol/h</t>
  </si>
  <si>
    <t>co2_g_h / 44</t>
  </si>
  <si>
    <t>Molar mass of CO2 = 44 g/mol</t>
  </si>
  <si>
    <t>H+ generation rate from CO2 dissolution</t>
  </si>
  <si>
    <t>H_plus_mol_h = co2_mol_h x 0.30</t>
  </si>
  <si>
    <t xml:space="preserve">  co2_mol_h</t>
  </si>
  <si>
    <t>↳ chained from $B$297</t>
  </si>
  <si>
    <t>co2_mol_h x 0.30</t>
  </si>
  <si>
    <t>~30% of dissolved CO2 forms H+ in bicarbonate-buffered medium at physiological pH</t>
  </si>
  <si>
    <t>Uncontrolled pH swing per minute</t>
  </si>
  <si>
    <t>dpH_per_min = (H_plus_mol_h / 60 x 1000) / (buffer_cap x volume_l)</t>
  </si>
  <si>
    <t xml:space="preserve">  H_plus_mol_h</t>
  </si>
  <si>
    <t>↳ chained from $B$301</t>
  </si>
  <si>
    <t>pH/min</t>
  </si>
  <si>
    <t>(H_plus_mol_h / 60 x 1000) / (buffer_cap x volume_l)</t>
  </si>
  <si>
    <t>H+ rate x 1000 converts mol to mmol (= meq for monoprotic acid)</t>
  </si>
  <si>
    <t>Pressure Vessel Wall Design (hoop-stress sizing)   ·   pressure-vessel:design</t>
  </si>
  <si>
    <t>Internal design pressure</t>
  </si>
  <si>
    <t>p_design_mpa = p_design_barg x 0.1</t>
  </si>
  <si>
    <t xml:space="preserve">  p_design_barg</t>
  </si>
  <si>
    <t>barg</t>
  </si>
  <si>
    <t>MPa</t>
  </si>
  <si>
    <t>p_design_barg x 0.1</t>
  </si>
  <si>
    <t>internal gauge design pressure of the process vessel</t>
  </si>
  <si>
    <t>Shell minimum thickness (hoop stress, internal pressure)</t>
  </si>
  <si>
    <t>t = p_design x D / (2 x S x E - 1.2 x p_design) + corr</t>
  </si>
  <si>
    <t xml:space="preserve">  p_design</t>
  </si>
  <si>
    <t xml:space="preserve">  D</t>
  </si>
  <si>
    <t xml:space="preserve">  E</t>
  </si>
  <si>
    <t xml:space="preserve">  corr</t>
  </si>
  <si>
    <t>p_design x D / (2 x S x E - 1.2 x p_design) + corr</t>
  </si>
  <si>
    <t>ASME VIII Div.1 UG-27 circumferential-stress form (BS EN 13445 equivalent)</t>
  </si>
  <si>
    <t>Hoop stress at adopted wall (internal pressure)</t>
  </si>
  <si>
    <t>sigma_hoop = p_design x D / (2 x t)</t>
  </si>
  <si>
    <t xml:space="preserve">  t</t>
  </si>
  <si>
    <t>↳ chained from $B$322</t>
  </si>
  <si>
    <t>p_design x D / (2 x t)</t>
  </si>
  <si>
    <t>thin-wall cylinder under internal pressure</t>
  </si>
  <si>
    <t>Yield safety factor (hoop-governing, internal pressure)</t>
  </si>
  <si>
    <t>SF_yield = yield_mpa / sigma_hoop</t>
  </si>
  <si>
    <t xml:space="preserve">  yield_mpa</t>
  </si>
  <si>
    <t xml:space="preserve">  sigma_hoop</t>
  </si>
  <si>
    <t>↳ chained from $B$328</t>
  </si>
  <si>
    <t>yield_mpa / sigma_hoop</t>
  </si>
  <si>
    <t>material steel_316L; yield from datasheet/standard</t>
  </si>
  <si>
    <t>Cylinder wall mass</t>
  </si>
  <si>
    <t>mass = pi x (r_outer^2 - r_inner^2) x length_mm x density / 1e9</t>
  </si>
  <si>
    <t xml:space="preserve">  r_outer</t>
  </si>
  <si>
    <t xml:space="preserve">  r_inner</t>
  </si>
  <si>
    <t xml:space="preserve">  length_mm</t>
  </si>
  <si>
    <t xml:space="preserve">  density</t>
  </si>
  <si>
    <t>pi x (r_outer^2 - r_inner^2) x length_mm x density / 1e9</t>
  </si>
  <si>
    <t>material steel_316L</t>
  </si>
  <si>
    <t>Head mass (2 flat-plate heads)</t>
  </si>
  <si>
    <t>mass = 2 x pi x r_outer^2 x t x density / 1e9</t>
  </si>
  <si>
    <t>2 x pi x r_outer^2 x t x density / 1e9</t>
  </si>
  <si>
    <t>flat-head approximation (conservative vs torispherical); 2 heads</t>
  </si>
  <si>
    <t>Total vessel shell mass</t>
  </si>
  <si>
    <t>total_mass = mass_cylinder + mass_heads</t>
  </si>
  <si>
    <t xml:space="preserve">  mass_cylinder</t>
  </si>
  <si>
    <t xml:space="preserve">  mass_heads</t>
  </si>
  <si>
    <t>mass_cylinder + mass_heads</t>
  </si>
  <si>
    <t>Process Centrifugal Pump Sizing   ·   process:pump-sizing</t>
  </si>
  <si>
    <t>Per-pump duty flow</t>
  </si>
  <si>
    <t>Q_pump = Q_total / N_parallel</t>
  </si>
  <si>
    <t xml:space="preserve">  Q_total</t>
  </si>
  <si>
    <t xml:space="preserve">  N_parallel</t>
  </si>
  <si>
    <t>Q_total / N_parallel</t>
  </si>
  <si>
    <t>2 parallel pump trains share the duty; ONE pump is sized on its share (per-pump x 2 = the loop total)</t>
  </si>
  <si>
    <t>V = (Q_m3h / 3600) / (pi/4 x D^2)</t>
  </si>
  <si>
    <t>(Q_m3h / 3600) / (pi/4 x D^2)</t>
  </si>
  <si>
    <t>Q_m3h / 3600 converts m3/h to m3/s</t>
  </si>
  <si>
    <t>Reynolds number</t>
  </si>
  <si>
    <t>Re = rho x V x D / mu</t>
  </si>
  <si>
    <t xml:space="preserve">  rho</t>
  </si>
  <si>
    <t>↳ chained from $B$6</t>
  </si>
  <si>
    <t xml:space="preserve">  V</t>
  </si>
  <si>
    <t>↳ chained from $B$364</t>
  </si>
  <si>
    <t xml:space="preserve">  mu</t>
  </si>
  <si>
    <t>Pa.s</t>
  </si>
  <si>
    <t>↳ chained from $B$10</t>
  </si>
  <si>
    <t>rho x V x D / mu</t>
  </si>
  <si>
    <t>Newtonian fluid; pipe internal bore</t>
  </si>
  <si>
    <t>Darcy friction factor (Swamee-Jain)</t>
  </si>
  <si>
    <t>f = 0.25 / (log10(rel_rough/3.7 + 5.74/Re^0.9))^2</t>
  </si>
  <si>
    <t xml:space="preserve">  rel_rough</t>
  </si>
  <si>
    <t xml:space="preserve">  Re</t>
  </si>
  <si>
    <t>↳ chained from $B$371</t>
  </si>
  <si>
    <t>0.25 / (log10(rel_rough/3.7 + 5.74/Re^0.9))^2</t>
  </si>
  <si>
    <t>Swamee-Jain explicit Colebrook (turbulent)</t>
  </si>
  <si>
    <t>Pipe friction head (Darcy-Weisbach)</t>
  </si>
  <si>
    <t>H_friction = f x (L_eff / D) x V^2 / (2 x g)</t>
  </si>
  <si>
    <t xml:space="preserve">  f</t>
  </si>
  <si>
    <t>↳ chained from $B$376</t>
  </si>
  <si>
    <t xml:space="preserve">  L_eff</t>
  </si>
  <si>
    <t xml:space="preserve">  g</t>
  </si>
  <si>
    <t>↳ chained from $B$8</t>
  </si>
  <si>
    <t>f x (L_eff / D) x V^2 / (2 x g)</t>
  </si>
  <si>
    <t>Darcy-Weisbach pipe friction (chemical-engineering standard)</t>
  </si>
  <si>
    <t>Process backpressure head</t>
  </si>
  <si>
    <t>H_process = backpressure_kpa x 1000 / (rho x g)</t>
  </si>
  <si>
    <t xml:space="preserve">  backpressure_kpa</t>
  </si>
  <si>
    <t>kPa</t>
  </si>
  <si>
    <t>backpressure_kpa x 1000 / (rho x g)</t>
  </si>
  <si>
    <t>column packing + heat exchangers + filter pressure drop</t>
  </si>
  <si>
    <t>Pump total dynamic head</t>
  </si>
  <si>
    <t>H_total = authoritative TDH (override)</t>
  </si>
  <si>
    <t xml:space="preserve">  H_total_override</t>
  </si>
  <si>
    <t>authoritative TDH (override)</t>
  </si>
  <si>
    <t>caller-supplied total dynamic head (static+process+friction pre-summed upstream)</t>
  </si>
  <si>
    <t>P_hyd = rho x g x (Q_m3h / 3600) x H_total</t>
  </si>
  <si>
    <t xml:space="preserve">  H_total</t>
  </si>
  <si>
    <t>↳ chained from $B$394</t>
  </si>
  <si>
    <t>rho x g x (Q_m3h / 3600) x H_total</t>
  </si>
  <si>
    <t>P = rho g Q H</t>
  </si>
  <si>
    <t>↳ chained from $B$401</t>
  </si>
  <si>
    <t>centrifugal pump efficiency 0.75 at duty point</t>
  </si>
  <si>
    <t>↳ chained from $B$406</t>
  </si>
  <si>
    <t>motor efficiency 0.85; recommended frame = 3.0 kW (next standard size with 15% margin)</t>
  </si>
  <si>
    <t>Water Buffer Tank Sizing   ·   water-storage:buffer-sizing</t>
  </si>
  <si>
    <t>Fresh Water Storage</t>
  </si>
  <si>
    <t>(irrigation_demand - ro_production) * peak_duration * safety_factor</t>
  </si>
  <si>
    <t xml:space="preserve">  irrigation_demand</t>
  </si>
  <si>
    <t xml:space="preserve">  ro_production</t>
  </si>
  <si>
    <t xml:space="preserve">  peak_duration</t>
  </si>
  <si>
    <t xml:space="preserve">  safety_factor</t>
  </si>
  <si>
    <t>Total Drain Water Storage</t>
  </si>
  <si>
    <t>(irrigation_demand * drain_fraction) * peak_duration * safety_factor</t>
  </si>
  <si>
    <t xml:space="preserve">  drain_fraction</t>
  </si>
  <si>
    <t>Water Treatment RO Sizing   ·   water-treatment-ro:sizing</t>
  </si>
  <si>
    <t>Permeate flow rate</t>
  </si>
  <si>
    <t>q_permeate = daily_demand / op_hours</t>
  </si>
  <si>
    <t xml:space="preserve">  daily_demand</t>
  </si>
  <si>
    <t>L/day</t>
  </si>
  <si>
    <t xml:space="preserve">  op_hours</t>
  </si>
  <si>
    <t>h/day</t>
  </si>
  <si>
    <t>L/h</t>
  </si>
  <si>
    <t>daily_demand / op_hours</t>
  </si>
  <si>
    <t>system operates at constant flow rate during operating hours</t>
  </si>
  <si>
    <t>Feed flow rate (accounting for recovery losses)</t>
  </si>
  <si>
    <t>q_feed = q_permeate / recovery</t>
  </si>
  <si>
    <t xml:space="preserve">  q_permeate</t>
  </si>
  <si>
    <t>↳ chained from $B$436</t>
  </si>
  <si>
    <t xml:space="preserve">  recovery</t>
  </si>
  <si>
    <t>q_permeate / recovery</t>
  </si>
  <si>
    <t>recovery target 75.0% per input</t>
  </si>
  <si>
    <t>Reject (concentrate) flow rate</t>
  </si>
  <si>
    <t>q_reject = q_feed - q_permeate</t>
  </si>
  <si>
    <t xml:space="preserve">  q_feed</t>
  </si>
  <si>
    <t>↳ chained from $B$441</t>
  </si>
  <si>
    <t>q_feed - q_permeate</t>
  </si>
  <si>
    <t>mass balance: feed = permeate + reject</t>
  </si>
  <si>
    <t>Required membrane area</t>
  </si>
  <si>
    <t>mem_area = q_permeate / flux_lmh</t>
  </si>
  <si>
    <t xml:space="preserve">  flux_lmh</t>
  </si>
  <si>
    <t>L/m2/h</t>
  </si>
  <si>
    <t>q_permeate / flux_lmh</t>
  </si>
  <si>
    <t>flux 22.0 L/m2/h for bw30_brackish membrane (DOW FILMTEC technical manual)</t>
  </si>
  <si>
    <t>Hydraulic pump power</t>
  </si>
  <si>
    <t>hyd_power = (p_op x q_feed_m3h / 36) / pump_eff</t>
  </si>
  <si>
    <t xml:space="preserve">  p_op</t>
  </si>
  <si>
    <t xml:space="preserve">  q_feed_m3h</t>
  </si>
  <si>
    <t>(p_op x q_feed_m3h / 36) / pump_eff</t>
  </si>
  <si>
    <t>1 bar x 1 m3/h / 36 = 0.02778 kW hydraulic (unit conversion)</t>
  </si>
  <si>
    <t>Specific energy consumption</t>
  </si>
  <si>
    <t>energy = hyd_power / (q_permeate / 1000)</t>
  </si>
  <si>
    <t xml:space="preserve">  hyd_power</t>
  </si>
  <si>
    <t>↳ chained from $B$457</t>
  </si>
  <si>
    <t>kWh/m3</t>
  </si>
  <si>
    <t>hyd_power / (q_permeate / 1000)</t>
  </si>
  <si>
    <t>q_permeate converted L/h to m3/h by dividing 1000</t>
  </si>
  <si>
    <t>Inputs &amp; Assumptions — the economics model drivers</t>
  </si>
  <si>
    <t>EVERY yellow cell is editable. Engine-derived values are labelled 'from engine'; market defaults are grounded + cited in Basis. The Economics &amp; Scenarios tabs reference these cells with LIVE formulas — edit one driver and the whole model + every chart recomputes.</t>
  </si>
  <si>
    <t>Basis / source</t>
  </si>
  <si>
    <t>Output volume (output)</t>
  </si>
  <si>
    <t>from engine · primary output metric</t>
  </si>
  <si>
    <t>UNVERIFIED — no per-unit market price is derivable for this class. Enter a real sale price to make the economics tabs meaningful; until then revenue / EBITDA / IRR are not valid.</t>
  </si>
  <si>
    <t>consumable classes derived from the plant's own process/media BoM + contract lines — what it ACTUALLY consumes (not a 'feedstock'); enter a real £ per output unit to price them (0 until priced — meanwhile carried inside 'Other opex')</t>
  </si>
  <si>
    <t>consumable units per output unit (multiplies the consumables price above); 0 until priced</t>
  </si>
  <si>
    <t>assumed — UK industrial electricity ~£0.15/kWh (edit to your tariff)</t>
  </si>
  <si>
    <t>Connected electrical load</t>
  </si>
  <si>
    <t>from engine · connected_electrical_load_kw</t>
  </si>
  <si>
    <t>assumed average/peak electrical load factor — supply a class duty-cycle to refine</t>
  </si>
  <si>
    <t>assumed — typical process-plant annual operating hours (supply a class duty-cycle to refine)</t>
  </si>
  <si>
    <t>Design process flow (peak)</t>
  </si>
  <si>
    <t>from engine · largest process-flow quantity (the PEAK simultaneous demand); the Financial model's annual-delivered-volume divisor references this cell LIVE — edit it and the levelised £/m³ recomputes</t>
  </si>
  <si>
    <t>multiplies the design flow above · assumed — the design flow is the PEAK simultaneous demand, so annual delivered volume = design flow × 8760 h × this factor. 0.25 models an intermittent, demand-driven duty (sequenced valve sections / batch draw-off deliver ≈25% of the peak run continuously); set ≈0.9 for a continuous process duty, or edit to metered annual demand ÷ (design flow × 8760). Drives the levelised £/m³ on the Financial model — the electrical load factor above sizes the ENERGY line only.</t>
  </si>
  <si>
    <t>assumed — supply a real figure. No operating headcount signal, so this is defaulted as an UNMANNED / skid plant: ~£25,000/yr for remote monitoring + periodic maintenance visits (NOT a % of capex). Enter your real annual labour cost, or supply an operating headcount.</t>
  </si>
  <si>
    <t>assumed — 2% of installed capex/yr (consumables, insurance, overhead; supply a class opex model to refine)</t>
  </si>
  <si>
    <t>Installed capex</t>
  </si>
  <si>
    <t>from engine · costStack.installed_asp_gbp (BoM + assembly + install)</t>
  </si>
  <si>
    <t>asset economic life for the NPV horizon</t>
  </si>
  <si>
    <t>Part names — the master list</t>
  </si>
  <si>
    <t>THE single source of every part's name. Each name is typed ONCE here; every other tab (BoM, Cost, Spec sheets, Connection trace, schedules) REFERENCES these cells, never repeats the string — edit a name here and it updates across the whole workbook. Select a Name cell and use Formulas ▸ Trace Dependents to see everywhere it is used. One row per principal part; sub-components are listed under their parent on the BoM. MPN / status live-looks-up this tag's manufacturer part number (or its honest TBD status) from the Bill of Materials ledger.</t>
  </si>
  <si>
    <t>Name</t>
  </si>
  <si>
    <t>Requirement (as stated)</t>
  </si>
  <si>
    <t>X-142</t>
  </si>
  <si>
    <t>X-141</t>
  </si>
  <si>
    <t>X-137</t>
  </si>
  <si>
    <t>I-109</t>
  </si>
  <si>
    <t>TK-102 / TK-101</t>
  </si>
  <si>
    <t>Cip Tank · 1.4 m dia x 1.3 m  ·  MERGED ROWS (synonym): 'Cleaning Tank' (TK-102) + 'Cip Tank' (TK-101)</t>
  </si>
  <si>
    <t>X-107 / X-110</t>
  </si>
  <si>
    <t>Circuit Breaker  ·  MERGED ROWS (singular/plural): 'Circuit Breakers' (X-107) + 'Circuit Breaker' (X-110)</t>
  </si>
  <si>
    <t>X-113</t>
  </si>
  <si>
    <t>X-105</t>
  </si>
  <si>
    <t>I-104</t>
  </si>
  <si>
    <t>X-109</t>
  </si>
  <si>
    <t>X-119</t>
  </si>
  <si>
    <t>X-136 / X-139</t>
  </si>
  <si>
    <t>Emergency Stop</t>
  </si>
  <si>
    <t>Emergency Stop  ·  MERGED ROWS (synonym): 'Emergency Stop Button' (X-136) + 'Emergency Stop' (X-139)</t>
  </si>
  <si>
    <t>I-114</t>
  </si>
  <si>
    <t>X-117</t>
  </si>
  <si>
    <t>X-131</t>
  </si>
  <si>
    <t>X-126</t>
  </si>
  <si>
    <t>I-105 / X-127</t>
  </si>
  <si>
    <t>Flow Meter  ·  MERGED ROWS (singular/plural): 'Flow Meter' (I-105) + 'Flow Meters' (X-127)</t>
  </si>
  <si>
    <t>F-3</t>
  </si>
  <si>
    <t>Grp Membrane Housings</t>
  </si>
  <si>
    <t>X-149</t>
  </si>
  <si>
    <t>Hand watering — ring main to both departments</t>
  </si>
  <si>
    <t>I-112</t>
  </si>
  <si>
    <t>X-120</t>
  </si>
  <si>
    <t>X-118</t>
  </si>
  <si>
    <t>X-112</t>
  </si>
  <si>
    <t>Inlet Flow Control Valve</t>
  </si>
  <si>
    <t>I-113</t>
  </si>
  <si>
    <t>LT-201–213</t>
  </si>
  <si>
    <t>Level Transmitter</t>
  </si>
  <si>
    <t>X-135</t>
  </si>
  <si>
    <t>I-111</t>
  </si>
  <si>
    <t>X-116 / X-122</t>
  </si>
  <si>
    <t>Modbus Interface  ·  MERGED ROWS (synonym): 'Modbus Interface' (X-116) + 'Modbus Tcp Interface' (X-122)</t>
  </si>
  <si>
    <t>X-140</t>
  </si>
  <si>
    <t>I-107</t>
  </si>
  <si>
    <t>X-138</t>
  </si>
  <si>
    <t>X-132</t>
  </si>
  <si>
    <t>Painted Carbon Steel Skid Frame</t>
  </si>
  <si>
    <t>X-133</t>
  </si>
  <si>
    <t>Painted Steel Skid Frame</t>
  </si>
  <si>
    <t>X-106</t>
  </si>
  <si>
    <t>AT-201</t>
  </si>
  <si>
    <t>pH Analyser</t>
  </si>
  <si>
    <t>I-106</t>
  </si>
  <si>
    <t>X-114 / X-121</t>
  </si>
  <si>
    <t>PLC Controller  ·  MERGED ROWS (synonym): 'PLC Controller' (X-114) + 'Siemens S7 1200 PLC' (X-121)</t>
  </si>
  <si>
    <t>X-125</t>
  </si>
  <si>
    <t>V-108</t>
  </si>
  <si>
    <t>V-109</t>
  </si>
  <si>
    <t>Pressure Relief Valve</t>
  </si>
  <si>
    <t>PT-201–217</t>
  </si>
  <si>
    <t>Pressure Transmitter</t>
  </si>
  <si>
    <t>X-130</t>
  </si>
  <si>
    <t>I-108</t>
  </si>
  <si>
    <t>X-124 / V-107</t>
  </si>
  <si>
    <t>Solenoid Valve</t>
  </si>
  <si>
    <t>Solenoid Valve  ·  MERGED ROWS (singular/plural): 'Solenoid Valves' (X-124) + 'Solenoid Valve' (V-107)</t>
  </si>
  <si>
    <t>X-134</t>
  </si>
  <si>
    <t>Sst304 Skid Frame</t>
  </si>
  <si>
    <t>I-110</t>
  </si>
  <si>
    <t>X-108 / X-111</t>
  </si>
  <si>
    <t>Terminal Block</t>
  </si>
  <si>
    <t>Terminal Block  ·  MERGED ROWS (singular/plural): 'Terminal Blocks' (X-108) + 'Terminal Block' (X-111)</t>
  </si>
  <si>
    <t>F-1</t>
  </si>
  <si>
    <t>Toray HFU-2020AN RO Membrane Elements</t>
  </si>
  <si>
    <t>F-2</t>
  </si>
  <si>
    <t>Uf Membrane Bank</t>
  </si>
  <si>
    <t>X-115</t>
  </si>
  <si>
    <t>X-143</t>
  </si>
  <si>
    <t>Zoned distribution — department delivery mains</t>
  </si>
  <si>
    <t>Glossary — abbreviations &amp; symbols</t>
  </si>
  <si>
    <t>Plain-English meaning of every abbreviation used on the schedule, drawing, bill-of-materials and cost tabs. Standard engineering nomenclature (British spelling); the same reference applies to any plant.</t>
  </si>
  <si>
    <t>Pipe sizes &amp; materials</t>
  </si>
  <si>
    <t>Diameter Nominal — the nominal bore size of a pipe / valve in millimetres (e.g. DN200 ≈ 200 mm bore). A size label, not the exact internal diameter.</t>
  </si>
  <si>
    <t>CS</t>
  </si>
  <si>
    <t>Carbon steel — the default structural / pipe steel where no corrosion or hygiene driver applies.</t>
  </si>
  <si>
    <t>316L</t>
  </si>
  <si>
    <t>316L stainless steel — low-carbon austenitic stainless; the corrosion-resistant grade for process-water, oxidiser and hygienic duties.</t>
  </si>
  <si>
    <t>304 / 304L</t>
  </si>
  <si>
    <t>304 / 304L stainless steel — general-purpose austenitic stainless.</t>
  </si>
  <si>
    <t>DUPLEX</t>
  </si>
  <si>
    <t>Duplex stainless steel — high-strength, chloride-corrosion-resistant stainless for seawater / brackish duties.</t>
  </si>
  <si>
    <t>HDPE / PE100</t>
  </si>
  <si>
    <t>High-density polyethylene (PE100 grade) — tough, corrosion-free thermoplastic pipe for water / effluent at low pressure.</t>
  </si>
  <si>
    <t>FRP / GRP</t>
  </si>
  <si>
    <t>Fibre-reinforced plastic (glass-reinforced plastic) — moulded composite for tanks and vessels.</t>
  </si>
  <si>
    <t>PVC / uPVC</t>
  </si>
  <si>
    <t>Poly(vinyl chloride) pipe grades — low-cost drainage / cold-water pipe.</t>
  </si>
  <si>
    <t>Instrumentation (ISA tags)</t>
  </si>
  <si>
    <t>The instrument-tag convention to ISA-5.1 (International Society of Automation) — the letter code naming what an instrument measures and does.</t>
  </si>
  <si>
    <t>Level Transmitter — measures liquid level.</t>
  </si>
  <si>
    <t>TT</t>
  </si>
  <si>
    <t>Temperature Transmitter — measures temperature.</t>
  </si>
  <si>
    <t>Pressure Transmitter — measures pressure.</t>
  </si>
  <si>
    <t>Flow Transmitter — measures flow rate.</t>
  </si>
  <si>
    <t>Analyser Transmitter — measures a composition variable, e.g. dissolved oxygen, pH or redox.</t>
  </si>
  <si>
    <t>AT (pH) / AT (ORP)</t>
  </si>
  <si>
    <t>Analyser variant: pH, or oxidation-reduction (redox) potential.</t>
  </si>
  <si>
    <t>The standard analogue field-signal current loop (4 mA = zero, 20 mA = full scale).</t>
  </si>
  <si>
    <t>PLC / SCADA</t>
  </si>
  <si>
    <t>Programmable Logic Controller / Supervisory Control And Data Acquisition — the plant control system.</t>
  </si>
  <si>
    <t>Equipment &amp; package tags</t>
  </si>
  <si>
    <t>P (tag)</t>
  </si>
  <si>
    <t>Pump — equipment-tag letter (P-101, P-102 …).</t>
  </si>
  <si>
    <t>TK (tag)</t>
  </si>
  <si>
    <t>Tank — bulk liquid storage vessel (TK-101 …).</t>
  </si>
  <si>
    <t>V (tag)</t>
  </si>
  <si>
    <t>Vessel — pressure / process vessel, guard bed, filter housing (V-101 …).</t>
  </si>
  <si>
    <t>D (tag)</t>
  </si>
  <si>
    <t>Drum / separator — knock-out drum, decanter, three-phase separator (D-101 …). The tag scheme's separator letter.</t>
  </si>
  <si>
    <t>U (tag)</t>
  </si>
  <si>
    <t>Utility / package unit — a balance-of-plant utility supplied as one packaged item, e.g. an uninterruptible power supply (U-201 …).</t>
  </si>
  <si>
    <t>Z (tag)</t>
  </si>
  <si>
    <t>Packaged skid unit — a vendor skid delivered as one assembly, e.g. a reverse-osmosis or ultrafiltration skid (Z-101 …). Distinct from the HVAC zone identifiers Z-01, Z-02 … (see the HVAC group).</t>
  </si>
  <si>
    <t>EP (tag)</t>
  </si>
  <si>
    <t>Electrical panel — switchgear, motor-control-centre or control cabinet (EP-101 …).</t>
  </si>
  <si>
    <t>X (tag)</t>
  </si>
  <si>
    <t>General / unclassified equipment block (X-101 …).</t>
  </si>
  <si>
    <t>C (tag)</t>
  </si>
  <si>
    <t>Column / tower (C-101 …); on the bill of materials a C-numbered row (C01, C02 …) is a CONNECTION line — an interconnecting pipe or cable run.</t>
  </si>
  <si>
    <t>I (tag)</t>
  </si>
  <si>
    <t>Field instrument or in-line device (I-101 …).</t>
  </si>
  <si>
    <t>Valves &amp; safety</t>
  </si>
  <si>
    <t>Fail Closed — the valve drives to the CLOSED position on loss of signal, air or power.</t>
  </si>
  <si>
    <t>PSV / PRV</t>
  </si>
  <si>
    <t>Pressure Safety / Relief Valve — mechanical over-pressure protection.</t>
  </si>
  <si>
    <t>XV / SDV</t>
  </si>
  <si>
    <t>Shutdown / emergency-shutdown Valve — fast on/off safety isolation.</t>
  </si>
  <si>
    <t>PCV</t>
  </si>
  <si>
    <t>Pressure / Process Control Valve — a modulating control valve.</t>
  </si>
  <si>
    <t>HV</t>
  </si>
  <si>
    <t>Hand Valve — manual isolation.</t>
  </si>
  <si>
    <t>NRV / CV</t>
  </si>
  <si>
    <t>Non-Return Valve / Check Valve — prevents reverse flow.</t>
  </si>
  <si>
    <t>MCB</t>
  </si>
  <si>
    <t>Miniature Circuit Breaker.</t>
  </si>
  <si>
    <t>UPS</t>
  </si>
  <si>
    <t>Uninterruptible Power Supply — battery-backed supply for control / instruments.</t>
  </si>
  <si>
    <t>VSD / VFD</t>
  </si>
  <si>
    <t>Variable-Speed / Variable-Frequency Drive — controls motor speed.</t>
  </si>
  <si>
    <t>LV / HV</t>
  </si>
  <si>
    <t>Low Voltage / High Voltage.</t>
  </si>
  <si>
    <t>ΔU %</t>
  </si>
  <si>
    <t>Volt-drop percentage — the voltage lost along a cable run as a fraction of the supply voltage (kept within spec, typically ≤ 5 %).</t>
  </si>
  <si>
    <t>Heating, Ventilation &amp; Air-Conditioning.</t>
  </si>
  <si>
    <t>Battery storage (BESS tags)</t>
  </si>
  <si>
    <t>CH (tag)</t>
  </si>
  <si>
    <t>Chiller — the liquid-cooling package rejecting battery and PCS waste heat via a coolant loop (CH-101 …).</t>
  </si>
  <si>
    <t>PCS (tag)</t>
  </si>
  <si>
    <t>Power Conversion System — the bidirectional inverter converting between the battery's DC bus and the AC grid connection (PCS-101 …).</t>
  </si>
  <si>
    <t>SG (tag)</t>
  </si>
  <si>
    <t>Switchgear — the AC main breaker / protection and isolation assembly at the grid-connection point (SG-101 …).</t>
  </si>
  <si>
    <t>Bill-of-materials status codes</t>
  </si>
  <si>
    <t>BESPOKE</t>
  </si>
  <si>
    <t>Made-to-order item — fabricated / engineered to spec; no off-the-shelf part number.</t>
  </si>
  <si>
    <t>UTILITY</t>
  </si>
  <si>
    <t>A utility / commodity item (pipework, cable, civils) priced parametrically.</t>
  </si>
  <si>
    <t>SYSTEM</t>
  </si>
  <si>
    <t>A multi-part packaged system priced as one unit.</t>
  </si>
  <si>
    <t>IDENTIFIED</t>
  </si>
  <si>
    <t>A specific real product has been matched (manufacturer + part number).</t>
  </si>
  <si>
    <t>NOT FOUND</t>
  </si>
  <si>
    <t>No catalogue match yet — the price is an engineering estimate.</t>
  </si>
  <si>
    <t>INSTRUMENT</t>
  </si>
  <si>
    <t>A field-instrument line.</t>
  </si>
  <si>
    <t>Cubic metres per hour — volumetric flow.</t>
  </si>
  <si>
    <t>m³/s</t>
  </si>
  <si>
    <t>Cubic metres per second — volumetric flow.</t>
  </si>
  <si>
    <t>kW / kWh</t>
  </si>
  <si>
    <t>Kilowatt (power) / kilowatt-hour (energy).</t>
  </si>
  <si>
    <t>mg/L</t>
  </si>
  <si>
    <t>Milligrams per litre — concentration (e.g. dissolved oxygen).</t>
  </si>
  <si>
    <t>bar / barg</t>
  </si>
  <si>
    <t>Pressure / pressure gauge (above atmospheric).</t>
  </si>
  <si>
    <t>t/yr</t>
  </si>
  <si>
    <t>Tonnes per year — annual throughput.</t>
  </si>
  <si>
    <t>Tag-prefix families (self-documented from the bill of materials)</t>
  </si>
  <si>
    <t>F (tag)</t>
  </si>
  <si>
    <t>Tag prefix for 'Toray HFU-2020AN RO Membrane Elements' and its numbered siblings (F-101, F-102, …) — self-documented from the bill of materials' own first occurrence.</t>
  </si>
  <si>
    <t>FCV (tag)</t>
  </si>
  <si>
    <t>Tag prefix for 'Inlet Flow Control Valve' and its numbered siblings (FCV-101, FCV-102, …) — self-documented from the bill of materials' own first occurrence.</t>
  </si>
  <si>
    <t>G (tag)</t>
  </si>
  <si>
    <t>Tag prefix for 'Standby Diesel Generator' and its numbered siblings (G-101, G-102, …) — self-documented from the bill of materials' own first occurrence.</t>
  </si>
  <si>
    <t>M (tag)</t>
  </si>
  <si>
    <t>Tag prefix for 'Distribution Manifold' and its numbered siblings (M-101, M-102, …) — self-documented from the bill of materials' own first occurrence.</t>
  </si>
  <si>
    <t>TX (tag)</t>
  </si>
  <si>
    <t>Tag prefix for 'Distribution Transformer' and its numbered siblings (TX-101, TX-102, …) — self-documented from the bill of materials' own first occurrence.</t>
  </si>
  <si>
    <t>Audit data — the embedded operands behind the live verdict formulas</t>
  </si>
  <si>
    <t>Every check in this workbook is a LIVE formula. Where a check compares against data that lives outside the workbook (the single-line drawing, the engineering contract, a build-time classification), the compared value is EMBEDDED here with its provenance — so the workbook contains everything its own verdicts depend on, and the formula bar on any verdict cell shows exactly which operands it judges.</t>
  </si>
  <si>
    <t>Group</t>
  </si>
  <si>
    <t>Operand</t>
  </si>
  <si>
    <t>Provenance (where this value comes from)</t>
  </si>
  <si>
    <t>all-in cost — LLM verdict</t>
  </si>
  <si>
    <t>ok</t>
  </si>
  <si>
    <t>benchmarkDivergence.findings[].verdict (scripts/lib/benchmark-expectation.ts)</t>
  </si>
  <si>
    <t>output — irrigation_flow — LLM verdict</t>
  </si>
  <si>
    <t>warn</t>
  </si>
  <si>
    <t>output — ro_permeate_flow — LLM verdict</t>
  </si>
  <si>
    <t>output — storage_capacity — LLM verdict</t>
  </si>
  <si>
    <t>Equipment register — drawing-name match</t>
  </si>
  <si>
    <t>D-101 · 3 Phase Power Input</t>
  </si>
  <si>
    <t>parts_ledger.py covered() matcher — 5/7 drawing surface(s) matched this part's name (parts-ledger.json equipment[].coverage, tag D-101)</t>
  </si>
  <si>
    <t>EP-101 · Main Switchboard</t>
  </si>
  <si>
    <t>parts_ledger.py covered() matcher — 5/7 drawing surface(s) matched this part's name (parts-ledger.json equipment[].coverage, tag EP-101)</t>
  </si>
  <si>
    <t>EP-102 · Mains Incomer</t>
  </si>
  <si>
    <t>parts_ledger.py covered() matcher — 3/7 drawing surface(s) matched this part's name (parts-ledger.json equipment[].coverage, tag EP-102)</t>
  </si>
  <si>
    <t>EP-103 · SCADA / Plant Control System</t>
  </si>
  <si>
    <t>parts_ledger.py covered() matcher — 7/7 drawing surface(s) matched this part's name (parts-ledger.json equipment[].coverage, tag EP-103)</t>
  </si>
  <si>
    <t>EP-104 · Motor Control Center</t>
  </si>
  <si>
    <t>parts_ledger.py covered() matcher — 4/7 drawing surface(s) matched this part's name (parts-ledger.json equipment[].coverage, tag EP-104)</t>
  </si>
  <si>
    <t>G-201 · Standby Diesel Generator</t>
  </si>
  <si>
    <t>parts_ledger.py covered() matcher — 4/7 drawing surface(s) matched this part's name (parts-ledger.json equipment[].coverage, tag G-201)</t>
  </si>
  <si>
    <t>I-102 · Electrical Control Cabinet</t>
  </si>
  <si>
    <t>parts_ledger.py covered() matcher — 5/7 drawing surface(s) matched this part's name (parts-ledger.json equipment[].coverage, tag I-102)</t>
  </si>
  <si>
    <t>I-103 · Digital Control Panel</t>
  </si>
  <si>
    <t>parts_ledger.py covered() matcher — 5/7 drawing surface(s) matched this part's name (parts-ledger.json equipment[].coverage, tag I-103)</t>
  </si>
  <si>
    <t>M-101 · Distribution Manifold</t>
  </si>
  <si>
    <t>parts_ledger.py covered() matcher — 5/7 drawing surface(s) matched this part's name (parts-ledger.json equipment[].coverage, tag M-101)</t>
  </si>
  <si>
    <t>P-101 · Ro High Pressure Pump</t>
  </si>
  <si>
    <t>parts_ledger.py covered() matcher — 7/7 drawing surface(s) matched this part's name (parts-ledger.json equipment[].coverage, tag P-101)</t>
  </si>
  <si>
    <t>P-102 · Hand Watering Pump</t>
  </si>
  <si>
    <t>parts_ledger.py covered() matcher — 7/7 drawing surface(s) matched this part's name (parts-ledger.json equipment[].coverage, tag P-102)</t>
  </si>
  <si>
    <t>P-103 · Drain Transfer Pump</t>
  </si>
  <si>
    <t>parts_ledger.py covered() matcher — 6/7 drawing surface(s) matched this part's name (parts-ledger.json equipment[].coverage, tag P-103)</t>
  </si>
  <si>
    <t>P-104 · Drain Transfer Pump</t>
  </si>
  <si>
    <t>parts_ledger.py covered() matcher — 7/7 drawing surface(s) matched this part's name (parts-ledger.json equipment[].coverage, tag P-104)</t>
  </si>
  <si>
    <t>P-105 · Irrigation Pump</t>
  </si>
  <si>
    <t>parts_ledger.py covered() matcher — 0/? drawing surface(s) matched this part's name (parts-ledger.json equipment[].coverage, tag P-105)</t>
  </si>
  <si>
    <t>P-106 · Fertigation Dosing Pump</t>
  </si>
  <si>
    <t>parts_ledger.py covered() matcher — 7/7 drawing surface(s) matched this part's name (parts-ledger.json equipment[].coverage, tag P-106)</t>
  </si>
  <si>
    <t>P-107 · Fertigation Dosing Pump</t>
  </si>
  <si>
    <t>parts_ledger.py covered() matcher — 7/7 drawing surface(s) matched this part's name (parts-ledger.json equipment[].coverage, tag P-107)</t>
  </si>
  <si>
    <t>TK-101 · Cip Tank</t>
  </si>
  <si>
    <t>parts_ledger.py covered() matcher — 5/7 drawing surface(s) matched this part's name (parts-ledger.json equipment[].coverage, tag TK-101)</t>
  </si>
  <si>
    <t>TK-102 · Cleaning Tank</t>
  </si>
  <si>
    <t>parts_ledger.py covered() matcher — 5/7 drawing surface(s) matched this part's name (parts-ledger.json equipment[].coverage, tag TK-102)</t>
  </si>
  <si>
    <t>TK-103 · Nutrient Tank</t>
  </si>
  <si>
    <t>parts_ledger.py covered() matcher — 5/7 drawing surface(s) matched this part's name (parts-ledger.json equipment[].coverage, tag TK-103)</t>
  </si>
  <si>
    <t>TK-104 · Nutrient Tank</t>
  </si>
  <si>
    <t>parts_ledger.py covered() matcher — 5/7 drawing surface(s) matched this part's name (parts-ledger.json equipment[].coverage, tag TK-104)</t>
  </si>
  <si>
    <t>TK-105 · Nutrient Tank</t>
  </si>
  <si>
    <t>parts_ledger.py covered() matcher — 5/7 drawing surface(s) matched this part's name (parts-ledger.json equipment[].coverage, tag TK-105)</t>
  </si>
  <si>
    <t>TK-106 · Drain Water Tank</t>
  </si>
  <si>
    <t>parts_ledger.py covered() matcher — 5/7 drawing surface(s) matched this part's name (parts-ledger.json equipment[].coverage, tag TK-106)</t>
  </si>
  <si>
    <t>TK-107 · Drain Water Tank</t>
  </si>
  <si>
    <t>parts_ledger.py covered() matcher — 5/7 drawing surface(s) matched this part's name (parts-ledger.json equipment[].coverage, tag TK-107)</t>
  </si>
  <si>
    <t>TK-108 · Fresh Water Tank</t>
  </si>
  <si>
    <t>parts_ledger.py covered() matcher — 5/7 drawing surface(s) matched this part's name (parts-ledger.json equipment[].coverage, tag TK-108)</t>
  </si>
  <si>
    <t>TK-109 · Nutrient Tank</t>
  </si>
  <si>
    <t>parts_ledger.py covered() matcher — 5/7 drawing surface(s) matched this part's name (parts-ledger.json equipment[].coverage, tag TK-109)</t>
  </si>
  <si>
    <t>TK-110 · Nutrient Tank</t>
  </si>
  <si>
    <t>parts_ledger.py covered() matcher — 5/7 drawing surface(s) matched this part's name (parts-ledger.json equipment[].coverage, tag TK-110)</t>
  </si>
  <si>
    <t>TK-111 · Nutrient Tank</t>
  </si>
  <si>
    <t>parts_ledger.py covered() matcher — 5/7 drawing surface(s) matched this part's name (parts-ledger.json equipment[].coverage, tag TK-111)</t>
  </si>
  <si>
    <t>TK-112 · Nutrient Tank</t>
  </si>
  <si>
    <t>parts_ledger.py covered() matcher — 5/7 drawing surface(s) matched this part's name (parts-ledger.json equipment[].coverage, tag TK-112)</t>
  </si>
  <si>
    <t>TK-113 · Nutrient Tank</t>
  </si>
  <si>
    <t>parts_ledger.py covered() matcher — 5/7 drawing surface(s) matched this part's name (parts-ledger.json equipment[].coverage, tag TK-113)</t>
  </si>
  <si>
    <t>TK-114 · Drain Collection Sump</t>
  </si>
  <si>
    <t>parts_ledger.py covered() matcher — 5/7 drawing surface(s) matched this part's name (parts-ledger.json equipment[].coverage, tag TK-114)</t>
  </si>
  <si>
    <t>TK-115 · Drain Collection Sump</t>
  </si>
  <si>
    <t>parts_ledger.py covered() matcher — 5/7 drawing surface(s) matched this part's name (parts-ledger.json equipment[].coverage, tag TK-115)</t>
  </si>
  <si>
    <t>TX-101 · Transformer</t>
  </si>
  <si>
    <t>parts_ledger.py covered() matcher — 3/7 drawing surface(s) matched this part's name (parts-ledger.json equipment[].coverage, tag TX-101)</t>
  </si>
  <si>
    <t>TX-102 · Distribution Transformer</t>
  </si>
  <si>
    <t>parts_ledger.py covered() matcher — 3/7 drawing surface(s) matched this part's name (parts-ledger.json equipment[].coverage, tag TX-102)</t>
  </si>
  <si>
    <t>U-201 · Control + Instrument UPS</t>
  </si>
  <si>
    <t>parts_ledger.py covered() matcher — 4/7 drawing surface(s) matched this part's name (parts-ledger.json equipment[].coverage, tag U-201)</t>
  </si>
  <si>
    <t>V-101 · Gac Filter</t>
  </si>
  <si>
    <t>parts_ledger.py covered() matcher — 6/7 drawing surface(s) matched this part's name (parts-ledger.json equipment[].coverage, tag V-101)</t>
  </si>
  <si>
    <t>V-102 · Uv Disinfection</t>
  </si>
  <si>
    <t>parts_ledger.py covered() matcher — 7/7 drawing surface(s) matched this part's name (parts-ledger.json equipment[].coverage, tag V-102)</t>
  </si>
  <si>
    <t>V-103 · Gac Softener</t>
  </si>
  <si>
    <t>parts_ledger.py covered() matcher — 5/7 drawing surface(s) matched this part's name (parts-ledger.json equipment[].coverage, tag V-103)</t>
  </si>
  <si>
    <t>V-104 · Cloth Filter</t>
  </si>
  <si>
    <t>parts_ledger.py covered() matcher — 7/7 drawing surface(s) matched this part's name (parts-ledger.json equipment[].coverage, tag V-104)</t>
  </si>
  <si>
    <t>V-105 · Cloth Filter</t>
  </si>
  <si>
    <t>parts_ledger.py covered() matcher — 7/7 drawing surface(s) matched this part's name (parts-ledger.json equipment[].coverage, tag V-105)</t>
  </si>
  <si>
    <t>V-106 · Softener Vessel</t>
  </si>
  <si>
    <t>parts_ledger.py covered() matcher — 5/7 drawing surface(s) matched this part's name (parts-ledger.json equipment[].coverage, tag V-106)</t>
  </si>
  <si>
    <t>V-107 · Softener Vessel</t>
  </si>
  <si>
    <t>parts_ledger.py covered() matcher — 5/7 drawing surface(s) matched this part's name (parts-ledger.json equipment[].coverage, tag V-107)</t>
  </si>
  <si>
    <t>X-102 · Electrical Control Panel</t>
  </si>
  <si>
    <t>parts_ledger.py covered() matcher — 0/? drawing surface(s) matched this part's name (parts-ledger.json equipment[].coverage, tag X-102)</t>
  </si>
  <si>
    <t>X-103 · Concentrate Outlet</t>
  </si>
  <si>
    <t>parts_ledger.py covered() matcher — 0/? drawing surface(s) matched this part's name (parts-ledger.json equipment[].coverage, tag X-103)</t>
  </si>
  <si>
    <t>X-104 · Permeate Outlet</t>
  </si>
  <si>
    <t>parts_ledger.py covered() matcher — 5/7 drawing surface(s) matched this part's name (parts-ledger.json equipment[].coverage, tag X-104)</t>
  </si>
  <si>
    <t>Z-101 · Reverse Osmosis Skid</t>
  </si>
  <si>
    <t>parts_ledger.py covered() matcher — 5/7 drawing surface(s) matched this part's name (parts-ledger.json equipment[].coverage, tag Z-101)</t>
  </si>
  <si>
    <t>Z-102 · Uf Module Bank</t>
  </si>
  <si>
    <t>parts_ledger.py covered() matcher — 5/7 drawing surface(s) matched this part's name (parts-ledger.json equipment[].coverage, tag Z-102)</t>
  </si>
  <si>
    <t>Z-103 · Ultrafiltration Module</t>
  </si>
  <si>
    <t>parts_ledger.py covered() matcher — 3/7 drawing surface(s) matched this part's name (parts-ledger.json equipment[].coverage, tag Z-103)</t>
  </si>
  <si>
    <t>Process schedules · reconciliation</t>
  </si>
  <si>
    <t>Valve count: schedule vs BoM — SCHEDULE</t>
  </si>
  <si>
    <t>valve list (incl. '(×N)' / tag-range multiplicities)</t>
  </si>
  <si>
    <t>Valve count: schedule vs BoM — BOM</t>
  </si>
  <si>
    <t>BoM lines matching /valve/i whose basis is NOT a network-allowance (excludes zone-kit + hand-watering station allowances — per-zone/per-station pipework tie-ins, not schedule-listed line valves)</t>
  </si>
  <si>
    <t>Instrument count: schedule vs BoM — SCHEDULE</t>
  </si>
  <si>
    <t>instrument index (raw rows, pre-collapse)</t>
  </si>
  <si>
    <t>Instrument count: schedule vs BoM — BOM</t>
  </si>
  <si>
    <t>BoM lines matching the instrument family whose requirement is NOT a control-system item, an electrical voltage/current sense or protection element (CT/VT-class — panel-schedule items, not process instruments), or a mount/label accessory of an already-counted instrument</t>
  </si>
  <si>
    <t>Regulatory · compliance-gate</t>
  </si>
  <si>
    <t>verdict (engine)</t>
  </si>
  <si>
    <t>WARN</t>
  </si>
  <si>
    <t>engine complianceGate.verdict</t>
  </si>
  <si>
    <t>reason</t>
  </si>
  <si>
    <t>engine complianceGate.reason</t>
  </si>
  <si>
    <t>volt-drop limit (%)</t>
  </si>
  <si>
    <t>the schedule's published ≤5% volt-drop band (BS 7671 §525 practice)</t>
  </si>
  <si>
    <t>MAIN DISTRIBUTION BOARD (TP&amp;N) — system voltage (V)</t>
  </si>
  <si>
    <t>panel-schedule.md '## MAIN DISTRIBUTION BOARD (TP&amp;N)' System field</t>
  </si>
  <si>
    <t>MAIN DISTRIBUTION BOARD (TP&amp;N) — pf·η denominator factor</t>
  </si>
  <si>
    <t>√3 for a 3-phase board, 1 for DC / single-phase (from the board's own System field)</t>
  </si>
  <si>
    <t>Main Switchboard — system voltage (V)</t>
  </si>
  <si>
    <t>panel-schedule.md '## Main Switchboard' System field</t>
  </si>
  <si>
    <t>Main Switchboard — pf·η denominator factor</t>
  </si>
  <si>
    <t>Electrical · reconciliation</t>
  </si>
  <si>
    <t>MAIN DISTRIBUTION BOARD (TP&amp;N) · [board reconciliation] — Σ-current/busbar ratio</t>
  </si>
  <si>
    <t>the schedule's own printed reconciliation line</t>
  </si>
  <si>
    <t>MAIN DISTRIBUTION BOARD (TP&amp;N) · [board reconciliation] — schedule's own verdict</t>
  </si>
  <si>
    <t>OK</t>
  </si>
  <si>
    <t>the schedule's printed OK/REVIEW verdict</t>
  </si>
  <si>
    <t>MAIN DISTRIBUTION BOARD (TP&amp;N) · [board reconciliation] — busbar rating</t>
  </si>
  <si>
    <t>panel-schedule.md board Field/Value table</t>
  </si>
  <si>
    <t>MAIN DISTRIBUTION BOARD (TP&amp;N) · [board reconciliation] — evidence</t>
  </si>
  <si>
    <t>build-computed reconciliation reasons ('' = clean)</t>
  </si>
  <si>
    <t>Main Switchboard · [board reconciliation] — Σ-current/busbar ratio</t>
  </si>
  <si>
    <t>Main Switchboard · [board reconciliation] — schedule's own verdict</t>
  </si>
  <si>
    <t>Main Switchboard · [board reconciliation] — busbar rating</t>
  </si>
  <si>
    <t>Main Switchboard · [board reconciliation] — evidence</t>
  </si>
  <si>
    <t>system voltage (V) — SCHEDULE</t>
  </si>
  <si>
    <t>400</t>
  </si>
  <si>
    <t>panel-schedule.md system line</t>
  </si>
  <si>
    <t>voltage tokens — DRAWING</t>
  </si>
  <si>
    <t>every 'N V' token on the single-line drawing</t>
  </si>
  <si>
    <t>schedule boards ABSENT from the single-line drawing</t>
  </si>
  <si>
    <t>panel-schedule.md board headings not found in the single-line-diagram.svg text (computed at build; '' = every board found)</t>
  </si>
  <si>
    <t>schedule boards (named)</t>
  </si>
  <si>
    <t>MAIN DISTRIBUTION BOARD (TP&amp;N), Main Switchboard</t>
  </si>
  <si>
    <t>panel-schedule.md '## &lt;board&gt;' headings</t>
  </si>
  <si>
    <t>transformer rating (kVA) — DRAWING</t>
  </si>
  <si>
    <t>read from drawings/single-line-diagram.svg (TX label text)</t>
  </si>
  <si>
    <t>transformer rating (kVA) — CONTRACT</t>
  </si>
  <si>
    <t>orchestratorContract.quantities transformer_kva / main_transformer_kva / transformer_rating_kva</t>
  </si>
  <si>
    <t xml:space="preserve">SG: The original Codema quote was for 2 x 90m3 and 1 x 45m3 system with RO etc for 1.1m Euros. </t>
  </si>
  <si>
    <t xml:space="preserve">SG: Does the model take into account inflation each year and material price index rises etc? </t>
  </si>
  <si>
    <t xml:space="preserve">SG: Why is it providing double capacity required? May be a good thing for resilience of the system etc maybe. </t>
  </si>
  <si>
    <t xml:space="preserve">SG: RO capacity for 6,000 containers again sounds low. </t>
  </si>
  <si>
    <t xml:space="preserve">SG: What defines this ceiling? </t>
  </si>
  <si>
    <t xml:space="preserve">SG: 45m3/hr for 6,000 containers sounds low. Is a 'container' more like a bench tray? Maybe language issue. </t>
  </si>
  <si>
    <t xml:space="preserve">SG: All pipework seems to be above ground whereas a lot of this pipework may be better placed below ground in normal circumstances, and indeed a lot would have to be underground for drainage. </t>
  </si>
  <si>
    <t xml:space="preserve">SG: Some pipes look weirdly big, hard to deduce much from the images in terms of pipe runs etc. Labels don't seem clear in terms of what they are referring to. </t>
  </si>
  <si>
    <t xml:space="preserve">SG: Usually what would be more useful/important for the design is a working schematic which pipe runs, sizes, valve locations etc, would show how everything connects better. </t>
  </si>
  <si>
    <t xml:space="preserve">SG: Hard to check pricing without obtaining actual quotes with todays pricing as a check. </t>
  </si>
  <si>
    <t xml:space="preserve">SG: Seems very low for civils. Usually irrigation would require a lot of civils unless specifically goiong in an existing building where no underground works are allowed. </t>
  </si>
  <si>
    <t xml:space="preserve">SG: Could be too high.A lot of kit e.g. pumps may only operate infrequently. What else is causing the high energy use? £41k is a lot. </t>
  </si>
  <si>
    <t xml:space="preserve">SG: Very tricky to verify the BOM without the design and quotes for the various parts. </t>
  </si>
  <si>
    <t xml:space="preserve">SG: Unsure what this is showing. Process is not usually this straight a line. With flow only going one way at all times? </t>
  </si>
  <si>
    <t>SG: Seems all sensors on left are plugged into a softener vessel?</t>
  </si>
  <si>
    <t xml:space="preserve">SG: RO water feeds into cloth filter which doesn't make sense as its clean already. Why is filter media separate to the cloth filter? Filters and disinfection should be after drain pits as the water needs to be pumped back above ground. Drain pits suggest a lott of undergrouond civils work but previous pages suggest almost no civils costs and all above ground pipework in the render but this is not the case. Does number of sensors and pumps etc match the P&amp;ID. I don't know what the "CIP tank" or "Cleaning Tank" are doing or why they are there? And then they feed into a fresh water tank so that is not a fresh water tank. Then this feeds into nutrient ank. Then all pumps are in a line but they would not all be connected they'd be separate. I think this could be a long way off correct. </t>
  </si>
  <si>
    <t xml:space="preserve">SG: It seems the kit has justt been randomly placed, not bunched together based on e.g. what sides needs maintenance/access and walkways around etc, seems a huge footprint for a 45m3 system,, would be way smaller. This is half of F2 process building for 1 system whereas we had 3 systems in about 1/4 that area. Graphics can't be used for any kind of construction etc not enough details or dimensions, is just a graphic. </t>
  </si>
  <si>
    <t xml:space="preserve">SG: Again seems a strange diagram everything connected to one line that doesn't really mean anything or show how they connect etc. </t>
  </si>
  <si>
    <t xml:space="preserve">SG: Is this above irrigation? Width dims don't match. Where is the key for this i.e. what is Z-01-06. Seems a weird layout, unsure what it is showing. What is the HVAC required for? What is its design required? </t>
  </si>
  <si>
    <t>SG: Initial page suggested almost no civils cost?</t>
  </si>
  <si>
    <t xml:space="preserve">SG: How would customer know this?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</si>
</sst>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0"/>
    <numFmt numFmtId="167" formatCode="\£#,##0"/>
    <numFmt numFmtId="168" formatCode="\£#,##0.00"/>
    <numFmt numFmtId="169" formatCode="0.0%"/>
  </numFmts>
  <fonts count="33" x14ac:knownFonts="1">
    <font>
      <sz val="11"/>
      <color theme="1"/>
      <name val="Calibri"/>
      <family val="2"/>
      <charset val="1"/>
    </font>
    <font>
      <sz val="10"/>
      <name val="Arial"/>
      <family val="2"/>
    </font>
    <font>
      <b/>
      <sz val="15"/>
      <color rgb="FFFFFFFF"/>
      <name val="Calibri"/>
      <family val="2"/>
    </font>
    <font>
      <b/>
      <sz val="11"/>
      <color rgb="FF1F3A5F"/>
      <name val="Calibri"/>
      <family val="2"/>
    </font>
    <font>
      <i/>
      <sz val="9"/>
      <color rgb="FF666666"/>
      <name val="Cambria"/>
      <family val="1"/>
    </font>
    <font>
      <b/>
      <sz val="9"/>
      <color rgb="FF888888"/>
      <name val="Calibri"/>
      <family val="2"/>
    </font>
    <font>
      <b/>
      <sz val="16"/>
      <color rgb="FF1F3A5F"/>
      <name val="Calibri"/>
      <family val="2"/>
    </font>
    <font>
      <sz val="11"/>
      <color rgb="FF333333"/>
      <name val="Calibri"/>
      <family val="2"/>
    </font>
    <font>
      <b/>
      <sz val="11"/>
      <color rgb="FFFFFFFF"/>
      <name val="Calibri"/>
      <family val="2"/>
    </font>
    <font>
      <b/>
      <sz val="11"/>
      <color rgb="FF006100"/>
      <name val="Cambria"/>
      <family val="1"/>
    </font>
    <font>
      <sz val="8"/>
      <color rgb="FF808080"/>
      <name val="Calibri"/>
      <family val="2"/>
    </font>
    <font>
      <sz val="10"/>
      <color rgb="FF2E5A88"/>
      <name val="Menlo"/>
      <family val="2"/>
    </font>
    <font>
      <b/>
      <u/>
      <sz val="11"/>
      <color rgb="FF1F3A5F"/>
      <name val="Calibri"/>
      <family val="2"/>
    </font>
    <font>
      <sz val="10"/>
      <name val="Menlo"/>
      <family val="2"/>
    </font>
    <font>
      <sz val="9"/>
      <color rgb="FF9C0006"/>
      <name val="Calibri"/>
      <family val="2"/>
    </font>
    <font>
      <b/>
      <sz val="11"/>
      <color rgb="FF9C6500"/>
      <name val="Cambria"/>
      <family val="1"/>
    </font>
    <font>
      <sz val="11"/>
      <name val="Cambria"/>
      <family val="1"/>
    </font>
    <font>
      <b/>
      <sz val="11"/>
      <name val="Cambria"/>
      <family val="1"/>
    </font>
    <font>
      <i/>
      <sz val="9"/>
      <color rgb="FF555555"/>
      <name val="Cambria"/>
      <family val="1"/>
    </font>
    <font>
      <sz val="9"/>
      <color rgb="FF555555"/>
      <name val="Cambria"/>
      <family val="1"/>
    </font>
    <font>
      <b/>
      <sz val="11"/>
      <color rgb="FF9C0006"/>
      <name val="Cambria"/>
      <family val="1"/>
    </font>
    <font>
      <b/>
      <sz val="12"/>
      <name val="Cambria"/>
      <family val="1"/>
    </font>
    <font>
      <b/>
      <sz val="13"/>
      <color rgb="FFFFFFFF"/>
      <name val="Calibri"/>
      <family val="2"/>
    </font>
    <font>
      <b/>
      <sz val="9"/>
      <color rgb="FF1F4E79"/>
      <name val="Cambria"/>
      <family val="1"/>
    </font>
    <font>
      <b/>
      <sz val="11"/>
      <color rgb="FF1F3A5F"/>
      <name val="Cambria"/>
      <family val="1"/>
    </font>
    <font>
      <b/>
      <sz val="11"/>
      <color rgb="FF9C2B2E"/>
      <name val="Cambria"/>
      <family val="1"/>
    </font>
    <font>
      <b/>
      <sz val="10"/>
      <name val="Cambria"/>
      <family val="1"/>
    </font>
    <font>
      <sz val="10"/>
      <name val="Cambria"/>
      <family val="1"/>
    </font>
    <font>
      <b/>
      <sz val="11"/>
      <color rgb="FF1F4E79"/>
      <name val="Cambria"/>
      <family val="1"/>
    </font>
    <font>
      <b/>
      <sz val="11"/>
      <color rgb="FFFFFFFF"/>
      <name val="Cambria"/>
      <family val="1"/>
    </font>
    <font>
      <b/>
      <sz val="11"/>
      <color rgb="FFC00000"/>
      <name val="Cambria"/>
      <family val="1"/>
    </font>
    <font>
      <b/>
      <sz val="11"/>
      <color rgb="FF107C10"/>
      <name val="Cambria"/>
      <family val="1"/>
    </font>
    <font>
      <b/>
      <i/>
      <sz val="11"/>
      <color rgb="FF7F7F7F"/>
      <name val="Cambria"/>
      <family val="1"/>
    </font>
  </fonts>
  <fills count="17">
    <fill>
      <patternFill patternType="none"/>
    </fill>
    <fill>
      <patternFill patternType="gray125"/>
    </fill>
    <fill>
      <patternFill patternType="solid">
        <fgColor rgb="FF2E5A88"/>
        <bgColor rgb="FF2F5597"/>
      </patternFill>
    </fill>
    <fill>
      <patternFill patternType="solid">
        <fgColor rgb="FFC6EFCE"/>
        <bgColor rgb="FFD9EAD3"/>
      </patternFill>
    </fill>
    <fill>
      <patternFill patternType="solid">
        <fgColor rgb="FFDCE6F1"/>
        <bgColor rgb="FFD9EAD3"/>
      </patternFill>
    </fill>
    <fill>
      <patternFill patternType="solid">
        <fgColor rgb="FF1F3A5F"/>
        <bgColor rgb="FF1F4E79"/>
      </patternFill>
    </fill>
    <fill>
      <patternFill patternType="solid">
        <fgColor rgb="FFFFF2CC"/>
        <bgColor rgb="FFFCE5CD"/>
      </patternFill>
    </fill>
    <fill>
      <patternFill patternType="solid">
        <fgColor rgb="FFE2EFDA"/>
        <bgColor rgb="FFD9EAD3"/>
      </patternFill>
    </fill>
    <fill>
      <patternFill patternType="solid">
        <fgColor rgb="FFFCE4D6"/>
        <bgColor rgb="FFFCE5CD"/>
      </patternFill>
    </fill>
    <fill>
      <patternFill patternType="solid">
        <fgColor rgb="FFD9D2E9"/>
        <bgColor rgb="FFD9D9D9"/>
      </patternFill>
    </fill>
    <fill>
      <patternFill patternType="solid">
        <fgColor rgb="FFFFC7CE"/>
        <bgColor rgb="FFFCE4D6"/>
      </patternFill>
    </fill>
    <fill>
      <patternFill patternType="solid">
        <fgColor rgb="FFFCE5CD"/>
        <bgColor rgb="FFFCE4D6"/>
      </patternFill>
    </fill>
    <fill>
      <patternFill patternType="solid">
        <fgColor rgb="FFD9EAD3"/>
        <bgColor rgb="FFE2EFDA"/>
      </patternFill>
    </fill>
    <fill>
      <patternFill patternType="solid">
        <fgColor rgb="FFF2F2F2"/>
        <bgColor rgb="FFE2EFDA"/>
      </patternFill>
    </fill>
    <fill>
      <patternFill patternType="solid">
        <fgColor rgb="FFC00000"/>
        <bgColor rgb="FF9C0006"/>
      </patternFill>
    </fill>
    <fill>
      <patternFill patternType="solid">
        <fgColor rgb="FF107C10"/>
        <bgColor rgb="FF006100"/>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148">
    <xf numFmtId="0" fontId="0" fillId="0" borderId="0" xfId="0"/>
    <xf numFmtId="0" fontId="0" fillId="0" borderId="0" xfId="0" applyAlignment="1">
      <alignment vertical="top" wrapText="1"/>
    </xf>
    <xf numFmtId="0" fontId="18" fillId="0" borderId="0" xfId="0" applyFont="1"/>
    <xf numFmtId="0" fontId="9" fillId="3" borderId="0" xfId="0" applyFont="1" applyFill="1" applyAlignment="1">
      <alignment horizontal="left" vertical="top"/>
    </xf>
    <xf numFmtId="0" fontId="3" fillId="0" borderId="0" xfId="0" applyFont="1"/>
    <xf numFmtId="0" fontId="9" fillId="0" borderId="0" xfId="0" applyFont="1"/>
    <xf numFmtId="0" fontId="3" fillId="4" borderId="0" xfId="0" applyFont="1" applyFill="1" applyAlignment="1">
      <alignment horizontal="left" vertical="top"/>
    </xf>
    <xf numFmtId="0" fontId="7" fillId="0" borderId="0" xfId="0" applyFont="1" applyAlignment="1">
      <alignment vertical="top" wrapText="1"/>
    </xf>
    <xf numFmtId="0" fontId="4" fillId="0" borderId="0" xfId="0" applyFont="1" applyAlignment="1">
      <alignment vertical="top" wrapText="1"/>
    </xf>
    <xf numFmtId="0" fontId="6" fillId="0" borderId="0" xfId="0" applyFont="1"/>
    <xf numFmtId="0" fontId="4" fillId="0" borderId="0" xfId="0" applyFont="1" applyAlignment="1">
      <alignment horizontal="left" vertical="top"/>
    </xf>
    <xf numFmtId="0" fontId="3" fillId="3" borderId="0" xfId="0" applyFont="1" applyFill="1" applyAlignment="1">
      <alignment horizontal="left" vertical="top"/>
    </xf>
    <xf numFmtId="0" fontId="2" fillId="2" borderId="0" xfId="0" applyFont="1" applyFill="1" applyAlignment="1">
      <alignment horizontal="left" vertical="center" indent="1"/>
    </xf>
    <xf numFmtId="0" fontId="5" fillId="0" borderId="0" xfId="0" applyFont="1"/>
    <xf numFmtId="0" fontId="4" fillId="0" borderId="0" xfId="0" applyFont="1" applyAlignment="1">
      <alignment vertical="top" wrapText="1"/>
    </xf>
    <xf numFmtId="0" fontId="3" fillId="4" borderId="0" xfId="0" applyFont="1" applyFill="1" applyAlignment="1">
      <alignment horizontal="left" vertical="top"/>
    </xf>
    <xf numFmtId="0" fontId="8" fillId="5" borderId="1" xfId="0" applyFont="1" applyFill="1" applyBorder="1" applyAlignment="1">
      <alignment vertical="center" wrapText="1"/>
    </xf>
    <xf numFmtId="0" fontId="4" fillId="0" borderId="0" xfId="0" applyFont="1"/>
    <xf numFmtId="0" fontId="0" fillId="0" borderId="1" xfId="0" applyBorder="1"/>
    <xf numFmtId="164" fontId="0" fillId="6" borderId="1" xfId="0" applyNumberFormat="1" applyFill="1" applyBorder="1"/>
    <xf numFmtId="164" fontId="0" fillId="7" borderId="1" xfId="0" applyNumberFormat="1" applyFill="1" applyBorder="1"/>
    <xf numFmtId="0" fontId="9" fillId="3" borderId="1" xfId="0" applyFont="1" applyFill="1" applyBorder="1"/>
    <xf numFmtId="0" fontId="4" fillId="0" borderId="1" xfId="0" applyFont="1" applyBorder="1" applyAlignment="1">
      <alignment vertical="top" wrapText="1"/>
    </xf>
    <xf numFmtId="0" fontId="10" fillId="0" borderId="0" xfId="0" applyFont="1" applyAlignment="1">
      <alignment horizontal="left" vertical="top"/>
    </xf>
    <xf numFmtId="0" fontId="3" fillId="0" borderId="0" xfId="0" applyFont="1"/>
    <xf numFmtId="3" fontId="0" fillId="0" borderId="0" xfId="0" applyNumberFormat="1"/>
    <xf numFmtId="165" fontId="0" fillId="0" borderId="0" xfId="0" applyNumberFormat="1"/>
    <xf numFmtId="0" fontId="11" fillId="0" borderId="0" xfId="0" applyFont="1"/>
    <xf numFmtId="0" fontId="9" fillId="0" borderId="0" xfId="0" applyFont="1"/>
    <xf numFmtId="0" fontId="12" fillId="0" borderId="1" xfId="0" applyFont="1" applyBorder="1"/>
    <xf numFmtId="0" fontId="12" fillId="0" borderId="0" xfId="0" applyFont="1" applyAlignment="1">
      <alignment horizontal="right" vertical="center"/>
    </xf>
    <xf numFmtId="0" fontId="13" fillId="0" borderId="1" xfId="0" applyFont="1" applyBorder="1"/>
    <xf numFmtId="3" fontId="0" fillId="0" borderId="1" xfId="0" applyNumberFormat="1" applyBorder="1"/>
    <xf numFmtId="164" fontId="0" fillId="4" borderId="1" xfId="0" applyNumberFormat="1" applyFill="1" applyBorder="1"/>
    <xf numFmtId="164" fontId="0" fillId="8" borderId="1" xfId="0" applyNumberFormat="1" applyFill="1" applyBorder="1"/>
    <xf numFmtId="166" fontId="0" fillId="0" borderId="1" xfId="0" applyNumberFormat="1" applyBorder="1"/>
    <xf numFmtId="4" fontId="0" fillId="7" borderId="1" xfId="0" applyNumberFormat="1" applyFill="1" applyBorder="1"/>
    <xf numFmtId="0" fontId="14" fillId="0" borderId="0" xfId="0" applyFont="1" applyAlignment="1">
      <alignment horizontal="left" vertical="top"/>
    </xf>
    <xf numFmtId="0" fontId="9" fillId="3" borderId="0" xfId="0" applyFont="1" applyFill="1"/>
    <xf numFmtId="0" fontId="0" fillId="0" borderId="1" xfId="0" applyBorder="1" applyAlignment="1">
      <alignment vertical="top" wrapText="1"/>
    </xf>
    <xf numFmtId="0" fontId="15" fillId="6" borderId="1" xfId="0" applyFont="1" applyFill="1" applyBorder="1"/>
    <xf numFmtId="165" fontId="0" fillId="0" borderId="1" xfId="0" applyNumberFormat="1" applyBorder="1"/>
    <xf numFmtId="0" fontId="11" fillId="0" borderId="1" xfId="0" applyFont="1" applyBorder="1"/>
    <xf numFmtId="3" fontId="3" fillId="0" borderId="0" xfId="0" applyNumberFormat="1" applyFont="1"/>
    <xf numFmtId="0" fontId="3" fillId="0" borderId="1" xfId="0" applyFont="1" applyBorder="1"/>
    <xf numFmtId="167" fontId="0" fillId="6" borderId="1" xfId="0" applyNumberFormat="1" applyFill="1" applyBorder="1"/>
    <xf numFmtId="167" fontId="0" fillId="7" borderId="1" xfId="0" applyNumberFormat="1" applyFill="1" applyBorder="1"/>
    <xf numFmtId="0" fontId="16" fillId="0" borderId="1" xfId="0" applyFont="1" applyBorder="1"/>
    <xf numFmtId="167" fontId="0" fillId="0" borderId="1" xfId="0" applyNumberFormat="1" applyBorder="1"/>
    <xf numFmtId="4" fontId="0" fillId="6" borderId="1" xfId="0" applyNumberFormat="1" applyFill="1" applyBorder="1"/>
    <xf numFmtId="167" fontId="0" fillId="0" borderId="0" xfId="0" applyNumberFormat="1"/>
    <xf numFmtId="167" fontId="17" fillId="7" borderId="0" xfId="0" applyNumberFormat="1" applyFont="1" applyFill="1"/>
    <xf numFmtId="0" fontId="16" fillId="0" borderId="0" xfId="0" applyFont="1"/>
    <xf numFmtId="0" fontId="19" fillId="0" borderId="0" xfId="0" applyFont="1"/>
    <xf numFmtId="0" fontId="17" fillId="0" borderId="0" xfId="0" applyFont="1"/>
    <xf numFmtId="3" fontId="17" fillId="0" borderId="0" xfId="0" applyNumberFormat="1" applyFont="1"/>
    <xf numFmtId="168" fontId="17" fillId="0" borderId="0" xfId="0" applyNumberFormat="1" applyFont="1"/>
    <xf numFmtId="0" fontId="0" fillId="0" borderId="0" xfId="0" applyAlignment="1">
      <alignment vertical="top" wrapText="1"/>
    </xf>
    <xf numFmtId="166" fontId="0" fillId="9" borderId="0" xfId="0" applyNumberFormat="1" applyFill="1"/>
    <xf numFmtId="167" fontId="0" fillId="9" borderId="0" xfId="0" applyNumberFormat="1" applyFill="1"/>
    <xf numFmtId="4" fontId="0" fillId="7" borderId="0" xfId="0" applyNumberFormat="1" applyFill="1"/>
    <xf numFmtId="167" fontId="0" fillId="7" borderId="0" xfId="0" applyNumberFormat="1" applyFill="1"/>
    <xf numFmtId="168" fontId="0" fillId="7" borderId="0" xfId="0" applyNumberFormat="1" applyFill="1"/>
    <xf numFmtId="166" fontId="0" fillId="7" borderId="0" xfId="0" applyNumberFormat="1" applyFill="1"/>
    <xf numFmtId="0" fontId="0" fillId="7" borderId="0" xfId="0" applyFill="1"/>
    <xf numFmtId="166" fontId="0" fillId="0" borderId="0" xfId="0" applyNumberFormat="1"/>
    <xf numFmtId="168" fontId="0" fillId="0" borderId="0" xfId="0" applyNumberFormat="1"/>
    <xf numFmtId="167" fontId="0" fillId="8" borderId="1" xfId="0" applyNumberFormat="1" applyFill="1" applyBorder="1"/>
    <xf numFmtId="169" fontId="0" fillId="7" borderId="1" xfId="0" applyNumberFormat="1" applyFill="1" applyBorder="1"/>
    <xf numFmtId="166" fontId="0" fillId="7" borderId="1" xfId="0" applyNumberFormat="1" applyFill="1" applyBorder="1"/>
    <xf numFmtId="169" fontId="0" fillId="0" borderId="1" xfId="0" applyNumberFormat="1" applyBorder="1"/>
    <xf numFmtId="166" fontId="0" fillId="6" borderId="1" xfId="0" applyNumberFormat="1" applyFill="1" applyBorder="1"/>
    <xf numFmtId="168" fontId="0" fillId="0" borderId="1" xfId="0" applyNumberFormat="1" applyBorder="1"/>
    <xf numFmtId="166" fontId="21" fillId="7" borderId="1" xfId="0" applyNumberFormat="1" applyFont="1" applyFill="1" applyBorder="1"/>
    <xf numFmtId="166" fontId="0" fillId="8" borderId="1" xfId="0" applyNumberFormat="1" applyFill="1" applyBorder="1"/>
    <xf numFmtId="169" fontId="0" fillId="0" borderId="0" xfId="0" applyNumberFormat="1"/>
    <xf numFmtId="0" fontId="10" fillId="5" borderId="1" xfId="0" applyFont="1" applyFill="1" applyBorder="1" applyAlignment="1">
      <alignment vertical="center" wrapText="1"/>
    </xf>
    <xf numFmtId="0" fontId="9" fillId="3" borderId="1" xfId="0" applyFont="1" applyFill="1" applyBorder="1" applyAlignment="1">
      <alignment vertical="top" wrapText="1"/>
    </xf>
    <xf numFmtId="0" fontId="10" fillId="0" borderId="0" xfId="0" applyFont="1" applyAlignment="1">
      <alignment vertical="top" wrapText="1"/>
    </xf>
    <xf numFmtId="0" fontId="15" fillId="6" borderId="1" xfId="0" applyFont="1" applyFill="1" applyBorder="1" applyAlignment="1">
      <alignment vertical="top" wrapText="1"/>
    </xf>
    <xf numFmtId="0" fontId="0" fillId="3" borderId="1" xfId="0" applyFill="1" applyBorder="1"/>
    <xf numFmtId="0" fontId="0" fillId="8" borderId="1" xfId="0" applyFill="1" applyBorder="1"/>
    <xf numFmtId="0" fontId="23" fillId="0" borderId="0" xfId="0" applyFont="1" applyAlignment="1">
      <alignment vertical="top" wrapText="1"/>
    </xf>
    <xf numFmtId="167" fontId="17" fillId="0" borderId="0" xfId="0" applyNumberFormat="1" applyFont="1"/>
    <xf numFmtId="164" fontId="0" fillId="0" borderId="1" xfId="0" applyNumberFormat="1" applyBorder="1"/>
    <xf numFmtId="3" fontId="0" fillId="7" borderId="1" xfId="0" applyNumberFormat="1" applyFill="1" applyBorder="1"/>
    <xf numFmtId="0" fontId="0" fillId="0" borderId="1" xfId="0" applyBorder="1" applyAlignment="1">
      <alignment horizontal="center"/>
    </xf>
    <xf numFmtId="0" fontId="10" fillId="0" borderId="0" xfId="0" applyFont="1"/>
    <xf numFmtId="0" fontId="12" fillId="0" borderId="0" xfId="0" applyFont="1"/>
    <xf numFmtId="0" fontId="8" fillId="5" borderId="1" xfId="0" applyFont="1" applyFill="1" applyBorder="1"/>
    <xf numFmtId="0" fontId="10" fillId="0" borderId="1" xfId="0" applyFont="1" applyBorder="1"/>
    <xf numFmtId="0" fontId="20" fillId="10" borderId="1" xfId="0" applyFont="1" applyFill="1" applyBorder="1" applyAlignment="1">
      <alignment vertical="top" wrapText="1"/>
    </xf>
    <xf numFmtId="4" fontId="0" fillId="0" borderId="1" xfId="0" applyNumberFormat="1" applyBorder="1"/>
    <xf numFmtId="0" fontId="9" fillId="3" borderId="1" xfId="0" applyFont="1" applyFill="1" applyBorder="1" applyAlignment="1">
      <alignment horizontal="center"/>
    </xf>
    <xf numFmtId="0" fontId="0" fillId="10" borderId="1" xfId="0" applyFill="1" applyBorder="1"/>
    <xf numFmtId="166" fontId="0" fillId="10" borderId="1" xfId="0" applyNumberFormat="1" applyFill="1" applyBorder="1"/>
    <xf numFmtId="0" fontId="20" fillId="10" borderId="1" xfId="0" applyFont="1" applyFill="1" applyBorder="1" applyAlignment="1">
      <alignment horizontal="center"/>
    </xf>
    <xf numFmtId="167" fontId="0" fillId="10" borderId="1" xfId="0" applyNumberFormat="1" applyFill="1" applyBorder="1"/>
    <xf numFmtId="0" fontId="0" fillId="10" borderId="1" xfId="0" applyFill="1" applyBorder="1" applyAlignment="1">
      <alignment vertical="top" wrapText="1"/>
    </xf>
    <xf numFmtId="0" fontId="20" fillId="10" borderId="0" xfId="0" applyFont="1" applyFill="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3" fillId="11" borderId="0" xfId="0" applyFont="1" applyFill="1"/>
    <xf numFmtId="0" fontId="25" fillId="0" borderId="0" xfId="0" applyFont="1"/>
    <xf numFmtId="0" fontId="26" fillId="0" borderId="1" xfId="0" applyFont="1" applyBorder="1" applyAlignment="1">
      <alignment vertical="top" wrapText="1"/>
    </xf>
    <xf numFmtId="0" fontId="27" fillId="0" borderId="1" xfId="0" applyFont="1" applyBorder="1" applyAlignment="1">
      <alignment vertical="top" wrapText="1"/>
    </xf>
    <xf numFmtId="0" fontId="28" fillId="0" borderId="1" xfId="0" applyFont="1" applyBorder="1"/>
    <xf numFmtId="0" fontId="2" fillId="3" borderId="0" xfId="0" applyFont="1" applyFill="1"/>
    <xf numFmtId="0" fontId="0" fillId="3" borderId="0" xfId="0" applyFill="1"/>
    <xf numFmtId="0" fontId="15" fillId="0" borderId="0" xfId="0" applyFont="1" applyAlignment="1">
      <alignment vertical="top" wrapText="1"/>
    </xf>
    <xf numFmtId="0" fontId="15" fillId="6" borderId="0" xfId="0" applyFont="1" applyFill="1"/>
    <xf numFmtId="0" fontId="0" fillId="6" borderId="0" xfId="0" applyFill="1"/>
    <xf numFmtId="0" fontId="0" fillId="10" borderId="0" xfId="0" applyFill="1"/>
    <xf numFmtId="0" fontId="4" fillId="13" borderId="1" xfId="0" applyFont="1" applyFill="1" applyBorder="1"/>
    <xf numFmtId="0" fontId="2" fillId="6" borderId="0" xfId="0" applyFont="1" applyFill="1"/>
    <xf numFmtId="0" fontId="17" fillId="0" borderId="1" xfId="0" applyFont="1" applyBorder="1"/>
    <xf numFmtId="0" fontId="9" fillId="0" borderId="1" xfId="0" applyFont="1" applyBorder="1"/>
    <xf numFmtId="0" fontId="30" fillId="0" borderId="1" xfId="0" applyFont="1" applyBorder="1"/>
    <xf numFmtId="0" fontId="31" fillId="0" borderId="1" xfId="0" applyFont="1" applyBorder="1"/>
    <xf numFmtId="0" fontId="13" fillId="0" borderId="0" xfId="0" applyFont="1"/>
    <xf numFmtId="4" fontId="0" fillId="8" borderId="0" xfId="0" applyNumberFormat="1" applyFill="1"/>
    <xf numFmtId="4" fontId="0" fillId="6" borderId="0" xfId="0" applyNumberFormat="1" applyFill="1"/>
    <xf numFmtId="4" fontId="0" fillId="0" borderId="0" xfId="0" applyNumberFormat="1"/>
    <xf numFmtId="0" fontId="32" fillId="0" borderId="0" xfId="0" applyFont="1"/>
    <xf numFmtId="0" fontId="13" fillId="13" borderId="0" xfId="0" applyFont="1" applyFill="1"/>
    <xf numFmtId="0" fontId="9" fillId="0" borderId="0" xfId="0" applyFont="1" applyAlignment="1">
      <alignment vertical="top" wrapText="1"/>
    </xf>
    <xf numFmtId="168" fontId="0" fillId="6" borderId="1" xfId="0" applyNumberFormat="1" applyFill="1" applyBorder="1"/>
    <xf numFmtId="3" fontId="0" fillId="6" borderId="1" xfId="0" applyNumberFormat="1" applyFill="1" applyBorder="1"/>
    <xf numFmtId="0" fontId="3" fillId="0" borderId="1" xfId="0" applyFont="1" applyBorder="1" applyAlignment="1">
      <alignment vertical="top" wrapText="1"/>
    </xf>
    <xf numFmtId="0" fontId="0" fillId="8" borderId="1" xfId="0" applyFill="1" applyBorder="1" applyAlignment="1">
      <alignment vertical="top" wrapText="1"/>
    </xf>
    <xf numFmtId="0" fontId="20" fillId="10" borderId="0" xfId="0" applyFont="1" applyFill="1" applyAlignment="1">
      <alignment vertical="top" wrapText="1"/>
    </xf>
    <xf numFmtId="0" fontId="22" fillId="2" borderId="0" xfId="0" applyFont="1" applyFill="1" applyAlignment="1">
      <alignment vertical="top" wrapText="1" indent="1"/>
    </xf>
    <xf numFmtId="0" fontId="3" fillId="8" borderId="0" xfId="0" applyFont="1" applyFill="1" applyAlignment="1">
      <alignment vertical="top" wrapText="1" indent="1"/>
    </xf>
    <xf numFmtId="0" fontId="4" fillId="0" borderId="0" xfId="0" applyFont="1" applyAlignment="1">
      <alignment vertical="top" wrapText="1" indent="1"/>
    </xf>
    <xf numFmtId="0" fontId="18" fillId="0" borderId="0" xfId="0" applyFont="1" applyAlignment="1">
      <alignment vertical="top" wrapText="1"/>
    </xf>
    <xf numFmtId="0" fontId="3" fillId="4" borderId="0" xfId="0" applyFont="1" applyFill="1" applyAlignment="1">
      <alignment vertical="top" wrapText="1"/>
    </xf>
    <xf numFmtId="0" fontId="0" fillId="0" borderId="1" xfId="0" applyBorder="1" applyAlignment="1">
      <alignment vertical="top" wrapText="1"/>
    </xf>
    <xf numFmtId="0" fontId="9" fillId="3" borderId="1" xfId="0" applyFont="1" applyFill="1" applyBorder="1" applyAlignment="1">
      <alignment vertical="top" wrapText="1"/>
    </xf>
    <xf numFmtId="0" fontId="20" fillId="10" borderId="1" xfId="0" applyFont="1" applyFill="1" applyBorder="1" applyAlignment="1">
      <alignment vertical="top" wrapText="1"/>
    </xf>
    <xf numFmtId="0" fontId="24" fillId="4" borderId="0" xfId="0" applyFont="1" applyFill="1" applyAlignment="1">
      <alignment vertical="center" wrapText="1"/>
    </xf>
    <xf numFmtId="0" fontId="4" fillId="0" borderId="0" xfId="0" applyFont="1"/>
    <xf numFmtId="0" fontId="24" fillId="0" borderId="0" xfId="0" applyFont="1"/>
    <xf numFmtId="0" fontId="3" fillId="0" borderId="0" xfId="0" applyFont="1" applyAlignment="1">
      <alignment vertical="top" wrapText="1"/>
    </xf>
    <xf numFmtId="0" fontId="29" fillId="14" borderId="0" xfId="0" applyFont="1" applyFill="1" applyAlignment="1">
      <alignment horizontal="left" vertical="top"/>
    </xf>
    <xf numFmtId="0" fontId="29" fillId="15" borderId="0" xfId="0" applyFont="1" applyFill="1" applyAlignment="1">
      <alignment horizontal="left" vertical="top"/>
    </xf>
    <xf numFmtId="0" fontId="0" fillId="16" borderId="0" xfId="0" applyFill="1"/>
    <xf numFmtId="0" fontId="0" fillId="16" borderId="0" xfId="0" applyFill="1" applyAlignment="1">
      <alignment horizontal="center" wrapText="1"/>
    </xf>
    <xf numFmtId="0" fontId="4" fillId="16" borderId="2" xfId="0" applyFont="1" applyFill="1" applyBorder="1" applyAlignment="1">
      <alignment vertical="top" wrapText="1"/>
    </xf>
  </cellXfs>
  <cellStyles count="1">
    <cellStyle name="Normal" xfId="0" builtinId="0"/>
  </cellStyles>
  <dxfs count="29">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D9EAD3"/>
      <rgbColor rgb="FFFF00FF"/>
      <rgbColor rgb="FF00FFFF"/>
      <rgbColor rgb="FF9C0006"/>
      <rgbColor rgb="FF107C10"/>
      <rgbColor rgb="FF000080"/>
      <rgbColor rgb="FF9C6500"/>
      <rgbColor rgb="FF800080"/>
      <rgbColor rgb="FF2E5A88"/>
      <rgbColor rgb="FFBFBFBF"/>
      <rgbColor rgb="FF808080"/>
      <rgbColor rgb="FF878787"/>
      <rgbColor rgb="FFC0392B"/>
      <rgbColor rgb="FFFFF2CC"/>
      <rgbColor rgb="FFE2EFDA"/>
      <rgbColor rgb="FF666666"/>
      <rgbColor rgb="FFFF8080"/>
      <rgbColor rgb="FF2F5597"/>
      <rgbColor rgb="FFD9D2E9"/>
      <rgbColor rgb="FF000080"/>
      <rgbColor rgb="FFFF00FF"/>
      <rgbColor rgb="FFF2F2F2"/>
      <rgbColor rgb="FF00FFFF"/>
      <rgbColor rgb="FF800080"/>
      <rgbColor rgb="FF800000"/>
      <rgbColor rgb="FF1F4E79"/>
      <rgbColor rgb="FF0000FF"/>
      <rgbColor rgb="FF00CCFF"/>
      <rgbColor rgb="FFDCE6F1"/>
      <rgbColor rgb="FFC6EFCE"/>
      <rgbColor rgb="FFFCE5CD"/>
      <rgbColor rgb="FFD9D9D9"/>
      <rgbColor rgb="FFFCE4D6"/>
      <rgbColor rgb="FF7F7F7F"/>
      <rgbColor rgb="FFFFC7CE"/>
      <rgbColor rgb="FF4F81BD"/>
      <rgbColor rgb="FF4BACC6"/>
      <rgbColor rgb="FF9BBB59"/>
      <rgbColor rgb="FFFFCC00"/>
      <rgbColor rgb="FFFF9900"/>
      <rgbColor rgb="FFC55A11"/>
      <rgbColor rgb="FF8064A2"/>
      <rgbColor rgb="FF888888"/>
      <rgbColor rgb="FF1F3A5F"/>
      <rgbColor rgb="FF548235"/>
      <rgbColor rgb="FF006100"/>
      <rgbColor rgb="FF555555"/>
      <rgbColor rgb="FF9C2B2E"/>
      <rgbColor rgb="FFC0504D"/>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GB" sz="1800" b="1" u="none" strike="noStrike">
                <a:solidFill>
                  <a:srgbClr val="000000"/>
                </a:solidFill>
                <a:uFillTx/>
                <a:latin typeface="Calibri"/>
              </a:rPr>
              <a:t>£/m³/yr vs output — the sweet-spot curve</a:t>
            </a:r>
          </a:p>
        </c:rich>
      </c:tx>
      <c:overlay val="0"/>
      <c:spPr>
        <a:noFill/>
        <a:ln w="0">
          <a:noFill/>
        </a:ln>
      </c:spPr>
    </c:title>
    <c:autoTitleDeleted val="0"/>
    <c:plotArea>
      <c:layout/>
      <c:lineChart>
        <c:grouping val="standard"/>
        <c:varyColors val="0"/>
        <c:ser>
          <c:idx val="0"/>
          <c:order val="0"/>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cat>
            <c:numRef>
              <c:f>'Financial model'!$A$38:$A$50</c:f>
              <c:numCache>
                <c:formatCode>#,##0.0</c:formatCode>
                <c:ptCount val="13"/>
                <c:pt idx="0">
                  <c:v>90000</c:v>
                </c:pt>
                <c:pt idx="1">
                  <c:v>113392.89449053859</c:v>
                </c:pt>
                <c:pt idx="2">
                  <c:v>142866.09467713794</c:v>
                </c:pt>
                <c:pt idx="3">
                  <c:v>180000</c:v>
                </c:pt>
                <c:pt idx="4">
                  <c:v>226785.78898107714</c:v>
                </c:pt>
                <c:pt idx="5">
                  <c:v>285732.18935427588</c:v>
                </c:pt>
                <c:pt idx="6">
                  <c:v>360000</c:v>
                </c:pt>
                <c:pt idx="7">
                  <c:v>453571.57796215441</c:v>
                </c:pt>
                <c:pt idx="8">
                  <c:v>571464.37870855175</c:v>
                </c:pt>
                <c:pt idx="9">
                  <c:v>719999.99999999988</c:v>
                </c:pt>
                <c:pt idx="10">
                  <c:v>907143.1559243087</c:v>
                </c:pt>
                <c:pt idx="11">
                  <c:v>1142928.7574171033</c:v>
                </c:pt>
                <c:pt idx="12">
                  <c:v>1440000</c:v>
                </c:pt>
              </c:numCache>
            </c:numRef>
          </c:cat>
          <c:val>
            <c:numRef>
              <c:f>'Financial model'!$C$38:$C$50</c:f>
              <c:numCache>
                <c:formatCode>\£#,##0.00</c:formatCode>
                <c:ptCount val="13"/>
                <c:pt idx="0">
                  <c:v>2.8125444444444443</c:v>
                </c:pt>
                <c:pt idx="1">
                  <c:v>2.5940602479685664</c:v>
                </c:pt>
                <c:pt idx="2">
                  <c:v>2.3925410768206463</c:v>
                </c:pt>
                <c:pt idx="3">
                  <c:v>2.2066833333333333</c:v>
                </c:pt>
                <c:pt idx="4">
                  <c:v>2.0352598020968276</c:v>
                </c:pt>
                <c:pt idx="5">
                  <c:v>1.8771528724576776</c:v>
                </c:pt>
                <c:pt idx="6">
                  <c:v>1.7313277777777778</c:v>
                </c:pt>
                <c:pt idx="7">
                  <c:v>1.5968306551616269</c:v>
                </c:pt>
                <c:pt idx="8">
                  <c:v>1.4727829613842651</c:v>
                </c:pt>
                <c:pt idx="9">
                  <c:v>1.3583722222222225</c:v>
                </c:pt>
                <c:pt idx="10">
                  <c:v>1.2528485637330098</c:v>
                </c:pt>
                <c:pt idx="11">
                  <c:v>1.1555225917883067</c:v>
                </c:pt>
                <c:pt idx="12">
                  <c:v>1.0657569444444444</c:v>
                </c:pt>
              </c:numCache>
            </c:numRef>
          </c:val>
          <c:smooth val="0"/>
          <c:extLst>
            <c:ext xmlns:c16="http://schemas.microsoft.com/office/drawing/2014/chart" uri="{C3380CC4-5D6E-409C-BE32-E72D297353CC}">
              <c16:uniqueId val="{00000000-E182-D54A-97FC-AD7D7DB1A20C}"/>
            </c:ext>
          </c:extLst>
        </c:ser>
        <c:dLbls>
          <c:showLegendKey val="0"/>
          <c:showVal val="0"/>
          <c:showCatName val="0"/>
          <c:showSerName val="0"/>
          <c:showPercent val="0"/>
          <c:showBubbleSize val="0"/>
        </c:dLbls>
        <c:hiLowLines>
          <c:spPr>
            <a:ln w="0">
              <a:noFill/>
            </a:ln>
          </c:spPr>
        </c:hiLowLines>
        <c:smooth val="0"/>
        <c:axId val="70000001"/>
        <c:axId val="70000002"/>
      </c:lineChart>
      <c:catAx>
        <c:axId val="70000001"/>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auto val="1"/>
        <c:lblAlgn val="ctr"/>
        <c:lblOffset val="100"/>
        <c:noMultiLvlLbl val="0"/>
      </c:catAx>
      <c:valAx>
        <c:axId val="70000002"/>
        <c:scaling>
          <c:orientation val="minMax"/>
        </c:scaling>
        <c:delete val="0"/>
        <c:axPos val="l"/>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Opex breakdown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FC1A-A248-BCE6-A882C82F0443}"/>
              </c:ext>
            </c:extLst>
          </c:dPt>
          <c:dPt>
            <c:idx val="1"/>
            <c:bubble3D val="0"/>
            <c:spPr>
              <a:solidFill>
                <a:srgbClr val="C0504D"/>
              </a:solidFill>
              <a:ln w="12600">
                <a:noFill/>
              </a:ln>
            </c:spPr>
            <c:extLst>
              <c:ext xmlns:c16="http://schemas.microsoft.com/office/drawing/2014/chart" uri="{C3380CC4-5D6E-409C-BE32-E72D297353CC}">
                <c16:uniqueId val="{00000003-FC1A-A248-BCE6-A882C82F0443}"/>
              </c:ext>
            </c:extLst>
          </c:dPt>
          <c:dPt>
            <c:idx val="2"/>
            <c:bubble3D val="0"/>
            <c:spPr>
              <a:solidFill>
                <a:srgbClr val="9BBB59"/>
              </a:solidFill>
              <a:ln w="12600">
                <a:noFill/>
              </a:ln>
            </c:spPr>
            <c:extLst>
              <c:ext xmlns:c16="http://schemas.microsoft.com/office/drawing/2014/chart" uri="{C3380CC4-5D6E-409C-BE32-E72D297353CC}">
                <c16:uniqueId val="{00000005-FC1A-A248-BCE6-A882C82F0443}"/>
              </c:ext>
            </c:extLst>
          </c:dPt>
          <c:dPt>
            <c:idx val="3"/>
            <c:bubble3D val="0"/>
            <c:spPr>
              <a:solidFill>
                <a:srgbClr val="8064A2"/>
              </a:solidFill>
              <a:ln w="12600">
                <a:noFill/>
              </a:ln>
            </c:spPr>
            <c:extLst>
              <c:ext xmlns:c16="http://schemas.microsoft.com/office/drawing/2014/chart" uri="{C3380CC4-5D6E-409C-BE32-E72D297353CC}">
                <c16:uniqueId val="{00000007-FC1A-A248-BCE6-A882C82F0443}"/>
              </c:ext>
            </c:extLst>
          </c:dPt>
          <c:dPt>
            <c:idx val="4"/>
            <c:bubble3D val="0"/>
            <c:spPr>
              <a:solidFill>
                <a:srgbClr val="4BACC6"/>
              </a:solidFill>
              <a:ln w="12600">
                <a:noFill/>
              </a:ln>
            </c:spPr>
            <c:extLst>
              <c:ext xmlns:c16="http://schemas.microsoft.com/office/drawing/2014/chart" uri="{C3380CC4-5D6E-409C-BE32-E72D297353CC}">
                <c16:uniqueId val="{00000009-FC1A-A248-BCE6-A882C82F0443}"/>
              </c:ext>
            </c:extLst>
          </c:dPt>
          <c:dLbls>
            <c:dLbl>
              <c:idx val="0"/>
              <c:spPr/>
              <c:txPr>
                <a:bodyPr wrap="square"/>
                <a:lstStyle/>
                <a:p>
                  <a:pPr>
                    <a:defRPr sz="1000" b="0" u="none" strike="noStrike">
                      <a:solidFill>
                        <a:srgbClr val="000000"/>
                      </a:solidFill>
                      <a:uFillTx/>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1-FC1A-A248-BCE6-A882C82F0443}"/>
                </c:ext>
              </c:extLst>
            </c:dLbl>
            <c:dLbl>
              <c:idx val="1"/>
              <c:spPr/>
              <c:txPr>
                <a:bodyPr wrap="square"/>
                <a:lstStyle/>
                <a:p>
                  <a:pPr>
                    <a:defRPr sz="1000" b="0" u="none" strike="noStrike">
                      <a:solidFill>
                        <a:srgbClr val="000000"/>
                      </a:solidFill>
                      <a:uFillTx/>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3-FC1A-A248-BCE6-A882C82F0443}"/>
                </c:ext>
              </c:extLst>
            </c:dLbl>
            <c:dLbl>
              <c:idx val="2"/>
              <c:spPr/>
              <c:txPr>
                <a:bodyPr wrap="square"/>
                <a:lstStyle/>
                <a:p>
                  <a:pPr>
                    <a:defRPr sz="1000" b="0" u="none" strike="noStrike">
                      <a:solidFill>
                        <a:srgbClr val="000000"/>
                      </a:solidFill>
                      <a:uFillTx/>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5-FC1A-A248-BCE6-A882C82F0443}"/>
                </c:ext>
              </c:extLst>
            </c:dLbl>
            <c:dLbl>
              <c:idx val="3"/>
              <c:spPr/>
              <c:txPr>
                <a:bodyPr wrap="square"/>
                <a:lstStyle/>
                <a:p>
                  <a:pPr>
                    <a:defRPr sz="1000" b="0" u="none" strike="noStrike">
                      <a:solidFill>
                        <a:srgbClr val="000000"/>
                      </a:solidFill>
                      <a:uFillTx/>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7-FC1A-A248-BCE6-A882C82F0443}"/>
                </c:ext>
              </c:extLst>
            </c:dLbl>
            <c:dLbl>
              <c:idx val="4"/>
              <c:spPr/>
              <c:txPr>
                <a:bodyPr wrap="square"/>
                <a:lstStyle/>
                <a:p>
                  <a:pPr>
                    <a:defRPr sz="1000" b="0" u="none" strike="noStrike">
                      <a:solidFill>
                        <a:srgbClr val="000000"/>
                      </a:solidFill>
                      <a:uFillTx/>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9-FC1A-A248-BCE6-A882C82F0443}"/>
                </c:ext>
              </c:extLst>
            </c:dLbl>
            <c:spPr>
              <a:noFill/>
              <a:ln>
                <a:noFill/>
              </a:ln>
              <a:effectLst/>
            </c:spPr>
            <c:txPr>
              <a:bodyPr wrap="square"/>
              <a:lstStyle/>
              <a:p>
                <a:pPr>
                  <a:defRPr sz="1000" b="0" u="none" strike="noStrike">
                    <a:solidFill>
                      <a:srgbClr val="000000"/>
                    </a:solidFill>
                    <a:uFillTx/>
                    <a:latin typeface="Calibri"/>
                  </a:defRPr>
                </a:pPr>
                <a:endParaRPr lang="en-US"/>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'Financial model'!$A$118:$A$122</c:f>
              <c:strCache>
                <c:ptCount val="5"/>
                <c:pt idx="0">
                  <c:v>Consumables — dosing chemicals · nutrient / fertiliser stock</c:v>
                </c:pt>
                <c:pt idx="1">
                  <c:v>Energy</c:v>
                </c:pt>
                <c:pt idx="2">
                  <c:v>Labour</c:v>
                </c:pt>
                <c:pt idx="3">
                  <c:v>Maintenance</c:v>
                </c:pt>
                <c:pt idx="4">
                  <c:v>Other</c:v>
                </c:pt>
              </c:strCache>
            </c:strRef>
          </c:cat>
          <c:val>
            <c:numRef>
              <c:f>'Financial model'!$B$118:$B$122</c:f>
              <c:numCache>
                <c:formatCode>\£#,##0</c:formatCode>
                <c:ptCount val="5"/>
                <c:pt idx="0">
                  <c:v>0</c:v>
                </c:pt>
                <c:pt idx="1">
                  <c:v>41340</c:v>
                </c:pt>
                <c:pt idx="2">
                  <c:v>25000</c:v>
                </c:pt>
                <c:pt idx="3">
                  <c:v>40818.39</c:v>
                </c:pt>
                <c:pt idx="4">
                  <c:v>27212</c:v>
                </c:pt>
              </c:numCache>
            </c:numRef>
          </c:val>
          <c:extLst>
            <c:ext xmlns:c16="http://schemas.microsoft.com/office/drawing/2014/chart" uri="{C3380CC4-5D6E-409C-BE32-E72D297353CC}">
              <c16:uniqueId val="{0000000A-FC1A-A248-BCE6-A882C82F0443}"/>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Revenue vs Opex vs EBITDA</a:t>
            </a:r>
          </a:p>
        </c:rich>
      </c:tx>
      <c:overlay val="0"/>
      <c:spPr>
        <a:noFill/>
        <a:ln w="0">
          <a:noFill/>
        </a:ln>
      </c:spPr>
    </c:title>
    <c:autoTitleDeleted val="0"/>
    <c:plotArea>
      <c:layout/>
      <c:barChart>
        <c:barDir val="col"/>
        <c:grouping val="clustered"/>
        <c:varyColors val="0"/>
        <c:ser>
          <c:idx val="0"/>
          <c:order val="0"/>
          <c:spPr>
            <a:solidFill>
              <a:srgbClr val="2F5496"/>
            </a:solidFill>
            <a:ln w="28080">
              <a:solidFill>
                <a:srgbClr val="2F5496"/>
              </a:solidFill>
              <a:round/>
            </a:ln>
          </c:spPr>
          <c:invertIfNegative val="0"/>
          <c:dLbls>
            <c:spPr>
              <a:noFill/>
              <a:ln>
                <a:noFill/>
              </a:ln>
              <a:effectLst/>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2F5496"/>
                      </a:solidFill>
                    </a:ln>
                  </c:spPr>
                </c15:leaderLines>
              </c:ext>
            </c:extLst>
          </c:dLbls>
          <c:cat>
            <c:strRef>
              <c:f>'Financial model'!$A$124:$A$126</c:f>
              <c:strCache>
                <c:ptCount val="3"/>
                <c:pt idx="0">
                  <c:v>Revenue</c:v>
                </c:pt>
                <c:pt idx="1">
                  <c:v>Total opex</c:v>
                </c:pt>
                <c:pt idx="2">
                  <c:v>EBITDA</c:v>
                </c:pt>
              </c:strCache>
            </c:strRef>
          </c:cat>
          <c:val>
            <c:numRef>
              <c:f>'Financial model'!$B$124:$B$126</c:f>
              <c:numCache>
                <c:formatCode>\£#,##0</c:formatCode>
                <c:ptCount val="3"/>
                <c:pt idx="0">
                  <c:v>0</c:v>
                </c:pt>
                <c:pt idx="1">
                  <c:v>134370.39000000001</c:v>
                </c:pt>
                <c:pt idx="2">
                  <c:v>-134370.39000000001</c:v>
                </c:pt>
              </c:numCache>
            </c:numRef>
          </c:val>
          <c:extLst>
            <c:ext xmlns:c16="http://schemas.microsoft.com/office/drawing/2014/chart" uri="{C3380CC4-5D6E-409C-BE32-E72D297353CC}">
              <c16:uniqueId val="{00000000-C282-D04A-81D9-42CE8D58D8EC}"/>
            </c:ext>
          </c:extLst>
        </c:ser>
        <c:dLbls>
          <c:showLegendKey val="0"/>
          <c:showVal val="0"/>
          <c:showCatName val="0"/>
          <c:showSerName val="0"/>
          <c:showPercent val="0"/>
          <c:showBubbleSize val="0"/>
        </c:dLbls>
        <c:gapWidth val="150"/>
        <c:axId val="70000001"/>
        <c:axId val="70000002"/>
      </c:barChart>
      <c:catAx>
        <c:axId val="70000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auto val="1"/>
        <c:lblAlgn val="ctr"/>
        <c:lblOffset val="100"/>
        <c:noMultiLvlLbl val="0"/>
      </c:catAx>
      <c:valAx>
        <c:axId val="7000000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Capex vs output</a:t>
            </a:r>
          </a:p>
        </c:rich>
      </c:tx>
      <c:overlay val="0"/>
      <c:spPr>
        <a:noFill/>
        <a:ln w="0">
          <a:noFill/>
        </a:ln>
      </c:spPr>
    </c:title>
    <c:autoTitleDeleted val="0"/>
    <c:plotArea>
      <c:layout/>
      <c:lineChart>
        <c:grouping val="standard"/>
        <c:varyColors val="0"/>
        <c:ser>
          <c:idx val="0"/>
          <c:order val="0"/>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cat>
            <c:numRef>
              <c:f>'Financial model'!$A$132:$A$147</c:f>
              <c:numCache>
                <c:formatCode>#,##0.0</c:formatCode>
                <c:ptCount val="16"/>
                <c:pt idx="0">
                  <c:v>9</c:v>
                </c:pt>
                <c:pt idx="1">
                  <c:v>11.154199999999999</c:v>
                </c:pt>
                <c:pt idx="2">
                  <c:v>13.824</c:v>
                </c:pt>
                <c:pt idx="3">
                  <c:v>17.132899999999999</c:v>
                </c:pt>
                <c:pt idx="4">
                  <c:v>21.233699999999999</c:v>
                </c:pt>
                <c:pt idx="5">
                  <c:v>26.316199999999998</c:v>
                </c:pt>
                <c:pt idx="6">
                  <c:v>32.615099999999998</c:v>
                </c:pt>
                <c:pt idx="7">
                  <c:v>40.421700000000001</c:v>
                </c:pt>
                <c:pt idx="8">
                  <c:v>50.096899999999998</c:v>
                </c:pt>
                <c:pt idx="9">
                  <c:v>62.087800000000001</c:v>
                </c:pt>
                <c:pt idx="10">
                  <c:v>76.948899999999995</c:v>
                </c:pt>
                <c:pt idx="11">
                  <c:v>95.367099999999994</c:v>
                </c:pt>
                <c:pt idx="12">
                  <c:v>118.1938</c:v>
                </c:pt>
                <c:pt idx="13">
                  <c:v>146.48410000000001</c:v>
                </c:pt>
                <c:pt idx="14">
                  <c:v>181.54589999999999</c:v>
                </c:pt>
                <c:pt idx="15">
                  <c:v>225</c:v>
                </c:pt>
              </c:numCache>
            </c:numRef>
          </c:cat>
          <c:val>
            <c:numRef>
              <c:f>'Financial model'!$B$132:$B$147</c:f>
              <c:numCache>
                <c:formatCode>\£#,##0</c:formatCode>
                <c:ptCount val="16"/>
                <c:pt idx="0">
                  <c:v>272122.60000000003</c:v>
                </c:pt>
                <c:pt idx="1">
                  <c:v>337256.65610222222</c:v>
                </c:pt>
                <c:pt idx="2">
                  <c:v>417980.31359999994</c:v>
                </c:pt>
                <c:pt idx="3">
                  <c:v>518027.69928222219</c:v>
                </c:pt>
                <c:pt idx="4">
                  <c:v>642018.85017999995</c:v>
                </c:pt>
                <c:pt idx="5">
                  <c:v>795692.52956888895</c:v>
                </c:pt>
                <c:pt idx="6">
                  <c:v>986145.09013999999</c:v>
                </c:pt>
                <c:pt idx="7">
                  <c:v>1222184.2333800001</c:v>
                </c:pt>
                <c:pt idx="8">
                  <c:v>1514722.0755488889</c:v>
                </c:pt>
                <c:pt idx="9">
                  <c:v>1877277.062697778</c:v>
                </c:pt>
                <c:pt idx="10">
                  <c:v>2326614.970571111</c:v>
                </c:pt>
                <c:pt idx="11">
                  <c:v>2883504.8007177776</c:v>
                </c:pt>
                <c:pt idx="12">
                  <c:v>3573689.3510977775</c:v>
                </c:pt>
                <c:pt idx="13">
                  <c:v>4429070.4611844448</c:v>
                </c:pt>
                <c:pt idx="14">
                  <c:v>5489193.591926666</c:v>
                </c:pt>
                <c:pt idx="15">
                  <c:v>6803065</c:v>
                </c:pt>
              </c:numCache>
            </c:numRef>
          </c:val>
          <c:smooth val="0"/>
          <c:extLst>
            <c:ext xmlns:c16="http://schemas.microsoft.com/office/drawing/2014/chart" uri="{C3380CC4-5D6E-409C-BE32-E72D297353CC}">
              <c16:uniqueId val="{00000000-7CBA-AC49-BD17-93B5FBC4AF0F}"/>
            </c:ext>
          </c:extLst>
        </c:ser>
        <c:dLbls>
          <c:showLegendKey val="0"/>
          <c:showVal val="0"/>
          <c:showCatName val="0"/>
          <c:showSerName val="0"/>
          <c:showPercent val="0"/>
          <c:showBubbleSize val="0"/>
        </c:dLbls>
        <c:hiLowLines>
          <c:spPr>
            <a:ln w="0">
              <a:noFill/>
            </a:ln>
          </c:spPr>
        </c:hiLowLines>
        <c:smooth val="0"/>
        <c:axId val="70000001"/>
        <c:axId val="70000002"/>
      </c:lineChart>
      <c:catAx>
        <c:axId val="70000001"/>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auto val="1"/>
        <c:lblAlgn val="ctr"/>
        <c:lblOffset val="100"/>
        <c:noMultiLvlLbl val="0"/>
      </c:catAx>
      <c:valAx>
        <c:axId val="7000000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Payback vs output</a:t>
            </a:r>
          </a:p>
        </c:rich>
      </c:tx>
      <c:overlay val="0"/>
      <c:spPr>
        <a:noFill/>
        <a:ln w="0">
          <a:noFill/>
        </a:ln>
      </c:spPr>
    </c:title>
    <c:autoTitleDeleted val="0"/>
    <c:plotArea>
      <c:layout/>
      <c:lineChart>
        <c:grouping val="standard"/>
        <c:varyColors val="0"/>
        <c:ser>
          <c:idx val="0"/>
          <c:order val="0"/>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cat>
            <c:numRef>
              <c:f>'Financial model'!$A$151:$A$166</c:f>
              <c:numCache>
                <c:formatCode>#,##0.0</c:formatCode>
                <c:ptCount val="16"/>
                <c:pt idx="0">
                  <c:v>9</c:v>
                </c:pt>
                <c:pt idx="1">
                  <c:v>11.154199999999999</c:v>
                </c:pt>
                <c:pt idx="2">
                  <c:v>13.824</c:v>
                </c:pt>
                <c:pt idx="3">
                  <c:v>17.132899999999999</c:v>
                </c:pt>
                <c:pt idx="4">
                  <c:v>21.233699999999999</c:v>
                </c:pt>
                <c:pt idx="5">
                  <c:v>26.316199999999998</c:v>
                </c:pt>
                <c:pt idx="6">
                  <c:v>32.615099999999998</c:v>
                </c:pt>
                <c:pt idx="7">
                  <c:v>40.421700000000001</c:v>
                </c:pt>
                <c:pt idx="8">
                  <c:v>50.096899999999998</c:v>
                </c:pt>
                <c:pt idx="9">
                  <c:v>62.087800000000001</c:v>
                </c:pt>
                <c:pt idx="10">
                  <c:v>76.948899999999995</c:v>
                </c:pt>
                <c:pt idx="11">
                  <c:v>95.367099999999994</c:v>
                </c:pt>
                <c:pt idx="12">
                  <c:v>118.1938</c:v>
                </c:pt>
                <c:pt idx="13">
                  <c:v>146.48410000000001</c:v>
                </c:pt>
                <c:pt idx="14">
                  <c:v>181.54589999999999</c:v>
                </c:pt>
                <c:pt idx="15">
                  <c:v>225</c:v>
                </c:pt>
              </c:numCache>
            </c:numRef>
          </c:cat>
          <c:val>
            <c:numRef>
              <c:f>'Financial model'!$B$151:$B$166</c:f>
              <c:numCache>
                <c:formatCode>#,##0.0</c:formatCode>
                <c:ptCount val="16"/>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numCache>
            </c:numRef>
          </c:val>
          <c:smooth val="0"/>
          <c:extLst>
            <c:ext xmlns:c16="http://schemas.microsoft.com/office/drawing/2014/chart" uri="{C3380CC4-5D6E-409C-BE32-E72D297353CC}">
              <c16:uniqueId val="{00000000-0A8E-914B-B8B2-A6EED872FD08}"/>
            </c:ext>
          </c:extLst>
        </c:ser>
        <c:dLbls>
          <c:showLegendKey val="0"/>
          <c:showVal val="0"/>
          <c:showCatName val="0"/>
          <c:showSerName val="0"/>
          <c:showPercent val="0"/>
          <c:showBubbleSize val="0"/>
        </c:dLbls>
        <c:hiLowLines>
          <c:spPr>
            <a:ln w="0">
              <a:noFill/>
            </a:ln>
          </c:spPr>
        </c:hiLowLines>
        <c:smooth val="0"/>
        <c:axId val="70000001"/>
        <c:axId val="70000002"/>
      </c:lineChart>
      <c:catAx>
        <c:axId val="70000001"/>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auto val="1"/>
        <c:lblAlgn val="ctr"/>
        <c:lblOffset val="100"/>
        <c:noMultiLvlLbl val="0"/>
      </c:catAx>
      <c:valAx>
        <c:axId val="70000002"/>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Scenario EBITDA — Low / Central / High</a:t>
            </a:r>
          </a:p>
        </c:rich>
      </c:tx>
      <c:overlay val="0"/>
      <c:spPr>
        <a:noFill/>
        <a:ln w="0">
          <a:noFill/>
        </a:ln>
      </c:spPr>
    </c:title>
    <c:autoTitleDeleted val="0"/>
    <c:plotArea>
      <c:layout/>
      <c:barChart>
        <c:barDir val="col"/>
        <c:grouping val="clustered"/>
        <c:varyColors val="0"/>
        <c:ser>
          <c:idx val="0"/>
          <c:order val="0"/>
          <c:spPr>
            <a:solidFill>
              <a:srgbClr val="2F5496"/>
            </a:solidFill>
            <a:ln w="28080">
              <a:solidFill>
                <a:srgbClr val="2F5496"/>
              </a:solidFill>
              <a:round/>
            </a:ln>
          </c:spPr>
          <c:invertIfNegative val="0"/>
          <c:dLbls>
            <c:spPr>
              <a:noFill/>
              <a:ln>
                <a:noFill/>
              </a:ln>
              <a:effectLst/>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2F5496"/>
                      </a:solidFill>
                    </a:ln>
                  </c:spPr>
                </c15:leaderLines>
              </c:ext>
            </c:extLst>
          </c:dLbls>
          <c:cat>
            <c:strRef>
              <c:f>'Financial model'!$A$192:$A$194</c:f>
              <c:strCache>
                <c:ptCount val="3"/>
                <c:pt idx="0">
                  <c:v>Low</c:v>
                </c:pt>
                <c:pt idx="1">
                  <c:v>Investment analysis — the sweet-spot finder</c:v>
                </c:pt>
                <c:pt idx="2">
                  <c:v>High</c:v>
                </c:pt>
              </c:strCache>
            </c:strRef>
          </c:cat>
          <c:val>
            <c:numRef>
              <c:f>'Financial model'!$B$192:$B$194</c:f>
              <c:numCache>
                <c:formatCode>General</c:formatCode>
                <c:ptCount val="3"/>
                <c:pt idx="0" formatCode="\£#,##0">
                  <c:v>-150828.14850000001</c:v>
                </c:pt>
                <c:pt idx="2" formatCode="\£#,##0">
                  <c:v>-117912.6315</c:v>
                </c:pt>
              </c:numCache>
            </c:numRef>
          </c:val>
          <c:extLst>
            <c:ext xmlns:c16="http://schemas.microsoft.com/office/drawing/2014/chart" uri="{C3380CC4-5D6E-409C-BE32-E72D297353CC}">
              <c16:uniqueId val="{00000000-7591-A745-A686-7DC26BD9943F}"/>
            </c:ext>
          </c:extLst>
        </c:ser>
        <c:dLbls>
          <c:showLegendKey val="0"/>
          <c:showVal val="0"/>
          <c:showCatName val="0"/>
          <c:showSerName val="0"/>
          <c:showPercent val="0"/>
          <c:showBubbleSize val="0"/>
        </c:dLbls>
        <c:gapWidth val="150"/>
        <c:axId val="70000001"/>
        <c:axId val="70000002"/>
      </c:barChart>
      <c:catAx>
        <c:axId val="70000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auto val="1"/>
        <c:lblAlgn val="ctr"/>
        <c:lblOffset val="100"/>
        <c:noMultiLvlLbl val="0"/>
      </c:catAx>
      <c:valAx>
        <c:axId val="7000000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IRR vs capex — crossings = viability &amp; investable points</a:t>
            </a:r>
          </a:p>
        </c:rich>
      </c:tx>
      <c:overlay val="0"/>
      <c:spPr>
        <a:noFill/>
        <a:ln w="0">
          <a:noFill/>
        </a:ln>
      </c:spPr>
    </c:title>
    <c:autoTitleDeleted val="0"/>
    <c:plotArea>
      <c:layout/>
      <c:scatterChart>
        <c:scatterStyle val="lineMarker"/>
        <c:varyColors val="0"/>
        <c:ser>
          <c:idx val="0"/>
          <c:order val="0"/>
          <c:tx>
            <c:v>IRR</c:v>
          </c:tx>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'Financial model'!$H$225:$H$240</c:f>
              <c:numCache>
                <c:formatCode>\£#,##0</c:formatCode>
                <c:ptCount val="16"/>
                <c:pt idx="0">
                  <c:v>272122.60000000003</c:v>
                </c:pt>
                <c:pt idx="1">
                  <c:v>337256.65610222222</c:v>
                </c:pt>
                <c:pt idx="2">
                  <c:v>417980.31359999994</c:v>
                </c:pt>
                <c:pt idx="3">
                  <c:v>518027.69928222219</c:v>
                </c:pt>
                <c:pt idx="4">
                  <c:v>642018.85017999995</c:v>
                </c:pt>
                <c:pt idx="5">
                  <c:v>795692.52956888895</c:v>
                </c:pt>
                <c:pt idx="6">
                  <c:v>986145.09013999999</c:v>
                </c:pt>
                <c:pt idx="7">
                  <c:v>1222184.2333800001</c:v>
                </c:pt>
                <c:pt idx="8">
                  <c:v>1514722.0755488889</c:v>
                </c:pt>
                <c:pt idx="9">
                  <c:v>1877277.062697778</c:v>
                </c:pt>
                <c:pt idx="10">
                  <c:v>2326614.970571111</c:v>
                </c:pt>
                <c:pt idx="11">
                  <c:v>2883504.8007177776</c:v>
                </c:pt>
                <c:pt idx="12">
                  <c:v>3573689.3510977775</c:v>
                </c:pt>
                <c:pt idx="13">
                  <c:v>4429070.4611844448</c:v>
                </c:pt>
                <c:pt idx="14">
                  <c:v>5489193.591926666</c:v>
                </c:pt>
                <c:pt idx="15">
                  <c:v>6803065</c:v>
                </c:pt>
              </c:numCache>
            </c:numRef>
          </c:xVal>
          <c:yVal>
            <c:numRef>
              <c:f>'Financial model'!$J$225:$J$240</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yVal>
          <c:smooth val="0"/>
          <c:extLst>
            <c:ext xmlns:c16="http://schemas.microsoft.com/office/drawing/2014/chart" uri="{C3380CC4-5D6E-409C-BE32-E72D297353CC}">
              <c16:uniqueId val="{00000000-9445-4140-B8F4-4E1B48DDD87D}"/>
            </c:ext>
          </c:extLst>
        </c:ser>
        <c:ser>
          <c:idx val="1"/>
          <c:order val="1"/>
          <c:tx>
            <c:v>Discount rate</c:v>
          </c:tx>
          <c:spPr>
            <a:ln w="28080">
              <a:solidFill>
                <a:srgbClr val="C0392B"/>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'Financial model'!$H$225:$H$240</c:f>
              <c:numCache>
                <c:formatCode>\£#,##0</c:formatCode>
                <c:ptCount val="16"/>
                <c:pt idx="0">
                  <c:v>272122.60000000003</c:v>
                </c:pt>
                <c:pt idx="1">
                  <c:v>337256.65610222222</c:v>
                </c:pt>
                <c:pt idx="2">
                  <c:v>417980.31359999994</c:v>
                </c:pt>
                <c:pt idx="3">
                  <c:v>518027.69928222219</c:v>
                </c:pt>
                <c:pt idx="4">
                  <c:v>642018.85017999995</c:v>
                </c:pt>
                <c:pt idx="5">
                  <c:v>795692.52956888895</c:v>
                </c:pt>
                <c:pt idx="6">
                  <c:v>986145.09013999999</c:v>
                </c:pt>
                <c:pt idx="7">
                  <c:v>1222184.2333800001</c:v>
                </c:pt>
                <c:pt idx="8">
                  <c:v>1514722.0755488889</c:v>
                </c:pt>
                <c:pt idx="9">
                  <c:v>1877277.062697778</c:v>
                </c:pt>
                <c:pt idx="10">
                  <c:v>2326614.970571111</c:v>
                </c:pt>
                <c:pt idx="11">
                  <c:v>2883504.8007177776</c:v>
                </c:pt>
                <c:pt idx="12">
                  <c:v>3573689.3510977775</c:v>
                </c:pt>
                <c:pt idx="13">
                  <c:v>4429070.4611844448</c:v>
                </c:pt>
                <c:pt idx="14">
                  <c:v>5489193.591926666</c:v>
                </c:pt>
                <c:pt idx="15">
                  <c:v>6803065</c:v>
                </c:pt>
              </c:numCache>
            </c:numRef>
          </c:xVal>
          <c:yVal>
            <c:numRef>
              <c:f>'Financial model'!$K$225:$K$240</c:f>
              <c:numCache>
                <c:formatCode>0.0%</c:formatCode>
                <c:ptCount val="16"/>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numCache>
            </c:numRef>
          </c:yVal>
          <c:smooth val="0"/>
          <c:extLst>
            <c:ext xmlns:c16="http://schemas.microsoft.com/office/drawing/2014/chart" uri="{C3380CC4-5D6E-409C-BE32-E72D297353CC}">
              <c16:uniqueId val="{00000001-9445-4140-B8F4-4E1B48DDD87D}"/>
            </c:ext>
          </c:extLst>
        </c:ser>
        <c:ser>
          <c:idx val="2"/>
          <c:order val="2"/>
          <c:tx>
            <c:v>Investor hurdle</c:v>
          </c:tx>
          <c:spPr>
            <a:ln w="28080">
              <a:solidFill>
                <a:srgbClr val="548235"/>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'Financial model'!$H$225:$H$240</c:f>
              <c:numCache>
                <c:formatCode>\£#,##0</c:formatCode>
                <c:ptCount val="16"/>
                <c:pt idx="0">
                  <c:v>272122.60000000003</c:v>
                </c:pt>
                <c:pt idx="1">
                  <c:v>337256.65610222222</c:v>
                </c:pt>
                <c:pt idx="2">
                  <c:v>417980.31359999994</c:v>
                </c:pt>
                <c:pt idx="3">
                  <c:v>518027.69928222219</c:v>
                </c:pt>
                <c:pt idx="4">
                  <c:v>642018.85017999995</c:v>
                </c:pt>
                <c:pt idx="5">
                  <c:v>795692.52956888895</c:v>
                </c:pt>
                <c:pt idx="6">
                  <c:v>986145.09013999999</c:v>
                </c:pt>
                <c:pt idx="7">
                  <c:v>1222184.2333800001</c:v>
                </c:pt>
                <c:pt idx="8">
                  <c:v>1514722.0755488889</c:v>
                </c:pt>
                <c:pt idx="9">
                  <c:v>1877277.062697778</c:v>
                </c:pt>
                <c:pt idx="10">
                  <c:v>2326614.970571111</c:v>
                </c:pt>
                <c:pt idx="11">
                  <c:v>2883504.8007177776</c:v>
                </c:pt>
                <c:pt idx="12">
                  <c:v>3573689.3510977775</c:v>
                </c:pt>
                <c:pt idx="13">
                  <c:v>4429070.4611844448</c:v>
                </c:pt>
                <c:pt idx="14">
                  <c:v>5489193.591926666</c:v>
                </c:pt>
                <c:pt idx="15">
                  <c:v>6803065</c:v>
                </c:pt>
              </c:numCache>
            </c:numRef>
          </c:xVal>
          <c:yVal>
            <c:numRef>
              <c:f>'Financial model'!$L$225:$L$240</c:f>
              <c:numCache>
                <c:formatCode>0.0%</c:formatCode>
                <c:ptCount val="16"/>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numCache>
            </c:numRef>
          </c:yVal>
          <c:smooth val="0"/>
          <c:extLst>
            <c:ext xmlns:c16="http://schemas.microsoft.com/office/drawing/2014/chart" uri="{C3380CC4-5D6E-409C-BE32-E72D297353CC}">
              <c16:uniqueId val="{00000002-9445-4140-B8F4-4E1B48DDD87D}"/>
            </c:ext>
          </c:extLst>
        </c:ser>
        <c:dLbls>
          <c:showLegendKey val="0"/>
          <c:showVal val="0"/>
          <c:showCatName val="0"/>
          <c:showSerName val="0"/>
          <c:showPercent val="0"/>
          <c:showBubbleSize val="0"/>
        </c:dLbls>
        <c:axId val="70000001"/>
        <c:axId val="70000002"/>
      </c:scatterChart>
      <c:valAx>
        <c:axId val="7000000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crossBetween val="midCat"/>
      </c:valAx>
      <c:valAx>
        <c:axId val="70000002"/>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NPV vs capex — peak = NPV-max scale</a:t>
            </a:r>
          </a:p>
        </c:rich>
      </c:tx>
      <c:overlay val="0"/>
      <c:spPr>
        <a:noFill/>
        <a:ln w="0">
          <a:noFill/>
        </a:ln>
      </c:spPr>
    </c:title>
    <c:autoTitleDeleted val="0"/>
    <c:plotArea>
      <c:layout/>
      <c:scatterChart>
        <c:scatterStyle val="lineMarker"/>
        <c:varyColors val="0"/>
        <c:ser>
          <c:idx val="0"/>
          <c:order val="0"/>
          <c:tx>
            <c:v>NPV</c:v>
          </c:tx>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'Financial model'!$H$225:$H$240</c:f>
              <c:numCache>
                <c:formatCode>\£#,##0</c:formatCode>
                <c:ptCount val="16"/>
                <c:pt idx="0">
                  <c:v>272122.60000000003</c:v>
                </c:pt>
                <c:pt idx="1">
                  <c:v>337256.65610222222</c:v>
                </c:pt>
                <c:pt idx="2">
                  <c:v>417980.31359999994</c:v>
                </c:pt>
                <c:pt idx="3">
                  <c:v>518027.69928222219</c:v>
                </c:pt>
                <c:pt idx="4">
                  <c:v>642018.85017999995</c:v>
                </c:pt>
                <c:pt idx="5">
                  <c:v>795692.52956888895</c:v>
                </c:pt>
                <c:pt idx="6">
                  <c:v>986145.09013999999</c:v>
                </c:pt>
                <c:pt idx="7">
                  <c:v>1222184.2333800001</c:v>
                </c:pt>
                <c:pt idx="8">
                  <c:v>1514722.0755488889</c:v>
                </c:pt>
                <c:pt idx="9">
                  <c:v>1877277.062697778</c:v>
                </c:pt>
                <c:pt idx="10">
                  <c:v>2326614.970571111</c:v>
                </c:pt>
                <c:pt idx="11">
                  <c:v>2883504.8007177776</c:v>
                </c:pt>
                <c:pt idx="12">
                  <c:v>3573689.3510977775</c:v>
                </c:pt>
                <c:pt idx="13">
                  <c:v>4429070.4611844448</c:v>
                </c:pt>
                <c:pt idx="14">
                  <c:v>5489193.591926666</c:v>
                </c:pt>
                <c:pt idx="15">
                  <c:v>6803065</c:v>
                </c:pt>
              </c:numCache>
            </c:numRef>
          </c:xVal>
          <c:yVal>
            <c:numRef>
              <c:f>'Financial model'!$M$225:$M$240</c:f>
              <c:numCache>
                <c:formatCode>\£#,##0</c:formatCode>
                <c:ptCount val="16"/>
                <c:pt idx="0">
                  <c:v>-856524.92661158927</c:v>
                </c:pt>
                <c:pt idx="1">
                  <c:v>-955142.94304499822</c:v>
                </c:pt>
                <c:pt idx="2">
                  <c:v>-1077364.8260056865</c:v>
                </c:pt>
                <c:pt idx="3">
                  <c:v>-1228844.3332828693</c:v>
                </c:pt>
                <c:pt idx="4">
                  <c:v>-1416576.5595339709</c:v>
                </c:pt>
                <c:pt idx="5">
                  <c:v>-1649250.4377824166</c:v>
                </c:pt>
                <c:pt idx="6">
                  <c:v>-1937610.396798478</c:v>
                </c:pt>
                <c:pt idx="7">
                  <c:v>-2294991.9802582543</c:v>
                </c:pt>
                <c:pt idx="8">
                  <c:v>-2737916.9791425355</c:v>
                </c:pt>
                <c:pt idx="9">
                  <c:v>-3286853.3700307375</c:v>
                </c:pt>
                <c:pt idx="10">
                  <c:v>-3967185.8387052026</c:v>
                </c:pt>
                <c:pt idx="11">
                  <c:v>-4810360.2655336363</c:v>
                </c:pt>
                <c:pt idx="12">
                  <c:v>-5855353.2447001459</c:v>
                </c:pt>
                <c:pt idx="13">
                  <c:v>-7150466.6372848973</c:v>
                </c:pt>
                <c:pt idx="14">
                  <c:v>-8755575.3405552041</c:v>
                </c:pt>
                <c:pt idx="15">
                  <c:v>-10744878.630824909</c:v>
                </c:pt>
              </c:numCache>
            </c:numRef>
          </c:yVal>
          <c:smooth val="0"/>
          <c:extLst>
            <c:ext xmlns:c16="http://schemas.microsoft.com/office/drawing/2014/chart" uri="{C3380CC4-5D6E-409C-BE32-E72D297353CC}">
              <c16:uniqueId val="{00000000-1209-C14C-98C1-CD28FFF66074}"/>
            </c:ext>
          </c:extLst>
        </c:ser>
        <c:dLbls>
          <c:showLegendKey val="0"/>
          <c:showVal val="0"/>
          <c:showCatName val="0"/>
          <c:showSerName val="0"/>
          <c:showPercent val="0"/>
          <c:showBubbleSize val="0"/>
        </c:dLbls>
        <c:axId val="70000001"/>
        <c:axId val="70000002"/>
      </c:scatterChart>
      <c:valAx>
        <c:axId val="7000000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crossBetween val="midCat"/>
      </c:valAx>
      <c:valAx>
        <c:axId val="7000000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midCat"/>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Payback vs capex</a:t>
            </a:r>
          </a:p>
        </c:rich>
      </c:tx>
      <c:overlay val="0"/>
      <c:spPr>
        <a:noFill/>
        <a:ln w="0">
          <a:noFill/>
        </a:ln>
      </c:spPr>
    </c:title>
    <c:autoTitleDeleted val="0"/>
    <c:plotArea>
      <c:layout/>
      <c:scatterChart>
        <c:scatterStyle val="lineMarker"/>
        <c:varyColors val="0"/>
        <c:ser>
          <c:idx val="0"/>
          <c:order val="0"/>
          <c:tx>
            <c:v>Payback</c:v>
          </c:tx>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'Financial model'!$H$225:$H$240</c:f>
              <c:numCache>
                <c:formatCode>\£#,##0</c:formatCode>
                <c:ptCount val="16"/>
                <c:pt idx="0">
                  <c:v>272122.60000000003</c:v>
                </c:pt>
                <c:pt idx="1">
                  <c:v>337256.65610222222</c:v>
                </c:pt>
                <c:pt idx="2">
                  <c:v>417980.31359999994</c:v>
                </c:pt>
                <c:pt idx="3">
                  <c:v>518027.69928222219</c:v>
                </c:pt>
                <c:pt idx="4">
                  <c:v>642018.85017999995</c:v>
                </c:pt>
                <c:pt idx="5">
                  <c:v>795692.52956888895</c:v>
                </c:pt>
                <c:pt idx="6">
                  <c:v>986145.09013999999</c:v>
                </c:pt>
                <c:pt idx="7">
                  <c:v>1222184.2333800001</c:v>
                </c:pt>
                <c:pt idx="8">
                  <c:v>1514722.0755488889</c:v>
                </c:pt>
                <c:pt idx="9">
                  <c:v>1877277.062697778</c:v>
                </c:pt>
                <c:pt idx="10">
                  <c:v>2326614.970571111</c:v>
                </c:pt>
                <c:pt idx="11">
                  <c:v>2883504.8007177776</c:v>
                </c:pt>
                <c:pt idx="12">
                  <c:v>3573689.3510977775</c:v>
                </c:pt>
                <c:pt idx="13">
                  <c:v>4429070.4611844448</c:v>
                </c:pt>
                <c:pt idx="14">
                  <c:v>5489193.591926666</c:v>
                </c:pt>
                <c:pt idx="15">
                  <c:v>6803065</c:v>
                </c:pt>
              </c:numCache>
            </c:numRef>
          </c:xVal>
          <c:yVal>
            <c:numRef>
              <c:f>'Financial model'!$N$225:$N$240</c:f>
              <c:numCache>
                <c:formatCode>#,##0.0</c:formatCode>
                <c:ptCount val="16"/>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numCache>
            </c:numRef>
          </c:yVal>
          <c:smooth val="0"/>
          <c:extLst>
            <c:ext xmlns:c16="http://schemas.microsoft.com/office/drawing/2014/chart" uri="{C3380CC4-5D6E-409C-BE32-E72D297353CC}">
              <c16:uniqueId val="{00000000-B7D4-9841-ADCB-E165A19F7EE8}"/>
            </c:ext>
          </c:extLst>
        </c:ser>
        <c:dLbls>
          <c:showLegendKey val="0"/>
          <c:showVal val="0"/>
          <c:showCatName val="0"/>
          <c:showSerName val="0"/>
          <c:showPercent val="0"/>
          <c:showBubbleSize val="0"/>
        </c:dLbls>
        <c:axId val="70000001"/>
        <c:axId val="70000002"/>
      </c:scatterChart>
      <c:valAx>
        <c:axId val="7000000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crossBetween val="midCat"/>
      </c:valAx>
      <c:valAx>
        <c:axId val="70000002"/>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midCat"/>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EBITDA margin vs scale</a:t>
            </a:r>
          </a:p>
        </c:rich>
      </c:tx>
      <c:overlay val="0"/>
      <c:spPr>
        <a:noFill/>
        <a:ln w="0">
          <a:noFill/>
        </a:ln>
      </c:spPr>
    </c:title>
    <c:autoTitleDeleted val="0"/>
    <c:plotArea>
      <c:layout/>
      <c:scatterChart>
        <c:scatterStyle val="lineMarker"/>
        <c:varyColors val="0"/>
        <c:ser>
          <c:idx val="0"/>
          <c:order val="0"/>
          <c:tx>
            <c:v>EBITDA margin</c:v>
          </c:tx>
          <c:spPr>
            <a:ln w="28080">
              <a:solidFill>
                <a:srgbClr val="2F549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'Financial model'!$I$225:$I$240</c:f>
              <c:numCache>
                <c:formatCode>#,##0.0</c:formatCode>
                <c:ptCount val="16"/>
                <c:pt idx="0">
                  <c:v>9</c:v>
                </c:pt>
                <c:pt idx="1">
                  <c:v>11.154199999999999</c:v>
                </c:pt>
                <c:pt idx="2">
                  <c:v>13.824</c:v>
                </c:pt>
                <c:pt idx="3">
                  <c:v>17.132899999999999</c:v>
                </c:pt>
                <c:pt idx="4">
                  <c:v>21.233699999999999</c:v>
                </c:pt>
                <c:pt idx="5">
                  <c:v>26.316199999999998</c:v>
                </c:pt>
                <c:pt idx="6">
                  <c:v>32.615099999999998</c:v>
                </c:pt>
                <c:pt idx="7">
                  <c:v>40.421700000000001</c:v>
                </c:pt>
                <c:pt idx="8">
                  <c:v>50.096899999999998</c:v>
                </c:pt>
                <c:pt idx="9">
                  <c:v>62.087800000000001</c:v>
                </c:pt>
                <c:pt idx="10">
                  <c:v>76.948899999999995</c:v>
                </c:pt>
                <c:pt idx="11">
                  <c:v>95.367099999999994</c:v>
                </c:pt>
                <c:pt idx="12">
                  <c:v>118.1938</c:v>
                </c:pt>
                <c:pt idx="13">
                  <c:v>146.48410000000001</c:v>
                </c:pt>
                <c:pt idx="14">
                  <c:v>181.54589999999999</c:v>
                </c:pt>
                <c:pt idx="15">
                  <c:v>225</c:v>
                </c:pt>
              </c:numCache>
            </c:numRef>
          </c:xVal>
          <c:yVal>
            <c:numRef>
              <c:f>'Financial model'!$O$225:$O$240</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yVal>
          <c:smooth val="0"/>
          <c:extLst>
            <c:ext xmlns:c16="http://schemas.microsoft.com/office/drawing/2014/chart" uri="{C3380CC4-5D6E-409C-BE32-E72D297353CC}">
              <c16:uniqueId val="{00000000-3668-CC4C-8BED-F4859BDBF9D9}"/>
            </c:ext>
          </c:extLst>
        </c:ser>
        <c:dLbls>
          <c:showLegendKey val="0"/>
          <c:showVal val="0"/>
          <c:showCatName val="0"/>
          <c:showSerName val="0"/>
          <c:showPercent val="0"/>
          <c:showBubbleSize val="0"/>
        </c:dLbls>
        <c:axId val="70000001"/>
        <c:axId val="70000002"/>
      </c:scatterChart>
      <c:valAx>
        <c:axId val="70000001"/>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2"/>
        <c:crosses val="autoZero"/>
        <c:crossBetween val="midCat"/>
      </c:valAx>
      <c:valAx>
        <c:axId val="70000002"/>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0000001"/>
        <c:crosses val="autoZero"/>
        <c:crossBetween val="midCat"/>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8</xdr:col>
      <xdr:colOff>481320</xdr:colOff>
      <xdr:row>17</xdr:row>
      <xdr:rowOff>172080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779800" y="1409760"/>
          <a:ext cx="4476240" cy="2980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13</xdr:col>
      <xdr:colOff>441720</xdr:colOff>
      <xdr:row>16</xdr:row>
      <xdr:rowOff>180720</xdr:rowOff>
    </xdr:to>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xdr:blipFill>
      <xdr:spPr>
        <a:xfrm>
          <a:off x="9374400" y="324000"/>
          <a:ext cx="5333760" cy="35524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22</xdr:col>
      <xdr:colOff>529560</xdr:colOff>
      <xdr:row>55</xdr:row>
      <xdr:rowOff>189720</xdr:rowOff>
    </xdr:to>
    <xdr:pic>
      <xdr:nvPicPr>
        <xdr:cNvPr id="3" name="Image 1"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xdr:blipFill>
      <xdr:spPr>
        <a:xfrm>
          <a:off x="0" y="2314440"/>
          <a:ext cx="14287320" cy="9524520"/>
        </a:xfrm>
        <a:prstGeom prst="rect">
          <a:avLst/>
        </a:prstGeom>
        <a:noFill/>
        <a:ln w="0">
          <a:noFill/>
        </a:ln>
      </xdr:spPr>
    </xdr:pic>
    <xdr:clientData/>
  </xdr:twoCellAnchor>
  <xdr:twoCellAnchor editAs="oneCell">
    <xdr:from>
      <xdr:col>0</xdr:col>
      <xdr:colOff>0</xdr:colOff>
      <xdr:row>60</xdr:row>
      <xdr:rowOff>0</xdr:rowOff>
    </xdr:from>
    <xdr:to>
      <xdr:col>22</xdr:col>
      <xdr:colOff>529560</xdr:colOff>
      <xdr:row>109</xdr:row>
      <xdr:rowOff>190080</xdr:rowOff>
    </xdr:to>
    <xdr:pic>
      <xdr:nvPicPr>
        <xdr:cNvPr id="4" name="Image 2"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a:stretch/>
      </xdr:blipFill>
      <xdr:spPr>
        <a:xfrm>
          <a:off x="0" y="12792240"/>
          <a:ext cx="14287320" cy="9524520"/>
        </a:xfrm>
        <a:prstGeom prst="rect">
          <a:avLst/>
        </a:prstGeom>
        <a:noFill/>
        <a:ln w="0">
          <a:noFill/>
        </a:ln>
      </xdr:spPr>
    </xdr:pic>
    <xdr:clientData/>
  </xdr:twoCellAnchor>
  <xdr:twoCellAnchor editAs="oneCell">
    <xdr:from>
      <xdr:col>0</xdr:col>
      <xdr:colOff>0</xdr:colOff>
      <xdr:row>114</xdr:row>
      <xdr:rowOff>0</xdr:rowOff>
    </xdr:from>
    <xdr:to>
      <xdr:col>22</xdr:col>
      <xdr:colOff>529560</xdr:colOff>
      <xdr:row>163</xdr:row>
      <xdr:rowOff>190080</xdr:rowOff>
    </xdr:to>
    <xdr:pic>
      <xdr:nvPicPr>
        <xdr:cNvPr id="5" name="Image 3"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3"/>
        <a:stretch/>
      </xdr:blipFill>
      <xdr:spPr>
        <a:xfrm>
          <a:off x="0" y="23269680"/>
          <a:ext cx="14287320" cy="9524520"/>
        </a:xfrm>
        <a:prstGeom prst="rect">
          <a:avLst/>
        </a:prstGeom>
        <a:noFill/>
        <a:ln w="0">
          <a:noFill/>
        </a:ln>
      </xdr:spPr>
    </xdr:pic>
    <xdr:clientData/>
  </xdr:twoCellAnchor>
  <xdr:twoCellAnchor editAs="oneCell">
    <xdr:from>
      <xdr:col>0</xdr:col>
      <xdr:colOff>0</xdr:colOff>
      <xdr:row>168</xdr:row>
      <xdr:rowOff>0</xdr:rowOff>
    </xdr:from>
    <xdr:to>
      <xdr:col>22</xdr:col>
      <xdr:colOff>529560</xdr:colOff>
      <xdr:row>217</xdr:row>
      <xdr:rowOff>190080</xdr:rowOff>
    </xdr:to>
    <xdr:pic>
      <xdr:nvPicPr>
        <xdr:cNvPr id="6" name="Image 4" descr="Picture">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4"/>
        <a:stretch/>
      </xdr:blipFill>
      <xdr:spPr>
        <a:xfrm>
          <a:off x="0" y="33747120"/>
          <a:ext cx="14287320" cy="952452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37</xdr:row>
      <xdr:rowOff>0</xdr:rowOff>
    </xdr:from>
    <xdr:to>
      <xdr:col>9</xdr:col>
      <xdr:colOff>34920</xdr:colOff>
      <xdr:row>51</xdr:row>
      <xdr:rowOff>32760</xdr:rowOff>
    </xdr:to>
    <xdr:graphicFrame macro="">
      <xdr:nvGraphicFramePr>
        <xdr:cNvPr id="7" name="Chart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91</xdr:row>
      <xdr:rowOff>0</xdr:rowOff>
    </xdr:from>
    <xdr:to>
      <xdr:col>10</xdr:col>
      <xdr:colOff>1115280</xdr:colOff>
      <xdr:row>106</xdr:row>
      <xdr:rowOff>21960</xdr:rowOff>
    </xdr:to>
    <xdr:graphicFrame macro="">
      <xdr:nvGraphicFramePr>
        <xdr:cNvPr id="8" name="Chart 2">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107</xdr:row>
      <xdr:rowOff>0</xdr:rowOff>
    </xdr:from>
    <xdr:to>
      <xdr:col>9</xdr:col>
      <xdr:colOff>802800</xdr:colOff>
      <xdr:row>122</xdr:row>
      <xdr:rowOff>21960</xdr:rowOff>
    </xdr:to>
    <xdr:graphicFrame macro="">
      <xdr:nvGraphicFramePr>
        <xdr:cNvPr id="9" name="Chart 3">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129</xdr:row>
      <xdr:rowOff>0</xdr:rowOff>
    </xdr:from>
    <xdr:to>
      <xdr:col>13</xdr:col>
      <xdr:colOff>528840</xdr:colOff>
      <xdr:row>144</xdr:row>
      <xdr:rowOff>21960</xdr:rowOff>
    </xdr:to>
    <xdr:graphicFrame macro="">
      <xdr:nvGraphicFramePr>
        <xdr:cNvPr id="10" name="Chart 4">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146</xdr:row>
      <xdr:rowOff>0</xdr:rowOff>
    </xdr:from>
    <xdr:to>
      <xdr:col>13</xdr:col>
      <xdr:colOff>528840</xdr:colOff>
      <xdr:row>161</xdr:row>
      <xdr:rowOff>21960</xdr:rowOff>
    </xdr:to>
    <xdr:graphicFrame macro="">
      <xdr:nvGraphicFramePr>
        <xdr:cNvPr id="11" name="Chart 5">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163</xdr:row>
      <xdr:rowOff>0</xdr:rowOff>
    </xdr:from>
    <xdr:to>
      <xdr:col>13</xdr:col>
      <xdr:colOff>528840</xdr:colOff>
      <xdr:row>177</xdr:row>
      <xdr:rowOff>212760</xdr:rowOff>
    </xdr:to>
    <xdr:graphicFrame macro="">
      <xdr:nvGraphicFramePr>
        <xdr:cNvPr id="12" name="Chart 6">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223</xdr:row>
      <xdr:rowOff>0</xdr:rowOff>
    </xdr:from>
    <xdr:to>
      <xdr:col>3</xdr:col>
      <xdr:colOff>888480</xdr:colOff>
      <xdr:row>239</xdr:row>
      <xdr:rowOff>11520</xdr:rowOff>
    </xdr:to>
    <xdr:graphicFrame macro="">
      <xdr:nvGraphicFramePr>
        <xdr:cNvPr id="13" name="Chart 7">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241</xdr:row>
      <xdr:rowOff>0</xdr:rowOff>
    </xdr:from>
    <xdr:to>
      <xdr:col>3</xdr:col>
      <xdr:colOff>888480</xdr:colOff>
      <xdr:row>257</xdr:row>
      <xdr:rowOff>11520</xdr:rowOff>
    </xdr:to>
    <xdr:graphicFrame macro="">
      <xdr:nvGraphicFramePr>
        <xdr:cNvPr id="14" name="Chart 8">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259</xdr:row>
      <xdr:rowOff>0</xdr:rowOff>
    </xdr:from>
    <xdr:to>
      <xdr:col>3</xdr:col>
      <xdr:colOff>888480</xdr:colOff>
      <xdr:row>275</xdr:row>
      <xdr:rowOff>11520</xdr:rowOff>
    </xdr:to>
    <xdr:graphicFrame macro="">
      <xdr:nvGraphicFramePr>
        <xdr:cNvPr id="15" name="Chart 9">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277</xdr:row>
      <xdr:rowOff>0</xdr:rowOff>
    </xdr:from>
    <xdr:to>
      <xdr:col>3</xdr:col>
      <xdr:colOff>888480</xdr:colOff>
      <xdr:row>293</xdr:row>
      <xdr:rowOff>11520</xdr:rowOff>
    </xdr:to>
    <xdr:graphicFrame macro="">
      <xdr:nvGraphicFramePr>
        <xdr:cNvPr id="16" name="Chart 10">
          <a:extLst>
            <a:ext uri="{FF2B5EF4-FFF2-40B4-BE49-F238E27FC236}">
              <a16:creationId xmlns:a16="http://schemas.microsoft.com/office/drawing/2014/main" i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25</xdr:col>
      <xdr:colOff>599760</xdr:colOff>
      <xdr:row>33</xdr:row>
      <xdr:rowOff>37800</xdr:rowOff>
    </xdr:to>
    <xdr:pic>
      <xdr:nvPicPr>
        <xdr:cNvPr id="17" name="Image 1" descr="Picture">
          <a:extLst>
            <a:ext uri="{FF2B5EF4-FFF2-40B4-BE49-F238E27FC236}">
              <a16:creationId xmlns:a16="http://schemas.microsoft.com/office/drawing/2014/main" id="{00000000-0008-0000-0C00-000011000000}"/>
            </a:ext>
          </a:extLst>
        </xdr:cNvPr>
        <xdr:cNvPicPr/>
      </xdr:nvPicPr>
      <xdr:blipFill>
        <a:blip xmlns:r="http://schemas.openxmlformats.org/officeDocument/2006/relationships" r:embed="rId1"/>
        <a:stretch/>
      </xdr:blipFill>
      <xdr:spPr>
        <a:xfrm>
          <a:off x="0" y="1628640"/>
          <a:ext cx="16192080" cy="537192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25</xdr:col>
      <xdr:colOff>599760</xdr:colOff>
      <xdr:row>42</xdr:row>
      <xdr:rowOff>139040</xdr:rowOff>
    </xdr:to>
    <xdr:pic>
      <xdr:nvPicPr>
        <xdr:cNvPr id="18" name="Image 1" descr="Picture">
          <a:extLst>
            <a:ext uri="{FF2B5EF4-FFF2-40B4-BE49-F238E27FC236}">
              <a16:creationId xmlns:a16="http://schemas.microsoft.com/office/drawing/2014/main" id="{00000000-0008-0000-0D00-000012000000}"/>
            </a:ext>
          </a:extLst>
        </xdr:cNvPr>
        <xdr:cNvPicPr/>
      </xdr:nvPicPr>
      <xdr:blipFill>
        <a:blip xmlns:r="http://schemas.openxmlformats.org/officeDocument/2006/relationships" r:embed="rId1"/>
        <a:stretch/>
      </xdr:blipFill>
      <xdr:spPr>
        <a:xfrm>
          <a:off x="0" y="1628640"/>
          <a:ext cx="16192080" cy="82292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25</xdr:col>
      <xdr:colOff>599760</xdr:colOff>
      <xdr:row>90</xdr:row>
      <xdr:rowOff>161280</xdr:rowOff>
    </xdr:to>
    <xdr:pic>
      <xdr:nvPicPr>
        <xdr:cNvPr id="19" name="Image 1" descr="Picture">
          <a:extLst>
            <a:ext uri="{FF2B5EF4-FFF2-40B4-BE49-F238E27FC236}">
              <a16:creationId xmlns:a16="http://schemas.microsoft.com/office/drawing/2014/main" id="{00000000-0008-0000-0F00-000013000000}"/>
            </a:ext>
          </a:extLst>
        </xdr:cNvPr>
        <xdr:cNvPicPr/>
      </xdr:nvPicPr>
      <xdr:blipFill>
        <a:blip xmlns:r="http://schemas.openxmlformats.org/officeDocument/2006/relationships" r:embed="rId1"/>
        <a:stretch/>
      </xdr:blipFill>
      <xdr:spPr>
        <a:xfrm>
          <a:off x="0" y="1628640"/>
          <a:ext cx="16192080" cy="1635408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25</xdr:col>
      <xdr:colOff>599760</xdr:colOff>
      <xdr:row>72</xdr:row>
      <xdr:rowOff>189720</xdr:rowOff>
    </xdr:to>
    <xdr:pic>
      <xdr:nvPicPr>
        <xdr:cNvPr id="20" name="Image 1" descr="Picture">
          <a:extLst>
            <a:ext uri="{FF2B5EF4-FFF2-40B4-BE49-F238E27FC236}">
              <a16:creationId xmlns:a16="http://schemas.microsoft.com/office/drawing/2014/main" id="{00000000-0008-0000-1000-000014000000}"/>
            </a:ext>
          </a:extLst>
        </xdr:cNvPr>
        <xdr:cNvPicPr/>
      </xdr:nvPicPr>
      <xdr:blipFill>
        <a:blip xmlns:r="http://schemas.openxmlformats.org/officeDocument/2006/relationships" r:embed="rId1"/>
        <a:stretch/>
      </xdr:blipFill>
      <xdr:spPr>
        <a:xfrm>
          <a:off x="0" y="1628640"/>
          <a:ext cx="16192080" cy="1295352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10</xdr:col>
      <xdr:colOff>2586960</xdr:colOff>
      <xdr:row>39</xdr:row>
      <xdr:rowOff>113820</xdr:rowOff>
    </xdr:to>
    <xdr:pic>
      <xdr:nvPicPr>
        <xdr:cNvPr id="21" name="Image 1" descr="Picture">
          <a:extLst>
            <a:ext uri="{FF2B5EF4-FFF2-40B4-BE49-F238E27FC236}">
              <a16:creationId xmlns:a16="http://schemas.microsoft.com/office/drawing/2014/main" id="{00000000-0008-0000-1100-000015000000}"/>
            </a:ext>
          </a:extLst>
        </xdr:cNvPr>
        <xdr:cNvPicPr/>
      </xdr:nvPicPr>
      <xdr:blipFill>
        <a:blip xmlns:r="http://schemas.openxmlformats.org/officeDocument/2006/relationships" r:embed="rId1"/>
        <a:stretch/>
      </xdr:blipFill>
      <xdr:spPr>
        <a:xfrm>
          <a:off x="0" y="2124000"/>
          <a:ext cx="14287320" cy="739116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597"/>
  </sheetPr>
  <dimension ref="A1:J62"/>
  <sheetViews>
    <sheetView showGridLines="0" topLeftCell="A28" zoomScaleNormal="100" workbookViewId="0">
      <selection activeCell="J30" sqref="J30"/>
    </sheetView>
  </sheetViews>
  <sheetFormatPr baseColWidth="10" defaultColWidth="8.6640625" defaultRowHeight="15" x14ac:dyDescent="0.2"/>
  <cols>
    <col min="1" max="1" width="26" customWidth="1"/>
    <col min="2" max="2" width="20" customWidth="1"/>
    <col min="3" max="4" width="18" customWidth="1"/>
    <col min="5" max="7" width="16" customWidth="1"/>
  </cols>
  <sheetData>
    <row r="1" spans="1:7" ht="25.5" customHeight="1" x14ac:dyDescent="0.2">
      <c r="A1" s="12" t="s">
        <v>0</v>
      </c>
      <c r="B1" s="12"/>
      <c r="C1" s="12"/>
      <c r="D1" s="12"/>
      <c r="E1" s="12"/>
      <c r="F1" s="12"/>
      <c r="G1" s="12"/>
    </row>
    <row r="2" spans="1:7" ht="30" customHeight="1" x14ac:dyDescent="0.2">
      <c r="A2" s="11" t="str">
        <f>"⬤ TAB QUALITY "&amp;IF(ISNUMBER('Quality &amp; Audit'!$B$31),IF('Quality &amp; Audit'!$B$31=INT('Quality &amp; Audit'!$B$31),TEXT('Quality &amp; Audit'!$B$31,"0"),TEXT('Quality &amp; Audit'!$B$31,"0.0")),"—")&amp;"/10 · "&amp;IF(ISNUMBER('Quality &amp; Audit'!$B$31),IF('Quality &amp; Audit'!$B$31&gt;=8,"PASS","FAIL"),"UNSCORED")&amp;" (target ≥8, live from the Quality &amp; Audit score cell)"&amp;" · MIRROR of the dossier floor (min of every deterministic section &amp; non-mirror tab) — re-stamped from the CURRENT scores, never a stale earlier cap; own content check: cov…"&amp;" · full audit: Quality &amp; Audit tab"</f>
        <v>⬤ TAB QUALITY 9/10 · PASS (target ≥8, live from the Quality &amp; Audit score cell) · MIRROR of the dossier floor (min of every deterministic section &amp; non-mirror tab) — re-stamped from the CURRENT scores, never a stale earlier cap; own content check: cov… · full audit: Quality &amp; Audit tab</v>
      </c>
      <c r="B2" s="11"/>
      <c r="C2" s="11"/>
      <c r="D2" s="11"/>
      <c r="E2" s="11"/>
      <c r="F2" s="11"/>
      <c r="G2" s="11"/>
    </row>
    <row r="3" spans="1:7" ht="40.5" customHeight="1" x14ac:dyDescent="0.2">
      <c r="A3" s="10" t="s">
        <v>1</v>
      </c>
      <c r="B3" s="10"/>
      <c r="C3" s="10"/>
      <c r="D3" s="10"/>
      <c r="E3" s="10"/>
      <c r="F3" s="10"/>
      <c r="G3" s="10"/>
    </row>
    <row r="5" spans="1:7" x14ac:dyDescent="0.2">
      <c r="A5" s="13" t="s">
        <v>2</v>
      </c>
    </row>
    <row r="6" spans="1:7" ht="21" x14ac:dyDescent="0.25">
      <c r="A6" s="9" t="s">
        <v>3</v>
      </c>
      <c r="B6" s="9"/>
      <c r="C6" s="9"/>
    </row>
    <row r="8" spans="1:7" x14ac:dyDescent="0.2">
      <c r="A8" s="13" t="s">
        <v>4</v>
      </c>
    </row>
    <row r="9" spans="1:7" ht="21" x14ac:dyDescent="0.25">
      <c r="A9" s="9" t="s">
        <v>5</v>
      </c>
      <c r="B9" s="9"/>
      <c r="C9" s="9"/>
    </row>
    <row r="10" spans="1:7" ht="15" customHeight="1" x14ac:dyDescent="0.2">
      <c r="A10" s="8" t="s">
        <v>6</v>
      </c>
      <c r="B10" s="8"/>
      <c r="C10" s="8"/>
    </row>
    <row r="12" spans="1:7" x14ac:dyDescent="0.2">
      <c r="A12" s="13" t="s">
        <v>7</v>
      </c>
    </row>
    <row r="13" spans="1:7" ht="21" x14ac:dyDescent="0.25">
      <c r="A13" s="9" t="s">
        <v>8</v>
      </c>
      <c r="B13" s="9"/>
      <c r="C13" s="9"/>
    </row>
    <row r="15" spans="1:7" x14ac:dyDescent="0.2">
      <c r="A15" s="13" t="s">
        <v>9</v>
      </c>
    </row>
    <row r="16" spans="1:7" ht="21" x14ac:dyDescent="0.25">
      <c r="A16" s="9" t="str">
        <f>IF('Quality &amp; Audit'!$B$66=0,"SHIPS","DRAFT — "&amp;'Quality &amp; Audit'!$B$66&amp;" open issue"&amp;IF('Quality &amp; Audit'!$B$66=1,"","s"))</f>
        <v>SHIPS</v>
      </c>
      <c r="B16" s="9"/>
      <c r="C16" s="9"/>
    </row>
    <row r="17" spans="1:10" ht="22.25" customHeight="1" x14ac:dyDescent="0.2">
      <c r="A17" s="8" t="s">
        <v>10</v>
      </c>
      <c r="B17" s="8"/>
      <c r="C17" s="8"/>
    </row>
    <row r="20" spans="1:10" x14ac:dyDescent="0.2">
      <c r="J20" s="145"/>
    </row>
    <row r="21" spans="1:10" x14ac:dyDescent="0.2">
      <c r="J21" s="145" t="s">
        <v>4554</v>
      </c>
    </row>
    <row r="22" spans="1:10" ht="55.5" customHeight="1" x14ac:dyDescent="0.2">
      <c r="A22" s="7" t="s">
        <v>11</v>
      </c>
      <c r="B22" s="7"/>
      <c r="C22" s="7"/>
      <c r="D22" s="7"/>
      <c r="E22" s="7"/>
      <c r="F22" s="7"/>
      <c r="G22" s="7"/>
      <c r="J22" s="145" t="s">
        <v>4555</v>
      </c>
    </row>
    <row r="23" spans="1:10" x14ac:dyDescent="0.2">
      <c r="A23" s="7"/>
      <c r="B23" s="7"/>
      <c r="C23" s="7"/>
      <c r="D23" s="7"/>
      <c r="E23" s="7"/>
      <c r="F23" s="7"/>
      <c r="G23" s="7"/>
    </row>
    <row r="24" spans="1:10" x14ac:dyDescent="0.2">
      <c r="A24" s="7"/>
      <c r="B24" s="7"/>
      <c r="C24" s="7"/>
      <c r="D24" s="7"/>
      <c r="E24" s="7"/>
      <c r="F24" s="7"/>
      <c r="G24" s="7"/>
    </row>
    <row r="26" spans="1:10" x14ac:dyDescent="0.2">
      <c r="A26" s="6" t="s">
        <v>12</v>
      </c>
      <c r="B26" s="6"/>
      <c r="C26" s="6"/>
      <c r="D26" s="6"/>
      <c r="E26" s="6"/>
      <c r="F26" s="6"/>
      <c r="G26" s="6"/>
    </row>
    <row r="27" spans="1:10" ht="32" x14ac:dyDescent="0.2">
      <c r="A27" s="16" t="s">
        <v>13</v>
      </c>
      <c r="B27" s="16" t="s">
        <v>14</v>
      </c>
      <c r="C27" s="16" t="s">
        <v>15</v>
      </c>
      <c r="D27" s="16" t="s">
        <v>16</v>
      </c>
      <c r="E27" s="16" t="s">
        <v>17</v>
      </c>
      <c r="F27" s="16" t="s">
        <v>18</v>
      </c>
      <c r="G27" s="16" t="s">
        <v>9</v>
      </c>
      <c r="H27" s="16" t="s">
        <v>19</v>
      </c>
      <c r="I27" s="17" t="s">
        <v>20</v>
      </c>
    </row>
    <row r="28" spans="1:10" ht="130" x14ac:dyDescent="0.2">
      <c r="A28" s="18" t="s">
        <v>21</v>
      </c>
      <c r="B28" s="19">
        <v>45</v>
      </c>
      <c r="C28" s="18" t="s">
        <v>22</v>
      </c>
      <c r="D28" s="18" t="s">
        <v>23</v>
      </c>
      <c r="E28" s="20">
        <v>90</v>
      </c>
      <c r="F28" s="18" t="s">
        <v>24</v>
      </c>
      <c r="G28" s="21" t="str">
        <f>IF(E28&gt;=B28-0.9,"PASS","FAIL")</f>
        <v>PASS</v>
      </c>
      <c r="H28" s="22" t="s">
        <v>25</v>
      </c>
      <c r="I28" s="23" t="str">
        <f t="shared" ref="I28:I33" si="0">IF(AND(LEN(TRIM(A28&amp;""))&gt;0,TRIM(A28&amp;"")&lt;&gt;"—",LEN(TRIM(B28&amp;""))&gt;0,TRIM(B28&amp;"")&lt;&gt;"—",LEN(TRIM(G28&amp;""))&gt;0,TRIM(G28&amp;"")&lt;&gt;"—"),"PASS","⚠ FAIL — "&amp;"a required cell is empty/placeholder or wrong type")</f>
        <v>PASS</v>
      </c>
      <c r="J28" s="145" t="s">
        <v>4556</v>
      </c>
    </row>
    <row r="29" spans="1:10" ht="130" x14ac:dyDescent="0.2">
      <c r="A29" s="18" t="s">
        <v>26</v>
      </c>
      <c r="B29" s="19">
        <v>6000</v>
      </c>
      <c r="C29" s="18" t="s">
        <v>27</v>
      </c>
      <c r="D29" s="18" t="s">
        <v>28</v>
      </c>
      <c r="E29" s="20">
        <v>6000</v>
      </c>
      <c r="F29" s="18" t="s">
        <v>24</v>
      </c>
      <c r="G29" s="21" t="str">
        <f>IF(E29&gt;=B29-120,"PASS","FAIL")</f>
        <v>PASS</v>
      </c>
      <c r="H29" s="22" t="s">
        <v>29</v>
      </c>
      <c r="I29" s="23" t="str">
        <f t="shared" si="0"/>
        <v>PASS</v>
      </c>
      <c r="J29" s="145" t="s">
        <v>4559</v>
      </c>
    </row>
    <row r="30" spans="1:10" ht="143" x14ac:dyDescent="0.2">
      <c r="A30" s="18" t="s">
        <v>30</v>
      </c>
      <c r="B30" s="19">
        <v>8</v>
      </c>
      <c r="C30" s="18" t="s">
        <v>22</v>
      </c>
      <c r="D30" s="18" t="s">
        <v>30</v>
      </c>
      <c r="E30" s="20">
        <v>8</v>
      </c>
      <c r="F30" s="18" t="s">
        <v>24</v>
      </c>
      <c r="G30" s="21" t="str">
        <f>IF(E30&gt;=B30-0.16,"PASS","FAIL")</f>
        <v>PASS</v>
      </c>
      <c r="H30" s="22" t="s">
        <v>31</v>
      </c>
      <c r="I30" s="23" t="str">
        <f t="shared" si="0"/>
        <v>PASS</v>
      </c>
      <c r="J30" s="145" t="s">
        <v>4557</v>
      </c>
    </row>
    <row r="31" spans="1:10" ht="91" x14ac:dyDescent="0.2">
      <c r="A31" s="18" t="s">
        <v>32</v>
      </c>
      <c r="B31" s="19">
        <v>75</v>
      </c>
      <c r="C31" s="18" t="s">
        <v>33</v>
      </c>
      <c r="D31" s="18" t="s">
        <v>32</v>
      </c>
      <c r="E31" s="20">
        <v>75</v>
      </c>
      <c r="F31" s="18" t="s">
        <v>24</v>
      </c>
      <c r="G31" s="21" t="str">
        <f>IF(E31&gt;=B31-1.5,"PASS","FAIL")</f>
        <v>PASS</v>
      </c>
      <c r="H31" s="22" t="s">
        <v>34</v>
      </c>
      <c r="I31" s="23" t="str">
        <f t="shared" si="0"/>
        <v>PASS</v>
      </c>
    </row>
    <row r="32" spans="1:10" ht="130" x14ac:dyDescent="0.2">
      <c r="A32" s="18" t="s">
        <v>35</v>
      </c>
      <c r="B32" s="19">
        <v>120</v>
      </c>
      <c r="C32" s="18" t="s">
        <v>36</v>
      </c>
      <c r="D32" s="18" t="s">
        <v>35</v>
      </c>
      <c r="E32" s="20">
        <v>120</v>
      </c>
      <c r="F32" s="18" t="s">
        <v>24</v>
      </c>
      <c r="G32" s="21" t="str">
        <f>IF(E32&gt;=B32-2.4,"PASS","FAIL")</f>
        <v>PASS</v>
      </c>
      <c r="H32" s="22" t="s">
        <v>37</v>
      </c>
      <c r="I32" s="23" t="str">
        <f t="shared" si="0"/>
        <v>PASS</v>
      </c>
    </row>
    <row r="33" spans="1:9" ht="117" x14ac:dyDescent="0.2">
      <c r="A33" s="18" t="s">
        <v>38</v>
      </c>
      <c r="B33" s="19">
        <v>200</v>
      </c>
      <c r="C33" s="18" t="s">
        <v>27</v>
      </c>
      <c r="D33" s="18" t="s">
        <v>39</v>
      </c>
      <c r="E33" s="20">
        <v>200</v>
      </c>
      <c r="F33" s="18" t="s">
        <v>24</v>
      </c>
      <c r="G33" s="21" t="str">
        <f>IF(E33&gt;=B33-4,"PASS","FAIL")</f>
        <v>PASS</v>
      </c>
      <c r="H33" s="22" t="s">
        <v>40</v>
      </c>
      <c r="I33" s="23" t="str">
        <f t="shared" si="0"/>
        <v>PASS</v>
      </c>
    </row>
    <row r="35" spans="1:9" x14ac:dyDescent="0.2">
      <c r="A35" s="6" t="s">
        <v>41</v>
      </c>
      <c r="B35" s="6"/>
      <c r="C35" s="6"/>
      <c r="D35" s="6"/>
      <c r="E35" s="6"/>
      <c r="F35" s="6"/>
      <c r="G35" s="6"/>
    </row>
    <row r="36" spans="1:9" x14ac:dyDescent="0.2">
      <c r="A36" s="24" t="s">
        <v>42</v>
      </c>
      <c r="B36" s="25">
        <v>339593</v>
      </c>
      <c r="D36" s="26">
        <v>41.6</v>
      </c>
      <c r="E36" s="27" t="s">
        <v>43</v>
      </c>
    </row>
    <row r="37" spans="1:9" x14ac:dyDescent="0.2">
      <c r="A37" s="24" t="s">
        <v>44</v>
      </c>
      <c r="B37" s="25">
        <v>111964</v>
      </c>
      <c r="D37" s="26">
        <v>13.7</v>
      </c>
      <c r="E37" s="27" t="s">
        <v>45</v>
      </c>
    </row>
    <row r="38" spans="1:9" x14ac:dyDescent="0.2">
      <c r="A38" s="24" t="s">
        <v>46</v>
      </c>
      <c r="B38" s="25">
        <v>110691</v>
      </c>
      <c r="D38" s="26">
        <v>13.6</v>
      </c>
      <c r="E38" s="27" t="s">
        <v>45</v>
      </c>
    </row>
    <row r="39" spans="1:9" x14ac:dyDescent="0.2">
      <c r="A39" s="24" t="s">
        <v>47</v>
      </c>
      <c r="B39" s="25">
        <v>108361</v>
      </c>
      <c r="D39" s="26">
        <v>13.3</v>
      </c>
      <c r="E39" s="27" t="s">
        <v>45</v>
      </c>
    </row>
    <row r="40" spans="1:9" x14ac:dyDescent="0.2">
      <c r="A40" s="24" t="s">
        <v>48</v>
      </c>
      <c r="B40" s="25">
        <v>65562</v>
      </c>
      <c r="D40" s="26">
        <v>8</v>
      </c>
      <c r="E40" s="27" t="s">
        <v>49</v>
      </c>
    </row>
    <row r="41" spans="1:9" x14ac:dyDescent="0.2">
      <c r="A41" s="24" t="s">
        <v>50</v>
      </c>
      <c r="B41" s="25">
        <v>35261</v>
      </c>
      <c r="D41" s="26">
        <v>4.3</v>
      </c>
      <c r="E41" s="27" t="s">
        <v>51</v>
      </c>
    </row>
    <row r="42" spans="1:9" x14ac:dyDescent="0.2">
      <c r="A42" s="24" t="s">
        <v>52</v>
      </c>
      <c r="B42" s="25">
        <v>34221</v>
      </c>
      <c r="D42" s="26">
        <v>4.2</v>
      </c>
      <c r="E42" s="27" t="s">
        <v>51</v>
      </c>
    </row>
    <row r="44" spans="1:9" x14ac:dyDescent="0.2">
      <c r="A44" s="6" t="s">
        <v>53</v>
      </c>
      <c r="B44" s="6"/>
      <c r="C44" s="6"/>
      <c r="D44" s="6"/>
      <c r="E44" s="6"/>
      <c r="F44" s="6"/>
      <c r="G44" s="6"/>
    </row>
    <row r="45" spans="1:9" ht="15" customHeight="1" x14ac:dyDescent="0.2">
      <c r="A45" s="24" t="s">
        <v>54</v>
      </c>
      <c r="B45" s="8" t="s">
        <v>55</v>
      </c>
      <c r="C45" s="8"/>
      <c r="D45" s="8"/>
      <c r="E45" s="8"/>
      <c r="F45" s="8"/>
      <c r="G45" s="8"/>
    </row>
    <row r="46" spans="1:9" ht="15" customHeight="1" x14ac:dyDescent="0.2">
      <c r="A46" s="24" t="s">
        <v>56</v>
      </c>
      <c r="B46" s="8" t="s">
        <v>57</v>
      </c>
      <c r="C46" s="8"/>
      <c r="D46" s="8"/>
      <c r="E46" s="8"/>
      <c r="F46" s="8"/>
      <c r="G46" s="8"/>
    </row>
    <row r="47" spans="1:9" ht="15" customHeight="1" x14ac:dyDescent="0.2">
      <c r="A47" s="24" t="s">
        <v>58</v>
      </c>
      <c r="B47" s="8" t="s">
        <v>59</v>
      </c>
      <c r="C47" s="8"/>
      <c r="D47" s="8"/>
      <c r="E47" s="8"/>
      <c r="F47" s="8"/>
      <c r="G47" s="8"/>
    </row>
    <row r="48" spans="1:9" ht="15" customHeight="1" x14ac:dyDescent="0.2">
      <c r="A48" s="24" t="s">
        <v>60</v>
      </c>
      <c r="B48" s="8" t="s">
        <v>61</v>
      </c>
      <c r="C48" s="8"/>
      <c r="D48" s="8"/>
      <c r="E48" s="8"/>
      <c r="F48" s="8"/>
      <c r="G48" s="8"/>
    </row>
    <row r="49" spans="1:7" ht="15" customHeight="1" x14ac:dyDescent="0.2">
      <c r="A49" s="24" t="s">
        <v>62</v>
      </c>
      <c r="B49" s="8" t="s">
        <v>63</v>
      </c>
      <c r="C49" s="8"/>
      <c r="D49" s="8"/>
      <c r="E49" s="8"/>
      <c r="F49" s="8"/>
      <c r="G49" s="8"/>
    </row>
    <row r="50" spans="1:7" ht="15" customHeight="1" x14ac:dyDescent="0.2">
      <c r="A50" s="24" t="s">
        <v>64</v>
      </c>
      <c r="B50" s="8" t="s">
        <v>65</v>
      </c>
      <c r="C50" s="8"/>
      <c r="D50" s="8"/>
      <c r="E50" s="8"/>
      <c r="F50" s="8"/>
      <c r="G50" s="8"/>
    </row>
    <row r="52" spans="1:7" x14ac:dyDescent="0.2">
      <c r="A52" s="6" t="s">
        <v>66</v>
      </c>
      <c r="B52" s="6"/>
      <c r="C52" s="6"/>
      <c r="D52" s="6"/>
      <c r="E52" s="6"/>
      <c r="F52" s="6"/>
      <c r="G52" s="6"/>
    </row>
    <row r="53" spans="1:7" x14ac:dyDescent="0.2">
      <c r="A53" s="5" t="s">
        <v>67</v>
      </c>
      <c r="B53" s="5"/>
      <c r="C53" s="5"/>
      <c r="D53" s="5"/>
      <c r="E53" s="5"/>
      <c r="F53" s="5"/>
      <c r="G53" s="5"/>
    </row>
    <row r="54" spans="1:7" ht="15" customHeight="1" x14ac:dyDescent="0.2">
      <c r="A54" s="8" t="s">
        <v>68</v>
      </c>
      <c r="B54" s="8"/>
      <c r="C54" s="8"/>
      <c r="D54" s="8"/>
      <c r="E54" s="8"/>
      <c r="F54" s="8"/>
      <c r="G54" s="8"/>
    </row>
    <row r="55" spans="1:7" x14ac:dyDescent="0.2">
      <c r="A55" s="4" t="s">
        <v>69</v>
      </c>
      <c r="B55" s="4"/>
      <c r="C55" s="4"/>
      <c r="D55" s="4"/>
      <c r="E55" s="4"/>
      <c r="F55" s="4"/>
      <c r="G55" s="4"/>
    </row>
    <row r="56" spans="1:7" ht="15" customHeight="1" x14ac:dyDescent="0.2">
      <c r="A56" s="8" t="s">
        <v>70</v>
      </c>
      <c r="B56" s="8"/>
      <c r="C56" s="8"/>
      <c r="D56" s="8"/>
      <c r="E56" s="8"/>
      <c r="F56" s="8"/>
      <c r="G56" s="8"/>
    </row>
    <row r="57" spans="1:7" x14ac:dyDescent="0.2">
      <c r="A57" s="4" t="s">
        <v>71</v>
      </c>
      <c r="B57" s="4"/>
      <c r="C57" s="4"/>
      <c r="D57" s="4"/>
      <c r="E57" s="4"/>
      <c r="F57" s="4"/>
      <c r="G57" s="4"/>
    </row>
    <row r="58" spans="1:7" ht="15" customHeight="1" x14ac:dyDescent="0.2">
      <c r="A58" s="8" t="s">
        <v>72</v>
      </c>
      <c r="B58" s="8"/>
      <c r="C58" s="8"/>
      <c r="D58" s="8"/>
      <c r="E58" s="8"/>
      <c r="F58" s="8"/>
      <c r="G58" s="8"/>
    </row>
    <row r="59" spans="1:7" x14ac:dyDescent="0.2">
      <c r="A59" s="4" t="s">
        <v>73</v>
      </c>
      <c r="B59" s="4"/>
      <c r="C59" s="4"/>
      <c r="D59" s="4"/>
      <c r="E59" s="4"/>
      <c r="F59" s="4"/>
      <c r="G59" s="4"/>
    </row>
    <row r="60" spans="1:7" ht="15" customHeight="1" x14ac:dyDescent="0.2">
      <c r="A60" s="8" t="s">
        <v>74</v>
      </c>
      <c r="B60" s="8"/>
      <c r="C60" s="8"/>
      <c r="D60" s="8"/>
      <c r="E60" s="8"/>
      <c r="F60" s="8"/>
      <c r="G60" s="8"/>
    </row>
    <row r="62" spans="1:7" x14ac:dyDescent="0.2">
      <c r="A62" s="24" t="s">
        <v>75</v>
      </c>
    </row>
  </sheetData>
  <mergeCells count="28">
    <mergeCell ref="A58:G58"/>
    <mergeCell ref="A59:G59"/>
    <mergeCell ref="A60:G60"/>
    <mergeCell ref="A53:G53"/>
    <mergeCell ref="A54:G54"/>
    <mergeCell ref="A55:G55"/>
    <mergeCell ref="A56:G56"/>
    <mergeCell ref="A57:G57"/>
    <mergeCell ref="B47:G47"/>
    <mergeCell ref="B48:G48"/>
    <mergeCell ref="B49:G49"/>
    <mergeCell ref="B50:G50"/>
    <mergeCell ref="A52:G52"/>
    <mergeCell ref="A26:G26"/>
    <mergeCell ref="A35:G35"/>
    <mergeCell ref="A44:G44"/>
    <mergeCell ref="B45:G45"/>
    <mergeCell ref="B46:G46"/>
    <mergeCell ref="A10:C10"/>
    <mergeCell ref="A13:C13"/>
    <mergeCell ref="A16:C16"/>
    <mergeCell ref="A17:C17"/>
    <mergeCell ref="A22:G24"/>
    <mergeCell ref="A1:G1"/>
    <mergeCell ref="A2:G2"/>
    <mergeCell ref="A3:G3"/>
    <mergeCell ref="A6:C6"/>
    <mergeCell ref="A9:C9"/>
  </mergeCells>
  <conditionalFormatting sqref="G28:G33">
    <cfRule type="cellIs" dxfId="28" priority="2" operator="equal">
      <formula>"FAIL"</formula>
    </cfRule>
    <cfRule type="cellIs" dxfId="27" priority="3" operator="equal">
      <formula>"PASS"</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sheetPr>
  <dimension ref="A1:D36"/>
  <sheetViews>
    <sheetView zoomScaleNormal="100" workbookViewId="0">
      <pane ySplit="4" topLeftCell="A5" activePane="bottomLeft" state="frozen"/>
      <selection pane="bottomLeft" sqref="A1:C1"/>
    </sheetView>
  </sheetViews>
  <sheetFormatPr baseColWidth="10" defaultColWidth="8.6640625" defaultRowHeight="15" x14ac:dyDescent="0.2"/>
  <cols>
    <col min="1" max="1" width="4" customWidth="1"/>
    <col min="2" max="2" width="34" customWidth="1"/>
    <col min="3" max="3" width="78" customWidth="1"/>
  </cols>
  <sheetData>
    <row r="1" spans="1:4" ht="25.5" customHeight="1" x14ac:dyDescent="0.2">
      <c r="A1" s="12" t="s">
        <v>76</v>
      </c>
      <c r="B1" s="12"/>
      <c r="C1" s="12"/>
    </row>
    <row r="2" spans="1:4" ht="30" customHeight="1" x14ac:dyDescent="0.2">
      <c r="A2" s="11" t="str">
        <f>"⬤ TAB QUALITY "&amp;IF(ISNUMBER('Quality &amp; Audit'!$B$63),IF('Quality &amp; Audit'!$B$63=INT('Quality &amp; Audit'!$B$63),TEXT('Quality &amp; Audit'!$B$63,"0"),TEXT('Quality &amp; Audit'!$B$63,"0.0")),"—")&amp;"/10 · "&amp;IF(ISNUMBER('Quality &amp; Audit'!$B$63),IF('Quality &amp; Audit'!$B$63&gt;=8,"PASS","FAIL"),"UNSCORED")&amp;" (target ≥8, live from the Quality &amp; Audit score cell)"&amp;" · index integrity (both directions) — index rows point at an existing tab 32/32; every sheet listed in the index 32/32; cell completeness+type contract 96/96 · score = min…"&amp;" · full audit: Quality &amp; Audit tab"</f>
        <v>⬤ TAB QUALITY 10/10 · PASS (target ≥8, live from the Quality &amp; Audit score cell) · index integrity (both directions) — index rows point at an existing tab 32/32; every sheet listed in the index 32/32; cell completeness+type contract 96/96 · score = min… · full audit: Quality &amp; Audit tab</v>
      </c>
      <c r="B2" s="11"/>
      <c r="C2" s="11"/>
    </row>
    <row r="3" spans="1:4" ht="40.5" customHeight="1" x14ac:dyDescent="0.2">
      <c r="A3" s="10" t="s">
        <v>77</v>
      </c>
      <c r="B3" s="10"/>
      <c r="C3" s="10"/>
    </row>
    <row r="4" spans="1:4" ht="16" x14ac:dyDescent="0.2">
      <c r="A4" s="16" t="s">
        <v>78</v>
      </c>
      <c r="B4" s="16" t="s">
        <v>79</v>
      </c>
      <c r="C4" s="16" t="s">
        <v>80</v>
      </c>
      <c r="D4" s="17" t="s">
        <v>20</v>
      </c>
    </row>
    <row r="5" spans="1:4" x14ac:dyDescent="0.2">
      <c r="A5" s="18">
        <v>1</v>
      </c>
      <c r="B5" s="29" t="s">
        <v>81</v>
      </c>
      <c r="C5" s="22" t="s">
        <v>82</v>
      </c>
      <c r="D5" s="23" t="str">
        <f t="shared" ref="D5:D36" si="0">IF(AND(LEN(TRIM(A5&amp;""))&gt;0,TRIM(A5&amp;"")&lt;&gt;"—",LEN(TRIM(B5&amp;""))&gt;0,TRIM(B5&amp;"")&lt;&gt;"—",LEN(TRIM(C5&amp;""))&gt;0,TRIM(C5&amp;"")&lt;&gt;"—"),"PASS","⚠ FAIL — "&amp;"a required cell is empty/placeholder or wrong type")</f>
        <v>PASS</v>
      </c>
    </row>
    <row r="6" spans="1:4" x14ac:dyDescent="0.2">
      <c r="A6" s="18">
        <v>2</v>
      </c>
      <c r="B6" s="29" t="s">
        <v>83</v>
      </c>
      <c r="C6" s="22" t="s">
        <v>84</v>
      </c>
      <c r="D6" s="23" t="str">
        <f t="shared" si="0"/>
        <v>PASS</v>
      </c>
    </row>
    <row r="7" spans="1:4" x14ac:dyDescent="0.2">
      <c r="A7" s="18">
        <v>3</v>
      </c>
      <c r="B7" s="29" t="s">
        <v>85</v>
      </c>
      <c r="C7" s="22" t="s">
        <v>86</v>
      </c>
      <c r="D7" s="23" t="str">
        <f t="shared" si="0"/>
        <v>PASS</v>
      </c>
    </row>
    <row r="8" spans="1:4" x14ac:dyDescent="0.2">
      <c r="A8" s="18">
        <v>4</v>
      </c>
      <c r="B8" s="29" t="s">
        <v>87</v>
      </c>
      <c r="C8" s="22" t="s">
        <v>88</v>
      </c>
      <c r="D8" s="23" t="str">
        <f t="shared" si="0"/>
        <v>PASS</v>
      </c>
    </row>
    <row r="9" spans="1:4" x14ac:dyDescent="0.2">
      <c r="A9" s="18">
        <v>5</v>
      </c>
      <c r="B9" s="29" t="s">
        <v>89</v>
      </c>
      <c r="C9" s="22" t="s">
        <v>90</v>
      </c>
      <c r="D9" s="23" t="str">
        <f t="shared" si="0"/>
        <v>PASS</v>
      </c>
    </row>
    <row r="10" spans="1:4" x14ac:dyDescent="0.2">
      <c r="A10" s="18">
        <v>6</v>
      </c>
      <c r="B10" s="29" t="s">
        <v>91</v>
      </c>
      <c r="C10" s="22" t="s">
        <v>57</v>
      </c>
      <c r="D10" s="23" t="str">
        <f t="shared" si="0"/>
        <v>PASS</v>
      </c>
    </row>
    <row r="11" spans="1:4" x14ac:dyDescent="0.2">
      <c r="A11" s="18">
        <v>7</v>
      </c>
      <c r="B11" s="29" t="s">
        <v>92</v>
      </c>
      <c r="C11" s="22" t="s">
        <v>59</v>
      </c>
      <c r="D11" s="23" t="str">
        <f t="shared" si="0"/>
        <v>PASS</v>
      </c>
    </row>
    <row r="12" spans="1:4" x14ac:dyDescent="0.2">
      <c r="A12" s="18">
        <v>8</v>
      </c>
      <c r="B12" s="29" t="s">
        <v>93</v>
      </c>
      <c r="C12" s="22" t="s">
        <v>55</v>
      </c>
      <c r="D12" s="23" t="str">
        <f t="shared" si="0"/>
        <v>PASS</v>
      </c>
    </row>
    <row r="13" spans="1:4" x14ac:dyDescent="0.2">
      <c r="A13" s="18">
        <v>9</v>
      </c>
      <c r="B13" s="29" t="s">
        <v>94</v>
      </c>
      <c r="C13" s="22" t="s">
        <v>95</v>
      </c>
      <c r="D13" s="23" t="str">
        <f t="shared" si="0"/>
        <v>PASS</v>
      </c>
    </row>
    <row r="14" spans="1:4" x14ac:dyDescent="0.2">
      <c r="A14" s="18">
        <v>10</v>
      </c>
      <c r="B14" s="29" t="s">
        <v>96</v>
      </c>
      <c r="C14" s="22" t="s">
        <v>97</v>
      </c>
      <c r="D14" s="23" t="str">
        <f t="shared" si="0"/>
        <v>PASS</v>
      </c>
    </row>
    <row r="15" spans="1:4" x14ac:dyDescent="0.2">
      <c r="A15" s="18">
        <v>11</v>
      </c>
      <c r="B15" s="29" t="s">
        <v>98</v>
      </c>
      <c r="C15" s="22" t="s">
        <v>99</v>
      </c>
      <c r="D15" s="23" t="str">
        <f t="shared" si="0"/>
        <v>PASS</v>
      </c>
    </row>
    <row r="16" spans="1:4" x14ac:dyDescent="0.2">
      <c r="A16" s="18">
        <v>12</v>
      </c>
      <c r="B16" s="29" t="s">
        <v>100</v>
      </c>
      <c r="C16" s="22" t="s">
        <v>101</v>
      </c>
      <c r="D16" s="23" t="str">
        <f t="shared" si="0"/>
        <v>PASS</v>
      </c>
    </row>
    <row r="17" spans="1:4" x14ac:dyDescent="0.2">
      <c r="A17" s="18">
        <v>13</v>
      </c>
      <c r="B17" s="29" t="s">
        <v>102</v>
      </c>
      <c r="C17" s="22" t="s">
        <v>103</v>
      </c>
      <c r="D17" s="23" t="str">
        <f t="shared" si="0"/>
        <v>PASS</v>
      </c>
    </row>
    <row r="18" spans="1:4" x14ac:dyDescent="0.2">
      <c r="A18" s="18">
        <v>14</v>
      </c>
      <c r="B18" s="29" t="s">
        <v>104</v>
      </c>
      <c r="C18" s="22" t="s">
        <v>105</v>
      </c>
      <c r="D18" s="23" t="str">
        <f t="shared" si="0"/>
        <v>PASS</v>
      </c>
    </row>
    <row r="19" spans="1:4" x14ac:dyDescent="0.2">
      <c r="A19" s="18">
        <v>15</v>
      </c>
      <c r="B19" s="29" t="s">
        <v>106</v>
      </c>
      <c r="C19" s="22" t="s">
        <v>107</v>
      </c>
      <c r="D19" s="23" t="str">
        <f t="shared" si="0"/>
        <v>PASS</v>
      </c>
    </row>
    <row r="20" spans="1:4" x14ac:dyDescent="0.2">
      <c r="A20" s="18">
        <v>16</v>
      </c>
      <c r="B20" s="29" t="s">
        <v>108</v>
      </c>
      <c r="C20" s="22" t="s">
        <v>109</v>
      </c>
      <c r="D20" s="23" t="str">
        <f t="shared" si="0"/>
        <v>PASS</v>
      </c>
    </row>
    <row r="21" spans="1:4" x14ac:dyDescent="0.2">
      <c r="A21" s="18">
        <v>17</v>
      </c>
      <c r="B21" s="29" t="s">
        <v>110</v>
      </c>
      <c r="C21" s="22" t="s">
        <v>111</v>
      </c>
      <c r="D21" s="23" t="str">
        <f t="shared" si="0"/>
        <v>PASS</v>
      </c>
    </row>
    <row r="22" spans="1:4" x14ac:dyDescent="0.2">
      <c r="A22" s="18">
        <v>18</v>
      </c>
      <c r="B22" s="29" t="s">
        <v>112</v>
      </c>
      <c r="C22" s="22" t="s">
        <v>113</v>
      </c>
      <c r="D22" s="23" t="str">
        <f t="shared" si="0"/>
        <v>PASS</v>
      </c>
    </row>
    <row r="23" spans="1:4" x14ac:dyDescent="0.2">
      <c r="A23" s="18">
        <v>19</v>
      </c>
      <c r="B23" s="29" t="s">
        <v>114</v>
      </c>
      <c r="C23" s="22" t="s">
        <v>115</v>
      </c>
      <c r="D23" s="23" t="str">
        <f t="shared" si="0"/>
        <v>PASS</v>
      </c>
    </row>
    <row r="24" spans="1:4" x14ac:dyDescent="0.2">
      <c r="A24" s="18">
        <v>20</v>
      </c>
      <c r="B24" s="29" t="s">
        <v>116</v>
      </c>
      <c r="C24" s="22" t="s">
        <v>63</v>
      </c>
      <c r="D24" s="23" t="str">
        <f t="shared" si="0"/>
        <v>PASS</v>
      </c>
    </row>
    <row r="25" spans="1:4" x14ac:dyDescent="0.2">
      <c r="A25" s="18">
        <v>21</v>
      </c>
      <c r="B25" s="29" t="s">
        <v>117</v>
      </c>
      <c r="C25" s="22" t="s">
        <v>118</v>
      </c>
      <c r="D25" s="23" t="str">
        <f t="shared" si="0"/>
        <v>PASS</v>
      </c>
    </row>
    <row r="26" spans="1:4" x14ac:dyDescent="0.2">
      <c r="A26" s="18">
        <v>22</v>
      </c>
      <c r="B26" s="29" t="s">
        <v>119</v>
      </c>
      <c r="C26" s="22" t="s">
        <v>120</v>
      </c>
      <c r="D26" s="23" t="str">
        <f t="shared" si="0"/>
        <v>PASS</v>
      </c>
    </row>
    <row r="27" spans="1:4" x14ac:dyDescent="0.2">
      <c r="A27" s="18">
        <v>23</v>
      </c>
      <c r="B27" s="29" t="s">
        <v>121</v>
      </c>
      <c r="C27" s="22" t="s">
        <v>122</v>
      </c>
      <c r="D27" s="23" t="str">
        <f t="shared" si="0"/>
        <v>PASS</v>
      </c>
    </row>
    <row r="28" spans="1:4" x14ac:dyDescent="0.2">
      <c r="A28" s="18">
        <v>24</v>
      </c>
      <c r="B28" s="29" t="s">
        <v>123</v>
      </c>
      <c r="C28" s="22" t="s">
        <v>124</v>
      </c>
      <c r="D28" s="23" t="str">
        <f t="shared" si="0"/>
        <v>PASS</v>
      </c>
    </row>
    <row r="29" spans="1:4" x14ac:dyDescent="0.2">
      <c r="A29" s="18">
        <v>25</v>
      </c>
      <c r="B29" s="29" t="s">
        <v>125</v>
      </c>
      <c r="C29" s="22" t="s">
        <v>126</v>
      </c>
      <c r="D29" s="23" t="str">
        <f t="shared" si="0"/>
        <v>PASS</v>
      </c>
    </row>
    <row r="30" spans="1:4" x14ac:dyDescent="0.2">
      <c r="A30" s="18">
        <v>26</v>
      </c>
      <c r="B30" s="29" t="s">
        <v>127</v>
      </c>
      <c r="C30" s="22" t="s">
        <v>65</v>
      </c>
      <c r="D30" s="23" t="str">
        <f t="shared" si="0"/>
        <v>PASS</v>
      </c>
    </row>
    <row r="31" spans="1:4" x14ac:dyDescent="0.2">
      <c r="A31" s="18">
        <v>27</v>
      </c>
      <c r="B31" s="29" t="s">
        <v>128</v>
      </c>
      <c r="C31" s="22" t="s">
        <v>129</v>
      </c>
      <c r="D31" s="23" t="str">
        <f t="shared" si="0"/>
        <v>PASS</v>
      </c>
    </row>
    <row r="32" spans="1:4" x14ac:dyDescent="0.2">
      <c r="A32" s="18">
        <v>28</v>
      </c>
      <c r="B32" s="29" t="s">
        <v>130</v>
      </c>
      <c r="C32" s="22" t="s">
        <v>61</v>
      </c>
      <c r="D32" s="23" t="str">
        <f t="shared" si="0"/>
        <v>PASS</v>
      </c>
    </row>
    <row r="33" spans="1:4" x14ac:dyDescent="0.2">
      <c r="A33" s="18">
        <v>29</v>
      </c>
      <c r="B33" s="29" t="s">
        <v>131</v>
      </c>
      <c r="C33" s="22" t="s">
        <v>132</v>
      </c>
      <c r="D33" s="23" t="str">
        <f t="shared" si="0"/>
        <v>PASS</v>
      </c>
    </row>
    <row r="34" spans="1:4" x14ac:dyDescent="0.2">
      <c r="A34" s="18">
        <v>30</v>
      </c>
      <c r="B34" s="29" t="s">
        <v>133</v>
      </c>
      <c r="C34" s="22" t="s">
        <v>134</v>
      </c>
      <c r="D34" s="23" t="str">
        <f t="shared" si="0"/>
        <v>PASS</v>
      </c>
    </row>
    <row r="35" spans="1:4" x14ac:dyDescent="0.2">
      <c r="A35" s="18">
        <v>31</v>
      </c>
      <c r="B35" s="29" t="s">
        <v>135</v>
      </c>
      <c r="C35" s="22" t="s">
        <v>136</v>
      </c>
      <c r="D35" s="23" t="str">
        <f t="shared" si="0"/>
        <v>PASS</v>
      </c>
    </row>
    <row r="36" spans="1:4" x14ac:dyDescent="0.2">
      <c r="A36" s="18">
        <v>32</v>
      </c>
      <c r="B36" s="29" t="s">
        <v>137</v>
      </c>
      <c r="C36" s="22" t="s">
        <v>138</v>
      </c>
      <c r="D36" s="23" t="str">
        <f t="shared" si="0"/>
        <v>PASS</v>
      </c>
    </row>
  </sheetData>
  <mergeCells count="3">
    <mergeCell ref="A1:C1"/>
    <mergeCell ref="A2:C2"/>
    <mergeCell ref="A3:C3"/>
  </mergeCells>
  <hyperlinks>
    <hyperlink ref="B5" location="'Executive Summary'!A1" display="Executive Summary" xr:uid="{00000000-0004-0000-0100-000000000000}"/>
    <hyperlink ref="B6" location="'Inputs Master (M0)'!A1" display="Inputs Master (M0)" xr:uid="{00000000-0004-0000-0100-000001000000}"/>
    <hyperlink ref="B7" location="'Equipment &amp; Dimensions Register'!A1" display="Equipment &amp; Dimensions Register" xr:uid="{00000000-0004-0000-0100-000002000000}"/>
    <hyperlink ref="B8" location="'Overview'!A1" display="Overview" xr:uid="{00000000-0004-0000-0100-000003000000}"/>
    <hyperlink ref="B9" location="'Renders'!A1" display="Renders" xr:uid="{00000000-0004-0000-0100-000004000000}"/>
    <hyperlink ref="B10" location="'Cost waterfall'!A1" display="Cost waterfall" xr:uid="{00000000-0004-0000-0100-000005000000}"/>
    <hyperlink ref="B11" location="'Financial model'!A1" display="Financial model" xr:uid="{00000000-0004-0000-0100-000006000000}"/>
    <hyperlink ref="B12" location="'Bill of Materials (Ledger)'!A1" display="Bill of Materials (Ledger)" xr:uid="{00000000-0004-0000-0100-000007000000}"/>
    <hyperlink ref="B13" location="'Brief'!A1" display="Brief" xr:uid="{00000000-0004-0000-0100-000008000000}"/>
    <hyperlink ref="B14" location="'Design basis'!A1" display="Design basis" xr:uid="{00000000-0004-0000-0100-000009000000}"/>
    <hyperlink ref="B15" location="'Drawings'!A1" display="Drawings" xr:uid="{00000000-0004-0000-0100-00000A000000}"/>
    <hyperlink ref="B16" location="'BFD — Block Flow'!A1" display="BFD — Block Flow" xr:uid="{00000000-0004-0000-0100-00000B000000}"/>
    <hyperlink ref="B17" location="'P&amp;ID'!A1" display="P&amp;ID" xr:uid="{00000000-0004-0000-0100-00000C000000}"/>
    <hyperlink ref="B18" location="'Process schedules'!A1" display="Process schedules" xr:uid="{00000000-0004-0000-0100-00000D000000}"/>
    <hyperlink ref="B19" location="'GA — General Arrangement'!A1" display="GA — General Arrangement" xr:uid="{00000000-0004-0000-0100-00000E000000}"/>
    <hyperlink ref="B20" location="'HVAC'!A1" display="HVAC" xr:uid="{00000000-0004-0000-0100-00000F000000}"/>
    <hyperlink ref="B21" location="'Electrical'!A1" display="Electrical" xr:uid="{00000000-0004-0000-0100-000010000000}"/>
    <hyperlink ref="B22" location="'Line &amp; velocity'!A1" display="Line &amp; velocity" xr:uid="{00000000-0004-0000-0100-000011000000}"/>
    <hyperlink ref="B23" location="'Assembly sequence'!A1" display="Assembly sequence" xr:uid="{00000000-0004-0000-0100-000012000000}"/>
    <hyperlink ref="B24" location="'Risk &amp; Regulatory'!A1" display="Risk &amp; Regulatory" xr:uid="{00000000-0004-0000-0100-000013000000}"/>
    <hyperlink ref="B25" location="'Holds &amp; exclusions'!A1" display="Holds &amp; exclusions" xr:uid="{00000000-0004-0000-0100-000014000000}"/>
    <hyperlink ref="B26" location="'Questions for the customer'!A1" display="Questions for the customer" xr:uid="{00000000-0004-0000-0100-000015000000}"/>
    <hyperlink ref="B27" location="'Quality &amp; Audit'!A1" display="Quality &amp; Audit" xr:uid="{00000000-0004-0000-0100-000016000000}"/>
    <hyperlink ref="B28" location="'Sense-check'!A1" display="Sense-check" xr:uid="{00000000-0004-0000-0100-000017000000}"/>
    <hyperlink ref="B29" location="'⚠ Checks'!A1" display="⚠ Checks" xr:uid="{00000000-0004-0000-0100-000018000000}"/>
    <hyperlink ref="B30" location="'Connection trace'!A1" display="Connection trace" xr:uid="{00000000-0004-0000-0100-000019000000}"/>
    <hyperlink ref="B31" location="'Quantities'!A1" display="Quantities" xr:uid="{00000000-0004-0000-0100-00001A000000}"/>
    <hyperlink ref="B32" location="'Calculations'!A1" display="Calculations" xr:uid="{00000000-0004-0000-0100-00001B000000}"/>
    <hyperlink ref="B33" location="'Inputs &amp; Assumptions'!A1" display="Inputs &amp; Assumptions" xr:uid="{00000000-0004-0000-0100-00001C000000}"/>
    <hyperlink ref="B34" location="'Part names'!A1" display="Part names" xr:uid="{00000000-0004-0000-0100-00001D000000}"/>
    <hyperlink ref="B35" location="'Glossary'!A1" display="Glossary" xr:uid="{00000000-0004-0000-0100-00001E000000}"/>
    <hyperlink ref="B36" location="'Audit data'!A1" display="Audit data" xr:uid="{00000000-0004-0000-0100-00001F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J50"/>
  <sheetViews>
    <sheetView zoomScaleNormal="100" workbookViewId="0">
      <pane ySplit="5" topLeftCell="A32" activePane="bottomLeft" state="frozen"/>
      <selection pane="bottomLeft" activeCell="F22" sqref="F22"/>
    </sheetView>
  </sheetViews>
  <sheetFormatPr baseColWidth="10" defaultColWidth="8.6640625" defaultRowHeight="15" x14ac:dyDescent="0.2"/>
  <cols>
    <col min="1" max="1" width="16" customWidth="1"/>
    <col min="2" max="2" width="34" customWidth="1"/>
    <col min="3" max="3" width="14" customWidth="1"/>
    <col min="4" max="4" width="10" customWidth="1"/>
    <col min="5" max="5" width="12" customWidth="1"/>
    <col min="6" max="6" width="70" customWidth="1"/>
    <col min="7" max="7" width="14" customWidth="1"/>
    <col min="8" max="8" width="13" customWidth="1"/>
  </cols>
  <sheetData>
    <row r="1" spans="1:10" ht="25.5" customHeight="1" x14ac:dyDescent="0.2">
      <c r="A1" s="12" t="s">
        <v>139</v>
      </c>
      <c r="B1" s="12"/>
      <c r="C1" s="12"/>
      <c r="D1" s="12"/>
      <c r="E1" s="12"/>
      <c r="F1" s="12"/>
      <c r="G1" s="12"/>
      <c r="H1" s="30" t="s">
        <v>140</v>
      </c>
    </row>
    <row r="2" spans="1:10" ht="18" customHeight="1" x14ac:dyDescent="0.2">
      <c r="A2" s="11" t="str">
        <f>"⬤ TAB QUALITY "&amp;IF(ISNUMBER('Quality &amp; Audit'!$B$60),IF('Quality &amp; Audit'!$B$60=INT('Quality &amp; Audit'!$B$60),TEXT('Quality &amp; Audit'!$B$60,"0"),TEXT('Quality &amp; Audit'!$B$60,"0.0")),"—")&amp;"/10 · "&amp;IF(ISNUMBER('Quality &amp; Audit'!$B$60),IF('Quality &amp; Audit'!$B$60&gt;=8,"PASS","FAIL"),"UNSCORED")&amp;" (target ≥8, live from the Quality &amp; Audit score cell)"&amp;" · cell completeness+type contract 270/270 · score = min over checks of 10 × passed/checked"&amp;" · full audit: Quality &amp; Audit tab"</f>
        <v>⬤ TAB QUALITY 10/10 · PASS (target ≥8, live from the Quality &amp; Audit score cell) · cell completeness+type contract 270/270 · score = min over checks of 10 × passed/checked · full audit: Quality &amp; Audit tab</v>
      </c>
      <c r="B2" s="11"/>
      <c r="C2" s="11"/>
      <c r="D2" s="11"/>
      <c r="E2" s="11"/>
      <c r="F2" s="11"/>
      <c r="G2" s="11"/>
    </row>
    <row r="3" spans="1:10" ht="54" customHeight="1" x14ac:dyDescent="0.2">
      <c r="A3" s="10" t="s">
        <v>141</v>
      </c>
      <c r="B3" s="10"/>
      <c r="C3" s="10"/>
      <c r="D3" s="10"/>
      <c r="E3" s="10"/>
      <c r="F3" s="10"/>
      <c r="G3" s="10"/>
    </row>
    <row r="5" spans="1:10" ht="16" x14ac:dyDescent="0.2">
      <c r="A5" s="16" t="s">
        <v>142</v>
      </c>
      <c r="B5" s="16" t="s">
        <v>143</v>
      </c>
      <c r="C5" s="16" t="s">
        <v>144</v>
      </c>
      <c r="D5" s="16" t="s">
        <v>145</v>
      </c>
      <c r="E5" s="16" t="s">
        <v>146</v>
      </c>
      <c r="F5" s="16" t="s">
        <v>147</v>
      </c>
      <c r="G5" s="16" t="s">
        <v>148</v>
      </c>
      <c r="H5" s="17" t="s">
        <v>20</v>
      </c>
    </row>
    <row r="6" spans="1:10" ht="26" x14ac:dyDescent="0.2">
      <c r="A6" s="31" t="s">
        <v>149</v>
      </c>
      <c r="B6" s="18" t="s">
        <v>150</v>
      </c>
      <c r="C6" s="19">
        <v>1400000</v>
      </c>
      <c r="D6" s="18" t="s">
        <v>151</v>
      </c>
      <c r="E6" s="18" t="s">
        <v>152</v>
      </c>
      <c r="F6" s="22" t="s">
        <v>153</v>
      </c>
      <c r="G6" s="32">
        <v>0</v>
      </c>
      <c r="H6" s="23" t="str">
        <f t="shared" ref="H6:H50" si="0">IF(AND(LEN(TRIM(A6&amp;""))&gt;0,TRIM(A6&amp;"")&lt;&gt;"—",LEN(TRIM(B6&amp;""))&gt;0,TRIM(B6&amp;"")&lt;&gt;"—",LEN(TRIM(C6&amp;""))&gt;0,TRIM(C6&amp;"")&lt;&gt;"—",ISNUMBER(C6),LEN(TRIM(D6&amp;""))&gt;0,TRIM(D6&amp;"")&lt;&gt;"—",LEN(TRIM(E6&amp;""))&gt;0,TRIM(E6&amp;"")&lt;&gt;"—",LEN(TRIM(F6&amp;""))&gt;0,TRIM(F6&amp;"")&lt;&gt;"—"),"PASS","⚠ FAIL — "&amp;"a required cell is empty/placeholder or wrong type")</f>
        <v>PASS</v>
      </c>
      <c r="J6" s="145" t="s">
        <v>4558</v>
      </c>
    </row>
    <row r="7" spans="1:10" ht="26" x14ac:dyDescent="0.2">
      <c r="A7" s="31" t="s">
        <v>154</v>
      </c>
      <c r="B7" s="18" t="s">
        <v>155</v>
      </c>
      <c r="C7" s="19">
        <v>6</v>
      </c>
      <c r="D7" s="18" t="s">
        <v>27</v>
      </c>
      <c r="E7" s="18" t="s">
        <v>152</v>
      </c>
      <c r="F7" s="22" t="s">
        <v>156</v>
      </c>
      <c r="G7" s="32">
        <v>113</v>
      </c>
      <c r="H7" s="23" t="str">
        <f t="shared" si="0"/>
        <v>PASS</v>
      </c>
    </row>
    <row r="8" spans="1:10" ht="26" x14ac:dyDescent="0.2">
      <c r="A8" s="31" t="s">
        <v>157</v>
      </c>
      <c r="B8" s="18" t="s">
        <v>158</v>
      </c>
      <c r="C8" s="19">
        <v>20</v>
      </c>
      <c r="D8" s="18" t="s">
        <v>159</v>
      </c>
      <c r="E8" s="18" t="s">
        <v>152</v>
      </c>
      <c r="F8" s="22" t="s">
        <v>160</v>
      </c>
      <c r="G8" s="32">
        <v>108</v>
      </c>
      <c r="H8" s="23" t="str">
        <f t="shared" si="0"/>
        <v>PASS</v>
      </c>
    </row>
    <row r="9" spans="1:10" ht="26" x14ac:dyDescent="0.2">
      <c r="A9" s="31" t="s">
        <v>161</v>
      </c>
      <c r="B9" s="18" t="s">
        <v>162</v>
      </c>
      <c r="C9" s="19">
        <v>45</v>
      </c>
      <c r="D9" s="18" t="s">
        <v>22</v>
      </c>
      <c r="E9" s="18" t="s">
        <v>152</v>
      </c>
      <c r="F9" s="22" t="s">
        <v>163</v>
      </c>
      <c r="G9" s="32">
        <v>43</v>
      </c>
      <c r="H9" s="23" t="str">
        <f t="shared" si="0"/>
        <v>PASS</v>
      </c>
    </row>
    <row r="10" spans="1:10" ht="26" x14ac:dyDescent="0.2">
      <c r="A10" s="31" t="s">
        <v>164</v>
      </c>
      <c r="B10" s="18" t="s">
        <v>26</v>
      </c>
      <c r="C10" s="19">
        <v>6000</v>
      </c>
      <c r="D10" s="18" t="s">
        <v>27</v>
      </c>
      <c r="E10" s="18" t="s">
        <v>152</v>
      </c>
      <c r="F10" s="22" t="s">
        <v>165</v>
      </c>
      <c r="G10" s="32">
        <v>10</v>
      </c>
      <c r="H10" s="23" t="str">
        <f t="shared" si="0"/>
        <v>PASS</v>
      </c>
    </row>
    <row r="11" spans="1:10" ht="26" x14ac:dyDescent="0.2">
      <c r="A11" s="31" t="s">
        <v>166</v>
      </c>
      <c r="B11" s="18" t="s">
        <v>167</v>
      </c>
      <c r="C11" s="19">
        <v>8</v>
      </c>
      <c r="D11" s="18" t="s">
        <v>22</v>
      </c>
      <c r="E11" s="18" t="s">
        <v>152</v>
      </c>
      <c r="F11" s="22" t="s">
        <v>168</v>
      </c>
      <c r="G11" s="32">
        <v>58</v>
      </c>
      <c r="H11" s="23" t="str">
        <f t="shared" si="0"/>
        <v>PASS</v>
      </c>
    </row>
    <row r="12" spans="1:10" ht="26" x14ac:dyDescent="0.2">
      <c r="A12" s="31" t="s">
        <v>169</v>
      </c>
      <c r="B12" s="18" t="s">
        <v>170</v>
      </c>
      <c r="C12" s="19">
        <v>75</v>
      </c>
      <c r="D12" s="18" t="s">
        <v>33</v>
      </c>
      <c r="E12" s="18" t="s">
        <v>152</v>
      </c>
      <c r="F12" s="22" t="s">
        <v>171</v>
      </c>
      <c r="G12" s="32">
        <v>7</v>
      </c>
      <c r="H12" s="23" t="str">
        <f t="shared" si="0"/>
        <v>PASS</v>
      </c>
    </row>
    <row r="13" spans="1:10" x14ac:dyDescent="0.2">
      <c r="A13" s="31" t="s">
        <v>172</v>
      </c>
      <c r="B13" s="18" t="s">
        <v>35</v>
      </c>
      <c r="C13" s="19">
        <v>120</v>
      </c>
      <c r="D13" s="18" t="s">
        <v>36</v>
      </c>
      <c r="E13" s="18" t="s">
        <v>152</v>
      </c>
      <c r="F13" s="22" t="s">
        <v>173</v>
      </c>
      <c r="G13" s="32">
        <v>4</v>
      </c>
      <c r="H13" s="23" t="str">
        <f t="shared" si="0"/>
        <v>PASS</v>
      </c>
    </row>
    <row r="14" spans="1:10" ht="26" x14ac:dyDescent="0.2">
      <c r="A14" s="31" t="s">
        <v>174</v>
      </c>
      <c r="B14" s="18" t="s">
        <v>38</v>
      </c>
      <c r="C14" s="19">
        <v>200</v>
      </c>
      <c r="D14" s="18" t="s">
        <v>27</v>
      </c>
      <c r="E14" s="18" t="s">
        <v>152</v>
      </c>
      <c r="F14" s="22" t="s">
        <v>175</v>
      </c>
      <c r="G14" s="32">
        <v>14</v>
      </c>
      <c r="H14" s="23" t="str">
        <f t="shared" si="0"/>
        <v>PASS</v>
      </c>
    </row>
    <row r="15" spans="1:10" ht="39" x14ac:dyDescent="0.2">
      <c r="A15" s="31" t="s">
        <v>176</v>
      </c>
      <c r="B15" s="18" t="s">
        <v>177</v>
      </c>
      <c r="C15" s="19">
        <v>0</v>
      </c>
      <c r="D15" s="18" t="s">
        <v>178</v>
      </c>
      <c r="E15" s="18" t="s">
        <v>179</v>
      </c>
      <c r="F15" s="22" t="s">
        <v>180</v>
      </c>
      <c r="G15" s="32">
        <v>147</v>
      </c>
      <c r="H15" s="23" t="str">
        <f t="shared" si="0"/>
        <v>PASS</v>
      </c>
    </row>
    <row r="16" spans="1:10" ht="52" x14ac:dyDescent="0.2">
      <c r="A16" s="31" t="s">
        <v>181</v>
      </c>
      <c r="B16" s="18" t="s">
        <v>182</v>
      </c>
      <c r="C16" s="19">
        <v>0</v>
      </c>
      <c r="D16" s="18" t="s">
        <v>178</v>
      </c>
      <c r="E16" s="18" t="s">
        <v>179</v>
      </c>
      <c r="F16" s="22" t="s">
        <v>183</v>
      </c>
      <c r="G16" s="32">
        <v>147</v>
      </c>
      <c r="H16" s="23" t="str">
        <f t="shared" si="0"/>
        <v>PASS</v>
      </c>
    </row>
    <row r="17" spans="1:8" ht="26" x14ac:dyDescent="0.2">
      <c r="A17" s="31" t="s">
        <v>184</v>
      </c>
      <c r="B17" s="18" t="s">
        <v>185</v>
      </c>
      <c r="C17" s="19">
        <v>0</v>
      </c>
      <c r="D17" s="18" t="s">
        <v>186</v>
      </c>
      <c r="E17" s="18" t="s">
        <v>179</v>
      </c>
      <c r="F17" s="22" t="s">
        <v>187</v>
      </c>
      <c r="G17" s="32">
        <v>147</v>
      </c>
      <c r="H17" s="23" t="str">
        <f t="shared" si="0"/>
        <v>PASS</v>
      </c>
    </row>
    <row r="18" spans="1:8" ht="26" x14ac:dyDescent="0.2">
      <c r="A18" s="31" t="s">
        <v>188</v>
      </c>
      <c r="B18" s="18" t="s">
        <v>189</v>
      </c>
      <c r="C18" s="19">
        <v>0.15</v>
      </c>
      <c r="D18" s="18" t="s">
        <v>190</v>
      </c>
      <c r="E18" s="18" t="s">
        <v>179</v>
      </c>
      <c r="F18" s="22" t="s">
        <v>191</v>
      </c>
      <c r="G18" s="32">
        <v>0</v>
      </c>
      <c r="H18" s="23" t="str">
        <f t="shared" si="0"/>
        <v>PASS</v>
      </c>
    </row>
    <row r="19" spans="1:8" ht="26" x14ac:dyDescent="0.2">
      <c r="A19" s="31" t="s">
        <v>192</v>
      </c>
      <c r="B19" s="18" t="s">
        <v>193</v>
      </c>
      <c r="C19" s="19">
        <v>0.65</v>
      </c>
      <c r="D19" s="18" t="s">
        <v>194</v>
      </c>
      <c r="E19" s="18" t="s">
        <v>179</v>
      </c>
      <c r="F19" s="22" t="s">
        <v>195</v>
      </c>
      <c r="G19" s="32">
        <v>0</v>
      </c>
      <c r="H19" s="23" t="str">
        <f t="shared" si="0"/>
        <v>PASS</v>
      </c>
    </row>
    <row r="20" spans="1:8" ht="26" x14ac:dyDescent="0.2">
      <c r="A20" s="31" t="s">
        <v>196</v>
      </c>
      <c r="B20" s="18" t="s">
        <v>197</v>
      </c>
      <c r="C20" s="19">
        <v>8000</v>
      </c>
      <c r="D20" s="18" t="s">
        <v>198</v>
      </c>
      <c r="E20" s="18" t="s">
        <v>179</v>
      </c>
      <c r="F20" s="22" t="s">
        <v>199</v>
      </c>
      <c r="G20" s="32">
        <v>1</v>
      </c>
      <c r="H20" s="23" t="str">
        <f t="shared" si="0"/>
        <v>PASS</v>
      </c>
    </row>
    <row r="21" spans="1:8" ht="78" x14ac:dyDescent="0.2">
      <c r="A21" s="31" t="s">
        <v>200</v>
      </c>
      <c r="B21" s="18" t="s">
        <v>201</v>
      </c>
      <c r="C21" s="19">
        <v>0.25</v>
      </c>
      <c r="D21" s="18" t="s">
        <v>202</v>
      </c>
      <c r="E21" s="18" t="s">
        <v>179</v>
      </c>
      <c r="F21" s="22" t="s">
        <v>203</v>
      </c>
      <c r="G21" s="32">
        <v>0</v>
      </c>
      <c r="H21" s="23" t="str">
        <f t="shared" si="0"/>
        <v>PASS</v>
      </c>
    </row>
    <row r="22" spans="1:8" ht="52" x14ac:dyDescent="0.2">
      <c r="A22" s="31" t="s">
        <v>204</v>
      </c>
      <c r="B22" s="18" t="s">
        <v>205</v>
      </c>
      <c r="C22" s="19">
        <v>25000</v>
      </c>
      <c r="D22" s="18" t="s">
        <v>206</v>
      </c>
      <c r="E22" s="18" t="s">
        <v>179</v>
      </c>
      <c r="F22" s="22" t="s">
        <v>207</v>
      </c>
      <c r="G22" s="32">
        <v>0</v>
      </c>
      <c r="H22" s="23" t="str">
        <f t="shared" si="0"/>
        <v>PASS</v>
      </c>
    </row>
    <row r="23" spans="1:8" x14ac:dyDescent="0.2">
      <c r="A23" s="31" t="s">
        <v>208</v>
      </c>
      <c r="B23" s="18" t="s">
        <v>209</v>
      </c>
      <c r="C23" s="33">
        <v>3</v>
      </c>
      <c r="D23" s="18" t="s">
        <v>210</v>
      </c>
      <c r="E23" s="18" t="s">
        <v>211</v>
      </c>
      <c r="F23" s="22" t="s">
        <v>212</v>
      </c>
      <c r="G23" s="32">
        <v>128</v>
      </c>
      <c r="H23" s="23" t="str">
        <f t="shared" si="0"/>
        <v>PASS</v>
      </c>
    </row>
    <row r="24" spans="1:8" ht="26" x14ac:dyDescent="0.2">
      <c r="A24" s="31" t="s">
        <v>213</v>
      </c>
      <c r="B24" s="18" t="s">
        <v>214</v>
      </c>
      <c r="C24" s="19">
        <v>27212</v>
      </c>
      <c r="D24" s="18" t="s">
        <v>206</v>
      </c>
      <c r="E24" s="18" t="s">
        <v>179</v>
      </c>
      <c r="F24" s="22" t="s">
        <v>215</v>
      </c>
      <c r="G24" s="32">
        <v>0</v>
      </c>
      <c r="H24" s="23" t="str">
        <f t="shared" si="0"/>
        <v>PASS</v>
      </c>
    </row>
    <row r="25" spans="1:8" ht="52" x14ac:dyDescent="0.2">
      <c r="A25" s="31" t="s">
        <v>216</v>
      </c>
      <c r="B25" s="18" t="s">
        <v>217</v>
      </c>
      <c r="C25" s="33">
        <v>1</v>
      </c>
      <c r="D25" s="18" t="s">
        <v>218</v>
      </c>
      <c r="E25" s="18" t="s">
        <v>211</v>
      </c>
      <c r="F25" s="22" t="s">
        <v>219</v>
      </c>
      <c r="G25" s="32">
        <v>134</v>
      </c>
      <c r="H25" s="23" t="str">
        <f t="shared" si="0"/>
        <v>PASS</v>
      </c>
    </row>
    <row r="26" spans="1:8" x14ac:dyDescent="0.2">
      <c r="A26" s="31" t="s">
        <v>220</v>
      </c>
      <c r="B26" s="18" t="s">
        <v>221</v>
      </c>
      <c r="C26" s="33">
        <v>10</v>
      </c>
      <c r="D26" s="18" t="s">
        <v>33</v>
      </c>
      <c r="E26" s="18" t="s">
        <v>211</v>
      </c>
      <c r="F26" s="22" t="s">
        <v>222</v>
      </c>
      <c r="G26" s="32">
        <v>20</v>
      </c>
      <c r="H26" s="23" t="str">
        <f t="shared" si="0"/>
        <v>PASS</v>
      </c>
    </row>
    <row r="27" spans="1:8" ht="26" x14ac:dyDescent="0.2">
      <c r="A27" s="31" t="s">
        <v>223</v>
      </c>
      <c r="B27" s="18" t="s">
        <v>224</v>
      </c>
      <c r="C27" s="33">
        <v>15</v>
      </c>
      <c r="D27" s="18" t="s">
        <v>33</v>
      </c>
      <c r="E27" s="18" t="s">
        <v>211</v>
      </c>
      <c r="F27" s="22" t="s">
        <v>225</v>
      </c>
      <c r="G27" s="32">
        <v>13</v>
      </c>
      <c r="H27" s="23" t="str">
        <f t="shared" si="0"/>
        <v>PASS</v>
      </c>
    </row>
    <row r="28" spans="1:8" ht="26" x14ac:dyDescent="0.2">
      <c r="A28" s="31" t="s">
        <v>226</v>
      </c>
      <c r="B28" s="18" t="s">
        <v>227</v>
      </c>
      <c r="C28" s="19">
        <v>20</v>
      </c>
      <c r="D28" s="18" t="s">
        <v>228</v>
      </c>
      <c r="E28" s="18" t="s">
        <v>179</v>
      </c>
      <c r="F28" s="22" t="s">
        <v>229</v>
      </c>
      <c r="G28" s="32">
        <v>108</v>
      </c>
      <c r="H28" s="23" t="str">
        <f t="shared" si="0"/>
        <v>PASS</v>
      </c>
    </row>
    <row r="29" spans="1:8" x14ac:dyDescent="0.2">
      <c r="A29" s="31" t="s">
        <v>230</v>
      </c>
      <c r="B29" s="18" t="s">
        <v>231</v>
      </c>
      <c r="C29" s="34">
        <v>1000</v>
      </c>
      <c r="D29" s="18" t="s">
        <v>232</v>
      </c>
      <c r="E29" s="18" t="s">
        <v>233</v>
      </c>
      <c r="F29" s="22" t="s">
        <v>234</v>
      </c>
      <c r="G29" s="32">
        <v>0</v>
      </c>
      <c r="H29" s="23" t="str">
        <f t="shared" si="0"/>
        <v>PASS</v>
      </c>
    </row>
    <row r="30" spans="1:8" ht="26" x14ac:dyDescent="0.2">
      <c r="A30" s="31" t="s">
        <v>235</v>
      </c>
      <c r="B30" s="18" t="s">
        <v>236</v>
      </c>
      <c r="C30" s="34">
        <v>0.65</v>
      </c>
      <c r="D30" s="18" t="s">
        <v>237</v>
      </c>
      <c r="E30" s="18" t="s">
        <v>233</v>
      </c>
      <c r="F30" s="22" t="s">
        <v>238</v>
      </c>
      <c r="G30" s="32">
        <v>0</v>
      </c>
      <c r="H30" s="23" t="str">
        <f t="shared" si="0"/>
        <v>PASS</v>
      </c>
    </row>
    <row r="31" spans="1:8" ht="26" x14ac:dyDescent="0.2">
      <c r="A31" s="31" t="s">
        <v>239</v>
      </c>
      <c r="B31" s="18" t="s">
        <v>240</v>
      </c>
      <c r="C31" s="34">
        <v>1000</v>
      </c>
      <c r="D31" s="18" t="s">
        <v>232</v>
      </c>
      <c r="E31" s="18" t="s">
        <v>233</v>
      </c>
      <c r="F31" s="22" t="s">
        <v>241</v>
      </c>
      <c r="G31" s="32">
        <v>0</v>
      </c>
      <c r="H31" s="23" t="str">
        <f t="shared" si="0"/>
        <v>PASS</v>
      </c>
    </row>
    <row r="32" spans="1:8" ht="26" x14ac:dyDescent="0.2">
      <c r="A32" s="31" t="s">
        <v>242</v>
      </c>
      <c r="B32" s="18" t="s">
        <v>243</v>
      </c>
      <c r="C32" s="34">
        <v>9.81</v>
      </c>
      <c r="D32" s="18" t="s">
        <v>244</v>
      </c>
      <c r="E32" s="18" t="s">
        <v>233</v>
      </c>
      <c r="F32" s="22" t="s">
        <v>241</v>
      </c>
      <c r="G32" s="32">
        <v>0</v>
      </c>
      <c r="H32" s="23" t="str">
        <f t="shared" si="0"/>
        <v>PASS</v>
      </c>
    </row>
    <row r="33" spans="1:8" x14ac:dyDescent="0.2">
      <c r="A33" s="31" t="s">
        <v>245</v>
      </c>
      <c r="B33" s="18" t="s">
        <v>246</v>
      </c>
      <c r="C33" s="20">
        <v>283</v>
      </c>
      <c r="D33" s="18" t="s">
        <v>247</v>
      </c>
      <c r="E33" s="18" t="s">
        <v>248</v>
      </c>
      <c r="F33" s="22" t="s">
        <v>249</v>
      </c>
      <c r="G33" s="32">
        <v>0</v>
      </c>
      <c r="H33" s="23" t="str">
        <f t="shared" si="0"/>
        <v>PASS</v>
      </c>
    </row>
    <row r="34" spans="1:8" x14ac:dyDescent="0.2">
      <c r="A34" s="31" t="s">
        <v>250</v>
      </c>
      <c r="B34" s="18" t="s">
        <v>251</v>
      </c>
      <c r="C34" s="20">
        <v>1.2</v>
      </c>
      <c r="D34" s="18" t="s">
        <v>247</v>
      </c>
      <c r="E34" s="18" t="s">
        <v>248</v>
      </c>
      <c r="F34" s="22" t="s">
        <v>252</v>
      </c>
      <c r="G34" s="32">
        <v>7</v>
      </c>
      <c r="H34" s="23" t="str">
        <f t="shared" si="0"/>
        <v>PASS</v>
      </c>
    </row>
    <row r="35" spans="1:8" x14ac:dyDescent="0.2">
      <c r="A35" s="31" t="s">
        <v>253</v>
      </c>
      <c r="B35" s="18" t="s">
        <v>254</v>
      </c>
      <c r="C35" s="20">
        <v>168</v>
      </c>
      <c r="D35" s="18" t="s">
        <v>247</v>
      </c>
      <c r="E35" s="18" t="s">
        <v>248</v>
      </c>
      <c r="F35" s="22" t="s">
        <v>255</v>
      </c>
      <c r="G35" s="32">
        <v>0</v>
      </c>
      <c r="H35" s="23" t="str">
        <f t="shared" si="0"/>
        <v>PASS</v>
      </c>
    </row>
    <row r="36" spans="1:8" x14ac:dyDescent="0.2">
      <c r="A36" s="31" t="s">
        <v>256</v>
      </c>
      <c r="B36" s="18" t="s">
        <v>257</v>
      </c>
      <c r="C36" s="20">
        <v>283</v>
      </c>
      <c r="D36" s="18" t="s">
        <v>247</v>
      </c>
      <c r="E36" s="18" t="s">
        <v>248</v>
      </c>
      <c r="F36" s="22" t="s">
        <v>258</v>
      </c>
      <c r="G36" s="32">
        <v>0</v>
      </c>
      <c r="H36" s="23" t="str">
        <f t="shared" si="0"/>
        <v>PASS</v>
      </c>
    </row>
    <row r="37" spans="1:8" x14ac:dyDescent="0.2">
      <c r="A37" s="31" t="s">
        <v>259</v>
      </c>
      <c r="B37" s="18" t="s">
        <v>260</v>
      </c>
      <c r="C37" s="20">
        <v>0</v>
      </c>
      <c r="D37" s="18" t="s">
        <v>247</v>
      </c>
      <c r="E37" s="18" t="s">
        <v>248</v>
      </c>
      <c r="F37" s="22" t="s">
        <v>261</v>
      </c>
      <c r="G37" s="32">
        <v>147</v>
      </c>
      <c r="H37" s="23" t="str">
        <f t="shared" si="0"/>
        <v>PASS</v>
      </c>
    </row>
    <row r="38" spans="1:8" x14ac:dyDescent="0.2">
      <c r="A38" s="31" t="s">
        <v>262</v>
      </c>
      <c r="B38" s="18" t="s">
        <v>263</v>
      </c>
      <c r="C38" s="20">
        <v>0</v>
      </c>
      <c r="D38" s="18" t="s">
        <v>247</v>
      </c>
      <c r="E38" s="18" t="s">
        <v>248</v>
      </c>
      <c r="F38" s="22" t="s">
        <v>264</v>
      </c>
      <c r="G38" s="32">
        <v>147</v>
      </c>
      <c r="H38" s="23" t="str">
        <f t="shared" si="0"/>
        <v>PASS</v>
      </c>
    </row>
    <row r="39" spans="1:8" x14ac:dyDescent="0.2">
      <c r="A39" s="31" t="s">
        <v>265</v>
      </c>
      <c r="B39" s="18" t="s">
        <v>266</v>
      </c>
      <c r="C39" s="20">
        <v>0</v>
      </c>
      <c r="D39" s="18" t="s">
        <v>247</v>
      </c>
      <c r="E39" s="18" t="s">
        <v>248</v>
      </c>
      <c r="F39" s="22" t="s">
        <v>267</v>
      </c>
      <c r="G39" s="32">
        <v>147</v>
      </c>
      <c r="H39" s="23" t="str">
        <f t="shared" si="0"/>
        <v>PASS</v>
      </c>
    </row>
    <row r="40" spans="1:8" x14ac:dyDescent="0.2">
      <c r="A40" s="31" t="s">
        <v>268</v>
      </c>
      <c r="B40" s="18" t="s">
        <v>269</v>
      </c>
      <c r="C40" s="20">
        <v>0</v>
      </c>
      <c r="D40" s="18" t="s">
        <v>247</v>
      </c>
      <c r="E40" s="18" t="s">
        <v>248</v>
      </c>
      <c r="F40" s="22" t="s">
        <v>270</v>
      </c>
      <c r="G40" s="32">
        <v>147</v>
      </c>
      <c r="H40" s="23" t="str">
        <f t="shared" si="0"/>
        <v>PASS</v>
      </c>
    </row>
    <row r="41" spans="1:8" ht="39" x14ac:dyDescent="0.2">
      <c r="A41" s="31" t="s">
        <v>271</v>
      </c>
      <c r="B41" s="18" t="s">
        <v>272</v>
      </c>
      <c r="C41" s="33">
        <v>0.4</v>
      </c>
      <c r="D41" s="18" t="s">
        <v>186</v>
      </c>
      <c r="E41" s="18" t="s">
        <v>211</v>
      </c>
      <c r="F41" s="22" t="s">
        <v>273</v>
      </c>
      <c r="G41" s="32">
        <v>10</v>
      </c>
      <c r="H41" s="23" t="str">
        <f t="shared" si="0"/>
        <v>PASS</v>
      </c>
    </row>
    <row r="42" spans="1:8" ht="39" x14ac:dyDescent="0.2">
      <c r="A42" s="31" t="s">
        <v>274</v>
      </c>
      <c r="B42" s="18" t="s">
        <v>275</v>
      </c>
      <c r="C42" s="33">
        <v>0.18</v>
      </c>
      <c r="D42" s="18" t="s">
        <v>186</v>
      </c>
      <c r="E42" s="18" t="s">
        <v>211</v>
      </c>
      <c r="F42" s="22" t="s">
        <v>276</v>
      </c>
      <c r="G42" s="32">
        <v>0</v>
      </c>
      <c r="H42" s="23" t="str">
        <f t="shared" si="0"/>
        <v>PASS</v>
      </c>
    </row>
    <row r="43" spans="1:8" ht="39" x14ac:dyDescent="0.2">
      <c r="A43" s="31" t="s">
        <v>277</v>
      </c>
      <c r="B43" s="18" t="s">
        <v>278</v>
      </c>
      <c r="C43" s="33">
        <v>0.12</v>
      </c>
      <c r="D43" s="18" t="s">
        <v>186</v>
      </c>
      <c r="E43" s="18" t="s">
        <v>211</v>
      </c>
      <c r="F43" s="22" t="s">
        <v>279</v>
      </c>
      <c r="G43" s="32">
        <v>0</v>
      </c>
      <c r="H43" s="23" t="str">
        <f t="shared" si="0"/>
        <v>PASS</v>
      </c>
    </row>
    <row r="44" spans="1:8" ht="26" x14ac:dyDescent="0.2">
      <c r="A44" s="31" t="s">
        <v>280</v>
      </c>
      <c r="B44" s="18" t="s">
        <v>281</v>
      </c>
      <c r="C44" s="33">
        <v>3</v>
      </c>
      <c r="D44" s="18" t="s">
        <v>282</v>
      </c>
      <c r="E44" s="18" t="s">
        <v>211</v>
      </c>
      <c r="F44" s="22" t="s">
        <v>283</v>
      </c>
      <c r="G44" s="32">
        <v>128</v>
      </c>
      <c r="H44" s="23" t="str">
        <f t="shared" si="0"/>
        <v>PASS</v>
      </c>
    </row>
    <row r="45" spans="1:8" x14ac:dyDescent="0.2">
      <c r="A45" s="31" t="s">
        <v>284</v>
      </c>
      <c r="B45" s="18" t="s">
        <v>285</v>
      </c>
      <c r="C45" s="33">
        <v>34360</v>
      </c>
      <c r="D45" s="18" t="s">
        <v>247</v>
      </c>
      <c r="E45" s="18" t="s">
        <v>211</v>
      </c>
      <c r="F45" s="22" t="s">
        <v>286</v>
      </c>
      <c r="G45" s="32">
        <v>1</v>
      </c>
      <c r="H45" s="23" t="str">
        <f t="shared" si="0"/>
        <v>PASS</v>
      </c>
    </row>
    <row r="46" spans="1:8" x14ac:dyDescent="0.2">
      <c r="A46" s="31" t="s">
        <v>287</v>
      </c>
      <c r="B46" s="18" t="s">
        <v>288</v>
      </c>
      <c r="C46" s="33">
        <v>12581</v>
      </c>
      <c r="D46" s="18" t="s">
        <v>247</v>
      </c>
      <c r="E46" s="18" t="s">
        <v>211</v>
      </c>
      <c r="F46" s="22" t="s">
        <v>289</v>
      </c>
      <c r="G46" s="32">
        <v>1</v>
      </c>
      <c r="H46" s="23" t="str">
        <f t="shared" si="0"/>
        <v>PASS</v>
      </c>
    </row>
    <row r="47" spans="1:8" x14ac:dyDescent="0.2">
      <c r="A47" s="31" t="s">
        <v>290</v>
      </c>
      <c r="B47" s="18" t="s">
        <v>291</v>
      </c>
      <c r="C47" s="33">
        <v>18</v>
      </c>
      <c r="D47" s="18" t="s">
        <v>247</v>
      </c>
      <c r="E47" s="18" t="s">
        <v>211</v>
      </c>
      <c r="F47" s="22" t="s">
        <v>292</v>
      </c>
      <c r="G47" s="32">
        <v>10</v>
      </c>
      <c r="H47" s="23" t="str">
        <f t="shared" si="0"/>
        <v>PASS</v>
      </c>
    </row>
    <row r="48" spans="1:8" x14ac:dyDescent="0.2">
      <c r="A48" s="31" t="s">
        <v>293</v>
      </c>
      <c r="B48" s="18" t="s">
        <v>294</v>
      </c>
      <c r="C48" s="33">
        <v>982</v>
      </c>
      <c r="D48" s="18" t="s">
        <v>247</v>
      </c>
      <c r="E48" s="18" t="s">
        <v>211</v>
      </c>
      <c r="F48" s="22" t="s">
        <v>295</v>
      </c>
      <c r="G48" s="32">
        <v>1</v>
      </c>
      <c r="H48" s="23" t="str">
        <f t="shared" si="0"/>
        <v>PASS</v>
      </c>
    </row>
    <row r="49" spans="1:8" x14ac:dyDescent="0.2">
      <c r="A49" s="31" t="s">
        <v>296</v>
      </c>
      <c r="B49" s="18" t="s">
        <v>297</v>
      </c>
      <c r="C49" s="33">
        <v>2800</v>
      </c>
      <c r="D49" s="18" t="s">
        <v>247</v>
      </c>
      <c r="E49" s="18" t="s">
        <v>211</v>
      </c>
      <c r="F49" s="22" t="s">
        <v>298</v>
      </c>
      <c r="G49" s="32">
        <v>4</v>
      </c>
      <c r="H49" s="23" t="str">
        <f t="shared" si="0"/>
        <v>PASS</v>
      </c>
    </row>
    <row r="50" spans="1:8" x14ac:dyDescent="0.2">
      <c r="A50" s="31" t="s">
        <v>299</v>
      </c>
      <c r="B50" s="18" t="s">
        <v>300</v>
      </c>
      <c r="C50" s="33">
        <v>8082</v>
      </c>
      <c r="D50" s="18" t="s">
        <v>247</v>
      </c>
      <c r="E50" s="18" t="s">
        <v>211</v>
      </c>
      <c r="F50" s="22" t="s">
        <v>301</v>
      </c>
      <c r="G50" s="32">
        <v>2</v>
      </c>
      <c r="H50" s="23" t="str">
        <f t="shared" si="0"/>
        <v>PASS</v>
      </c>
    </row>
  </sheetData>
  <mergeCells count="3">
    <mergeCell ref="A1:G1"/>
    <mergeCell ref="A2:G2"/>
    <mergeCell ref="A3:G3"/>
  </mergeCells>
  <hyperlinks>
    <hyperlink ref="H1" location="'Contents'!A1" display="↑ Contents"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sheetPr>
  <dimension ref="A1:P52"/>
  <sheetViews>
    <sheetView zoomScaleNormal="100" workbookViewId="0">
      <pane ySplit="5" topLeftCell="A20" activePane="bottomLeft" state="frozen"/>
      <selection pane="bottomLeft" activeCell="H29" sqref="H29"/>
    </sheetView>
  </sheetViews>
  <sheetFormatPr baseColWidth="10" defaultColWidth="8.6640625" defaultRowHeight="15" x14ac:dyDescent="0.2"/>
  <cols>
    <col min="1" max="1" width="10" customWidth="1"/>
    <col min="2" max="2" width="30" customWidth="1"/>
    <col min="3" max="3" width="22" customWidth="1"/>
    <col min="4" max="4" width="10" customWidth="1"/>
    <col min="5" max="8" width="9" customWidth="1"/>
    <col min="9" max="9" width="11" customWidth="1"/>
    <col min="10" max="10" width="12" customWidth="1"/>
    <col min="11" max="11" width="26" customWidth="1"/>
    <col min="12" max="12" width="24" customWidth="1"/>
    <col min="13" max="13" width="12" customWidth="1"/>
    <col min="14" max="14" width="30" customWidth="1"/>
    <col min="15" max="15" width="34" customWidth="1"/>
    <col min="16" max="16" width="13" customWidth="1"/>
  </cols>
  <sheetData>
    <row r="1" spans="1:16" ht="25.5" customHeight="1" x14ac:dyDescent="0.2">
      <c r="A1" s="12" t="s">
        <v>302</v>
      </c>
      <c r="B1" s="12"/>
      <c r="C1" s="12"/>
      <c r="D1" s="12"/>
      <c r="E1" s="12"/>
      <c r="F1" s="12"/>
      <c r="G1" s="12"/>
      <c r="H1" s="12"/>
      <c r="I1" s="12"/>
      <c r="J1" s="12"/>
      <c r="K1" s="12"/>
      <c r="L1" s="12"/>
      <c r="M1" s="12"/>
      <c r="N1" s="12"/>
      <c r="O1" s="12"/>
      <c r="P1" s="30" t="s">
        <v>140</v>
      </c>
    </row>
    <row r="2" spans="1:16" ht="18" customHeight="1" x14ac:dyDescent="0.2">
      <c r="A2" s="11" t="str">
        <f>"⬤ TAB QUALITY "&amp;IF(ISNUMBER('Quality &amp; Audit'!$B$61),IF('Quality &amp; Audit'!$B$61=INT('Quality &amp; Audit'!$B$61),TEXT('Quality &amp; Audit'!$B$61,"0"),TEXT('Quality &amp; Audit'!$B$61,"0.0")),"—")&amp;"/10 · "&amp;IF(ISNUMBER('Quality &amp; Audit'!$B$61),IF('Quality &amp; Audit'!$B$61&gt;=8,"PASS","FAIL"),"UNSCORED")&amp;" (target ≥8, live from the Quality &amp; Audit score cell)"&amp;" · cell completeness+type contract 417/423 · score = min over checks of 10 × passed/checked"&amp;" · full audit: Quality &amp; Audit tab"</f>
        <v>⬤ TAB QUALITY 9.9/10 · PASS (target ≥8, live from the Quality &amp; Audit score cell) · cell completeness+type contract 417/423 · score = min over checks of 10 × passed/checked · full audit: Quality &amp; Audit tab</v>
      </c>
      <c r="B2" s="11"/>
      <c r="C2" s="11"/>
      <c r="D2" s="11"/>
      <c r="E2" s="11"/>
      <c r="F2" s="11"/>
      <c r="G2" s="11"/>
      <c r="H2" s="11"/>
      <c r="I2" s="11"/>
      <c r="J2" s="11"/>
      <c r="K2" s="11"/>
      <c r="L2" s="11"/>
      <c r="M2" s="11"/>
      <c r="N2" s="11"/>
      <c r="O2" s="11"/>
    </row>
    <row r="3" spans="1:16" ht="40.5" customHeight="1" x14ac:dyDescent="0.2">
      <c r="A3" s="10" t="s">
        <v>303</v>
      </c>
      <c r="B3" s="10"/>
      <c r="C3" s="10"/>
      <c r="D3" s="10"/>
      <c r="E3" s="10"/>
      <c r="F3" s="10"/>
      <c r="G3" s="10"/>
      <c r="H3" s="10"/>
      <c r="I3" s="10"/>
      <c r="J3" s="10"/>
      <c r="K3" s="10"/>
      <c r="L3" s="10"/>
      <c r="M3" s="10"/>
      <c r="N3" s="10"/>
      <c r="O3" s="10"/>
    </row>
    <row r="5" spans="1:16" ht="32" x14ac:dyDescent="0.2">
      <c r="A5" s="16" t="s">
        <v>304</v>
      </c>
      <c r="B5" s="16" t="s">
        <v>305</v>
      </c>
      <c r="C5" s="16" t="s">
        <v>306</v>
      </c>
      <c r="D5" s="16" t="s">
        <v>307</v>
      </c>
      <c r="E5" s="16" t="s">
        <v>308</v>
      </c>
      <c r="F5" s="16" t="s">
        <v>309</v>
      </c>
      <c r="G5" s="16" t="s">
        <v>310</v>
      </c>
      <c r="H5" s="16" t="s">
        <v>311</v>
      </c>
      <c r="I5" s="16" t="s">
        <v>312</v>
      </c>
      <c r="J5" s="16" t="s">
        <v>313</v>
      </c>
      <c r="K5" s="16" t="s">
        <v>314</v>
      </c>
      <c r="L5" s="16" t="s">
        <v>315</v>
      </c>
      <c r="M5" s="16" t="s">
        <v>316</v>
      </c>
      <c r="N5" s="16" t="s">
        <v>317</v>
      </c>
      <c r="O5" s="16" t="s">
        <v>318</v>
      </c>
      <c r="P5" s="17" t="s">
        <v>20</v>
      </c>
    </row>
    <row r="6" spans="1:16" x14ac:dyDescent="0.2">
      <c r="A6" s="18" t="s">
        <v>319</v>
      </c>
      <c r="B6" s="18" t="s">
        <v>320</v>
      </c>
      <c r="C6" s="18" t="s">
        <v>321</v>
      </c>
      <c r="D6" s="18" t="s">
        <v>322</v>
      </c>
      <c r="E6" s="35">
        <v>1600</v>
      </c>
      <c r="F6" s="35">
        <v>860</v>
      </c>
      <c r="G6" s="35">
        <v>2100</v>
      </c>
      <c r="H6" s="35"/>
      <c r="I6" s="36">
        <f t="shared" ref="I6:I52" si="0">IF(H6&lt;&gt;"",PI()*(H6/2000)^2*(G6/1000),IF(AND(E6&lt;&gt;"",F6&lt;&gt;"",G6&lt;&gt;""),E6/1000*F6/1000*G6/1000,""))</f>
        <v>2.8895999999999997</v>
      </c>
      <c r="J6" s="36">
        <f t="shared" ref="J6:J52" si="1">IF(H6&lt;&gt;"",PI()*(H6/2000)^2,IF(AND(E6&lt;&gt;"",F6&lt;&gt;""),E6/1000*F6/1000,""))</f>
        <v>1.3759999999999999</v>
      </c>
      <c r="K6" s="18" t="s">
        <v>323</v>
      </c>
      <c r="L6" s="18" t="s">
        <v>324</v>
      </c>
      <c r="M6" s="18" t="s">
        <v>325</v>
      </c>
      <c r="N6" s="18" t="str">
        <f>IF(COUNTIF('Bill of Materials (Ledger)'!$B$5:$B$415,"*"&amp;B6&amp;"*")&gt;0,"PASS","FAIL — "&amp;"canonical name not found in the BoM ledger Item column")</f>
        <v>PASS</v>
      </c>
      <c r="O6" s="18" t="str">
        <f>IF('Audit data'!$D$10&gt;0,"PASS","FAIL — "&amp;"canonical name not matched in any drawing surface (5/7 surfaces)")</f>
        <v>PASS</v>
      </c>
      <c r="P6" s="23" t="str">
        <f t="shared" ref="P6:P18" si="2">IF(AND(LEN(TRIM(A6&amp;""))&gt;0,TRIM(A6&amp;"")&lt;&gt;"—",LEN(TRIM(B6&amp;""))&gt;0,TRIM(B6&amp;"")&lt;&gt;"—",LEN(TRIM(C6&amp;""))&gt;0,TRIM(C6&amp;"")&lt;&gt;"—",LEN(TRIM(D6&amp;""))&gt;0,TRIM(D6&amp;"")&lt;&gt;"—",LEN(TRIM(K6&amp;""))&gt;0,TRIM(K6&amp;"")&lt;&gt;"—",LEN(TRIM(L6&amp;""))&gt;0,TRIM(L6&amp;"")&lt;&gt;"—",LEN(TRIM(M6&amp;""))&gt;0,TRIM(M6&amp;"")&lt;&gt;"—",LEN(TRIM(N6&amp;""))&gt;0,TRIM(N6&amp;"")&lt;&gt;"—",LEN(TRIM(O6&amp;""))&gt;0,TRIM(O6&amp;"")&lt;&gt;"—"),"PASS","⚠ FAIL — "&amp;"a required cell is empty/placeholder or wrong type")</f>
        <v>PASS</v>
      </c>
    </row>
    <row r="7" spans="1:16" x14ac:dyDescent="0.2">
      <c r="A7" s="18" t="s">
        <v>326</v>
      </c>
      <c r="B7" s="18" t="s">
        <v>327</v>
      </c>
      <c r="C7" s="18" t="s">
        <v>328</v>
      </c>
      <c r="D7" s="18" t="s">
        <v>322</v>
      </c>
      <c r="E7" s="35">
        <v>1600</v>
      </c>
      <c r="F7" s="35">
        <v>860</v>
      </c>
      <c r="G7" s="35">
        <v>2100</v>
      </c>
      <c r="H7" s="35"/>
      <c r="I7" s="36">
        <f t="shared" si="0"/>
        <v>2.8895999999999997</v>
      </c>
      <c r="J7" s="36">
        <f t="shared" si="1"/>
        <v>1.3759999999999999</v>
      </c>
      <c r="K7" s="18" t="s">
        <v>323</v>
      </c>
      <c r="L7" s="18" t="s">
        <v>329</v>
      </c>
      <c r="M7" s="18" t="s">
        <v>325</v>
      </c>
      <c r="N7" s="18" t="str">
        <f>IF(COUNTIF('Bill of Materials (Ledger)'!$B$5:$B$415,"*"&amp;B7&amp;"*")&gt;0,"PASS","FAIL — "&amp;"canonical name not found in the BoM ledger Item column")</f>
        <v>PASS</v>
      </c>
      <c r="O7" s="18" t="str">
        <f>IF('Audit data'!$D$11&gt;0,"PASS","FAIL — "&amp;"canonical name not matched in any drawing surface (5/7 surfaces)")</f>
        <v>PASS</v>
      </c>
      <c r="P7" s="23" t="str">
        <f t="shared" si="2"/>
        <v>PASS</v>
      </c>
    </row>
    <row r="8" spans="1:16" x14ac:dyDescent="0.2">
      <c r="A8" s="18" t="s">
        <v>330</v>
      </c>
      <c r="B8" s="18" t="s">
        <v>331</v>
      </c>
      <c r="C8" s="18" t="s">
        <v>328</v>
      </c>
      <c r="D8" s="18" t="s">
        <v>322</v>
      </c>
      <c r="E8" s="35">
        <v>1600</v>
      </c>
      <c r="F8" s="35">
        <v>860</v>
      </c>
      <c r="G8" s="35">
        <v>2100</v>
      </c>
      <c r="H8" s="35"/>
      <c r="I8" s="36">
        <f t="shared" si="0"/>
        <v>2.8895999999999997</v>
      </c>
      <c r="J8" s="36">
        <f t="shared" si="1"/>
        <v>1.3759999999999999</v>
      </c>
      <c r="K8" s="18" t="s">
        <v>323</v>
      </c>
      <c r="L8" s="18" t="s">
        <v>332</v>
      </c>
      <c r="M8" s="18" t="s">
        <v>333</v>
      </c>
      <c r="N8" s="18" t="str">
        <f>IF(COUNTIF('Bill of Materials (Ledger)'!$B$5:$B$415,"*"&amp;B8&amp;"*")&gt;0,"PASS","FAIL — "&amp;"canonical name not found in the BoM ledger Item column")</f>
        <v>PASS</v>
      </c>
      <c r="O8" s="18" t="str">
        <f>IF('Audit data'!$D$12&gt;0,"PASS","FAIL — "&amp;"canonical name not matched in any drawing surface (3/7 surfaces)")</f>
        <v>PASS</v>
      </c>
      <c r="P8" s="23" t="str">
        <f t="shared" si="2"/>
        <v>PASS</v>
      </c>
    </row>
    <row r="9" spans="1:16" x14ac:dyDescent="0.2">
      <c r="A9" s="18" t="s">
        <v>334</v>
      </c>
      <c r="B9" s="18" t="s">
        <v>335</v>
      </c>
      <c r="C9" s="18" t="s">
        <v>321</v>
      </c>
      <c r="D9" s="18" t="s">
        <v>322</v>
      </c>
      <c r="E9" s="35">
        <v>700</v>
      </c>
      <c r="F9" s="35">
        <v>820</v>
      </c>
      <c r="G9" s="35">
        <v>1800</v>
      </c>
      <c r="H9" s="35"/>
      <c r="I9" s="36">
        <f t="shared" si="0"/>
        <v>1.0331999999999999</v>
      </c>
      <c r="J9" s="36">
        <f t="shared" si="1"/>
        <v>0.57399999999999995</v>
      </c>
      <c r="K9" s="18" t="s">
        <v>323</v>
      </c>
      <c r="L9" s="18" t="s">
        <v>336</v>
      </c>
      <c r="M9" s="18" t="s">
        <v>337</v>
      </c>
      <c r="N9" s="18" t="str">
        <f>IF(COUNTIF('Bill of Materials (Ledger)'!$B$5:$B$415,"*"&amp;B9&amp;"*")&gt;0,"PASS","FAIL — "&amp;"canonical name not found in the BoM ledger Item column")</f>
        <v>PASS</v>
      </c>
      <c r="O9" s="18" t="str">
        <f>IF('Audit data'!$D$13&gt;0,"PASS","FAIL — "&amp;"canonical name not matched in any drawing surface (7/7 surfaces)")</f>
        <v>PASS</v>
      </c>
      <c r="P9" s="23" t="str">
        <f t="shared" si="2"/>
        <v>PASS</v>
      </c>
    </row>
    <row r="10" spans="1:16" x14ac:dyDescent="0.2">
      <c r="A10" s="18" t="s">
        <v>338</v>
      </c>
      <c r="B10" s="18" t="s">
        <v>339</v>
      </c>
      <c r="C10" s="18" t="s">
        <v>321</v>
      </c>
      <c r="D10" s="18" t="s">
        <v>322</v>
      </c>
      <c r="E10" s="35">
        <v>1600</v>
      </c>
      <c r="F10" s="35">
        <v>1020</v>
      </c>
      <c r="G10" s="35">
        <v>2100</v>
      </c>
      <c r="H10" s="35"/>
      <c r="I10" s="36">
        <f t="shared" si="0"/>
        <v>3.4272</v>
      </c>
      <c r="J10" s="36">
        <f t="shared" si="1"/>
        <v>1.6319999999999999</v>
      </c>
      <c r="K10" s="18" t="s">
        <v>323</v>
      </c>
      <c r="L10" s="18" t="s">
        <v>340</v>
      </c>
      <c r="M10" s="18" t="s">
        <v>341</v>
      </c>
      <c r="N10" s="18" t="str">
        <f>IF(COUNTIF('Bill of Materials (Ledger)'!$B$5:$B$415,"*"&amp;B10&amp;"*")&gt;0,"PASS","FAIL — "&amp;"canonical name not found in the BoM ledger Item column")</f>
        <v>PASS</v>
      </c>
      <c r="O10" s="18" t="str">
        <f>IF('Audit data'!$D$14&gt;0,"PASS","FAIL — "&amp;"canonical name not matched in any drawing surface (4/7 surfaces)")</f>
        <v>PASS</v>
      </c>
      <c r="P10" s="23" t="str">
        <f t="shared" si="2"/>
        <v>PASS</v>
      </c>
    </row>
    <row r="11" spans="1:16" x14ac:dyDescent="0.2">
      <c r="A11" s="18" t="s">
        <v>342</v>
      </c>
      <c r="B11" s="18" t="s">
        <v>343</v>
      </c>
      <c r="C11" s="18" t="s">
        <v>321</v>
      </c>
      <c r="D11" s="18" t="s">
        <v>322</v>
      </c>
      <c r="E11" s="35">
        <v>862</v>
      </c>
      <c r="F11" s="35">
        <v>733</v>
      </c>
      <c r="G11" s="35">
        <v>948</v>
      </c>
      <c r="H11" s="35"/>
      <c r="I11" s="36">
        <f t="shared" si="0"/>
        <v>0.59899000800000002</v>
      </c>
      <c r="J11" s="36">
        <f t="shared" si="1"/>
        <v>0.63184600000000002</v>
      </c>
      <c r="K11" s="18" t="s">
        <v>323</v>
      </c>
      <c r="L11" s="18" t="s">
        <v>344</v>
      </c>
      <c r="M11" s="18" t="s">
        <v>341</v>
      </c>
      <c r="N11" s="18" t="str">
        <f>IF(COUNTIF('Bill of Materials (Ledger)'!$B$5:$B$415,"*"&amp;B11&amp;"*")&gt;0,"PASS","FAIL — "&amp;"canonical name not found in the BoM ledger Item column")</f>
        <v>PASS</v>
      </c>
      <c r="O11" s="18" t="str">
        <f>IF('Audit data'!$D$15&gt;0,"PASS","FAIL — "&amp;"canonical name not matched in any drawing surface (4/7 surfaces)")</f>
        <v>PASS</v>
      </c>
      <c r="P11" s="23" t="str">
        <f t="shared" si="2"/>
        <v>PASS</v>
      </c>
    </row>
    <row r="12" spans="1:16" x14ac:dyDescent="0.2">
      <c r="A12" s="18" t="s">
        <v>345</v>
      </c>
      <c r="B12" s="18" t="s">
        <v>346</v>
      </c>
      <c r="C12" s="18" t="s">
        <v>347</v>
      </c>
      <c r="D12" s="18" t="s">
        <v>322</v>
      </c>
      <c r="E12" s="35">
        <v>372.5</v>
      </c>
      <c r="F12" s="35">
        <v>570</v>
      </c>
      <c r="G12" s="35">
        <v>600</v>
      </c>
      <c r="H12" s="35"/>
      <c r="I12" s="36">
        <f t="shared" si="0"/>
        <v>0.12739500000000001</v>
      </c>
      <c r="J12" s="36">
        <f t="shared" si="1"/>
        <v>0.21232499999999999</v>
      </c>
      <c r="K12" s="18" t="s">
        <v>348</v>
      </c>
      <c r="L12" s="18" t="s">
        <v>349</v>
      </c>
      <c r="M12" s="18" t="s">
        <v>325</v>
      </c>
      <c r="N12" s="18" t="str">
        <f>IF(COUNTIF('Bill of Materials (Ledger)'!$B$5:$B$415,"*"&amp;B12&amp;"*")&gt;0,"PASS","FAIL — "&amp;"canonical name not found in the BoM ledger Item column")</f>
        <v>PASS</v>
      </c>
      <c r="O12" s="18" t="str">
        <f>IF('Audit data'!$D$16&gt;0,"PASS","FAIL — "&amp;"canonical name not matched in any drawing surface (5/7 surfaces)")</f>
        <v>PASS</v>
      </c>
      <c r="P12" s="23" t="str">
        <f t="shared" si="2"/>
        <v>PASS</v>
      </c>
    </row>
    <row r="13" spans="1:16" x14ac:dyDescent="0.2">
      <c r="A13" s="18" t="s">
        <v>350</v>
      </c>
      <c r="B13" s="18" t="s">
        <v>351</v>
      </c>
      <c r="C13" s="18" t="s">
        <v>352</v>
      </c>
      <c r="D13" s="18" t="s">
        <v>322</v>
      </c>
      <c r="E13" s="35">
        <v>372.5</v>
      </c>
      <c r="F13" s="35">
        <v>570</v>
      </c>
      <c r="G13" s="35">
        <v>410</v>
      </c>
      <c r="H13" s="35"/>
      <c r="I13" s="36">
        <f t="shared" si="0"/>
        <v>8.7053249999999985E-2</v>
      </c>
      <c r="J13" s="36">
        <f t="shared" si="1"/>
        <v>0.21232499999999999</v>
      </c>
      <c r="K13" s="18" t="s">
        <v>323</v>
      </c>
      <c r="L13" s="18" t="s">
        <v>353</v>
      </c>
      <c r="M13" s="18" t="s">
        <v>325</v>
      </c>
      <c r="N13" s="18" t="str">
        <f>IF(COUNTIF('Bill of Materials (Ledger)'!$B$5:$B$415,"*"&amp;B13&amp;"*")&gt;0,"PASS","FAIL — "&amp;"canonical name not found in the BoM ledger Item column")</f>
        <v>PASS</v>
      </c>
      <c r="O13" s="18" t="str">
        <f>IF('Audit data'!$D$17&gt;0,"PASS","FAIL — "&amp;"canonical name not matched in any drawing surface (5/7 surfaces)")</f>
        <v>PASS</v>
      </c>
      <c r="P13" s="23" t="str">
        <f t="shared" si="2"/>
        <v>PASS</v>
      </c>
    </row>
    <row r="14" spans="1:16" x14ac:dyDescent="0.2">
      <c r="A14" s="18" t="s">
        <v>354</v>
      </c>
      <c r="B14" s="18" t="s">
        <v>355</v>
      </c>
      <c r="C14" s="18" t="s">
        <v>356</v>
      </c>
      <c r="D14" s="18" t="s">
        <v>357</v>
      </c>
      <c r="E14" s="35"/>
      <c r="F14" s="35"/>
      <c r="G14" s="35">
        <v>1930</v>
      </c>
      <c r="H14" s="35">
        <v>372</v>
      </c>
      <c r="I14" s="36">
        <f t="shared" si="0"/>
        <v>0.20976502112613352</v>
      </c>
      <c r="J14" s="36">
        <f t="shared" si="1"/>
        <v>0.10868653944359249</v>
      </c>
      <c r="K14" s="18" t="s">
        <v>358</v>
      </c>
      <c r="L14" s="18" t="s">
        <v>359</v>
      </c>
      <c r="M14" s="18" t="s">
        <v>325</v>
      </c>
      <c r="N14" s="18" t="str">
        <f>IF(COUNTIF('Bill of Materials (Ledger)'!$B$5:$B$415,"*"&amp;B14&amp;"*")&gt;0,"PASS","FAIL — "&amp;"canonical name not found in the BoM ledger Item column")</f>
        <v>PASS</v>
      </c>
      <c r="O14" s="18" t="str">
        <f>IF('Audit data'!$D$18&gt;0,"PASS","FAIL — "&amp;"canonical name not matched in any drawing surface (5/7 surfaces)")</f>
        <v>PASS</v>
      </c>
      <c r="P14" s="23" t="str">
        <f t="shared" si="2"/>
        <v>PASS</v>
      </c>
    </row>
    <row r="15" spans="1:16" x14ac:dyDescent="0.2">
      <c r="A15" s="18" t="s">
        <v>360</v>
      </c>
      <c r="B15" s="18" t="s">
        <v>361</v>
      </c>
      <c r="C15" s="18" t="s">
        <v>356</v>
      </c>
      <c r="D15" s="18" t="s">
        <v>322</v>
      </c>
      <c r="E15" s="35">
        <v>600</v>
      </c>
      <c r="F15" s="35">
        <v>510</v>
      </c>
      <c r="G15" s="35">
        <v>660</v>
      </c>
      <c r="H15" s="35"/>
      <c r="I15" s="36">
        <f t="shared" si="0"/>
        <v>0.20196</v>
      </c>
      <c r="J15" s="36">
        <f t="shared" si="1"/>
        <v>0.30599999999999999</v>
      </c>
      <c r="K15" s="18" t="s">
        <v>358</v>
      </c>
      <c r="L15" s="18" t="s">
        <v>362</v>
      </c>
      <c r="M15" s="18" t="s">
        <v>337</v>
      </c>
      <c r="N15" s="18" t="str">
        <f>IF(COUNTIF('Bill of Materials (Ledger)'!$B$5:$B$415,"*"&amp;B15&amp;"*")&gt;0,"PASS","FAIL — "&amp;"canonical name not found in the BoM ledger Item column")</f>
        <v>PASS</v>
      </c>
      <c r="O15" s="18" t="str">
        <f>IF('Audit data'!$D$19&gt;0,"PASS","FAIL — "&amp;"canonical name not matched in any drawing surface (7/7 surfaces)")</f>
        <v>PASS</v>
      </c>
      <c r="P15" s="23" t="str">
        <f t="shared" si="2"/>
        <v>PASS</v>
      </c>
    </row>
    <row r="16" spans="1:16" x14ac:dyDescent="0.2">
      <c r="A16" s="18" t="s">
        <v>363</v>
      </c>
      <c r="B16" s="18" t="s">
        <v>364</v>
      </c>
      <c r="C16" s="18" t="s">
        <v>356</v>
      </c>
      <c r="D16" s="18" t="s">
        <v>322</v>
      </c>
      <c r="E16" s="35">
        <v>900</v>
      </c>
      <c r="F16" s="35">
        <v>500</v>
      </c>
      <c r="G16" s="35">
        <v>700</v>
      </c>
      <c r="H16" s="35"/>
      <c r="I16" s="36">
        <f t="shared" si="0"/>
        <v>0.315</v>
      </c>
      <c r="J16" s="36">
        <f t="shared" si="1"/>
        <v>0.45</v>
      </c>
      <c r="K16" s="18" t="s">
        <v>358</v>
      </c>
      <c r="L16" s="18" t="s">
        <v>365</v>
      </c>
      <c r="M16" s="18" t="s">
        <v>337</v>
      </c>
      <c r="N16" s="18" t="str">
        <f>IF(COUNTIF('Bill of Materials (Ledger)'!$B$5:$B$415,"*"&amp;B16&amp;"*")&gt;0,"PASS","FAIL — "&amp;"canonical name not found in the BoM ledger Item column")</f>
        <v>PASS</v>
      </c>
      <c r="O16" s="18" t="str">
        <f>IF('Audit data'!$D$20&gt;0,"PASS","FAIL — "&amp;"canonical name not matched in any drawing surface (7/7 surfaces)")</f>
        <v>PASS</v>
      </c>
      <c r="P16" s="23" t="str">
        <f t="shared" si="2"/>
        <v>PASS</v>
      </c>
    </row>
    <row r="17" spans="1:16" x14ac:dyDescent="0.2">
      <c r="A17" s="18" t="s">
        <v>366</v>
      </c>
      <c r="B17" s="18" t="s">
        <v>367</v>
      </c>
      <c r="C17" s="18" t="s">
        <v>356</v>
      </c>
      <c r="D17" s="18" t="s">
        <v>322</v>
      </c>
      <c r="E17" s="35">
        <v>600</v>
      </c>
      <c r="F17" s="35">
        <v>510</v>
      </c>
      <c r="G17" s="35">
        <v>660</v>
      </c>
      <c r="H17" s="35"/>
      <c r="I17" s="36">
        <f t="shared" si="0"/>
        <v>0.20196</v>
      </c>
      <c r="J17" s="36">
        <f t="shared" si="1"/>
        <v>0.30599999999999999</v>
      </c>
      <c r="K17" s="18" t="s">
        <v>358</v>
      </c>
      <c r="L17" s="18" t="s">
        <v>368</v>
      </c>
      <c r="M17" s="18" t="s">
        <v>369</v>
      </c>
      <c r="N17" s="18" t="str">
        <f>IF(COUNTIF('Bill of Materials (Ledger)'!$B$5:$B$415,"*"&amp;B17&amp;"*")&gt;0,"PASS","FAIL — "&amp;"canonical name not found in the BoM ledger Item column")</f>
        <v>PASS</v>
      </c>
      <c r="O17" s="18" t="str">
        <f>IF('Audit data'!$D$21&gt;0,"PASS","FAIL — "&amp;"canonical name not matched in any drawing surface (6/7 surfaces)")</f>
        <v>PASS</v>
      </c>
      <c r="P17" s="23" t="str">
        <f t="shared" si="2"/>
        <v>PASS</v>
      </c>
    </row>
    <row r="18" spans="1:16" x14ac:dyDescent="0.2">
      <c r="A18" s="18" t="s">
        <v>370</v>
      </c>
      <c r="B18" s="18" t="s">
        <v>367</v>
      </c>
      <c r="C18" s="18" t="s">
        <v>356</v>
      </c>
      <c r="D18" s="18" t="s">
        <v>322</v>
      </c>
      <c r="E18" s="35">
        <v>600</v>
      </c>
      <c r="F18" s="35">
        <v>510</v>
      </c>
      <c r="G18" s="35">
        <v>660</v>
      </c>
      <c r="H18" s="35"/>
      <c r="I18" s="36">
        <f t="shared" si="0"/>
        <v>0.20196</v>
      </c>
      <c r="J18" s="36">
        <f t="shared" si="1"/>
        <v>0.30599999999999999</v>
      </c>
      <c r="K18" s="18" t="s">
        <v>358</v>
      </c>
      <c r="L18" s="18" t="s">
        <v>371</v>
      </c>
      <c r="M18" s="18" t="s">
        <v>337</v>
      </c>
      <c r="N18" s="18" t="str">
        <f>IF(COUNTIF('Bill of Materials (Ledger)'!$B$5:$B$415,"*"&amp;B18&amp;"*")&gt;0,"PASS","FAIL — "&amp;"canonical name not found in the BoM ledger Item column")</f>
        <v>PASS</v>
      </c>
      <c r="O18" s="18" t="str">
        <f>IF('Audit data'!$D$22&gt;0,"PASS","FAIL — "&amp;"canonical name not matched in any drawing surface (7/7 surfaces)")</f>
        <v>PASS</v>
      </c>
      <c r="P18" s="23" t="str">
        <f t="shared" si="2"/>
        <v>PASS</v>
      </c>
    </row>
    <row r="19" spans="1:16" x14ac:dyDescent="0.2">
      <c r="A19" s="18" t="s">
        <v>372</v>
      </c>
      <c r="B19" s="18" t="s">
        <v>373</v>
      </c>
      <c r="C19" s="18" t="s">
        <v>356</v>
      </c>
      <c r="D19" s="18" t="s">
        <v>322</v>
      </c>
      <c r="E19" s="35">
        <v>1379</v>
      </c>
      <c r="F19" s="35">
        <v>766</v>
      </c>
      <c r="G19" s="35">
        <v>1073</v>
      </c>
      <c r="H19" s="35"/>
      <c r="I19" s="36">
        <f t="shared" si="0"/>
        <v>1.1334249219999999</v>
      </c>
      <c r="J19" s="36">
        <f t="shared" si="1"/>
        <v>1.056314</v>
      </c>
      <c r="K19" s="18" t="s">
        <v>374</v>
      </c>
      <c r="L19" s="18" t="s">
        <v>375</v>
      </c>
      <c r="M19" s="18" t="s">
        <v>374</v>
      </c>
      <c r="N19" s="18" t="str">
        <f>IF(COUNTIF('Bill of Materials (Ledger)'!$B$5:$B$415,"*"&amp;B19&amp;"*")&gt;0,"PASS","FAIL — "&amp;"canonical name not found in the BoM ledger Item column")</f>
        <v>PASS</v>
      </c>
      <c r="O19" s="18" t="str">
        <f>IF('Audit data'!$D$23&gt;0,"PASS","FAIL — "&amp;"canonical name not matched in any drawing surface (0/0 surfaces)")</f>
        <v>FAIL — canonical name not matched in any drawing surface (0/0 surfaces)</v>
      </c>
      <c r="P19" s="37" t="str">
        <f>IF(AND(LEN(TRIM(A19&amp;""))&gt;0,TRIM(A19&amp;"")&lt;&gt;"—",LEN(TRIM(B19&amp;""))&gt;0,TRIM(B19&amp;"")&lt;&gt;"—",LEN(TRIM(C19&amp;""))&gt;0,TRIM(C19&amp;"")&lt;&gt;"—",LEN(TRIM(D19&amp;""))&gt;0,TRIM(D19&amp;"")&lt;&gt;"—",LEN(TRIM(K19&amp;""))&gt;0,TRIM(K19&amp;"")&lt;&gt;"—",TRIM(K19&amp;"")&lt;&gt;"—",LEN(TRIM(L19&amp;""))&gt;0,TRIM(L19&amp;"")&lt;&gt;"—",LEN(TRIM(M19&amp;""))&gt;0,TRIM(M19&amp;"")&lt;&gt;"—",TRIM(M19&amp;"")&lt;&gt;"—",LEN(TRIM(N19&amp;""))&gt;0,TRIM(N19&amp;"")&lt;&gt;"—",LEN(TRIM(O19&amp;""))&gt;0,TRIM(O19&amp;"")&lt;&gt;"—"),"PASS","⚠ FAIL — "&amp;"'Material' placeholder '—'; 'Drawing appearances' placeholder '—'")</f>
        <v>⚠ FAIL — 'Material' placeholder '—'; 'Drawing appearances' placeholder '—'</v>
      </c>
    </row>
    <row r="20" spans="1:16" x14ac:dyDescent="0.2">
      <c r="A20" s="18" t="s">
        <v>376</v>
      </c>
      <c r="B20" s="18" t="s">
        <v>377</v>
      </c>
      <c r="C20" s="18" t="s">
        <v>356</v>
      </c>
      <c r="D20" s="18" t="s">
        <v>322</v>
      </c>
      <c r="E20" s="35">
        <v>600</v>
      </c>
      <c r="F20" s="35">
        <v>510</v>
      </c>
      <c r="G20" s="35">
        <v>660</v>
      </c>
      <c r="H20" s="35"/>
      <c r="I20" s="36">
        <f t="shared" si="0"/>
        <v>0.20196</v>
      </c>
      <c r="J20" s="36">
        <f t="shared" si="1"/>
        <v>0.30599999999999999</v>
      </c>
      <c r="K20" s="18" t="s">
        <v>358</v>
      </c>
      <c r="L20" s="18" t="s">
        <v>378</v>
      </c>
      <c r="M20" s="18" t="s">
        <v>337</v>
      </c>
      <c r="N20" s="18" t="str">
        <f>IF(COUNTIF('Bill of Materials (Ledger)'!$B$5:$B$415,"*"&amp;B20&amp;"*")&gt;0,"PASS","FAIL — "&amp;"canonical name not found in the BoM ledger Item column")</f>
        <v>PASS</v>
      </c>
      <c r="O20" s="18" t="str">
        <f>IF('Audit data'!$D$24&gt;0,"PASS","FAIL — "&amp;"canonical name not matched in any drawing surface (7/7 surfaces)")</f>
        <v>PASS</v>
      </c>
      <c r="P20" s="23" t="str">
        <f t="shared" ref="P20:P46" si="3">IF(AND(LEN(TRIM(A20&amp;""))&gt;0,TRIM(A20&amp;"")&lt;&gt;"—",LEN(TRIM(B20&amp;""))&gt;0,TRIM(B20&amp;"")&lt;&gt;"—",LEN(TRIM(C20&amp;""))&gt;0,TRIM(C20&amp;"")&lt;&gt;"—",LEN(TRIM(D20&amp;""))&gt;0,TRIM(D20&amp;"")&lt;&gt;"—",LEN(TRIM(K20&amp;""))&gt;0,TRIM(K20&amp;"")&lt;&gt;"—",LEN(TRIM(L20&amp;""))&gt;0,TRIM(L20&amp;"")&lt;&gt;"—",LEN(TRIM(M20&amp;""))&gt;0,TRIM(M20&amp;"")&lt;&gt;"—",LEN(TRIM(N20&amp;""))&gt;0,TRIM(N20&amp;"")&lt;&gt;"—",LEN(TRIM(O20&amp;""))&gt;0,TRIM(O20&amp;"")&lt;&gt;"—"),"PASS","⚠ FAIL — "&amp;"a required cell is empty/placeholder or wrong type")</f>
        <v>PASS</v>
      </c>
    </row>
    <row r="21" spans="1:16" x14ac:dyDescent="0.2">
      <c r="A21" s="18" t="s">
        <v>379</v>
      </c>
      <c r="B21" s="18" t="s">
        <v>377</v>
      </c>
      <c r="C21" s="18" t="s">
        <v>356</v>
      </c>
      <c r="D21" s="18" t="s">
        <v>322</v>
      </c>
      <c r="E21" s="35">
        <v>600</v>
      </c>
      <c r="F21" s="35">
        <v>510</v>
      </c>
      <c r="G21" s="35">
        <v>660</v>
      </c>
      <c r="H21" s="35"/>
      <c r="I21" s="36">
        <f t="shared" si="0"/>
        <v>0.20196</v>
      </c>
      <c r="J21" s="36">
        <f t="shared" si="1"/>
        <v>0.30599999999999999</v>
      </c>
      <c r="K21" s="18" t="s">
        <v>380</v>
      </c>
      <c r="L21" s="18" t="s">
        <v>381</v>
      </c>
      <c r="M21" s="18" t="s">
        <v>382</v>
      </c>
      <c r="N21" s="18" t="str">
        <f>IF(COUNTIF('Bill of Materials (Ledger)'!$B$5:$B$415,"*"&amp;B21&amp;"*")&gt;0,"PASS","FAIL — "&amp;"canonical name not found in the BoM ledger Item column")</f>
        <v>PASS</v>
      </c>
      <c r="O21" s="18" t="str">
        <f>IF('Audit data'!$D$25&gt;0,"PASS","FAIL — "&amp;"canonical name not matched in any drawing surface (7/7 surfaces)")</f>
        <v>PASS</v>
      </c>
      <c r="P21" s="23" t="str">
        <f t="shared" si="3"/>
        <v>PASS</v>
      </c>
    </row>
    <row r="22" spans="1:16" x14ac:dyDescent="0.2">
      <c r="A22" s="18" t="s">
        <v>383</v>
      </c>
      <c r="B22" s="18" t="s">
        <v>384</v>
      </c>
      <c r="C22" s="18" t="s">
        <v>385</v>
      </c>
      <c r="D22" s="18" t="s">
        <v>357</v>
      </c>
      <c r="E22" s="35"/>
      <c r="F22" s="35"/>
      <c r="G22" s="35">
        <v>1300</v>
      </c>
      <c r="H22" s="35">
        <v>1400</v>
      </c>
      <c r="I22" s="36">
        <f t="shared" si="0"/>
        <v>2.0011945203366981</v>
      </c>
      <c r="J22" s="36">
        <f t="shared" si="1"/>
        <v>1.5393804002589984</v>
      </c>
      <c r="K22" s="18" t="s">
        <v>386</v>
      </c>
      <c r="L22" s="18" t="s">
        <v>387</v>
      </c>
      <c r="M22" s="18" t="s">
        <v>325</v>
      </c>
      <c r="N22" s="18" t="str">
        <f>IF(COUNTIF('Bill of Materials (Ledger)'!$B$5:$B$415,"*"&amp;B22&amp;"*")&gt;0,"PASS","FAIL — "&amp;"canonical name not found in the BoM ledger Item column")</f>
        <v>PASS</v>
      </c>
      <c r="O22" s="18" t="str">
        <f>IF('Audit data'!$D$26&gt;0,"PASS","FAIL — "&amp;"canonical name not matched in any drawing surface (5/7 surfaces)")</f>
        <v>PASS</v>
      </c>
      <c r="P22" s="23" t="str">
        <f t="shared" si="3"/>
        <v>PASS</v>
      </c>
    </row>
    <row r="23" spans="1:16" x14ac:dyDescent="0.2">
      <c r="A23" s="18" t="s">
        <v>388</v>
      </c>
      <c r="B23" s="18" t="s">
        <v>389</v>
      </c>
      <c r="C23" s="18" t="s">
        <v>385</v>
      </c>
      <c r="D23" s="18" t="s">
        <v>357</v>
      </c>
      <c r="E23" s="35"/>
      <c r="F23" s="35"/>
      <c r="G23" s="35">
        <v>1300</v>
      </c>
      <c r="H23" s="35">
        <v>1400</v>
      </c>
      <c r="I23" s="36">
        <f t="shared" si="0"/>
        <v>2.0011945203366981</v>
      </c>
      <c r="J23" s="36">
        <f t="shared" si="1"/>
        <v>1.5393804002589984</v>
      </c>
      <c r="K23" s="18" t="s">
        <v>386</v>
      </c>
      <c r="L23" s="18" t="s">
        <v>387</v>
      </c>
      <c r="M23" s="18" t="s">
        <v>325</v>
      </c>
      <c r="N23" s="18" t="str">
        <f>IF(COUNTIF('Bill of Materials (Ledger)'!$B$5:$B$415,"*"&amp;B23&amp;"*")&gt;0,"PASS","FAIL — "&amp;"canonical name not found in the BoM ledger Item column")</f>
        <v>PASS</v>
      </c>
      <c r="O23" s="18" t="str">
        <f>IF('Audit data'!$D$27&gt;0,"PASS","FAIL — "&amp;"canonical name not matched in any drawing surface (5/7 surfaces)")</f>
        <v>PASS</v>
      </c>
      <c r="P23" s="23" t="str">
        <f t="shared" si="3"/>
        <v>PASS</v>
      </c>
    </row>
    <row r="24" spans="1:16" x14ac:dyDescent="0.2">
      <c r="A24" s="18" t="s">
        <v>390</v>
      </c>
      <c r="B24" s="18" t="s">
        <v>391</v>
      </c>
      <c r="C24" s="18" t="s">
        <v>356</v>
      </c>
      <c r="D24" s="18" t="s">
        <v>357</v>
      </c>
      <c r="E24" s="35"/>
      <c r="F24" s="35"/>
      <c r="G24" s="35">
        <v>1100</v>
      </c>
      <c r="H24" s="35">
        <v>1100</v>
      </c>
      <c r="I24" s="36">
        <f t="shared" si="0"/>
        <v>1.0453649554820039</v>
      </c>
      <c r="J24" s="36">
        <f t="shared" si="1"/>
        <v>0.9503317777109126</v>
      </c>
      <c r="K24" s="18" t="s">
        <v>386</v>
      </c>
      <c r="L24" s="18" t="s">
        <v>387</v>
      </c>
      <c r="M24" s="18" t="s">
        <v>325</v>
      </c>
      <c r="N24" s="18" t="str">
        <f>IF(COUNTIF('Bill of Materials (Ledger)'!$B$5:$B$415,"*"&amp;B24&amp;"*")&gt;0,"PASS","FAIL — "&amp;"canonical name not found in the BoM ledger Item column")</f>
        <v>PASS</v>
      </c>
      <c r="O24" s="18" t="str">
        <f>IF('Audit data'!$D$28&gt;0,"PASS","FAIL — "&amp;"canonical name not matched in any drawing surface (5/7 surfaces)")</f>
        <v>PASS</v>
      </c>
      <c r="P24" s="23" t="str">
        <f t="shared" si="3"/>
        <v>PASS</v>
      </c>
    </row>
    <row r="25" spans="1:16" x14ac:dyDescent="0.2">
      <c r="A25" s="18" t="s">
        <v>392</v>
      </c>
      <c r="B25" s="18" t="s">
        <v>391</v>
      </c>
      <c r="C25" s="18" t="s">
        <v>356</v>
      </c>
      <c r="D25" s="18" t="s">
        <v>357</v>
      </c>
      <c r="E25" s="35"/>
      <c r="F25" s="35"/>
      <c r="G25" s="35">
        <v>1100</v>
      </c>
      <c r="H25" s="35">
        <v>1100</v>
      </c>
      <c r="I25" s="36">
        <f t="shared" si="0"/>
        <v>1.0453649554820039</v>
      </c>
      <c r="J25" s="36">
        <f t="shared" si="1"/>
        <v>0.9503317777109126</v>
      </c>
      <c r="K25" s="18" t="s">
        <v>393</v>
      </c>
      <c r="L25" s="18" t="s">
        <v>394</v>
      </c>
      <c r="M25" s="18" t="s">
        <v>395</v>
      </c>
      <c r="N25" s="18" t="str">
        <f>IF(COUNTIF('Bill of Materials (Ledger)'!$B$5:$B$415,"*"&amp;B25&amp;"*")&gt;0,"PASS","FAIL — "&amp;"canonical name not found in the BoM ledger Item column")</f>
        <v>PASS</v>
      </c>
      <c r="O25" s="18" t="str">
        <f>IF('Audit data'!$D$29&gt;0,"PASS","FAIL — "&amp;"canonical name not matched in any drawing surface (5/7 surfaces)")</f>
        <v>PASS</v>
      </c>
      <c r="P25" s="23" t="str">
        <f t="shared" si="3"/>
        <v>PASS</v>
      </c>
    </row>
    <row r="26" spans="1:16" x14ac:dyDescent="0.2">
      <c r="A26" s="18" t="s">
        <v>396</v>
      </c>
      <c r="B26" s="18" t="s">
        <v>391</v>
      </c>
      <c r="C26" s="18" t="s">
        <v>356</v>
      </c>
      <c r="D26" s="18" t="s">
        <v>357</v>
      </c>
      <c r="E26" s="35"/>
      <c r="F26" s="35"/>
      <c r="G26" s="35">
        <v>1100</v>
      </c>
      <c r="H26" s="35">
        <v>1100</v>
      </c>
      <c r="I26" s="36">
        <f t="shared" si="0"/>
        <v>1.0453649554820039</v>
      </c>
      <c r="J26" s="36">
        <f t="shared" si="1"/>
        <v>0.9503317777109126</v>
      </c>
      <c r="K26" s="18" t="s">
        <v>393</v>
      </c>
      <c r="L26" s="18" t="s">
        <v>394</v>
      </c>
      <c r="M26" s="18" t="s">
        <v>395</v>
      </c>
      <c r="N26" s="18" t="str">
        <f>IF(COUNTIF('Bill of Materials (Ledger)'!$B$5:$B$415,"*"&amp;B26&amp;"*")&gt;0,"PASS","FAIL — "&amp;"canonical name not found in the BoM ledger Item column")</f>
        <v>PASS</v>
      </c>
      <c r="O26" s="18" t="str">
        <f>IF('Audit data'!$D$30&gt;0,"PASS","FAIL — "&amp;"canonical name not matched in any drawing surface (5/7 surfaces)")</f>
        <v>PASS</v>
      </c>
      <c r="P26" s="23" t="str">
        <f t="shared" si="3"/>
        <v>PASS</v>
      </c>
    </row>
    <row r="27" spans="1:16" x14ac:dyDescent="0.2">
      <c r="A27" s="18" t="s">
        <v>397</v>
      </c>
      <c r="B27" s="18" t="s">
        <v>398</v>
      </c>
      <c r="C27" s="18" t="s">
        <v>356</v>
      </c>
      <c r="D27" s="18" t="s">
        <v>357</v>
      </c>
      <c r="E27" s="35"/>
      <c r="F27" s="35"/>
      <c r="G27" s="35">
        <v>3700</v>
      </c>
      <c r="H27" s="35">
        <v>3700</v>
      </c>
      <c r="I27" s="36">
        <f t="shared" si="0"/>
        <v>39.782773170570955</v>
      </c>
      <c r="J27" s="36">
        <f t="shared" si="1"/>
        <v>10.752100856911069</v>
      </c>
      <c r="K27" s="18" t="s">
        <v>386</v>
      </c>
      <c r="L27" s="18" t="s">
        <v>387</v>
      </c>
      <c r="M27" s="18" t="s">
        <v>325</v>
      </c>
      <c r="N27" s="18" t="str">
        <f>IF(COUNTIF('Bill of Materials (Ledger)'!$B$5:$B$415,"*"&amp;B27&amp;"*")&gt;0,"PASS","FAIL — "&amp;"canonical name not found in the BoM ledger Item column")</f>
        <v>PASS</v>
      </c>
      <c r="O27" s="18" t="str">
        <f>IF('Audit data'!$D$31&gt;0,"PASS","FAIL — "&amp;"canonical name not matched in any drawing surface (5/7 surfaces)")</f>
        <v>PASS</v>
      </c>
      <c r="P27" s="23" t="str">
        <f t="shared" si="3"/>
        <v>PASS</v>
      </c>
    </row>
    <row r="28" spans="1:16" x14ac:dyDescent="0.2">
      <c r="A28" s="18" t="s">
        <v>399</v>
      </c>
      <c r="B28" s="18" t="s">
        <v>398</v>
      </c>
      <c r="C28" s="18" t="s">
        <v>356</v>
      </c>
      <c r="D28" s="18" t="s">
        <v>357</v>
      </c>
      <c r="E28" s="35"/>
      <c r="F28" s="35"/>
      <c r="G28" s="35">
        <v>3700</v>
      </c>
      <c r="H28" s="35">
        <v>3700</v>
      </c>
      <c r="I28" s="36">
        <f t="shared" si="0"/>
        <v>39.782773170570955</v>
      </c>
      <c r="J28" s="36">
        <f t="shared" si="1"/>
        <v>10.752100856911069</v>
      </c>
      <c r="K28" s="18" t="s">
        <v>400</v>
      </c>
      <c r="L28" s="18" t="s">
        <v>401</v>
      </c>
      <c r="M28" s="18" t="s">
        <v>402</v>
      </c>
      <c r="N28" s="18" t="str">
        <f>IF(COUNTIF('Bill of Materials (Ledger)'!$B$5:$B$415,"*"&amp;B28&amp;"*")&gt;0,"PASS","FAIL — "&amp;"canonical name not found in the BoM ledger Item column")</f>
        <v>PASS</v>
      </c>
      <c r="O28" s="18" t="str">
        <f>IF('Audit data'!$D$32&gt;0,"PASS","FAIL — "&amp;"canonical name not matched in any drawing surface (5/7 surfaces)")</f>
        <v>PASS</v>
      </c>
      <c r="P28" s="23" t="str">
        <f t="shared" si="3"/>
        <v>PASS</v>
      </c>
    </row>
    <row r="29" spans="1:16" x14ac:dyDescent="0.2">
      <c r="A29" s="18" t="s">
        <v>403</v>
      </c>
      <c r="B29" s="18" t="s">
        <v>404</v>
      </c>
      <c r="C29" s="18" t="s">
        <v>356</v>
      </c>
      <c r="D29" s="18" t="s">
        <v>357</v>
      </c>
      <c r="E29" s="35"/>
      <c r="F29" s="35"/>
      <c r="G29" s="35">
        <v>3700</v>
      </c>
      <c r="H29" s="35">
        <v>3700</v>
      </c>
      <c r="I29" s="36">
        <f t="shared" si="0"/>
        <v>39.782773170570955</v>
      </c>
      <c r="J29" s="36">
        <f t="shared" si="1"/>
        <v>10.752100856911069</v>
      </c>
      <c r="K29" s="18" t="s">
        <v>386</v>
      </c>
      <c r="L29" s="18" t="s">
        <v>387</v>
      </c>
      <c r="M29" s="18" t="s">
        <v>325</v>
      </c>
      <c r="N29" s="18" t="str">
        <f>IF(COUNTIF('Bill of Materials (Ledger)'!$B$5:$B$415,"*"&amp;B29&amp;"*")&gt;0,"PASS","FAIL — "&amp;"canonical name not found in the BoM ledger Item column")</f>
        <v>PASS</v>
      </c>
      <c r="O29" s="18" t="str">
        <f>IF('Audit data'!$D$33&gt;0,"PASS","FAIL — "&amp;"canonical name not matched in any drawing surface (5/7 surfaces)")</f>
        <v>PASS</v>
      </c>
      <c r="P29" s="23" t="str">
        <f t="shared" si="3"/>
        <v>PASS</v>
      </c>
    </row>
    <row r="30" spans="1:16" x14ac:dyDescent="0.2">
      <c r="A30" s="18" t="s">
        <v>405</v>
      </c>
      <c r="B30" s="18" t="s">
        <v>391</v>
      </c>
      <c r="C30" s="18" t="s">
        <v>356</v>
      </c>
      <c r="D30" s="18" t="s">
        <v>357</v>
      </c>
      <c r="E30" s="35"/>
      <c r="F30" s="35"/>
      <c r="G30" s="35">
        <v>1100</v>
      </c>
      <c r="H30" s="35">
        <v>1100</v>
      </c>
      <c r="I30" s="36">
        <f t="shared" si="0"/>
        <v>1.0453649554820039</v>
      </c>
      <c r="J30" s="36">
        <f t="shared" si="1"/>
        <v>0.9503317777109126</v>
      </c>
      <c r="K30" s="18" t="s">
        <v>393</v>
      </c>
      <c r="L30" s="18" t="s">
        <v>394</v>
      </c>
      <c r="M30" s="18" t="s">
        <v>395</v>
      </c>
      <c r="N30" s="18" t="str">
        <f>IF(COUNTIF('Bill of Materials (Ledger)'!$B$5:$B$415,"*"&amp;B30&amp;"*")&gt;0,"PASS","FAIL — "&amp;"canonical name not found in the BoM ledger Item column")</f>
        <v>PASS</v>
      </c>
      <c r="O30" s="18" t="str">
        <f>IF('Audit data'!$D$34&gt;0,"PASS","FAIL — "&amp;"canonical name not matched in any drawing surface (5/7 surfaces)")</f>
        <v>PASS</v>
      </c>
      <c r="P30" s="23" t="str">
        <f t="shared" si="3"/>
        <v>PASS</v>
      </c>
    </row>
    <row r="31" spans="1:16" x14ac:dyDescent="0.2">
      <c r="A31" s="18" t="s">
        <v>406</v>
      </c>
      <c r="B31" s="18" t="s">
        <v>391</v>
      </c>
      <c r="C31" s="18" t="s">
        <v>356</v>
      </c>
      <c r="D31" s="18" t="s">
        <v>357</v>
      </c>
      <c r="E31" s="35"/>
      <c r="F31" s="35"/>
      <c r="G31" s="35">
        <v>1100</v>
      </c>
      <c r="H31" s="35">
        <v>1100</v>
      </c>
      <c r="I31" s="36">
        <f t="shared" si="0"/>
        <v>1.0453649554820039</v>
      </c>
      <c r="J31" s="36">
        <f t="shared" si="1"/>
        <v>0.9503317777109126</v>
      </c>
      <c r="K31" s="18" t="s">
        <v>393</v>
      </c>
      <c r="L31" s="18" t="s">
        <v>394</v>
      </c>
      <c r="M31" s="18" t="s">
        <v>395</v>
      </c>
      <c r="N31" s="18" t="str">
        <f>IF(COUNTIF('Bill of Materials (Ledger)'!$B$5:$B$415,"*"&amp;B31&amp;"*")&gt;0,"PASS","FAIL — "&amp;"canonical name not found in the BoM ledger Item column")</f>
        <v>PASS</v>
      </c>
      <c r="O31" s="18" t="str">
        <f>IF('Audit data'!$D$35&gt;0,"PASS","FAIL — "&amp;"canonical name not matched in any drawing surface (5/7 surfaces)")</f>
        <v>PASS</v>
      </c>
      <c r="P31" s="23" t="str">
        <f t="shared" si="3"/>
        <v>PASS</v>
      </c>
    </row>
    <row r="32" spans="1:16" x14ac:dyDescent="0.2">
      <c r="A32" s="18" t="s">
        <v>407</v>
      </c>
      <c r="B32" s="18" t="s">
        <v>391</v>
      </c>
      <c r="C32" s="18" t="s">
        <v>356</v>
      </c>
      <c r="D32" s="18" t="s">
        <v>357</v>
      </c>
      <c r="E32" s="35"/>
      <c r="F32" s="35"/>
      <c r="G32" s="35">
        <v>1100</v>
      </c>
      <c r="H32" s="35">
        <v>1100</v>
      </c>
      <c r="I32" s="36">
        <f t="shared" si="0"/>
        <v>1.0453649554820039</v>
      </c>
      <c r="J32" s="36">
        <f t="shared" si="1"/>
        <v>0.9503317777109126</v>
      </c>
      <c r="K32" s="18" t="s">
        <v>393</v>
      </c>
      <c r="L32" s="18" t="s">
        <v>394</v>
      </c>
      <c r="M32" s="18" t="s">
        <v>395</v>
      </c>
      <c r="N32" s="18" t="str">
        <f>IF(COUNTIF('Bill of Materials (Ledger)'!$B$5:$B$415,"*"&amp;B32&amp;"*")&gt;0,"PASS","FAIL — "&amp;"canonical name not found in the BoM ledger Item column")</f>
        <v>PASS</v>
      </c>
      <c r="O32" s="18" t="str">
        <f>IF('Audit data'!$D$36&gt;0,"PASS","FAIL — "&amp;"canonical name not matched in any drawing surface (5/7 surfaces)")</f>
        <v>PASS</v>
      </c>
      <c r="P32" s="23" t="str">
        <f t="shared" si="3"/>
        <v>PASS</v>
      </c>
    </row>
    <row r="33" spans="1:16" x14ac:dyDescent="0.2">
      <c r="A33" s="18" t="s">
        <v>408</v>
      </c>
      <c r="B33" s="18" t="s">
        <v>391</v>
      </c>
      <c r="C33" s="18" t="s">
        <v>356</v>
      </c>
      <c r="D33" s="18" t="s">
        <v>357</v>
      </c>
      <c r="E33" s="35"/>
      <c r="F33" s="35"/>
      <c r="G33" s="35">
        <v>1100</v>
      </c>
      <c r="H33" s="35">
        <v>1100</v>
      </c>
      <c r="I33" s="36">
        <f t="shared" si="0"/>
        <v>1.0453649554820039</v>
      </c>
      <c r="J33" s="36">
        <f t="shared" si="1"/>
        <v>0.9503317777109126</v>
      </c>
      <c r="K33" s="18" t="s">
        <v>393</v>
      </c>
      <c r="L33" s="18" t="s">
        <v>394</v>
      </c>
      <c r="M33" s="18" t="s">
        <v>395</v>
      </c>
      <c r="N33" s="18" t="str">
        <f>IF(COUNTIF('Bill of Materials (Ledger)'!$B$5:$B$415,"*"&amp;B33&amp;"*")&gt;0,"PASS","FAIL — "&amp;"canonical name not found in the BoM ledger Item column")</f>
        <v>PASS</v>
      </c>
      <c r="O33" s="18" t="str">
        <f>IF('Audit data'!$D$37&gt;0,"PASS","FAIL — "&amp;"canonical name not matched in any drawing surface (5/7 surfaces)")</f>
        <v>PASS</v>
      </c>
      <c r="P33" s="23" t="str">
        <f t="shared" si="3"/>
        <v>PASS</v>
      </c>
    </row>
    <row r="34" spans="1:16" x14ac:dyDescent="0.2">
      <c r="A34" s="18" t="s">
        <v>409</v>
      </c>
      <c r="B34" s="18" t="s">
        <v>391</v>
      </c>
      <c r="C34" s="18" t="s">
        <v>356</v>
      </c>
      <c r="D34" s="18" t="s">
        <v>357</v>
      </c>
      <c r="E34" s="35"/>
      <c r="F34" s="35"/>
      <c r="G34" s="35">
        <v>1100</v>
      </c>
      <c r="H34" s="35">
        <v>1100</v>
      </c>
      <c r="I34" s="36">
        <f t="shared" si="0"/>
        <v>1.0453649554820039</v>
      </c>
      <c r="J34" s="36">
        <f t="shared" si="1"/>
        <v>0.9503317777109126</v>
      </c>
      <c r="K34" s="18" t="s">
        <v>393</v>
      </c>
      <c r="L34" s="18" t="s">
        <v>394</v>
      </c>
      <c r="M34" s="18" t="s">
        <v>395</v>
      </c>
      <c r="N34" s="18" t="str">
        <f>IF(COUNTIF('Bill of Materials (Ledger)'!$B$5:$B$415,"*"&amp;B34&amp;"*")&gt;0,"PASS","FAIL — "&amp;"canonical name not found in the BoM ledger Item column")</f>
        <v>PASS</v>
      </c>
      <c r="O34" s="18" t="str">
        <f>IF('Audit data'!$D$38&gt;0,"PASS","FAIL — "&amp;"canonical name not matched in any drawing surface (5/7 surfaces)")</f>
        <v>PASS</v>
      </c>
      <c r="P34" s="23" t="str">
        <f t="shared" si="3"/>
        <v>PASS</v>
      </c>
    </row>
    <row r="35" spans="1:16" x14ac:dyDescent="0.2">
      <c r="A35" s="18" t="s">
        <v>410</v>
      </c>
      <c r="B35" s="18" t="s">
        <v>411</v>
      </c>
      <c r="C35" s="18" t="s">
        <v>356</v>
      </c>
      <c r="D35" s="18" t="s">
        <v>357</v>
      </c>
      <c r="E35" s="35"/>
      <c r="F35" s="35"/>
      <c r="G35" s="35">
        <v>1400</v>
      </c>
      <c r="H35" s="35">
        <v>2100</v>
      </c>
      <c r="I35" s="36">
        <f t="shared" si="0"/>
        <v>4.8490482608158452</v>
      </c>
      <c r="J35" s="36">
        <f t="shared" si="1"/>
        <v>3.4636059005827469</v>
      </c>
      <c r="K35" s="18" t="s">
        <v>386</v>
      </c>
      <c r="L35" s="18" t="s">
        <v>387</v>
      </c>
      <c r="M35" s="18" t="s">
        <v>325</v>
      </c>
      <c r="N35" s="18" t="str">
        <f>IF(COUNTIF('Bill of Materials (Ledger)'!$B$5:$B$415,"*"&amp;B35&amp;"*")&gt;0,"PASS","FAIL — "&amp;"canonical name not found in the BoM ledger Item column")</f>
        <v>PASS</v>
      </c>
      <c r="O35" s="18" t="str">
        <f>IF('Audit data'!$D$39&gt;0,"PASS","FAIL — "&amp;"canonical name not matched in any drawing surface (5/7 surfaces)")</f>
        <v>PASS</v>
      </c>
      <c r="P35" s="23" t="str">
        <f t="shared" si="3"/>
        <v>PASS</v>
      </c>
    </row>
    <row r="36" spans="1:16" x14ac:dyDescent="0.2">
      <c r="A36" s="18" t="s">
        <v>412</v>
      </c>
      <c r="B36" s="18" t="s">
        <v>411</v>
      </c>
      <c r="C36" s="18" t="s">
        <v>356</v>
      </c>
      <c r="D36" s="18" t="s">
        <v>357</v>
      </c>
      <c r="E36" s="35"/>
      <c r="F36" s="35"/>
      <c r="G36" s="35">
        <v>1400</v>
      </c>
      <c r="H36" s="35">
        <v>2100</v>
      </c>
      <c r="I36" s="36">
        <f t="shared" si="0"/>
        <v>4.8490482608158452</v>
      </c>
      <c r="J36" s="36">
        <f t="shared" si="1"/>
        <v>3.4636059005827469</v>
      </c>
      <c r="K36" s="18" t="s">
        <v>413</v>
      </c>
      <c r="L36" s="18" t="s">
        <v>414</v>
      </c>
      <c r="M36" s="18" t="s">
        <v>415</v>
      </c>
      <c r="N36" s="18" t="str">
        <f>IF(COUNTIF('Bill of Materials (Ledger)'!$B$5:$B$415,"*"&amp;B36&amp;"*")&gt;0,"PASS","FAIL — "&amp;"canonical name not found in the BoM ledger Item column")</f>
        <v>PASS</v>
      </c>
      <c r="O36" s="18" t="str">
        <f>IF('Audit data'!$D$40&gt;0,"PASS","FAIL — "&amp;"canonical name not matched in any drawing surface (5/7 surfaces)")</f>
        <v>PASS</v>
      </c>
      <c r="P36" s="23" t="str">
        <f t="shared" si="3"/>
        <v>PASS</v>
      </c>
    </row>
    <row r="37" spans="1:16" x14ac:dyDescent="0.2">
      <c r="A37" s="18" t="s">
        <v>416</v>
      </c>
      <c r="B37" s="18" t="s">
        <v>417</v>
      </c>
      <c r="C37" s="18" t="s">
        <v>418</v>
      </c>
      <c r="D37" s="18" t="s">
        <v>322</v>
      </c>
      <c r="E37" s="35">
        <v>1090</v>
      </c>
      <c r="F37" s="35">
        <v>927</v>
      </c>
      <c r="G37" s="35">
        <v>1199</v>
      </c>
      <c r="H37" s="35"/>
      <c r="I37" s="36">
        <f t="shared" si="0"/>
        <v>1.2115055700000004</v>
      </c>
      <c r="J37" s="36">
        <f t="shared" si="1"/>
        <v>1.0104300000000002</v>
      </c>
      <c r="K37" s="18" t="s">
        <v>323</v>
      </c>
      <c r="L37" s="18" t="s">
        <v>419</v>
      </c>
      <c r="M37" s="18" t="s">
        <v>333</v>
      </c>
      <c r="N37" s="18" t="str">
        <f>IF(COUNTIF('Bill of Materials (Ledger)'!$B$5:$B$415,"*"&amp;B37&amp;"*")&gt;0,"PASS","FAIL — "&amp;"canonical name not found in the BoM ledger Item column")</f>
        <v>PASS</v>
      </c>
      <c r="O37" s="18" t="str">
        <f>IF('Audit data'!$D$41&gt;0,"PASS","FAIL — "&amp;"canonical name not matched in any drawing surface (3/7 surfaces)")</f>
        <v>PASS</v>
      </c>
      <c r="P37" s="23" t="str">
        <f t="shared" si="3"/>
        <v>PASS</v>
      </c>
    </row>
    <row r="38" spans="1:16" x14ac:dyDescent="0.2">
      <c r="A38" s="18" t="s">
        <v>420</v>
      </c>
      <c r="B38" s="18" t="s">
        <v>421</v>
      </c>
      <c r="C38" s="18" t="s">
        <v>321</v>
      </c>
      <c r="D38" s="18" t="s">
        <v>322</v>
      </c>
      <c r="E38" s="35">
        <v>1090</v>
      </c>
      <c r="F38" s="35">
        <v>927</v>
      </c>
      <c r="G38" s="35">
        <v>1199</v>
      </c>
      <c r="H38" s="35"/>
      <c r="I38" s="36">
        <f t="shared" si="0"/>
        <v>1.2115055700000004</v>
      </c>
      <c r="J38" s="36">
        <f t="shared" si="1"/>
        <v>1.0104300000000002</v>
      </c>
      <c r="K38" s="18" t="s">
        <v>323</v>
      </c>
      <c r="L38" s="18" t="s">
        <v>422</v>
      </c>
      <c r="M38" s="18" t="s">
        <v>333</v>
      </c>
      <c r="N38" s="18" t="str">
        <f>IF(COUNTIF('Bill of Materials (Ledger)'!$B$5:$B$415,"*"&amp;B38&amp;"*")&gt;0,"PASS","FAIL — "&amp;"canonical name not found in the BoM ledger Item column")</f>
        <v>PASS</v>
      </c>
      <c r="O38" s="18" t="str">
        <f>IF('Audit data'!$D$42&gt;0,"PASS","FAIL — "&amp;"canonical name not matched in any drawing surface (3/7 surfaces)")</f>
        <v>PASS</v>
      </c>
      <c r="P38" s="23" t="str">
        <f t="shared" si="3"/>
        <v>PASS</v>
      </c>
    </row>
    <row r="39" spans="1:16" x14ac:dyDescent="0.2">
      <c r="A39" s="18" t="s">
        <v>423</v>
      </c>
      <c r="B39" s="18" t="s">
        <v>424</v>
      </c>
      <c r="C39" s="18" t="s">
        <v>321</v>
      </c>
      <c r="D39" s="18" t="s">
        <v>322</v>
      </c>
      <c r="E39" s="35">
        <v>600</v>
      </c>
      <c r="F39" s="35">
        <v>510</v>
      </c>
      <c r="G39" s="35">
        <v>600</v>
      </c>
      <c r="H39" s="35"/>
      <c r="I39" s="36">
        <f t="shared" si="0"/>
        <v>0.18359999999999999</v>
      </c>
      <c r="J39" s="36">
        <f t="shared" si="1"/>
        <v>0.30599999999999999</v>
      </c>
      <c r="K39" s="18" t="s">
        <v>323</v>
      </c>
      <c r="L39" s="18" t="s">
        <v>344</v>
      </c>
      <c r="M39" s="18" t="s">
        <v>341</v>
      </c>
      <c r="N39" s="18" t="str">
        <f>IF(COUNTIF('Bill of Materials (Ledger)'!$B$5:$B$415,"*"&amp;B39&amp;"*")&gt;0,"PASS","FAIL — "&amp;"canonical name not found in the BoM ledger Item column")</f>
        <v>PASS</v>
      </c>
      <c r="O39" s="18" t="str">
        <f>IF('Audit data'!$D$43&gt;0,"PASS","FAIL — "&amp;"canonical name not matched in any drawing surface (4/7 surfaces)")</f>
        <v>PASS</v>
      </c>
      <c r="P39" s="23" t="str">
        <f t="shared" si="3"/>
        <v>PASS</v>
      </c>
    </row>
    <row r="40" spans="1:16" x14ac:dyDescent="0.2">
      <c r="A40" s="18" t="s">
        <v>425</v>
      </c>
      <c r="B40" s="18" t="s">
        <v>426</v>
      </c>
      <c r="C40" s="18" t="s">
        <v>356</v>
      </c>
      <c r="D40" s="18" t="s">
        <v>357</v>
      </c>
      <c r="E40" s="35"/>
      <c r="F40" s="35"/>
      <c r="G40" s="35">
        <v>1400</v>
      </c>
      <c r="H40" s="35">
        <v>1300</v>
      </c>
      <c r="I40" s="36">
        <f t="shared" si="0"/>
        <v>1.8582520545983625</v>
      </c>
      <c r="J40" s="36">
        <f t="shared" si="1"/>
        <v>1.3273228961416876</v>
      </c>
      <c r="K40" s="18" t="s">
        <v>358</v>
      </c>
      <c r="L40" s="18" t="s">
        <v>427</v>
      </c>
      <c r="M40" s="18" t="s">
        <v>369</v>
      </c>
      <c r="N40" s="18" t="str">
        <f>IF(COUNTIF('Bill of Materials (Ledger)'!$B$5:$B$415,"*"&amp;B40&amp;"*")&gt;0,"PASS","FAIL — "&amp;"canonical name not found in the BoM ledger Item column")</f>
        <v>PASS</v>
      </c>
      <c r="O40" s="18" t="str">
        <f>IF('Audit data'!$D$44&gt;0,"PASS","FAIL — "&amp;"canonical name not matched in any drawing surface (6/7 surfaces)")</f>
        <v>PASS</v>
      </c>
      <c r="P40" s="23" t="str">
        <f t="shared" si="3"/>
        <v>PASS</v>
      </c>
    </row>
    <row r="41" spans="1:16" x14ac:dyDescent="0.2">
      <c r="A41" s="18" t="s">
        <v>428</v>
      </c>
      <c r="B41" s="18" t="s">
        <v>429</v>
      </c>
      <c r="C41" s="18" t="s">
        <v>356</v>
      </c>
      <c r="D41" s="18" t="s">
        <v>357</v>
      </c>
      <c r="E41" s="35"/>
      <c r="F41" s="35"/>
      <c r="G41" s="35">
        <v>1098.4000000000001</v>
      </c>
      <c r="H41" s="35">
        <v>1830</v>
      </c>
      <c r="I41" s="36">
        <f t="shared" si="0"/>
        <v>2.8890335484868435</v>
      </c>
      <c r="J41" s="36">
        <f t="shared" si="1"/>
        <v>2.6302199094017147</v>
      </c>
      <c r="K41" s="18" t="s">
        <v>358</v>
      </c>
      <c r="L41" s="18" t="s">
        <v>430</v>
      </c>
      <c r="M41" s="18" t="s">
        <v>337</v>
      </c>
      <c r="N41" s="18" t="str">
        <f>IF(COUNTIF('Bill of Materials (Ledger)'!$B$5:$B$415,"*"&amp;B41&amp;"*")&gt;0,"PASS","FAIL — "&amp;"canonical name not found in the BoM ledger Item column")</f>
        <v>PASS</v>
      </c>
      <c r="O41" s="18" t="str">
        <f>IF('Audit data'!$D$45&gt;0,"PASS","FAIL — "&amp;"canonical name not matched in any drawing surface (7/7 surfaces)")</f>
        <v>PASS</v>
      </c>
      <c r="P41" s="23" t="str">
        <f t="shared" si="3"/>
        <v>PASS</v>
      </c>
    </row>
    <row r="42" spans="1:16" x14ac:dyDescent="0.2">
      <c r="A42" s="18" t="s">
        <v>431</v>
      </c>
      <c r="B42" s="18" t="s">
        <v>432</v>
      </c>
      <c r="C42" s="18" t="s">
        <v>356</v>
      </c>
      <c r="D42" s="18" t="s">
        <v>357</v>
      </c>
      <c r="E42" s="35"/>
      <c r="F42" s="35"/>
      <c r="G42" s="35">
        <v>1800</v>
      </c>
      <c r="H42" s="35">
        <v>900</v>
      </c>
      <c r="I42" s="36">
        <f t="shared" si="0"/>
        <v>1.1451105222334796</v>
      </c>
      <c r="J42" s="36">
        <f t="shared" si="1"/>
        <v>0.63617251235193317</v>
      </c>
      <c r="K42" s="18" t="s">
        <v>323</v>
      </c>
      <c r="L42" s="18" t="s">
        <v>433</v>
      </c>
      <c r="M42" s="18" t="s">
        <v>325</v>
      </c>
      <c r="N42" s="18" t="str">
        <f>IF(COUNTIF('Bill of Materials (Ledger)'!$B$5:$B$415,"*"&amp;B42&amp;"*")&gt;0,"PASS","FAIL — "&amp;"canonical name not found in the BoM ledger Item column")</f>
        <v>PASS</v>
      </c>
      <c r="O42" s="18" t="str">
        <f>IF('Audit data'!$D$46&gt;0,"PASS","FAIL — "&amp;"canonical name not matched in any drawing surface (5/7 surfaces)")</f>
        <v>PASS</v>
      </c>
      <c r="P42" s="23" t="str">
        <f t="shared" si="3"/>
        <v>PASS</v>
      </c>
    </row>
    <row r="43" spans="1:16" x14ac:dyDescent="0.2">
      <c r="A43" s="18" t="s">
        <v>434</v>
      </c>
      <c r="B43" s="18" t="s">
        <v>435</v>
      </c>
      <c r="C43" s="18" t="s">
        <v>356</v>
      </c>
      <c r="D43" s="18" t="s">
        <v>357</v>
      </c>
      <c r="E43" s="35"/>
      <c r="F43" s="35"/>
      <c r="G43" s="35">
        <v>2877.8</v>
      </c>
      <c r="H43" s="35">
        <v>1133</v>
      </c>
      <c r="I43" s="36">
        <f t="shared" si="0"/>
        <v>2.9014180556011584</v>
      </c>
      <c r="J43" s="36">
        <f t="shared" si="1"/>
        <v>1.008206982973507</v>
      </c>
      <c r="K43" s="18" t="s">
        <v>348</v>
      </c>
      <c r="L43" s="18" t="s">
        <v>349</v>
      </c>
      <c r="M43" s="18" t="s">
        <v>337</v>
      </c>
      <c r="N43" s="18" t="str">
        <f>IF(COUNTIF('Bill of Materials (Ledger)'!$B$5:$B$415,"*"&amp;B43&amp;"*")&gt;0,"PASS","FAIL — "&amp;"canonical name not found in the BoM ledger Item column")</f>
        <v>PASS</v>
      </c>
      <c r="O43" s="18" t="str">
        <f>IF('Audit data'!$D$47&gt;0,"PASS","FAIL — "&amp;"canonical name not matched in any drawing surface (7/7 surfaces)")</f>
        <v>PASS</v>
      </c>
      <c r="P43" s="23" t="str">
        <f t="shared" si="3"/>
        <v>PASS</v>
      </c>
    </row>
    <row r="44" spans="1:16" x14ac:dyDescent="0.2">
      <c r="A44" s="18" t="s">
        <v>436</v>
      </c>
      <c r="B44" s="18" t="s">
        <v>435</v>
      </c>
      <c r="C44" s="18" t="s">
        <v>356</v>
      </c>
      <c r="D44" s="18" t="s">
        <v>357</v>
      </c>
      <c r="E44" s="35"/>
      <c r="F44" s="35"/>
      <c r="G44" s="35">
        <v>2877.8</v>
      </c>
      <c r="H44" s="35">
        <v>1133</v>
      </c>
      <c r="I44" s="36">
        <f t="shared" si="0"/>
        <v>2.9014180556011584</v>
      </c>
      <c r="J44" s="36">
        <f t="shared" si="1"/>
        <v>1.008206982973507</v>
      </c>
      <c r="K44" s="18" t="s">
        <v>437</v>
      </c>
      <c r="L44" s="18" t="s">
        <v>438</v>
      </c>
      <c r="M44" s="18" t="s">
        <v>439</v>
      </c>
      <c r="N44" s="18" t="str">
        <f>IF(COUNTIF('Bill of Materials (Ledger)'!$B$5:$B$415,"*"&amp;B44&amp;"*")&gt;0,"PASS","FAIL — "&amp;"canonical name not found in the BoM ledger Item column")</f>
        <v>PASS</v>
      </c>
      <c r="O44" s="18" t="str">
        <f>IF('Audit data'!$D$48&gt;0,"PASS","FAIL — "&amp;"canonical name not matched in any drawing surface (7/7 surfaces)")</f>
        <v>PASS</v>
      </c>
      <c r="P44" s="23" t="str">
        <f t="shared" si="3"/>
        <v>PASS</v>
      </c>
    </row>
    <row r="45" spans="1:16" x14ac:dyDescent="0.2">
      <c r="A45" s="18" t="s">
        <v>440</v>
      </c>
      <c r="B45" s="18" t="s">
        <v>441</v>
      </c>
      <c r="C45" s="18" t="s">
        <v>356</v>
      </c>
      <c r="D45" s="18" t="s">
        <v>357</v>
      </c>
      <c r="E45" s="35"/>
      <c r="F45" s="35"/>
      <c r="G45" s="35">
        <v>1300</v>
      </c>
      <c r="H45" s="35">
        <v>1200</v>
      </c>
      <c r="I45" s="36">
        <f t="shared" si="0"/>
        <v>1.4702653618800232</v>
      </c>
      <c r="J45" s="36">
        <f t="shared" si="1"/>
        <v>1.1309733552923256</v>
      </c>
      <c r="K45" s="18" t="s">
        <v>442</v>
      </c>
      <c r="L45" s="18" t="s">
        <v>387</v>
      </c>
      <c r="M45" s="18" t="s">
        <v>325</v>
      </c>
      <c r="N45" s="18" t="str">
        <f>IF(COUNTIF('Bill of Materials (Ledger)'!$B$5:$B$415,"*"&amp;B45&amp;"*")&gt;0,"PASS","FAIL — "&amp;"canonical name not found in the BoM ledger Item column")</f>
        <v>PASS</v>
      </c>
      <c r="O45" s="18" t="str">
        <f>IF('Audit data'!$D$49&gt;0,"PASS","FAIL — "&amp;"canonical name not matched in any drawing surface (5/7 surfaces)")</f>
        <v>PASS</v>
      </c>
      <c r="P45" s="23" t="str">
        <f t="shared" si="3"/>
        <v>PASS</v>
      </c>
    </row>
    <row r="46" spans="1:16" x14ac:dyDescent="0.2">
      <c r="A46" s="18" t="s">
        <v>443</v>
      </c>
      <c r="B46" s="18" t="s">
        <v>441</v>
      </c>
      <c r="C46" s="18" t="s">
        <v>356</v>
      </c>
      <c r="D46" s="18" t="s">
        <v>357</v>
      </c>
      <c r="E46" s="35"/>
      <c r="F46" s="35"/>
      <c r="G46" s="35">
        <v>1300</v>
      </c>
      <c r="H46" s="35">
        <v>1200</v>
      </c>
      <c r="I46" s="36">
        <f t="shared" si="0"/>
        <v>1.4702653618800232</v>
      </c>
      <c r="J46" s="36">
        <f t="shared" si="1"/>
        <v>1.1309733552923256</v>
      </c>
      <c r="K46" s="18" t="s">
        <v>358</v>
      </c>
      <c r="L46" s="18" t="s">
        <v>444</v>
      </c>
      <c r="M46" s="18" t="s">
        <v>325</v>
      </c>
      <c r="N46" s="18" t="str">
        <f>IF(COUNTIF('Bill of Materials (Ledger)'!$B$5:$B$415,"*"&amp;B46&amp;"*")&gt;0,"PASS","FAIL — "&amp;"canonical name not found in the BoM ledger Item column")</f>
        <v>PASS</v>
      </c>
      <c r="O46" s="18" t="str">
        <f>IF('Audit data'!$D$50&gt;0,"PASS","FAIL — "&amp;"canonical name not matched in any drawing surface (5/7 surfaces)")</f>
        <v>PASS</v>
      </c>
      <c r="P46" s="23" t="str">
        <f t="shared" si="3"/>
        <v>PASS</v>
      </c>
    </row>
    <row r="47" spans="1:16" x14ac:dyDescent="0.2">
      <c r="A47" s="18" t="s">
        <v>445</v>
      </c>
      <c r="B47" s="18" t="s">
        <v>446</v>
      </c>
      <c r="C47" s="18" t="s">
        <v>321</v>
      </c>
      <c r="D47" s="18" t="s">
        <v>322</v>
      </c>
      <c r="E47" s="35">
        <v>1000</v>
      </c>
      <c r="F47" s="35">
        <v>1220</v>
      </c>
      <c r="G47" s="35">
        <v>1100</v>
      </c>
      <c r="H47" s="35"/>
      <c r="I47" s="36">
        <f t="shared" si="0"/>
        <v>1.3420000000000001</v>
      </c>
      <c r="J47" s="36">
        <f t="shared" si="1"/>
        <v>1.22</v>
      </c>
      <c r="K47" s="18" t="s">
        <v>374</v>
      </c>
      <c r="L47" s="18" t="s">
        <v>375</v>
      </c>
      <c r="M47" s="18" t="s">
        <v>374</v>
      </c>
      <c r="N47" s="18" t="str">
        <f>IF(COUNTIF('Bill of Materials (Ledger)'!$B$5:$B$415,"*"&amp;B47&amp;"*")&gt;0,"PASS","FAIL — "&amp;"canonical name not found in the BoM ledger Item column")</f>
        <v>PASS</v>
      </c>
      <c r="O47" s="18" t="str">
        <f>IF('Audit data'!$D$51&gt;0,"PASS","FAIL — "&amp;"canonical name not matched in any drawing surface (0/0 surfaces)")</f>
        <v>FAIL — canonical name not matched in any drawing surface (0/0 surfaces)</v>
      </c>
      <c r="P47" s="37" t="str">
        <f>IF(AND(LEN(TRIM(A47&amp;""))&gt;0,TRIM(A47&amp;"")&lt;&gt;"—",LEN(TRIM(B47&amp;""))&gt;0,TRIM(B47&amp;"")&lt;&gt;"—",LEN(TRIM(C47&amp;""))&gt;0,TRIM(C47&amp;"")&lt;&gt;"—",LEN(TRIM(D47&amp;""))&gt;0,TRIM(D47&amp;"")&lt;&gt;"—",LEN(TRIM(K47&amp;""))&gt;0,TRIM(K47&amp;"")&lt;&gt;"—",TRIM(K47&amp;"")&lt;&gt;"—",LEN(TRIM(L47&amp;""))&gt;0,TRIM(L47&amp;"")&lt;&gt;"—",LEN(TRIM(M47&amp;""))&gt;0,TRIM(M47&amp;"")&lt;&gt;"—",TRIM(M47&amp;"")&lt;&gt;"—",LEN(TRIM(N47&amp;""))&gt;0,TRIM(N47&amp;"")&lt;&gt;"—",LEN(TRIM(O47&amp;""))&gt;0,TRIM(O47&amp;"")&lt;&gt;"—"),"PASS","⚠ FAIL — "&amp;"'Material' placeholder '—'; 'Drawing appearances' placeholder '—'")</f>
        <v>⚠ FAIL — 'Material' placeholder '—'; 'Drawing appearances' placeholder '—'</v>
      </c>
    </row>
    <row r="48" spans="1:16" x14ac:dyDescent="0.2">
      <c r="A48" s="18" t="s">
        <v>447</v>
      </c>
      <c r="B48" s="18" t="s">
        <v>448</v>
      </c>
      <c r="C48" s="18" t="s">
        <v>449</v>
      </c>
      <c r="D48" s="18" t="s">
        <v>322</v>
      </c>
      <c r="E48" s="35">
        <v>1000</v>
      </c>
      <c r="F48" s="35">
        <v>1060</v>
      </c>
      <c r="G48" s="35">
        <v>1100</v>
      </c>
      <c r="H48" s="35"/>
      <c r="I48" s="36">
        <f t="shared" si="0"/>
        <v>1.1659999999999999</v>
      </c>
      <c r="J48" s="36">
        <f t="shared" si="1"/>
        <v>1.06</v>
      </c>
      <c r="K48" s="18" t="s">
        <v>374</v>
      </c>
      <c r="L48" s="18" t="s">
        <v>375</v>
      </c>
      <c r="M48" s="18" t="s">
        <v>374</v>
      </c>
      <c r="N48" s="18" t="str">
        <f>IF(COUNTIF('Bill of Materials (Ledger)'!$B$5:$B$415,"*"&amp;B48&amp;"*")&gt;0,"PASS","FAIL — "&amp;"canonical name not found in the BoM ledger Item column")</f>
        <v>PASS</v>
      </c>
      <c r="O48" s="18" t="str">
        <f>IF('Audit data'!$D$52&gt;0,"PASS","FAIL — "&amp;"canonical name not matched in any drawing surface (0/0 surfaces)")</f>
        <v>FAIL — canonical name not matched in any drawing surface (0/0 surfaces)</v>
      </c>
      <c r="P48" s="37" t="str">
        <f>IF(AND(LEN(TRIM(A48&amp;""))&gt;0,TRIM(A48&amp;"")&lt;&gt;"—",LEN(TRIM(B48&amp;""))&gt;0,TRIM(B48&amp;"")&lt;&gt;"—",LEN(TRIM(C48&amp;""))&gt;0,TRIM(C48&amp;"")&lt;&gt;"—",LEN(TRIM(D48&amp;""))&gt;0,TRIM(D48&amp;"")&lt;&gt;"—",LEN(TRIM(K48&amp;""))&gt;0,TRIM(K48&amp;"")&lt;&gt;"—",TRIM(K48&amp;"")&lt;&gt;"—",LEN(TRIM(L48&amp;""))&gt;0,TRIM(L48&amp;"")&lt;&gt;"—",LEN(TRIM(M48&amp;""))&gt;0,TRIM(M48&amp;"")&lt;&gt;"—",TRIM(M48&amp;"")&lt;&gt;"—",LEN(TRIM(N48&amp;""))&gt;0,TRIM(N48&amp;"")&lt;&gt;"—",LEN(TRIM(O48&amp;""))&gt;0,TRIM(O48&amp;"")&lt;&gt;"—"),"PASS","⚠ FAIL — "&amp;"'Material' placeholder '—'; 'Drawing appearances' placeholder '—'")</f>
        <v>⚠ FAIL — 'Material' placeholder '—'; 'Drawing appearances' placeholder '—'</v>
      </c>
    </row>
    <row r="49" spans="1:16" x14ac:dyDescent="0.2">
      <c r="A49" s="18" t="s">
        <v>450</v>
      </c>
      <c r="B49" s="18" t="s">
        <v>451</v>
      </c>
      <c r="C49" s="18" t="s">
        <v>449</v>
      </c>
      <c r="D49" s="18" t="s">
        <v>322</v>
      </c>
      <c r="E49" s="35">
        <v>2030</v>
      </c>
      <c r="F49" s="35">
        <v>1060</v>
      </c>
      <c r="G49" s="35">
        <v>1100</v>
      </c>
      <c r="H49" s="35"/>
      <c r="I49" s="36">
        <f t="shared" si="0"/>
        <v>2.3669799999999994</v>
      </c>
      <c r="J49" s="36">
        <f t="shared" si="1"/>
        <v>2.1517999999999997</v>
      </c>
      <c r="K49" s="18" t="s">
        <v>323</v>
      </c>
      <c r="L49" s="18" t="s">
        <v>452</v>
      </c>
      <c r="M49" s="18" t="s">
        <v>325</v>
      </c>
      <c r="N49" s="18" t="str">
        <f>IF(COUNTIF('Bill of Materials (Ledger)'!$B$5:$B$415,"*"&amp;B49&amp;"*")&gt;0,"PASS","FAIL — "&amp;"canonical name not found in the BoM ledger Item column")</f>
        <v>PASS</v>
      </c>
      <c r="O49" s="18" t="str">
        <f>IF('Audit data'!$D$53&gt;0,"PASS","FAIL — "&amp;"canonical name not matched in any drawing surface (5/7 surfaces)")</f>
        <v>PASS</v>
      </c>
      <c r="P49" s="23" t="str">
        <f>IF(AND(LEN(TRIM(A49&amp;""))&gt;0,TRIM(A49&amp;"")&lt;&gt;"—",LEN(TRIM(B49&amp;""))&gt;0,TRIM(B49&amp;"")&lt;&gt;"—",LEN(TRIM(C49&amp;""))&gt;0,TRIM(C49&amp;"")&lt;&gt;"—",LEN(TRIM(D49&amp;""))&gt;0,TRIM(D49&amp;"")&lt;&gt;"—",LEN(TRIM(K49&amp;""))&gt;0,TRIM(K49&amp;"")&lt;&gt;"—",LEN(TRIM(L49&amp;""))&gt;0,TRIM(L49&amp;"")&lt;&gt;"—",LEN(TRIM(M49&amp;""))&gt;0,TRIM(M49&amp;"")&lt;&gt;"—",LEN(TRIM(N49&amp;""))&gt;0,TRIM(N49&amp;"")&lt;&gt;"—",LEN(TRIM(O49&amp;""))&gt;0,TRIM(O49&amp;"")&lt;&gt;"—"),"PASS","⚠ FAIL — "&amp;"a required cell is empty/placeholder or wrong type")</f>
        <v>PASS</v>
      </c>
    </row>
    <row r="50" spans="1:16" x14ac:dyDescent="0.2">
      <c r="A50" s="18" t="s">
        <v>453</v>
      </c>
      <c r="B50" s="18" t="s">
        <v>454</v>
      </c>
      <c r="C50" s="18" t="s">
        <v>356</v>
      </c>
      <c r="D50" s="18" t="s">
        <v>322</v>
      </c>
      <c r="E50" s="35">
        <v>3230</v>
      </c>
      <c r="F50" s="35">
        <v>1500</v>
      </c>
      <c r="G50" s="35">
        <v>1600</v>
      </c>
      <c r="H50" s="35"/>
      <c r="I50" s="36">
        <f t="shared" si="0"/>
        <v>7.7519999999999998</v>
      </c>
      <c r="J50" s="36">
        <f t="shared" si="1"/>
        <v>4.8449999999999998</v>
      </c>
      <c r="K50" s="18" t="s">
        <v>348</v>
      </c>
      <c r="L50" s="18" t="s">
        <v>349</v>
      </c>
      <c r="M50" s="18" t="s">
        <v>325</v>
      </c>
      <c r="N50" s="18" t="str">
        <f>IF(COUNTIF('Bill of Materials (Ledger)'!$B$5:$B$415,"*"&amp;B50&amp;"*")&gt;0,"PASS","FAIL — "&amp;"canonical name not found in the BoM ledger Item column")</f>
        <v>PASS</v>
      </c>
      <c r="O50" s="18" t="str">
        <f>IF('Audit data'!$D$54&gt;0,"PASS","FAIL — "&amp;"canonical name not matched in any drawing surface (5/7 surfaces)")</f>
        <v>PASS</v>
      </c>
      <c r="P50" s="23" t="str">
        <f>IF(AND(LEN(TRIM(A50&amp;""))&gt;0,TRIM(A50&amp;"")&lt;&gt;"—",LEN(TRIM(B50&amp;""))&gt;0,TRIM(B50&amp;"")&lt;&gt;"—",LEN(TRIM(C50&amp;""))&gt;0,TRIM(C50&amp;"")&lt;&gt;"—",LEN(TRIM(D50&amp;""))&gt;0,TRIM(D50&amp;"")&lt;&gt;"—",LEN(TRIM(K50&amp;""))&gt;0,TRIM(K50&amp;"")&lt;&gt;"—",LEN(TRIM(L50&amp;""))&gt;0,TRIM(L50&amp;"")&lt;&gt;"—",LEN(TRIM(M50&amp;""))&gt;0,TRIM(M50&amp;"")&lt;&gt;"—",LEN(TRIM(N50&amp;""))&gt;0,TRIM(N50&amp;"")&lt;&gt;"—",LEN(TRIM(O50&amp;""))&gt;0,TRIM(O50&amp;"")&lt;&gt;"—"),"PASS","⚠ FAIL — "&amp;"a required cell is empty/placeholder or wrong type")</f>
        <v>PASS</v>
      </c>
    </row>
    <row r="51" spans="1:16" x14ac:dyDescent="0.2">
      <c r="A51" s="18" t="s">
        <v>455</v>
      </c>
      <c r="B51" s="18" t="s">
        <v>456</v>
      </c>
      <c r="C51" s="18" t="s">
        <v>356</v>
      </c>
      <c r="D51" s="18" t="s">
        <v>322</v>
      </c>
      <c r="E51" s="35">
        <v>3230</v>
      </c>
      <c r="F51" s="35">
        <v>1500</v>
      </c>
      <c r="G51" s="35">
        <v>1600</v>
      </c>
      <c r="H51" s="35"/>
      <c r="I51" s="36">
        <f t="shared" si="0"/>
        <v>7.7519999999999998</v>
      </c>
      <c r="J51" s="36">
        <f t="shared" si="1"/>
        <v>4.8449999999999998</v>
      </c>
      <c r="K51" s="18" t="s">
        <v>323</v>
      </c>
      <c r="L51" s="18" t="s">
        <v>457</v>
      </c>
      <c r="M51" s="18" t="s">
        <v>325</v>
      </c>
      <c r="N51" s="18" t="str">
        <f>IF(COUNTIF('Bill of Materials (Ledger)'!$B$5:$B$415,"*"&amp;B51&amp;"*")&gt;0,"PASS","FAIL — "&amp;"canonical name not found in the BoM ledger Item column")</f>
        <v>PASS</v>
      </c>
      <c r="O51" s="18" t="str">
        <f>IF('Audit data'!$D$55&gt;0,"PASS","FAIL — "&amp;"canonical name not matched in any drawing surface (5/7 surfaces)")</f>
        <v>PASS</v>
      </c>
      <c r="P51" s="23" t="str">
        <f>IF(AND(LEN(TRIM(A51&amp;""))&gt;0,TRIM(A51&amp;"")&lt;&gt;"—",LEN(TRIM(B51&amp;""))&gt;0,TRIM(B51&amp;"")&lt;&gt;"—",LEN(TRIM(C51&amp;""))&gt;0,TRIM(C51&amp;"")&lt;&gt;"—",LEN(TRIM(D51&amp;""))&gt;0,TRIM(D51&amp;"")&lt;&gt;"—",LEN(TRIM(K51&amp;""))&gt;0,TRIM(K51&amp;"")&lt;&gt;"—",LEN(TRIM(L51&amp;""))&gt;0,TRIM(L51&amp;"")&lt;&gt;"—",LEN(TRIM(M51&amp;""))&gt;0,TRIM(M51&amp;"")&lt;&gt;"—",LEN(TRIM(N51&amp;""))&gt;0,TRIM(N51&amp;"")&lt;&gt;"—",LEN(TRIM(O51&amp;""))&gt;0,TRIM(O51&amp;"")&lt;&gt;"—"),"PASS","⚠ FAIL — "&amp;"a required cell is empty/placeholder or wrong type")</f>
        <v>PASS</v>
      </c>
    </row>
    <row r="52" spans="1:16" x14ac:dyDescent="0.2">
      <c r="A52" s="18" t="s">
        <v>458</v>
      </c>
      <c r="B52" s="18" t="s">
        <v>459</v>
      </c>
      <c r="C52" s="18" t="s">
        <v>356</v>
      </c>
      <c r="D52" s="18" t="s">
        <v>322</v>
      </c>
      <c r="E52" s="35">
        <v>3230</v>
      </c>
      <c r="F52" s="35">
        <v>1500</v>
      </c>
      <c r="G52" s="35">
        <v>1600</v>
      </c>
      <c r="H52" s="35"/>
      <c r="I52" s="36">
        <f t="shared" si="0"/>
        <v>7.7519999999999998</v>
      </c>
      <c r="J52" s="36">
        <f t="shared" si="1"/>
        <v>4.8449999999999998</v>
      </c>
      <c r="K52" s="18" t="s">
        <v>323</v>
      </c>
      <c r="L52" s="18" t="s">
        <v>457</v>
      </c>
      <c r="M52" s="18" t="s">
        <v>333</v>
      </c>
      <c r="N52" s="18" t="str">
        <f>IF(COUNTIF('Bill of Materials (Ledger)'!$B$5:$B$415,"*"&amp;B52&amp;"*")&gt;0,"PASS","FAIL — "&amp;"canonical name not found in the BoM ledger Item column")</f>
        <v>PASS</v>
      </c>
      <c r="O52" s="18" t="str">
        <f>IF('Audit data'!$D$56&gt;0,"PASS","FAIL — "&amp;"canonical name not matched in any drawing surface (3/7 surfaces)")</f>
        <v>PASS</v>
      </c>
      <c r="P52" s="23" t="str">
        <f>IF(AND(LEN(TRIM(A52&amp;""))&gt;0,TRIM(A52&amp;"")&lt;&gt;"—",LEN(TRIM(B52&amp;""))&gt;0,TRIM(B52&amp;"")&lt;&gt;"—",LEN(TRIM(C52&amp;""))&gt;0,TRIM(C52&amp;"")&lt;&gt;"—",LEN(TRIM(D52&amp;""))&gt;0,TRIM(D52&amp;"")&lt;&gt;"—",LEN(TRIM(K52&amp;""))&gt;0,TRIM(K52&amp;"")&lt;&gt;"—",LEN(TRIM(L52&amp;""))&gt;0,TRIM(L52&amp;"")&lt;&gt;"—",LEN(TRIM(M52&amp;""))&gt;0,TRIM(M52&amp;"")&lt;&gt;"—",LEN(TRIM(N52&amp;""))&gt;0,TRIM(N52&amp;"")&lt;&gt;"—",LEN(TRIM(O52&amp;""))&gt;0,TRIM(O52&amp;"")&lt;&gt;"—"),"PASS","⚠ FAIL — "&amp;"a required cell is empty/placeholder or wrong type")</f>
        <v>PASS</v>
      </c>
    </row>
  </sheetData>
  <mergeCells count="3">
    <mergeCell ref="A1:O1"/>
    <mergeCell ref="A2:O2"/>
    <mergeCell ref="A3:O3"/>
  </mergeCells>
  <conditionalFormatting sqref="N6:O52">
    <cfRule type="cellIs" dxfId="26" priority="2" operator="equal">
      <formula>"PASS"</formula>
    </cfRule>
  </conditionalFormatting>
  <hyperlinks>
    <hyperlink ref="P1" location="'Contents'!A1" display="↑ Contents" xr:uid="{00000000-0004-0000-0300-000000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597"/>
  </sheetPr>
  <dimension ref="A1:E62"/>
  <sheetViews>
    <sheetView topLeftCell="A34" zoomScaleNormal="100" workbookViewId="0">
      <selection sqref="A1:D1"/>
    </sheetView>
  </sheetViews>
  <sheetFormatPr baseColWidth="10" defaultColWidth="8.6640625" defaultRowHeight="15" x14ac:dyDescent="0.2"/>
  <cols>
    <col min="1" max="1" width="30" customWidth="1"/>
    <col min="2" max="2" width="16" customWidth="1"/>
    <col min="3" max="3" width="14" customWidth="1"/>
    <col min="4" max="4" width="60" customWidth="1"/>
    <col min="5" max="5" width="13" customWidth="1"/>
  </cols>
  <sheetData>
    <row r="1" spans="1:5" ht="25.5" customHeight="1" x14ac:dyDescent="0.2">
      <c r="A1" s="12" t="s">
        <v>460</v>
      </c>
      <c r="B1" s="12"/>
      <c r="C1" s="12"/>
      <c r="D1" s="12"/>
      <c r="E1" s="30" t="s">
        <v>140</v>
      </c>
    </row>
    <row r="2" spans="1:5" ht="30" customHeight="1" x14ac:dyDescent="0.2">
      <c r="A2" s="11" t="str">
        <f>"⬤ TAB QUALITY "&amp;IF(ISNUMBER('Quality &amp; Audit'!$B$33),IF('Quality &amp; Audit'!$B$33=INT('Quality &amp; Audit'!$B$33),TEXT('Quality &amp; Audit'!$B$33,"0"),TEXT('Quality &amp; Audit'!$B$33,"0.0")),"—")&amp;"/10 · "&amp;IF(ISNUMBER('Quality &amp; Audit'!$B$33),IF('Quality &amp; Audit'!$B$33&gt;=8,"PASS","FAIL"),"UNSCORED")&amp;" (target ≥8, live from the Quality &amp; Audit score cell)"&amp;" · dashboard integrity (every quoted number vs its engine source) — section scores match the engine scorecard 14/14; capex category % = 100 × £ / Σ (per-row arithmetic) 10/…"&amp;" · full audit: Quality &amp; Audit tab"</f>
        <v>⬤ TAB QUALITY 10/10 · PASS (target ≥8, live from the Quality &amp; Audit score cell) · dashboard integrity (every quoted number vs its engine source) — section scores match the engine scorecard 14/14; capex category % = 100 × £ / Σ (per-row arithmetic) 10/… · full audit: Quality &amp; Audit tab</v>
      </c>
      <c r="B2" s="11"/>
      <c r="C2" s="11"/>
      <c r="D2" s="11"/>
    </row>
    <row r="3" spans="1:5" ht="40.5" customHeight="1" x14ac:dyDescent="0.2">
      <c r="A3" s="10" t="s">
        <v>461</v>
      </c>
      <c r="B3" s="10"/>
      <c r="C3" s="10"/>
      <c r="D3" s="10"/>
    </row>
    <row r="5" spans="1:5" x14ac:dyDescent="0.2">
      <c r="A5" s="6" t="s">
        <v>462</v>
      </c>
      <c r="B5" s="6"/>
      <c r="C5" s="6"/>
      <c r="D5" s="6"/>
    </row>
    <row r="6" spans="1:5" x14ac:dyDescent="0.2">
      <c r="A6" s="24" t="s">
        <v>463</v>
      </c>
      <c r="B6" t="s">
        <v>464</v>
      </c>
    </row>
    <row r="7" spans="1:5" x14ac:dyDescent="0.2">
      <c r="A7" s="24" t="s">
        <v>465</v>
      </c>
      <c r="B7" t="s">
        <v>466</v>
      </c>
    </row>
    <row r="8" spans="1:5" x14ac:dyDescent="0.2">
      <c r="A8" s="24" t="s">
        <v>467</v>
      </c>
      <c r="B8" t="s">
        <v>468</v>
      </c>
    </row>
    <row r="9" spans="1:5" x14ac:dyDescent="0.2">
      <c r="A9" s="24" t="s">
        <v>469</v>
      </c>
      <c r="B9" t="s">
        <v>470</v>
      </c>
    </row>
    <row r="10" spans="1:5" x14ac:dyDescent="0.2">
      <c r="A10" s="24" t="s">
        <v>471</v>
      </c>
      <c r="B10" t="s">
        <v>472</v>
      </c>
    </row>
    <row r="12" spans="1:5" x14ac:dyDescent="0.2">
      <c r="A12" s="6" t="s">
        <v>473</v>
      </c>
      <c r="B12" s="6"/>
      <c r="C12" s="6"/>
      <c r="D12" s="6"/>
    </row>
    <row r="13" spans="1:5" x14ac:dyDescent="0.2">
      <c r="A13" s="3" t="str">
        <f>"VERDICT: "&amp;IF('Quality &amp; Audit'!$B$66=0,"SHIPS","DRAFT — "&amp;'Quality &amp; Audit'!$B$66&amp;" open issue"&amp;IF('Quality &amp; Audit'!$B$66=1,"","s"))&amp;" · floor "&amp;IF(ISNUMBER('Quality &amp; Audit'!$B$65),IF('Quality &amp; Audit'!$B$65=INT('Quality &amp; Audit'!$B$65),TEXT('Quality &amp; Audit'!$B$65,"0"),TEXT('Quality &amp; Audit'!$B$65,"0.0")),"—")&amp;"/10 (min of every DETERMINISTIC section &amp; non-mirror tab — live cells on Quality &amp; Audit; the LLM self-audit is advisory and never floors; ships at ≥8 everywhere)"</f>
        <v>VERDICT: SHIPS · floor 9/10 (min of every DETERMINISTIC section &amp; non-mirror tab — live cells on Quality &amp; Audit; the LLM self-audit is advisory and never floors; ships at ≥8 everywhere)</v>
      </c>
      <c r="B13" s="3"/>
      <c r="C13" s="3"/>
      <c r="D13" s="3"/>
    </row>
    <row r="14" spans="1:5" x14ac:dyDescent="0.2">
      <c r="A14" s="24" t="s">
        <v>474</v>
      </c>
      <c r="B14" s="38">
        <v>10</v>
      </c>
    </row>
    <row r="15" spans="1:5" x14ac:dyDescent="0.2">
      <c r="A15" s="24" t="s">
        <v>475</v>
      </c>
      <c r="B15">
        <v>10</v>
      </c>
    </row>
    <row r="16" spans="1:5" x14ac:dyDescent="0.2">
      <c r="A16" s="24" t="s">
        <v>476</v>
      </c>
      <c r="B16" s="38" t="s">
        <v>477</v>
      </c>
    </row>
    <row r="17" spans="1:5" x14ac:dyDescent="0.2">
      <c r="A17" s="24" t="s">
        <v>478</v>
      </c>
      <c r="B17">
        <v>0</v>
      </c>
    </row>
    <row r="19" spans="1:5" ht="16" x14ac:dyDescent="0.2">
      <c r="A19" s="16" t="s">
        <v>479</v>
      </c>
      <c r="B19" s="16" t="s">
        <v>480</v>
      </c>
      <c r="C19" s="16" t="s">
        <v>481</v>
      </c>
      <c r="D19" s="16" t="s">
        <v>482</v>
      </c>
      <c r="E19" s="17" t="s">
        <v>20</v>
      </c>
    </row>
    <row r="20" spans="1:5" ht="39" x14ac:dyDescent="0.2">
      <c r="A20" s="14" t="s">
        <v>483</v>
      </c>
    </row>
    <row r="21" spans="1:5" x14ac:dyDescent="0.2">
      <c r="A21" s="18" t="s">
        <v>484</v>
      </c>
      <c r="B21" s="18">
        <v>9</v>
      </c>
      <c r="C21" s="21" t="str">
        <f t="shared" ref="C21:C26" si="0">IF(AND(ISNUMBER($B21),$B21&gt;=8),"PASS","ADVISORY")</f>
        <v>PASS</v>
      </c>
      <c r="D21" s="39"/>
      <c r="E21" s="23" t="str">
        <f t="shared" ref="E21:E34" si="1">IF(AND(LEN(TRIM(A21&amp;""))&gt;0,TRIM(A21&amp;"")&lt;&gt;"—",LEN(TRIM(B21&amp;""))&gt;0,TRIM(B21&amp;"")&lt;&gt;"—",ISNUMBER(B21),LEN(TRIM(C21&amp;""))&gt;0,TRIM(C21&amp;"")&lt;&gt;"—"),"PASS","⚠ FAIL — "&amp;"a required cell is empty/placeholder or wrong type")</f>
        <v>PASS</v>
      </c>
    </row>
    <row r="22" spans="1:5" ht="16" x14ac:dyDescent="0.2">
      <c r="A22" s="18" t="s">
        <v>485</v>
      </c>
      <c r="B22" s="18">
        <v>6</v>
      </c>
      <c r="C22" s="40" t="str">
        <f t="shared" si="0"/>
        <v>ADVISORY</v>
      </c>
      <c r="D22" s="39" t="s">
        <v>486</v>
      </c>
      <c r="E22" s="23" t="str">
        <f t="shared" si="1"/>
        <v>PASS</v>
      </c>
    </row>
    <row r="23" spans="1:5" x14ac:dyDescent="0.2">
      <c r="A23" s="18" t="s">
        <v>487</v>
      </c>
      <c r="B23" s="18">
        <v>8</v>
      </c>
      <c r="C23" s="21" t="str">
        <f t="shared" si="0"/>
        <v>PASS</v>
      </c>
      <c r="D23" s="39"/>
      <c r="E23" s="23" t="str">
        <f t="shared" si="1"/>
        <v>PASS</v>
      </c>
    </row>
    <row r="24" spans="1:5" x14ac:dyDescent="0.2">
      <c r="A24" s="18" t="s">
        <v>488</v>
      </c>
      <c r="B24" s="18">
        <v>9</v>
      </c>
      <c r="C24" s="21" t="str">
        <f t="shared" si="0"/>
        <v>PASS</v>
      </c>
      <c r="D24" s="39"/>
      <c r="E24" s="23" t="str">
        <f t="shared" si="1"/>
        <v>PASS</v>
      </c>
    </row>
    <row r="25" spans="1:5" x14ac:dyDescent="0.2">
      <c r="A25" s="18" t="s">
        <v>489</v>
      </c>
      <c r="B25" s="18">
        <v>8</v>
      </c>
      <c r="C25" s="21" t="str">
        <f t="shared" si="0"/>
        <v>PASS</v>
      </c>
      <c r="D25" s="39"/>
      <c r="E25" s="23" t="str">
        <f t="shared" si="1"/>
        <v>PASS</v>
      </c>
    </row>
    <row r="26" spans="1:5" ht="16" x14ac:dyDescent="0.2">
      <c r="A26" s="18" t="s">
        <v>490</v>
      </c>
      <c r="B26" s="18">
        <v>5</v>
      </c>
      <c r="C26" s="40" t="str">
        <f t="shared" si="0"/>
        <v>ADVISORY</v>
      </c>
      <c r="D26" s="39" t="s">
        <v>491</v>
      </c>
      <c r="E26" s="23" t="str">
        <f t="shared" si="1"/>
        <v>PASS</v>
      </c>
    </row>
    <row r="27" spans="1:5" x14ac:dyDescent="0.2">
      <c r="A27" s="18" t="s">
        <v>492</v>
      </c>
      <c r="B27" s="18">
        <v>10</v>
      </c>
      <c r="C27" s="21" t="str">
        <f t="shared" ref="C27:C34" si="2">IF(AND(ISNUMBER($B27),$B27&gt;=8),"PASS","FAIL")</f>
        <v>PASS</v>
      </c>
      <c r="D27" s="39"/>
      <c r="E27" s="23" t="str">
        <f t="shared" si="1"/>
        <v>PASS</v>
      </c>
    </row>
    <row r="28" spans="1:5" x14ac:dyDescent="0.2">
      <c r="A28" s="18" t="s">
        <v>493</v>
      </c>
      <c r="B28" s="18">
        <v>10</v>
      </c>
      <c r="C28" s="21" t="str">
        <f t="shared" si="2"/>
        <v>PASS</v>
      </c>
      <c r="D28" s="39"/>
      <c r="E28" s="23" t="str">
        <f t="shared" si="1"/>
        <v>PASS</v>
      </c>
    </row>
    <row r="29" spans="1:5" x14ac:dyDescent="0.2">
      <c r="A29" s="18" t="s">
        <v>494</v>
      </c>
      <c r="B29" s="18">
        <v>10</v>
      </c>
      <c r="C29" s="21" t="str">
        <f t="shared" si="2"/>
        <v>PASS</v>
      </c>
      <c r="D29" s="39"/>
      <c r="E29" s="23" t="str">
        <f t="shared" si="1"/>
        <v>PASS</v>
      </c>
    </row>
    <row r="30" spans="1:5" x14ac:dyDescent="0.2">
      <c r="A30" s="18" t="s">
        <v>495</v>
      </c>
      <c r="B30" s="18">
        <v>10</v>
      </c>
      <c r="C30" s="21" t="str">
        <f t="shared" si="2"/>
        <v>PASS</v>
      </c>
      <c r="D30" s="39"/>
      <c r="E30" s="23" t="str">
        <f t="shared" si="1"/>
        <v>PASS</v>
      </c>
    </row>
    <row r="31" spans="1:5" ht="409.6" x14ac:dyDescent="0.2">
      <c r="A31" s="18" t="s">
        <v>496</v>
      </c>
      <c r="B31" s="18">
        <v>10</v>
      </c>
      <c r="C31" s="21" t="str">
        <f t="shared" si="2"/>
        <v>PASS</v>
      </c>
      <c r="D31" s="39" t="s">
        <v>497</v>
      </c>
      <c r="E31" s="23" t="str">
        <f t="shared" si="1"/>
        <v>PASS</v>
      </c>
    </row>
    <row r="32" spans="1:5" x14ac:dyDescent="0.2">
      <c r="A32" s="18" t="s">
        <v>498</v>
      </c>
      <c r="B32" s="18">
        <v>10</v>
      </c>
      <c r="C32" s="21" t="str">
        <f t="shared" si="2"/>
        <v>PASS</v>
      </c>
      <c r="D32" s="39"/>
      <c r="E32" s="23" t="str">
        <f t="shared" si="1"/>
        <v>PASS</v>
      </c>
    </row>
    <row r="33" spans="1:5" x14ac:dyDescent="0.2">
      <c r="A33" s="18" t="s">
        <v>499</v>
      </c>
      <c r="B33" s="18">
        <v>10</v>
      </c>
      <c r="C33" s="21" t="str">
        <f t="shared" si="2"/>
        <v>PASS</v>
      </c>
      <c r="D33" s="39"/>
      <c r="E33" s="23" t="str">
        <f t="shared" si="1"/>
        <v>PASS</v>
      </c>
    </row>
    <row r="34" spans="1:5" ht="48" x14ac:dyDescent="0.2">
      <c r="A34" s="18" t="s">
        <v>500</v>
      </c>
      <c r="B34" s="18">
        <v>10</v>
      </c>
      <c r="C34" s="21" t="str">
        <f t="shared" si="2"/>
        <v>PASS</v>
      </c>
      <c r="D34" s="39" t="s">
        <v>501</v>
      </c>
      <c r="E34" s="23" t="str">
        <f t="shared" si="1"/>
        <v>PASS</v>
      </c>
    </row>
    <row r="36" spans="1:5" x14ac:dyDescent="0.2">
      <c r="A36" s="6" t="s">
        <v>502</v>
      </c>
      <c r="B36" s="6"/>
      <c r="C36" s="6"/>
      <c r="D36" s="6"/>
    </row>
    <row r="37" spans="1:5" x14ac:dyDescent="0.2">
      <c r="A37" s="24" t="s">
        <v>503</v>
      </c>
      <c r="B37" s="38" t="str">
        <f>COUNTIF('⚠ Checks'!$F:$F,"PASS")&amp;" / "&amp;(COUNTIF('⚠ Checks'!$F:$F,"PASS")+COUNTIF('⚠ Checks'!$F:$F,"FAIL"))&amp;" pass  ·  "&amp;COUNTIF('⚠ Checks'!$F:$F,"FAIL")&amp;" FAIL"</f>
        <v>130 / 130 pass  ·  0 FAIL</v>
      </c>
      <c r="C37" s="17" t="s">
        <v>504</v>
      </c>
    </row>
    <row r="39" spans="1:5" x14ac:dyDescent="0.2">
      <c r="A39" s="6" t="s">
        <v>505</v>
      </c>
      <c r="B39" s="6"/>
      <c r="C39" s="6"/>
      <c r="D39" s="6"/>
    </row>
    <row r="40" spans="1:5" ht="16" x14ac:dyDescent="0.2">
      <c r="A40" s="16" t="s">
        <v>506</v>
      </c>
      <c r="B40" s="16" t="s">
        <v>144</v>
      </c>
      <c r="C40" s="16" t="s">
        <v>15</v>
      </c>
      <c r="D40" s="16" t="s">
        <v>507</v>
      </c>
      <c r="E40" s="17" t="s">
        <v>20</v>
      </c>
    </row>
    <row r="41" spans="1:5" ht="39" x14ac:dyDescent="0.2">
      <c r="A41" s="18" t="s">
        <v>6</v>
      </c>
      <c r="B41" s="18" t="s">
        <v>508</v>
      </c>
      <c r="C41" s="18" t="s">
        <v>22</v>
      </c>
      <c r="D41" s="22" t="s">
        <v>509</v>
      </c>
      <c r="E41" s="23" t="str">
        <f t="shared" ref="E41:E47" si="3">IF(AND(LEN(TRIM(A41&amp;""))&gt;0,TRIM(A41&amp;"")&lt;&gt;"—",LEN(TRIM(B41&amp;""))&gt;0,TRIM(B41&amp;"")&lt;&gt;"—",LEN(TRIM(D41&amp;""))&gt;0,TRIM(D41&amp;"")&lt;&gt;"—"),"PASS","⚠ FAIL — "&amp;"a required cell is empty/placeholder or wrong type")</f>
        <v>PASS</v>
      </c>
    </row>
    <row r="42" spans="1:5" x14ac:dyDescent="0.2">
      <c r="A42" s="18" t="s">
        <v>150</v>
      </c>
      <c r="B42" s="18" t="s">
        <v>510</v>
      </c>
      <c r="C42" s="18" t="s">
        <v>151</v>
      </c>
      <c r="D42" s="22" t="s">
        <v>511</v>
      </c>
      <c r="E42" s="23" t="str">
        <f t="shared" si="3"/>
        <v>PASS</v>
      </c>
    </row>
    <row r="43" spans="1:5" x14ac:dyDescent="0.2">
      <c r="A43" s="18" t="s">
        <v>512</v>
      </c>
      <c r="B43" s="18" t="s">
        <v>513</v>
      </c>
      <c r="C43" s="18" t="s">
        <v>27</v>
      </c>
      <c r="D43" s="22" t="s">
        <v>514</v>
      </c>
      <c r="E43" s="23" t="str">
        <f t="shared" si="3"/>
        <v>PASS</v>
      </c>
    </row>
    <row r="44" spans="1:5" x14ac:dyDescent="0.2">
      <c r="A44" s="18" t="s">
        <v>515</v>
      </c>
      <c r="B44" s="18" t="s">
        <v>516</v>
      </c>
      <c r="C44" s="18" t="s">
        <v>22</v>
      </c>
      <c r="D44" s="22" t="s">
        <v>514</v>
      </c>
      <c r="E44" s="23" t="str">
        <f t="shared" si="3"/>
        <v>PASS</v>
      </c>
    </row>
    <row r="45" spans="1:5" x14ac:dyDescent="0.2">
      <c r="A45" s="18" t="s">
        <v>517</v>
      </c>
      <c r="B45" s="18" t="s">
        <v>518</v>
      </c>
      <c r="C45" s="18" t="s">
        <v>33</v>
      </c>
      <c r="D45" s="22" t="s">
        <v>519</v>
      </c>
      <c r="E45" s="23" t="str">
        <f t="shared" si="3"/>
        <v>PASS</v>
      </c>
    </row>
    <row r="46" spans="1:5" x14ac:dyDescent="0.2">
      <c r="A46" s="18" t="s">
        <v>520</v>
      </c>
      <c r="B46" s="18" t="s">
        <v>521</v>
      </c>
      <c r="C46" s="18" t="s">
        <v>36</v>
      </c>
      <c r="D46" s="22" t="s">
        <v>514</v>
      </c>
      <c r="E46" s="23" t="str">
        <f t="shared" si="3"/>
        <v>PASS</v>
      </c>
    </row>
    <row r="47" spans="1:5" x14ac:dyDescent="0.2">
      <c r="A47" s="18" t="s">
        <v>522</v>
      </c>
      <c r="B47" s="18" t="s">
        <v>523</v>
      </c>
      <c r="C47" s="18" t="s">
        <v>27</v>
      </c>
      <c r="D47" s="22" t="s">
        <v>514</v>
      </c>
      <c r="E47" s="23" t="str">
        <f t="shared" si="3"/>
        <v>PASS</v>
      </c>
    </row>
    <row r="49" spans="1:5" x14ac:dyDescent="0.2">
      <c r="A49" s="6" t="s">
        <v>41</v>
      </c>
      <c r="B49" s="6"/>
      <c r="C49" s="6"/>
      <c r="D49" s="6"/>
    </row>
    <row r="50" spans="1:5" ht="52" x14ac:dyDescent="0.2">
      <c r="A50" s="14" t="s">
        <v>524</v>
      </c>
    </row>
    <row r="51" spans="1:5" ht="16" x14ac:dyDescent="0.2">
      <c r="A51" s="16" t="s">
        <v>525</v>
      </c>
      <c r="B51" s="16" t="s">
        <v>526</v>
      </c>
      <c r="C51" s="16" t="s">
        <v>527</v>
      </c>
      <c r="D51" s="16" t="s">
        <v>528</v>
      </c>
      <c r="E51" s="17" t="s">
        <v>20</v>
      </c>
    </row>
    <row r="52" spans="1:5" x14ac:dyDescent="0.2">
      <c r="A52" s="18" t="s">
        <v>42</v>
      </c>
      <c r="B52" s="32">
        <v>339593</v>
      </c>
      <c r="C52" s="41">
        <v>41.6</v>
      </c>
      <c r="D52" s="42" t="s">
        <v>43</v>
      </c>
      <c r="E52" s="23" t="str">
        <f t="shared" ref="E52:E61" si="4">IF(AND(LEN(TRIM(A52&amp;""))&gt;0,TRIM(A52&amp;"")&lt;&gt;"—",LEN(TRIM(B52&amp;""))&gt;0,TRIM(B52&amp;"")&lt;&gt;"—",ISNUMBER(B52),LEN(TRIM(C52&amp;""))&gt;0,TRIM(C52&amp;"")&lt;&gt;"—"),"PASS","⚠ FAIL — "&amp;"a required cell is empty/placeholder or wrong type")</f>
        <v>PASS</v>
      </c>
    </row>
    <row r="53" spans="1:5" x14ac:dyDescent="0.2">
      <c r="A53" s="18" t="s">
        <v>44</v>
      </c>
      <c r="B53" s="32">
        <v>111964</v>
      </c>
      <c r="C53" s="41">
        <v>13.7</v>
      </c>
      <c r="D53" s="42" t="s">
        <v>45</v>
      </c>
      <c r="E53" s="23" t="str">
        <f t="shared" si="4"/>
        <v>PASS</v>
      </c>
    </row>
    <row r="54" spans="1:5" x14ac:dyDescent="0.2">
      <c r="A54" s="18" t="s">
        <v>46</v>
      </c>
      <c r="B54" s="32">
        <v>110691</v>
      </c>
      <c r="C54" s="41">
        <v>13.6</v>
      </c>
      <c r="D54" s="42" t="s">
        <v>45</v>
      </c>
      <c r="E54" s="23" t="str">
        <f t="shared" si="4"/>
        <v>PASS</v>
      </c>
    </row>
    <row r="55" spans="1:5" x14ac:dyDescent="0.2">
      <c r="A55" s="18" t="s">
        <v>47</v>
      </c>
      <c r="B55" s="32">
        <v>108361</v>
      </c>
      <c r="C55" s="41">
        <v>13.3</v>
      </c>
      <c r="D55" s="42" t="s">
        <v>45</v>
      </c>
      <c r="E55" s="23" t="str">
        <f t="shared" si="4"/>
        <v>PASS</v>
      </c>
    </row>
    <row r="56" spans="1:5" x14ac:dyDescent="0.2">
      <c r="A56" s="18" t="s">
        <v>48</v>
      </c>
      <c r="B56" s="32">
        <v>65562</v>
      </c>
      <c r="C56" s="41">
        <v>8</v>
      </c>
      <c r="D56" s="42" t="s">
        <v>49</v>
      </c>
      <c r="E56" s="23" t="str">
        <f t="shared" si="4"/>
        <v>PASS</v>
      </c>
    </row>
    <row r="57" spans="1:5" x14ac:dyDescent="0.2">
      <c r="A57" s="18" t="s">
        <v>50</v>
      </c>
      <c r="B57" s="32">
        <v>35261</v>
      </c>
      <c r="C57" s="41">
        <v>4.3</v>
      </c>
      <c r="D57" s="42" t="s">
        <v>51</v>
      </c>
      <c r="E57" s="23" t="str">
        <f t="shared" si="4"/>
        <v>PASS</v>
      </c>
    </row>
    <row r="58" spans="1:5" x14ac:dyDescent="0.2">
      <c r="A58" s="18" t="s">
        <v>52</v>
      </c>
      <c r="B58" s="32">
        <v>34221</v>
      </c>
      <c r="C58" s="41">
        <v>4.2</v>
      </c>
      <c r="D58" s="42" t="s">
        <v>51</v>
      </c>
      <c r="E58" s="23" t="str">
        <f t="shared" si="4"/>
        <v>PASS</v>
      </c>
    </row>
    <row r="59" spans="1:5" x14ac:dyDescent="0.2">
      <c r="A59" s="18" t="s">
        <v>529</v>
      </c>
      <c r="B59" s="32">
        <v>10011</v>
      </c>
      <c r="C59" s="41">
        <v>1.2</v>
      </c>
      <c r="D59" s="42" t="s">
        <v>530</v>
      </c>
      <c r="E59" s="23" t="str">
        <f t="shared" si="4"/>
        <v>PASS</v>
      </c>
    </row>
    <row r="60" spans="1:5" x14ac:dyDescent="0.2">
      <c r="A60" s="18" t="s">
        <v>531</v>
      </c>
      <c r="B60" s="32">
        <v>120</v>
      </c>
      <c r="C60" s="41">
        <v>0</v>
      </c>
      <c r="D60" s="42" t="s">
        <v>530</v>
      </c>
      <c r="E60" s="23" t="str">
        <f t="shared" si="4"/>
        <v>PASS</v>
      </c>
    </row>
    <row r="61" spans="1:5" x14ac:dyDescent="0.2">
      <c r="A61" s="18" t="s">
        <v>532</v>
      </c>
      <c r="B61" s="32">
        <v>53</v>
      </c>
      <c r="C61" s="41">
        <v>0</v>
      </c>
      <c r="D61" s="42" t="s">
        <v>530</v>
      </c>
      <c r="E61" s="23" t="str">
        <f t="shared" si="4"/>
        <v>PASS</v>
      </c>
    </row>
    <row r="62" spans="1:5" x14ac:dyDescent="0.2">
      <c r="A62" s="24" t="s">
        <v>533</v>
      </c>
      <c r="B62" s="43">
        <v>815837</v>
      </c>
    </row>
  </sheetData>
  <mergeCells count="9">
    <mergeCell ref="A13:D13"/>
    <mergeCell ref="A36:D36"/>
    <mergeCell ref="A39:D39"/>
    <mergeCell ref="A49:D49"/>
    <mergeCell ref="A1:D1"/>
    <mergeCell ref="A2:D2"/>
    <mergeCell ref="A3:D3"/>
    <mergeCell ref="A5:D5"/>
    <mergeCell ref="A12:D12"/>
  </mergeCells>
  <hyperlinks>
    <hyperlink ref="E1" location="'Contents'!A1" display="↑ Contents" xr:uid="{00000000-0004-0000-0400-000000000000}"/>
  </hyperlink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597"/>
  </sheetPr>
  <dimension ref="A1:J168"/>
  <sheetViews>
    <sheetView topLeftCell="A18" zoomScaleNormal="100" workbookViewId="0">
      <selection activeCell="J5" sqref="J5"/>
    </sheetView>
  </sheetViews>
  <sheetFormatPr baseColWidth="10" defaultColWidth="8.6640625" defaultRowHeight="15" x14ac:dyDescent="0.2"/>
  <cols>
    <col min="7" max="7" width="13" customWidth="1"/>
  </cols>
  <sheetData>
    <row r="1" spans="1:10" ht="25.5" customHeight="1" x14ac:dyDescent="0.2">
      <c r="A1" s="12" t="s">
        <v>534</v>
      </c>
      <c r="B1" s="12"/>
      <c r="C1" s="12"/>
      <c r="D1" s="12"/>
      <c r="E1" s="12"/>
      <c r="F1" s="12"/>
      <c r="G1" s="30" t="s">
        <v>140</v>
      </c>
    </row>
    <row r="2" spans="1:10" ht="30" customHeight="1" x14ac:dyDescent="0.2">
      <c r="A2" s="11" t="str">
        <f>"⬤ TAB QUALITY "&amp;IF(ISNUMBER('Quality &amp; Audit'!$B$52),IF('Quality &amp; Audit'!$B$52=INT('Quality &amp; Audit'!$B$52),TEXT('Quality &amp; Audit'!$B$52,"0"),TEXT('Quality &amp; Audit'!$B$52,"0.0")),"—")&amp;"/10 · "&amp;IF(ISNUMBER('Quality &amp; Audit'!$B$52),IF('Quality &amp; Audit'!$B$52&gt;=8,"PASS","FAIL"),"UNSCORED")&amp;" (target ≥8, live from the Quality &amp; Audit score cell)"&amp;" · render mechanism: parts-ledger coverage × default-size litter × typed-shape × vision-critic verdict (render-vision-critique.json) — drawing part coverage (blender) 27/27…"&amp;" · full audit: Quality &amp; Audit tab"</f>
        <v>⬤ TAB QUALITY 10/10 · PASS (target ≥8, live from the Quality &amp; Audit score cell) · render mechanism: parts-ledger coverage × default-size litter × typed-shape × vision-critic verdict (render-vision-critique.json) — drawing part coverage (blender) 27/27… · full audit: Quality &amp; Audit tab</v>
      </c>
      <c r="B2" s="11"/>
      <c r="C2" s="11"/>
      <c r="D2" s="11"/>
      <c r="E2" s="11"/>
      <c r="F2" s="11"/>
    </row>
    <row r="3" spans="1:10" ht="66.75" customHeight="1" x14ac:dyDescent="0.2">
      <c r="A3" s="10" t="s">
        <v>535</v>
      </c>
      <c r="B3" s="10"/>
      <c r="C3" s="10"/>
      <c r="D3" s="10"/>
      <c r="E3" s="10"/>
      <c r="F3" s="10"/>
      <c r="J3" s="145" t="s">
        <v>4560</v>
      </c>
    </row>
    <row r="4" spans="1:10" x14ac:dyDescent="0.2">
      <c r="J4" s="145" t="s">
        <v>4561</v>
      </c>
    </row>
    <row r="5" spans="1:10" x14ac:dyDescent="0.2">
      <c r="A5" s="6" t="s">
        <v>536</v>
      </c>
      <c r="B5" s="6"/>
      <c r="C5" s="6"/>
      <c r="D5" s="6"/>
      <c r="E5" s="6"/>
      <c r="F5" s="6"/>
      <c r="J5" s="145" t="s">
        <v>4562</v>
      </c>
    </row>
    <row r="6" spans="1:10" ht="30" customHeight="1" x14ac:dyDescent="0.2">
      <c r="A6" s="8" t="s">
        <v>537</v>
      </c>
      <c r="B6" s="8"/>
      <c r="C6" s="8"/>
      <c r="D6" s="8"/>
      <c r="E6" s="8"/>
      <c r="F6" s="8"/>
    </row>
    <row r="59" spans="1:6" x14ac:dyDescent="0.2">
      <c r="A59" s="6" t="s">
        <v>538</v>
      </c>
      <c r="B59" s="6"/>
      <c r="C59" s="6"/>
      <c r="D59" s="6"/>
      <c r="E59" s="6"/>
      <c r="F59" s="6"/>
    </row>
    <row r="60" spans="1:6" ht="30" customHeight="1" x14ac:dyDescent="0.2">
      <c r="A60" s="8" t="s">
        <v>539</v>
      </c>
      <c r="B60" s="8"/>
      <c r="C60" s="8"/>
      <c r="D60" s="8"/>
      <c r="E60" s="8"/>
      <c r="F60" s="8"/>
    </row>
    <row r="113" spans="1:6" x14ac:dyDescent="0.2">
      <c r="A113" s="6" t="s">
        <v>540</v>
      </c>
      <c r="B113" s="6"/>
      <c r="C113" s="6"/>
      <c r="D113" s="6"/>
      <c r="E113" s="6"/>
      <c r="F113" s="6"/>
    </row>
    <row r="114" spans="1:6" ht="30" customHeight="1" x14ac:dyDescent="0.2">
      <c r="A114" s="8" t="s">
        <v>541</v>
      </c>
      <c r="B114" s="8"/>
      <c r="C114" s="8"/>
      <c r="D114" s="8"/>
      <c r="E114" s="8"/>
      <c r="F114" s="8"/>
    </row>
    <row r="167" spans="1:6" x14ac:dyDescent="0.2">
      <c r="A167" s="6" t="s">
        <v>542</v>
      </c>
      <c r="B167" s="6"/>
      <c r="C167" s="6"/>
      <c r="D167" s="6"/>
      <c r="E167" s="6"/>
      <c r="F167" s="6"/>
    </row>
    <row r="168" spans="1:6" ht="30" customHeight="1" x14ac:dyDescent="0.2">
      <c r="A168" s="8" t="s">
        <v>543</v>
      </c>
      <c r="B168" s="8"/>
      <c r="C168" s="8"/>
      <c r="D168" s="8"/>
      <c r="E168" s="8"/>
      <c r="F168" s="8"/>
    </row>
  </sheetData>
  <mergeCells count="11">
    <mergeCell ref="A168:F168"/>
    <mergeCell ref="A59:F59"/>
    <mergeCell ref="A60:F60"/>
    <mergeCell ref="A113:F113"/>
    <mergeCell ref="A114:F114"/>
    <mergeCell ref="A167:F167"/>
    <mergeCell ref="A1:F1"/>
    <mergeCell ref="A2:F2"/>
    <mergeCell ref="A3:F3"/>
    <mergeCell ref="A5:F5"/>
    <mergeCell ref="A6:F6"/>
  </mergeCells>
  <hyperlinks>
    <hyperlink ref="G1" location="'Contents'!A1" display="↑ Contents" xr:uid="{00000000-0004-0000-0500-000000000000}"/>
  </hyperlink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597"/>
  </sheetPr>
  <dimension ref="A1:J23"/>
  <sheetViews>
    <sheetView zoomScaleNormal="100" workbookViewId="0">
      <pane ySplit="4" topLeftCell="A6" activePane="bottomLeft" state="frozen"/>
      <selection pane="bottomLeft" activeCell="J20" sqref="J20"/>
    </sheetView>
  </sheetViews>
  <sheetFormatPr baseColWidth="10" defaultColWidth="8.6640625" defaultRowHeight="15" x14ac:dyDescent="0.2"/>
  <cols>
    <col min="1" max="1" width="38" customWidth="1"/>
    <col min="2" max="3" width="18" customWidth="1"/>
    <col min="4" max="4" width="62" customWidth="1"/>
    <col min="5" max="5" width="13" customWidth="1"/>
    <col min="6" max="6" width="14" customWidth="1"/>
    <col min="7" max="7" width="13" customWidth="1"/>
    <col min="8" max="8" width="14" customWidth="1"/>
    <col min="9" max="9" width="13" customWidth="1"/>
  </cols>
  <sheetData>
    <row r="1" spans="1:9" ht="25.5" customHeight="1" x14ac:dyDescent="0.2">
      <c r="A1" s="12" t="s">
        <v>544</v>
      </c>
      <c r="B1" s="12"/>
      <c r="C1" s="12"/>
      <c r="D1" s="12"/>
      <c r="E1" s="12"/>
      <c r="F1" s="12"/>
      <c r="G1" s="12"/>
      <c r="H1" s="12"/>
      <c r="I1" s="30" t="s">
        <v>140</v>
      </c>
    </row>
    <row r="2" spans="1:9" ht="30" customHeight="1" x14ac:dyDescent="0.2">
      <c r="A2" s="11" t="str">
        <f>"⬤ TAB QUALITY "&amp;IF(ISNUMBER('Quality &amp; Audit'!$B$38),IF('Quality &amp; Audit'!$B$38=INT('Quality &amp; Audit'!$B$38),TEXT('Quality &amp; Audit'!$B$38,"0"),TEXT('Quality &amp; Audit'!$B$38,"0.0")),"—")&amp;"/10 · "&amp;IF(ISNUMBER('Quality &amp; Audit'!$B$38),IF('Quality &amp; Audit'!$B$38&gt;=8,"PASS","FAIL"),"UNSCORED")&amp;" (target ≥8, live from the Quality &amp; Audit score cell)"&amp;" · cost-waterfall arithmetic ties (each step vs its named costStack anchor; sums close) — waterfall rows tie live to their stated costStack anchor 6/6; assembly/install row…"&amp;" · full audit: Quality &amp; Audit tab"</f>
        <v>⬤ TAB QUALITY 10/10 · PASS (target ≥8, live from the Quality &amp; Audit score cell) · cost-waterfall arithmetic ties (each step vs its named costStack anchor; sums close) — waterfall rows tie live to their stated costStack anchor 6/6; assembly/install row… · full audit: Quality &amp; Audit tab</v>
      </c>
      <c r="B2" s="11"/>
      <c r="C2" s="11"/>
      <c r="D2" s="11"/>
      <c r="E2" s="11"/>
      <c r="F2" s="11"/>
      <c r="G2" s="11"/>
      <c r="H2" s="11"/>
    </row>
    <row r="3" spans="1:9" ht="54" customHeight="1" x14ac:dyDescent="0.2">
      <c r="A3" s="10" t="s">
        <v>545</v>
      </c>
      <c r="B3" s="10"/>
      <c r="C3" s="10"/>
      <c r="D3" s="10"/>
      <c r="E3" s="10"/>
      <c r="F3" s="10"/>
      <c r="G3" s="10"/>
      <c r="H3" s="10"/>
    </row>
    <row r="4" spans="1:9" ht="16" x14ac:dyDescent="0.2">
      <c r="A4" s="16" t="s">
        <v>546</v>
      </c>
      <c r="B4" s="16" t="s">
        <v>547</v>
      </c>
      <c r="C4" s="16" t="s">
        <v>548</v>
      </c>
      <c r="D4" s="16" t="s">
        <v>549</v>
      </c>
      <c r="E4" s="17" t="s">
        <v>20</v>
      </c>
    </row>
    <row r="5" spans="1:9" ht="26" x14ac:dyDescent="0.2">
      <c r="A5" s="44" t="s">
        <v>550</v>
      </c>
      <c r="B5" s="45">
        <f>'Bill of Materials (Ledger)'!$E$403</f>
        <v>815837</v>
      </c>
      <c r="C5" s="46">
        <f>B5</f>
        <v>815837</v>
      </c>
      <c r="D5" s="22" t="s">
        <v>551</v>
      </c>
      <c r="E5" s="23" t="str">
        <f t="shared" ref="E5:E10" si="0">IF(AND(LEN(TRIM(A5&amp;""))&gt;0,TRIM(A5&amp;"")&lt;&gt;"—",LEN(TRIM(C5&amp;""))&gt;0,TRIM(C5&amp;"")&lt;&gt;"—",ISNUMBER(C5),LEN(TRIM(D5&amp;""))&gt;0,TRIM(D5&amp;"")&lt;&gt;"—"),"PASS","⚠ FAIL — "&amp;"a required cell is empty/placeholder or wrong type")</f>
        <v>PASS</v>
      </c>
      <c r="G5" s="145" t="s">
        <v>4563</v>
      </c>
    </row>
    <row r="6" spans="1:9" ht="65" x14ac:dyDescent="0.2">
      <c r="A6" s="47" t="s">
        <v>552</v>
      </c>
      <c r="B6" s="45">
        <f>SUM(F14:F20)</f>
        <v>115627.11</v>
      </c>
      <c r="C6" s="46">
        <f>C5+B6</f>
        <v>931464.11</v>
      </c>
      <c r="D6" s="22" t="s">
        <v>553</v>
      </c>
      <c r="E6" s="23" t="str">
        <f t="shared" si="0"/>
        <v>PASS</v>
      </c>
    </row>
    <row r="7" spans="1:9" x14ac:dyDescent="0.2">
      <c r="A7" s="44" t="s">
        <v>554</v>
      </c>
      <c r="B7" s="18"/>
      <c r="C7" s="46">
        <f>C6</f>
        <v>931464.11</v>
      </c>
      <c r="D7" s="22" t="s">
        <v>555</v>
      </c>
      <c r="E7" s="23" t="str">
        <f t="shared" si="0"/>
        <v>PASS</v>
      </c>
    </row>
    <row r="8" spans="1:9" x14ac:dyDescent="0.2">
      <c r="A8" s="44" t="s">
        <v>556</v>
      </c>
      <c r="B8" s="18"/>
      <c r="C8" s="46">
        <f>C7</f>
        <v>931464.11</v>
      </c>
      <c r="D8" s="22" t="s">
        <v>557</v>
      </c>
      <c r="E8" s="23" t="str">
        <f t="shared" si="0"/>
        <v>PASS</v>
      </c>
    </row>
    <row r="9" spans="1:9" ht="65" x14ac:dyDescent="0.2">
      <c r="A9" s="47" t="s">
        <v>558</v>
      </c>
      <c r="B9" s="45">
        <f>SUM(H14:H20)</f>
        <v>315706.95</v>
      </c>
      <c r="C9" s="46">
        <f>C8+B9</f>
        <v>1247171.06</v>
      </c>
      <c r="D9" s="22" t="s">
        <v>559</v>
      </c>
      <c r="E9" s="23" t="str">
        <f t="shared" si="0"/>
        <v>PASS</v>
      </c>
    </row>
    <row r="10" spans="1:9" x14ac:dyDescent="0.2">
      <c r="A10" s="44" t="s">
        <v>560</v>
      </c>
      <c r="B10" s="18"/>
      <c r="C10" s="46">
        <f>C9</f>
        <v>1247171.06</v>
      </c>
      <c r="D10" s="22" t="s">
        <v>561</v>
      </c>
      <c r="E10" s="23" t="str">
        <f t="shared" si="0"/>
        <v>PASS</v>
      </c>
    </row>
    <row r="12" spans="1:9" x14ac:dyDescent="0.2">
      <c r="A12" s="6" t="s">
        <v>562</v>
      </c>
      <c r="B12" s="6"/>
      <c r="C12" s="6"/>
      <c r="D12" s="6"/>
      <c r="E12" s="6"/>
      <c r="F12" s="6"/>
      <c r="G12" s="6"/>
      <c r="H12" s="6"/>
    </row>
    <row r="13" spans="1:9" ht="16" x14ac:dyDescent="0.2">
      <c r="A13" s="16" t="s">
        <v>563</v>
      </c>
      <c r="B13" s="16" t="s">
        <v>564</v>
      </c>
      <c r="C13" s="16" t="s">
        <v>565</v>
      </c>
      <c r="D13" s="16" t="s">
        <v>566</v>
      </c>
      <c r="E13" s="16" t="s">
        <v>567</v>
      </c>
      <c r="F13" s="16" t="s">
        <v>568</v>
      </c>
      <c r="G13" s="16" t="s">
        <v>569</v>
      </c>
      <c r="H13" s="16" t="s">
        <v>570</v>
      </c>
      <c r="I13" s="17" t="s">
        <v>20</v>
      </c>
    </row>
    <row r="14" spans="1:9" ht="26" x14ac:dyDescent="0.2">
      <c r="A14" s="18" t="s">
        <v>571</v>
      </c>
      <c r="B14" s="48">
        <v>111788</v>
      </c>
      <c r="C14" s="18" t="s">
        <v>572</v>
      </c>
      <c r="D14" s="22" t="s">
        <v>573</v>
      </c>
      <c r="E14" s="49">
        <v>0.1</v>
      </c>
      <c r="F14" s="46">
        <f t="shared" ref="F14:F20" si="1">B14*E14</f>
        <v>11178.800000000001</v>
      </c>
      <c r="G14" s="49">
        <v>0.45</v>
      </c>
      <c r="H14" s="46">
        <f t="shared" ref="H14:H20" si="2">B14*G14</f>
        <v>50304.6</v>
      </c>
      <c r="I14" s="23" t="str">
        <f t="shared" ref="I14:I20" si="3">IF(AND(LEN(TRIM(A14&amp;""))&gt;0,TRIM(A14&amp;"")&lt;&gt;"—",LEN(TRIM(B14&amp;""))&gt;0,TRIM(B14&amp;"")&lt;&gt;"—",ISNUMBER(B14),LEN(TRIM(D14&amp;""))&gt;0,TRIM(D14&amp;"")&lt;&gt;"—",LEN(TRIM(E14&amp;""))&gt;0,TRIM(E14&amp;"")&lt;&gt;"—",ISNUMBER(E14),LEN(TRIM(F14&amp;""))&gt;0,TRIM(F14&amp;"")&lt;&gt;"—",LEN(TRIM(G14&amp;""))&gt;0,TRIM(G14&amp;"")&lt;&gt;"—",ISNUMBER(G14),LEN(TRIM(H14&amp;""))&gt;0,TRIM(H14&amp;"")&lt;&gt;"—"),"PASS","⚠ FAIL — "&amp;"a required cell is empty/placeholder or wrong type")</f>
        <v>PASS</v>
      </c>
    </row>
    <row r="15" spans="1:9" ht="26" x14ac:dyDescent="0.2">
      <c r="A15" s="18" t="s">
        <v>574</v>
      </c>
      <c r="B15" s="48">
        <v>65312</v>
      </c>
      <c r="C15" s="18" t="s">
        <v>575</v>
      </c>
      <c r="D15" s="22" t="s">
        <v>576</v>
      </c>
      <c r="E15" s="49">
        <v>0.08</v>
      </c>
      <c r="F15" s="46">
        <f t="shared" si="1"/>
        <v>5224.96</v>
      </c>
      <c r="G15" s="49">
        <v>0.6</v>
      </c>
      <c r="H15" s="46">
        <f t="shared" si="2"/>
        <v>39187.199999999997</v>
      </c>
      <c r="I15" s="23" t="str">
        <f t="shared" si="3"/>
        <v>PASS</v>
      </c>
    </row>
    <row r="16" spans="1:9" ht="26" x14ac:dyDescent="0.2">
      <c r="A16" s="18" t="s">
        <v>577</v>
      </c>
      <c r="B16" s="48">
        <v>39827</v>
      </c>
      <c r="C16" s="18" t="s">
        <v>578</v>
      </c>
      <c r="D16" s="22" t="s">
        <v>579</v>
      </c>
      <c r="E16" s="49">
        <v>0.15</v>
      </c>
      <c r="F16" s="46">
        <f t="shared" si="1"/>
        <v>5974.05</v>
      </c>
      <c r="G16" s="49">
        <v>0.3</v>
      </c>
      <c r="H16" s="46">
        <f t="shared" si="2"/>
        <v>11948.1</v>
      </c>
      <c r="I16" s="23" t="str">
        <f t="shared" si="3"/>
        <v>PASS</v>
      </c>
    </row>
    <row r="17" spans="1:10" ht="26" x14ac:dyDescent="0.2">
      <c r="A17" s="18" t="s">
        <v>580</v>
      </c>
      <c r="B17" s="48">
        <v>338153</v>
      </c>
      <c r="C17" s="18" t="s">
        <v>581</v>
      </c>
      <c r="D17" s="22" t="s">
        <v>582</v>
      </c>
      <c r="E17" s="49">
        <v>0.2</v>
      </c>
      <c r="F17" s="46">
        <f t="shared" si="1"/>
        <v>67630.600000000006</v>
      </c>
      <c r="G17" s="49">
        <v>0.35</v>
      </c>
      <c r="H17" s="46">
        <f t="shared" si="2"/>
        <v>118353.54999999999</v>
      </c>
      <c r="I17" s="23" t="str">
        <f t="shared" si="3"/>
        <v>PASS</v>
      </c>
    </row>
    <row r="18" spans="1:10" ht="26" x14ac:dyDescent="0.2">
      <c r="A18" s="18" t="s">
        <v>583</v>
      </c>
      <c r="B18" s="48">
        <v>158584</v>
      </c>
      <c r="C18" s="18" t="s">
        <v>584</v>
      </c>
      <c r="D18" s="22" t="s">
        <v>585</v>
      </c>
      <c r="E18" s="49">
        <v>0.1</v>
      </c>
      <c r="F18" s="46">
        <f t="shared" si="1"/>
        <v>15858.400000000001</v>
      </c>
      <c r="G18" s="49">
        <v>0.4</v>
      </c>
      <c r="H18" s="46">
        <f t="shared" si="2"/>
        <v>63433.600000000006</v>
      </c>
      <c r="I18" s="23" t="str">
        <f t="shared" si="3"/>
        <v>PASS</v>
      </c>
    </row>
    <row r="19" spans="1:10" ht="26" x14ac:dyDescent="0.2">
      <c r="A19" s="18" t="s">
        <v>586</v>
      </c>
      <c r="B19" s="48">
        <v>9140</v>
      </c>
      <c r="C19" s="18" t="s">
        <v>587</v>
      </c>
      <c r="D19" s="22" t="s">
        <v>588</v>
      </c>
      <c r="E19" s="49">
        <v>0.05</v>
      </c>
      <c r="F19" s="46">
        <f t="shared" si="1"/>
        <v>457</v>
      </c>
      <c r="G19" s="49">
        <v>0.5</v>
      </c>
      <c r="H19" s="46">
        <f t="shared" si="2"/>
        <v>4570</v>
      </c>
      <c r="I19" s="23" t="str">
        <f t="shared" si="3"/>
        <v>PASS</v>
      </c>
      <c r="J19" s="145" t="s">
        <v>4564</v>
      </c>
    </row>
    <row r="20" spans="1:10" ht="26" x14ac:dyDescent="0.2">
      <c r="A20" s="18" t="s">
        <v>48</v>
      </c>
      <c r="B20" s="48">
        <v>93033</v>
      </c>
      <c r="C20" s="18" t="s">
        <v>589</v>
      </c>
      <c r="D20" s="22" t="s">
        <v>590</v>
      </c>
      <c r="E20" s="49">
        <v>0.1</v>
      </c>
      <c r="F20" s="46">
        <f t="shared" si="1"/>
        <v>9303.3000000000011</v>
      </c>
      <c r="G20" s="49">
        <v>0.3</v>
      </c>
      <c r="H20" s="46">
        <f t="shared" si="2"/>
        <v>27909.899999999998</v>
      </c>
      <c r="I20" s="23" t="str">
        <f t="shared" si="3"/>
        <v>PASS</v>
      </c>
    </row>
    <row r="21" spans="1:10" x14ac:dyDescent="0.2">
      <c r="A21" s="24" t="s">
        <v>591</v>
      </c>
      <c r="B21" s="50">
        <f>SUM(B14:B20)</f>
        <v>815837</v>
      </c>
      <c r="F21" s="51">
        <f>SUM(F14:F20)</f>
        <v>115627.11</v>
      </c>
      <c r="H21" s="51">
        <f>SUM(H14:H20)</f>
        <v>315706.95</v>
      </c>
    </row>
    <row r="23" spans="1:10" ht="22.25" customHeight="1" x14ac:dyDescent="0.2">
      <c r="A23" s="8" t="s">
        <v>592</v>
      </c>
      <c r="B23" s="8"/>
      <c r="C23" s="8"/>
      <c r="D23" s="8"/>
      <c r="E23" s="8"/>
      <c r="F23" s="8"/>
      <c r="G23" s="8"/>
      <c r="H23" s="8"/>
    </row>
  </sheetData>
  <mergeCells count="5">
    <mergeCell ref="A1:H1"/>
    <mergeCell ref="A2:H2"/>
    <mergeCell ref="A3:H3"/>
    <mergeCell ref="A12:H12"/>
    <mergeCell ref="A23:H23"/>
  </mergeCells>
  <hyperlinks>
    <hyperlink ref="I1" location="'Contents'!A1" display="↑ Contents" xr:uid="{00000000-0004-0000-0600-000000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597"/>
  </sheetPr>
  <dimension ref="A1:O240"/>
  <sheetViews>
    <sheetView zoomScaleNormal="100" workbookViewId="0">
      <pane ySplit="4" topLeftCell="A30" activePane="bottomLeft" state="frozen"/>
      <selection pane="bottomLeft" activeCell="G15" sqref="G15"/>
    </sheetView>
  </sheetViews>
  <sheetFormatPr baseColWidth="10" defaultColWidth="8.6640625" defaultRowHeight="15" x14ac:dyDescent="0.2"/>
  <cols>
    <col min="1" max="1" width="30" customWidth="1"/>
    <col min="2" max="2" width="18" customWidth="1"/>
    <col min="3" max="5" width="16" customWidth="1"/>
    <col min="6" max="6" width="12" customWidth="1"/>
    <col min="7" max="7" width="14" customWidth="1"/>
    <col min="8" max="8" width="16" customWidth="1"/>
    <col min="9" max="9" width="13" customWidth="1"/>
    <col min="10" max="13" width="16" customWidth="1"/>
  </cols>
  <sheetData>
    <row r="1" spans="1:9" ht="25.5" customHeight="1" x14ac:dyDescent="0.2">
      <c r="A1" s="12" t="s">
        <v>593</v>
      </c>
      <c r="B1" s="12"/>
      <c r="C1" s="12"/>
      <c r="D1" s="12"/>
      <c r="E1" s="12"/>
      <c r="F1" s="12"/>
      <c r="G1" s="12"/>
      <c r="H1" s="12"/>
      <c r="I1" s="30" t="s">
        <v>140</v>
      </c>
    </row>
    <row r="2" spans="1:9" ht="30" customHeight="1" x14ac:dyDescent="0.2">
      <c r="A2" s="11" t="str">
        <f>"⬤ TAB QUALITY "&amp;IF(ISNUMBER('Quality &amp; Audit'!$B$39),IF('Quality &amp; Audit'!$B$39=INT('Quality &amp; Audit'!$B$39),TEXT('Quality &amp; Audit'!$B$39,"0"),TEXT('Quality &amp; Audit'!$B$39,"0.0")),"—")&amp;"/10 · "&amp;IF(ISNUMBER('Quality &amp; Audit'!$B$39),IF('Quality &amp; Audit'!$B$39&gt;=8,"PASS","FAIL"),"UNSCORED")&amp;" (target ≥8, live from the Quality &amp; Audit score cell)"&amp;" · formula integrity (cells reference drivers; no orphan literals) + scenario arithmetic (live) — model value cells are live formulas or declared (yellow) inputs 225/226; c…"&amp;" · full audit: Quality &amp; Audit tab"</f>
        <v>⬤ TAB QUALITY 10/10 · PASS (target ≥8, live from the Quality &amp; Audit score cell) · formula integrity (cells reference drivers; no orphan literals) + scenario arithmetic (live) — model value cells are live formulas or declared (yellow) inputs 225/226; c… · full audit: Quality &amp; Audit tab</v>
      </c>
      <c r="B2" s="11"/>
      <c r="C2" s="11"/>
      <c r="D2" s="11"/>
      <c r="E2" s="11"/>
      <c r="F2" s="11"/>
      <c r="G2" s="11"/>
      <c r="H2" s="11"/>
    </row>
    <row r="3" spans="1:9" ht="54" customHeight="1" x14ac:dyDescent="0.2">
      <c r="A3" s="10" t="s">
        <v>594</v>
      </c>
      <c r="B3" s="10"/>
      <c r="C3" s="10"/>
      <c r="D3" s="10"/>
      <c r="E3" s="10"/>
      <c r="F3" s="10"/>
      <c r="G3" s="10"/>
      <c r="H3" s="10"/>
    </row>
    <row r="4" spans="1:9" x14ac:dyDescent="0.2">
      <c r="A4" s="6" t="s">
        <v>595</v>
      </c>
      <c r="B4" s="6"/>
      <c r="C4" s="6"/>
      <c r="D4" s="6"/>
      <c r="E4" s="6"/>
      <c r="F4" s="6"/>
      <c r="G4" s="6"/>
      <c r="H4" s="6"/>
    </row>
    <row r="5" spans="1:9" x14ac:dyDescent="0.2">
      <c r="A5" s="2" t="s">
        <v>596</v>
      </c>
      <c r="B5" s="2"/>
      <c r="C5" s="2"/>
      <c r="D5" s="2"/>
      <c r="E5" s="2"/>
      <c r="F5" s="2"/>
      <c r="G5" s="2"/>
      <c r="H5" s="2"/>
    </row>
    <row r="7" spans="1:9" ht="16" x14ac:dyDescent="0.2">
      <c r="A7" s="16" t="s">
        <v>597</v>
      </c>
      <c r="B7" s="16" t="s">
        <v>598</v>
      </c>
      <c r="C7" s="16"/>
      <c r="D7" s="16" t="s">
        <v>599</v>
      </c>
      <c r="E7" s="17" t="s">
        <v>20</v>
      </c>
    </row>
    <row r="8" spans="1:9" x14ac:dyDescent="0.2">
      <c r="A8" s="52" t="s">
        <v>600</v>
      </c>
      <c r="B8" s="25">
        <f>'Inputs &amp; Assumptions'!$B$18</f>
        <v>1360613</v>
      </c>
      <c r="D8" s="53" t="s">
        <v>601</v>
      </c>
      <c r="E8" s="23" t="str">
        <f>IF(AND(LEN(TRIM(A8&amp;""))&gt;0,TRIM(A8&amp;"")&lt;&gt;"—",LEN(TRIM(B8&amp;""))&gt;0,TRIM(B8&amp;"")&lt;&gt;"—",ISNUMBER(B8),LEN(TRIM(D8&amp;""))&gt;0,TRIM(D8&amp;"")&lt;&gt;"—"),"PASS","⚠ FAIL — "&amp;"a required cell is empty/placeholder or wrong type")</f>
        <v>PASS</v>
      </c>
    </row>
    <row r="9" spans="1:9" x14ac:dyDescent="0.2">
      <c r="A9" s="52" t="s">
        <v>602</v>
      </c>
      <c r="B9" s="25">
        <f>B8*(('Inputs &amp; Assumptions'!$B$20/100)*(1+'Inputs &amp; Assumptions'!$B$20/100)^'Inputs &amp; Assumptions'!$B$22)/((1+'Inputs &amp; Assumptions'!$B$20/100)^'Inputs &amp; Assumptions'!$B$22-1)</f>
        <v>159817.0924406478</v>
      </c>
      <c r="D9" s="53" t="s">
        <v>603</v>
      </c>
      <c r="E9" s="23" t="str">
        <f>IF(AND(LEN(TRIM(A9&amp;""))&gt;0,TRIM(A9&amp;"")&lt;&gt;"—",LEN(TRIM(B9&amp;""))&gt;0,TRIM(B9&amp;"")&lt;&gt;"—",ISNUMBER(B9),LEN(TRIM(D9&amp;""))&gt;0,TRIM(D9&amp;"")&lt;&gt;"—"),"PASS","⚠ FAIL — "&amp;"a required cell is empty/placeholder or wrong type")</f>
        <v>PASS</v>
      </c>
    </row>
    <row r="10" spans="1:9" x14ac:dyDescent="0.2">
      <c r="A10" s="52" t="s">
        <v>604</v>
      </c>
      <c r="B10" s="25">
        <f>'Inputs &amp; Assumptions'!$B$10*'Inputs &amp; Assumptions'!$B$12*'Inputs &amp; Assumptions'!$B$11*'Inputs &amp; Assumptions'!$B$9</f>
        <v>41340</v>
      </c>
      <c r="D10" s="53" t="s">
        <v>605</v>
      </c>
      <c r="E10" s="23" t="str">
        <f>IF(AND(LEN(TRIM(A10&amp;""))&gt;0,TRIM(A10&amp;"")&lt;&gt;"—",LEN(TRIM(B10&amp;""))&gt;0,TRIM(B10&amp;"")&lt;&gt;"—",ISNUMBER(B10),LEN(TRIM(D10&amp;""))&gt;0,TRIM(D10&amp;"")&lt;&gt;"—"),"PASS","⚠ FAIL — "&amp;"a required cell is empty/placeholder or wrong type")</f>
        <v>PASS</v>
      </c>
      <c r="G10" s="145" t="s">
        <v>4565</v>
      </c>
    </row>
    <row r="11" spans="1:9" x14ac:dyDescent="0.2">
      <c r="A11" s="52" t="s">
        <v>606</v>
      </c>
      <c r="B11" s="25">
        <f>B8*'Inputs &amp; Assumptions'!$B$16/100</f>
        <v>40818.39</v>
      </c>
      <c r="D11" s="53" t="s">
        <v>607</v>
      </c>
      <c r="E11" s="23" t="str">
        <f>IF(AND(LEN(TRIM(A11&amp;""))&gt;0,TRIM(A11&amp;"")&lt;&gt;"—",LEN(TRIM(B11&amp;""))&gt;0,TRIM(B11&amp;"")&lt;&gt;"—",ISNUMBER(B11),LEN(TRIM(D11&amp;""))&gt;0,TRIM(D11&amp;"")&lt;&gt;"—"),"PASS","⚠ FAIL — "&amp;"a required cell is empty/placeholder or wrong type")</f>
        <v>PASS</v>
      </c>
    </row>
    <row r="12" spans="1:9" x14ac:dyDescent="0.2">
      <c r="A12" s="52" t="s">
        <v>608</v>
      </c>
      <c r="B12" s="25">
        <f>'Inputs &amp; Assumptions'!$B$15+'Inputs &amp; Assumptions'!$B$17</f>
        <v>52212</v>
      </c>
      <c r="D12" s="53" t="s">
        <v>609</v>
      </c>
      <c r="E12" s="23" t="str">
        <f>IF(AND(LEN(TRIM(A12&amp;""))&gt;0,TRIM(A12&amp;"")&lt;&gt;"—",LEN(TRIM(B12&amp;""))&gt;0,TRIM(B12&amp;"")&lt;&gt;"—",ISNUMBER(B12),LEN(TRIM(D12&amp;""))&gt;0,TRIM(D12&amp;"")&lt;&gt;"—"),"PASS","⚠ FAIL — "&amp;"a required cell is empty/placeholder or wrong type")</f>
        <v>PASS</v>
      </c>
    </row>
    <row r="13" spans="1:9" x14ac:dyDescent="0.2">
      <c r="A13" s="54" t="s">
        <v>610</v>
      </c>
      <c r="B13" s="55">
        <f>B10+B11+B12</f>
        <v>134370.39000000001</v>
      </c>
      <c r="D13" s="53" t="s">
        <v>611</v>
      </c>
    </row>
    <row r="14" spans="1:9" x14ac:dyDescent="0.2">
      <c r="A14" s="52" t="s">
        <v>612</v>
      </c>
      <c r="B14" s="25">
        <v>45</v>
      </c>
      <c r="D14" s="53" t="s">
        <v>613</v>
      </c>
      <c r="E14" s="23" t="str">
        <f>IF(AND(LEN(TRIM(A14&amp;""))&gt;0,TRIM(A14&amp;"")&lt;&gt;"—",LEN(TRIM(B14&amp;""))&gt;0,TRIM(B14&amp;"")&lt;&gt;"—",ISNUMBER(B14),LEN(TRIM(D14&amp;""))&gt;0,TRIM(D14&amp;"")&lt;&gt;"—"),"PASS","⚠ FAIL — "&amp;"a required cell is empty/placeholder or wrong type")</f>
        <v>PASS</v>
      </c>
    </row>
    <row r="15" spans="1:9" x14ac:dyDescent="0.2">
      <c r="A15" s="54" t="s">
        <v>614</v>
      </c>
      <c r="B15" s="56">
        <f>(B9+B13)/B14</f>
        <v>6537.499609792173</v>
      </c>
      <c r="D15" s="53" t="s">
        <v>615</v>
      </c>
      <c r="E15" s="23" t="str">
        <f>IF(AND(LEN(TRIM(A15&amp;""))&gt;0,TRIM(A15&amp;"")&lt;&gt;"—",LEN(TRIM(B15&amp;""))&gt;0,TRIM(B15&amp;"")&lt;&gt;"—",ISNUMBER(B15),LEN(TRIM(D15&amp;""))&gt;0,TRIM(D15&amp;"")&lt;&gt;"—"),"PASS","⚠ FAIL — "&amp;"a required cell is empty/placeholder or wrong type")</f>
        <v>PASS</v>
      </c>
    </row>
    <row r="18" spans="1:9" ht="24" customHeight="1" x14ac:dyDescent="0.2">
      <c r="A18" s="12" t="s">
        <v>616</v>
      </c>
      <c r="B18" s="12"/>
      <c r="C18" s="12"/>
      <c r="D18" s="12"/>
      <c r="E18" s="12"/>
      <c r="F18" s="12"/>
      <c r="G18" s="12"/>
      <c r="H18" s="12"/>
    </row>
    <row r="20" spans="1:9" x14ac:dyDescent="0.2">
      <c r="A20" s="3" t="s">
        <v>617</v>
      </c>
      <c r="B20" s="3"/>
      <c r="C20" s="3"/>
      <c r="D20" s="3"/>
      <c r="E20" s="3"/>
      <c r="F20" s="3"/>
      <c r="G20" s="3"/>
      <c r="H20" s="3"/>
    </row>
    <row r="21" spans="1:9" ht="15" customHeight="1" x14ac:dyDescent="0.2">
      <c r="A21" s="1" t="s">
        <v>618</v>
      </c>
      <c r="B21" s="1"/>
      <c r="C21" s="1"/>
      <c r="D21" s="1"/>
      <c r="E21" s="1"/>
      <c r="F21" s="1"/>
      <c r="G21" s="1"/>
      <c r="H21" s="1"/>
    </row>
    <row r="22" spans="1:9" x14ac:dyDescent="0.2">
      <c r="A22" s="1"/>
      <c r="B22" s="1"/>
      <c r="C22" s="1"/>
      <c r="D22" s="1"/>
      <c r="E22" s="1"/>
      <c r="F22" s="1"/>
      <c r="G22" s="1"/>
      <c r="H22" s="1"/>
    </row>
    <row r="23" spans="1:9" x14ac:dyDescent="0.2">
      <c r="A23" s="17" t="s">
        <v>619</v>
      </c>
    </row>
    <row r="25" spans="1:9" ht="16" x14ac:dyDescent="0.2">
      <c r="A25" s="16" t="s">
        <v>620</v>
      </c>
      <c r="B25" s="16" t="s">
        <v>144</v>
      </c>
      <c r="C25" s="16"/>
      <c r="D25" s="16"/>
      <c r="E25" s="16"/>
      <c r="F25" s="16"/>
      <c r="G25" s="16"/>
      <c r="H25" s="16"/>
      <c r="I25" s="17" t="s">
        <v>20</v>
      </c>
    </row>
    <row r="26" spans="1:9" x14ac:dyDescent="0.2">
      <c r="A26" s="24" t="s">
        <v>621</v>
      </c>
      <c r="B26" s="58">
        <v>360000</v>
      </c>
      <c r="I26" s="23" t="str">
        <f t="shared" ref="I26:I34" si="0">IF(AND(LEN(TRIM(A26&amp;""))&gt;0,TRIM(A26&amp;"")&lt;&gt;"—",LEN(TRIM(B26&amp;""))&gt;0,TRIM(B26&amp;"")&lt;&gt;"—"),"PASS","⚠ FAIL — "&amp;"a required cell is empty/placeholder or wrong type")</f>
        <v>PASS</v>
      </c>
    </row>
    <row r="27" spans="1:9" x14ac:dyDescent="0.2">
      <c r="A27" s="24" t="s">
        <v>622</v>
      </c>
      <c r="B27" s="59">
        <v>623277.84</v>
      </c>
      <c r="I27" s="23" t="str">
        <f t="shared" si="0"/>
        <v>PASS</v>
      </c>
    </row>
    <row r="28" spans="1:9" x14ac:dyDescent="0.2">
      <c r="A28" s="24" t="s">
        <v>623</v>
      </c>
      <c r="B28" s="60">
        <f>INP_SWEET_SPOT_CAPACITY_SCALING_EXPONENT_N</f>
        <v>0.65</v>
      </c>
      <c r="I28" s="23" t="str">
        <f t="shared" si="0"/>
        <v>PASS</v>
      </c>
    </row>
    <row r="29" spans="1:9" x14ac:dyDescent="0.2">
      <c r="A29" s="24" t="s">
        <v>624</v>
      </c>
      <c r="B29" s="58">
        <v>360000</v>
      </c>
      <c r="I29" s="23" t="str">
        <f t="shared" si="0"/>
        <v>PASS</v>
      </c>
    </row>
    <row r="30" spans="1:9" x14ac:dyDescent="0.2">
      <c r="A30" s="24" t="s">
        <v>625</v>
      </c>
      <c r="B30" s="61">
        <f>ROUND($B$27*($B$29/$B$26)^$B$28,0)</f>
        <v>623278</v>
      </c>
      <c r="I30" s="23" t="str">
        <f t="shared" si="0"/>
        <v>PASS</v>
      </c>
    </row>
    <row r="31" spans="1:9" x14ac:dyDescent="0.2">
      <c r="A31" s="24" t="s">
        <v>626</v>
      </c>
      <c r="B31" s="62">
        <f>$B$30/$B$29</f>
        <v>1.7313277777777778</v>
      </c>
      <c r="I31" s="23" t="str">
        <f t="shared" si="0"/>
        <v>PASS</v>
      </c>
    </row>
    <row r="32" spans="1:9" x14ac:dyDescent="0.2">
      <c r="A32" s="24" t="s">
        <v>627</v>
      </c>
      <c r="B32" s="63">
        <f>$B$29/$B$26</f>
        <v>1</v>
      </c>
      <c r="I32" s="23" t="str">
        <f t="shared" si="0"/>
        <v>PASS</v>
      </c>
    </row>
    <row r="33" spans="1:9" x14ac:dyDescent="0.2">
      <c r="A33" s="24" t="s">
        <v>628</v>
      </c>
      <c r="B33" s="64" t="s">
        <v>629</v>
      </c>
      <c r="I33" s="23" t="str">
        <f t="shared" si="0"/>
        <v>PASS</v>
      </c>
    </row>
    <row r="34" spans="1:9" x14ac:dyDescent="0.2">
      <c r="A34" s="24" t="s">
        <v>630</v>
      </c>
      <c r="B34" s="64" t="s">
        <v>629</v>
      </c>
      <c r="I34" s="23" t="str">
        <f t="shared" si="0"/>
        <v>PASS</v>
      </c>
    </row>
    <row r="36" spans="1:9" x14ac:dyDescent="0.2">
      <c r="A36" s="6" t="s">
        <v>631</v>
      </c>
      <c r="B36" s="6"/>
      <c r="C36" s="6"/>
      <c r="D36" s="6"/>
      <c r="E36" s="6"/>
      <c r="F36" s="6"/>
      <c r="G36" s="6"/>
      <c r="H36" s="6"/>
    </row>
    <row r="37" spans="1:9" ht="16" x14ac:dyDescent="0.2">
      <c r="A37" s="16" t="s">
        <v>632</v>
      </c>
      <c r="B37" s="16" t="s">
        <v>633</v>
      </c>
      <c r="C37" s="16" t="s">
        <v>634</v>
      </c>
      <c r="D37" s="16"/>
      <c r="E37" s="16"/>
      <c r="F37" s="16"/>
      <c r="G37" s="16"/>
      <c r="H37" s="16"/>
      <c r="I37" s="17" t="s">
        <v>20</v>
      </c>
    </row>
    <row r="38" spans="1:9" x14ac:dyDescent="0.2">
      <c r="A38" s="65">
        <f>$B$26*16^(0/12)*0.25</f>
        <v>90000</v>
      </c>
      <c r="B38" s="50">
        <f t="shared" ref="B38:B50" si="1">ROUND($B$27*(A38/$B$26)^$B$28,0)</f>
        <v>253129</v>
      </c>
      <c r="C38" s="66">
        <f t="shared" ref="C38:C50" si="2">B38/A38</f>
        <v>2.8125444444444443</v>
      </c>
      <c r="I38" s="23" t="str">
        <f t="shared" ref="I38:I50" si="3">IF(AND(LEN(TRIM(A38&amp;""))&gt;0,TRIM(A38&amp;"")&lt;&gt;"—",ISNUMBER(A38),LEN(TRIM(B38&amp;""))&gt;0,TRIM(B38&amp;"")&lt;&gt;"—",ISNUMBER(B38)),"PASS","⚠ FAIL — "&amp;"a required cell is empty/placeholder or wrong type")</f>
        <v>PASS</v>
      </c>
    </row>
    <row r="39" spans="1:9" x14ac:dyDescent="0.2">
      <c r="A39" s="65">
        <f>$B$26*16^(1/12)*0.25</f>
        <v>113392.89449053859</v>
      </c>
      <c r="B39" s="50">
        <f t="shared" si="1"/>
        <v>294148</v>
      </c>
      <c r="C39" s="66">
        <f t="shared" si="2"/>
        <v>2.5940602479685664</v>
      </c>
      <c r="I39" s="23" t="str">
        <f t="shared" si="3"/>
        <v>PASS</v>
      </c>
    </row>
    <row r="40" spans="1:9" x14ac:dyDescent="0.2">
      <c r="A40" s="65">
        <f>$B$26*16^(2/12)*0.25</f>
        <v>142866.09467713794</v>
      </c>
      <c r="B40" s="50">
        <f t="shared" si="1"/>
        <v>341813</v>
      </c>
      <c r="C40" s="66">
        <f t="shared" si="2"/>
        <v>2.3925410768206463</v>
      </c>
      <c r="I40" s="23" t="str">
        <f t="shared" si="3"/>
        <v>PASS</v>
      </c>
    </row>
    <row r="41" spans="1:9" x14ac:dyDescent="0.2">
      <c r="A41" s="65">
        <f>$B$26*16^(3/12)*0.25</f>
        <v>180000</v>
      </c>
      <c r="B41" s="50">
        <f t="shared" si="1"/>
        <v>397203</v>
      </c>
      <c r="C41" s="66">
        <f t="shared" si="2"/>
        <v>2.2066833333333333</v>
      </c>
      <c r="I41" s="23" t="str">
        <f t="shared" si="3"/>
        <v>PASS</v>
      </c>
    </row>
    <row r="42" spans="1:9" x14ac:dyDescent="0.2">
      <c r="A42" s="65">
        <f>$B$26*16^(4/12)*0.25</f>
        <v>226785.78898107714</v>
      </c>
      <c r="B42" s="50">
        <f t="shared" si="1"/>
        <v>461568</v>
      </c>
      <c r="C42" s="66">
        <f t="shared" si="2"/>
        <v>2.0352598020968276</v>
      </c>
      <c r="I42" s="23" t="str">
        <f t="shared" si="3"/>
        <v>PASS</v>
      </c>
    </row>
    <row r="43" spans="1:9" x14ac:dyDescent="0.2">
      <c r="A43" s="65">
        <f>$B$26*16^(5/12)*0.25</f>
        <v>285732.18935427588</v>
      </c>
      <c r="B43" s="50">
        <f t="shared" si="1"/>
        <v>536363</v>
      </c>
      <c r="C43" s="66">
        <f t="shared" si="2"/>
        <v>1.8771528724576776</v>
      </c>
      <c r="I43" s="23" t="str">
        <f t="shared" si="3"/>
        <v>PASS</v>
      </c>
    </row>
    <row r="44" spans="1:9" x14ac:dyDescent="0.2">
      <c r="A44" s="65">
        <f>$B$26*16^(6/12)*0.25</f>
        <v>360000</v>
      </c>
      <c r="B44" s="50">
        <f t="shared" si="1"/>
        <v>623278</v>
      </c>
      <c r="C44" s="66">
        <f t="shared" si="2"/>
        <v>1.7313277777777778</v>
      </c>
      <c r="I44" s="23" t="str">
        <f t="shared" si="3"/>
        <v>PASS</v>
      </c>
    </row>
    <row r="45" spans="1:9" x14ac:dyDescent="0.2">
      <c r="A45" s="65">
        <f>$B$26*16^(7/12)*0.25</f>
        <v>453571.57796215441</v>
      </c>
      <c r="B45" s="50">
        <f t="shared" si="1"/>
        <v>724277</v>
      </c>
      <c r="C45" s="66">
        <f t="shared" si="2"/>
        <v>1.5968306551616269</v>
      </c>
      <c r="I45" s="23" t="str">
        <f t="shared" si="3"/>
        <v>PASS</v>
      </c>
    </row>
    <row r="46" spans="1:9" x14ac:dyDescent="0.2">
      <c r="A46" s="65">
        <f>$B$26*16^(8/12)*0.25</f>
        <v>571464.37870855175</v>
      </c>
      <c r="B46" s="50">
        <f t="shared" si="1"/>
        <v>841643</v>
      </c>
      <c r="C46" s="66">
        <f t="shared" si="2"/>
        <v>1.4727829613842651</v>
      </c>
      <c r="I46" s="23" t="str">
        <f t="shared" si="3"/>
        <v>PASS</v>
      </c>
    </row>
    <row r="47" spans="1:9" x14ac:dyDescent="0.2">
      <c r="A47" s="65">
        <f>$B$26*16^(9/12)*0.25</f>
        <v>719999.99999999988</v>
      </c>
      <c r="B47" s="50">
        <f t="shared" si="1"/>
        <v>978028</v>
      </c>
      <c r="C47" s="66">
        <f t="shared" si="2"/>
        <v>1.3583722222222225</v>
      </c>
      <c r="I47" s="23" t="str">
        <f t="shared" si="3"/>
        <v>PASS</v>
      </c>
    </row>
    <row r="48" spans="1:9" x14ac:dyDescent="0.2">
      <c r="A48" s="65">
        <f>$B$26*16^(10/12)*0.25</f>
        <v>907143.1559243087</v>
      </c>
      <c r="B48" s="50">
        <f t="shared" si="1"/>
        <v>1136513</v>
      </c>
      <c r="C48" s="66">
        <f t="shared" si="2"/>
        <v>1.2528485637330098</v>
      </c>
      <c r="I48" s="23" t="str">
        <f t="shared" si="3"/>
        <v>PASS</v>
      </c>
    </row>
    <row r="49" spans="1:9" x14ac:dyDescent="0.2">
      <c r="A49" s="65">
        <f>$B$26*16^(11/12)*0.25</f>
        <v>1142928.7574171033</v>
      </c>
      <c r="B49" s="50">
        <f t="shared" si="1"/>
        <v>1320680</v>
      </c>
      <c r="C49" s="66">
        <f t="shared" si="2"/>
        <v>1.1555225917883067</v>
      </c>
      <c r="I49" s="23" t="str">
        <f t="shared" si="3"/>
        <v>PASS</v>
      </c>
    </row>
    <row r="50" spans="1:9" x14ac:dyDescent="0.2">
      <c r="A50" s="65">
        <f>$B$26*16^(12/12)*0.25</f>
        <v>1440000</v>
      </c>
      <c r="B50" s="50">
        <f t="shared" si="1"/>
        <v>1534690</v>
      </c>
      <c r="C50" s="66">
        <f t="shared" si="2"/>
        <v>1.0657569444444444</v>
      </c>
      <c r="I50" s="23" t="str">
        <f t="shared" si="3"/>
        <v>PASS</v>
      </c>
    </row>
    <row r="68" spans="1:8" ht="24" customHeight="1" x14ac:dyDescent="0.2">
      <c r="A68" s="12" t="s">
        <v>635</v>
      </c>
      <c r="B68" s="12"/>
      <c r="C68" s="12"/>
      <c r="D68" s="12"/>
      <c r="E68" s="12"/>
      <c r="F68" s="12"/>
      <c r="G68" s="12"/>
      <c r="H68" s="12"/>
    </row>
    <row r="70" spans="1:8" ht="15" customHeight="1" x14ac:dyDescent="0.2">
      <c r="A70" s="130" t="s">
        <v>636</v>
      </c>
      <c r="B70" s="130"/>
      <c r="C70" s="130"/>
      <c r="D70" s="130"/>
      <c r="E70" s="130"/>
      <c r="F70" s="130"/>
      <c r="G70" s="130"/>
      <c r="H70" s="130"/>
    </row>
    <row r="71" spans="1:8" x14ac:dyDescent="0.2">
      <c r="A71" s="130"/>
      <c r="B71" s="130"/>
      <c r="C71" s="130"/>
      <c r="D71" s="130"/>
      <c r="E71" s="130"/>
      <c r="F71" s="130"/>
      <c r="G71" s="130"/>
      <c r="H71" s="130"/>
    </row>
    <row r="73" spans="1:8" ht="24" customHeight="1" x14ac:dyDescent="0.2">
      <c r="A73" s="12" t="s">
        <v>637</v>
      </c>
      <c r="B73" s="12"/>
      <c r="C73" s="12"/>
      <c r="D73" s="12"/>
      <c r="E73" s="12"/>
      <c r="F73" s="12"/>
      <c r="G73" s="12"/>
      <c r="H73" s="12"/>
    </row>
    <row r="75" spans="1:8" x14ac:dyDescent="0.2">
      <c r="A75" s="6" t="s">
        <v>638</v>
      </c>
      <c r="B75" s="6"/>
      <c r="C75" s="6"/>
      <c r="D75" s="6"/>
    </row>
    <row r="76" spans="1:8" ht="16" x14ac:dyDescent="0.2">
      <c r="A76" s="16" t="s">
        <v>639</v>
      </c>
      <c r="B76" s="16" t="s">
        <v>640</v>
      </c>
      <c r="C76" s="16" t="s">
        <v>15</v>
      </c>
      <c r="D76" s="16" t="s">
        <v>641</v>
      </c>
      <c r="E76" s="17" t="s">
        <v>20</v>
      </c>
    </row>
    <row r="77" spans="1:8" ht="26" x14ac:dyDescent="0.2">
      <c r="A77" s="24" t="s">
        <v>642</v>
      </c>
      <c r="B77" s="46">
        <f>'Inputs &amp; Assumptions'!$B$5*'Inputs &amp; Assumptions'!$B$6</f>
        <v>0</v>
      </c>
      <c r="C77" t="s">
        <v>206</v>
      </c>
      <c r="D77" s="14" t="s">
        <v>643</v>
      </c>
      <c r="E77" s="23" t="str">
        <f t="shared" ref="E77:E82" si="4">IF(AND(LEN(TRIM(A77&amp;""))&gt;0,TRIM(A77&amp;"")&lt;&gt;"—",LEN(TRIM(B77&amp;""))&gt;0,TRIM(B77&amp;"")&lt;&gt;"—",LEN(TRIM(D77&amp;""))&gt;0,TRIM(D77&amp;"")&lt;&gt;"—"),"PASS","⚠ FAIL — "&amp;"a required cell is empty/placeholder or wrong type")</f>
        <v>PASS</v>
      </c>
    </row>
    <row r="78" spans="1:8" ht="104" x14ac:dyDescent="0.2">
      <c r="A78" s="24" t="s">
        <v>644</v>
      </c>
      <c r="B78" s="46">
        <f>'Inputs &amp; Assumptions'!$B$5*'Inputs &amp; Assumptions'!$B$8*'Inputs &amp; Assumptions'!$B$7</f>
        <v>0</v>
      </c>
      <c r="C78" t="s">
        <v>206</v>
      </c>
      <c r="D78" s="14" t="s">
        <v>645</v>
      </c>
      <c r="E78" s="23" t="str">
        <f t="shared" si="4"/>
        <v>PASS</v>
      </c>
    </row>
    <row r="79" spans="1:8" ht="39" x14ac:dyDescent="0.2">
      <c r="A79" s="24" t="s">
        <v>646</v>
      </c>
      <c r="B79" s="46">
        <f>'Inputs &amp; Assumptions'!$B$10*'Inputs &amp; Assumptions'!$B$12*'Inputs &amp; Assumptions'!$B$11*'Inputs &amp; Assumptions'!$B$9</f>
        <v>41340</v>
      </c>
      <c r="C79" t="s">
        <v>206</v>
      </c>
      <c r="D79" s="14" t="s">
        <v>647</v>
      </c>
      <c r="E79" s="23" t="str">
        <f t="shared" si="4"/>
        <v>PASS</v>
      </c>
    </row>
    <row r="80" spans="1:8" x14ac:dyDescent="0.2">
      <c r="A80" s="24" t="s">
        <v>205</v>
      </c>
      <c r="B80" s="46">
        <f>'Inputs &amp; Assumptions'!$B$15</f>
        <v>25000</v>
      </c>
      <c r="C80" t="s">
        <v>206</v>
      </c>
      <c r="D80" s="14" t="s">
        <v>648</v>
      </c>
      <c r="E80" s="23" t="str">
        <f t="shared" si="4"/>
        <v>PASS</v>
      </c>
    </row>
    <row r="81" spans="1:5" x14ac:dyDescent="0.2">
      <c r="A81" s="24" t="s">
        <v>209</v>
      </c>
      <c r="B81" s="46">
        <f>'Inputs &amp; Assumptions'!$B$18*'Inputs &amp; Assumptions'!$B$16/100</f>
        <v>40818.39</v>
      </c>
      <c r="C81" t="s">
        <v>206</v>
      </c>
      <c r="D81" s="14" t="s">
        <v>649</v>
      </c>
      <c r="E81" s="23" t="str">
        <f t="shared" si="4"/>
        <v>PASS</v>
      </c>
    </row>
    <row r="82" spans="1:5" x14ac:dyDescent="0.2">
      <c r="A82" s="24" t="s">
        <v>214</v>
      </c>
      <c r="B82" s="46">
        <f>'Inputs &amp; Assumptions'!$B$17</f>
        <v>27212</v>
      </c>
      <c r="C82" t="s">
        <v>206</v>
      </c>
      <c r="D82" s="14" t="s">
        <v>648</v>
      </c>
      <c r="E82" s="23" t="str">
        <f t="shared" si="4"/>
        <v>PASS</v>
      </c>
    </row>
    <row r="83" spans="1:5" ht="39" x14ac:dyDescent="0.2">
      <c r="A83" s="24" t="s">
        <v>650</v>
      </c>
      <c r="B83" s="67">
        <f>B78+B79+B80+B81+B82</f>
        <v>134370.39000000001</v>
      </c>
      <c r="C83" t="s">
        <v>206</v>
      </c>
      <c r="D83" s="14" t="s">
        <v>651</v>
      </c>
    </row>
    <row r="84" spans="1:5" x14ac:dyDescent="0.2">
      <c r="A84" s="24" t="s">
        <v>652</v>
      </c>
      <c r="B84" s="67">
        <f>B77-B83</f>
        <v>-134370.39000000001</v>
      </c>
      <c r="C84" t="s">
        <v>206</v>
      </c>
      <c r="D84" s="14" t="s">
        <v>653</v>
      </c>
      <c r="E84" s="23" t="str">
        <f>IF(AND(LEN(TRIM(A84&amp;""))&gt;0,TRIM(A84&amp;"")&lt;&gt;"—",LEN(TRIM(B84&amp;""))&gt;0,TRIM(B84&amp;"")&lt;&gt;"—",LEN(TRIM(D84&amp;""))&gt;0,TRIM(D84&amp;"")&lt;&gt;"—"),"PASS","⚠ FAIL — "&amp;"a required cell is empty/placeholder or wrong type")</f>
        <v>PASS</v>
      </c>
    </row>
    <row r="86" spans="1:5" x14ac:dyDescent="0.2">
      <c r="A86" s="6" t="s">
        <v>654</v>
      </c>
      <c r="B86" s="6"/>
      <c r="C86" s="6"/>
      <c r="D86" s="6"/>
    </row>
    <row r="87" spans="1:5" x14ac:dyDescent="0.2">
      <c r="A87" s="24" t="s">
        <v>655</v>
      </c>
      <c r="B87" s="68" t="str">
        <f>IF(B77&lt;&gt;0,B84/B77,"n/a — no revenue basis")</f>
        <v>n/a — no revenue basis</v>
      </c>
      <c r="D87" s="17" t="s">
        <v>656</v>
      </c>
    </row>
    <row r="88" spans="1:5" x14ac:dyDescent="0.2">
      <c r="A88" s="24" t="s">
        <v>657</v>
      </c>
      <c r="B88" s="69" t="str">
        <f>IF(B84&gt;0,'Inputs &amp; Assumptions'!$B$18/B84,"n/a (EBITDA≤0)")</f>
        <v>n/a (EBITDA≤0)</v>
      </c>
      <c r="C88" t="s">
        <v>228</v>
      </c>
      <c r="D88" s="17" t="s">
        <v>658</v>
      </c>
    </row>
    <row r="90" spans="1:5" x14ac:dyDescent="0.2">
      <c r="A90" s="6" t="s">
        <v>659</v>
      </c>
      <c r="B90" s="6"/>
      <c r="C90" s="6"/>
      <c r="D90" s="6"/>
    </row>
    <row r="91" spans="1:5" ht="16" x14ac:dyDescent="0.2">
      <c r="A91" s="16" t="s">
        <v>660</v>
      </c>
      <c r="B91" s="16" t="s">
        <v>661</v>
      </c>
      <c r="C91" s="16" t="s">
        <v>662</v>
      </c>
      <c r="D91" s="16" t="s">
        <v>19</v>
      </c>
      <c r="E91" s="17" t="s">
        <v>20</v>
      </c>
    </row>
    <row r="92" spans="1:5" x14ac:dyDescent="0.2">
      <c r="A92" s="18">
        <v>0</v>
      </c>
      <c r="B92" s="48">
        <f>-'Inputs &amp; Assumptions'!$B$18</f>
        <v>-1360613</v>
      </c>
      <c r="C92" s="48">
        <f>B92/((1+'Inputs &amp; Assumptions'!$B$20/100)^A92)</f>
        <v>-1360613</v>
      </c>
      <c r="D92" s="17" t="s">
        <v>663</v>
      </c>
      <c r="E92" s="23" t="str">
        <f t="shared" ref="E92:E112" si="5">IF(AND(LEN(TRIM(A92&amp;""))&gt;0,TRIM(A92&amp;"")&lt;&gt;"—",LEN(TRIM(B92&amp;""))&gt;0,TRIM(B92&amp;"")&lt;&gt;"—",LEN(TRIM(C92&amp;""))&gt;0,TRIM(C92&amp;"")&lt;&gt;"—"),"PASS","⚠ FAIL — "&amp;"a required cell is empty/placeholder or wrong type")</f>
        <v>PASS</v>
      </c>
    </row>
    <row r="93" spans="1:5" x14ac:dyDescent="0.2">
      <c r="A93" s="18">
        <v>1</v>
      </c>
      <c r="B93" s="48">
        <f>IF(1&lt;='Inputs &amp; Assumptions'!$B$22,B84,0)</f>
        <v>-134370.39000000001</v>
      </c>
      <c r="C93" s="48">
        <f>B93/((1+'Inputs &amp; Assumptions'!$B$20/100)^A93)</f>
        <v>-122154.90000000001</v>
      </c>
      <c r="D93" s="17" t="s">
        <v>664</v>
      </c>
      <c r="E93" s="23" t="str">
        <f t="shared" si="5"/>
        <v>PASS</v>
      </c>
    </row>
    <row r="94" spans="1:5" x14ac:dyDescent="0.2">
      <c r="A94" s="18">
        <v>2</v>
      </c>
      <c r="B94" s="48">
        <f>IF(2&lt;='Inputs &amp; Assumptions'!$B$22,B84,0)</f>
        <v>-134370.39000000001</v>
      </c>
      <c r="C94" s="48">
        <f>B94/((1+'Inputs &amp; Assumptions'!$B$20/100)^A94)</f>
        <v>-111049.90909090909</v>
      </c>
      <c r="D94" s="17" t="s">
        <v>664</v>
      </c>
      <c r="E94" s="23" t="str">
        <f t="shared" si="5"/>
        <v>PASS</v>
      </c>
    </row>
    <row r="95" spans="1:5" x14ac:dyDescent="0.2">
      <c r="A95" s="18">
        <v>3</v>
      </c>
      <c r="B95" s="48">
        <f>IF(3&lt;='Inputs &amp; Assumptions'!$B$22,B84,0)</f>
        <v>-134370.39000000001</v>
      </c>
      <c r="C95" s="48">
        <f>B95/((1+'Inputs &amp; Assumptions'!$B$20/100)^A95)</f>
        <v>-100954.46280991734</v>
      </c>
      <c r="D95" s="17" t="s">
        <v>664</v>
      </c>
      <c r="E95" s="23" t="str">
        <f t="shared" si="5"/>
        <v>PASS</v>
      </c>
    </row>
    <row r="96" spans="1:5" x14ac:dyDescent="0.2">
      <c r="A96" s="18">
        <v>4</v>
      </c>
      <c r="B96" s="48">
        <f>IF(4&lt;='Inputs &amp; Assumptions'!$B$22,B84,0)</f>
        <v>-134370.39000000001</v>
      </c>
      <c r="C96" s="48">
        <f>B96/((1+'Inputs &amp; Assumptions'!$B$20/100)^A96)</f>
        <v>-91776.784372652124</v>
      </c>
      <c r="D96" s="17" t="s">
        <v>664</v>
      </c>
      <c r="E96" s="23" t="str">
        <f t="shared" si="5"/>
        <v>PASS</v>
      </c>
    </row>
    <row r="97" spans="1:5" x14ac:dyDescent="0.2">
      <c r="A97" s="18">
        <v>5</v>
      </c>
      <c r="B97" s="48">
        <f>IF(5&lt;='Inputs &amp; Assumptions'!$B$22,B84,0)</f>
        <v>-134370.39000000001</v>
      </c>
      <c r="C97" s="48">
        <f>B97/((1+'Inputs &amp; Assumptions'!$B$20/100)^A97)</f>
        <v>-83433.440338774657</v>
      </c>
      <c r="D97" s="17" t="s">
        <v>664</v>
      </c>
      <c r="E97" s="23" t="str">
        <f t="shared" si="5"/>
        <v>PASS</v>
      </c>
    </row>
    <row r="98" spans="1:5" x14ac:dyDescent="0.2">
      <c r="A98" s="18">
        <v>6</v>
      </c>
      <c r="B98" s="48">
        <f>IF(6&lt;='Inputs &amp; Assumptions'!$B$22,B84,0)</f>
        <v>-134370.39000000001</v>
      </c>
      <c r="C98" s="48">
        <f>B98/((1+'Inputs &amp; Assumptions'!$B$20/100)^A98)</f>
        <v>-75848.58212615877</v>
      </c>
      <c r="D98" s="17" t="s">
        <v>664</v>
      </c>
      <c r="E98" s="23" t="str">
        <f t="shared" si="5"/>
        <v>PASS</v>
      </c>
    </row>
    <row r="99" spans="1:5" x14ac:dyDescent="0.2">
      <c r="A99" s="18">
        <v>7</v>
      </c>
      <c r="B99" s="48">
        <f>IF(7&lt;='Inputs &amp; Assumptions'!$B$22,B84,0)</f>
        <v>-134370.39000000001</v>
      </c>
      <c r="C99" s="48">
        <f>B99/((1+'Inputs &amp; Assumptions'!$B$20/100)^A99)</f>
        <v>-68953.256478326148</v>
      </c>
      <c r="D99" s="17" t="s">
        <v>664</v>
      </c>
      <c r="E99" s="23" t="str">
        <f t="shared" si="5"/>
        <v>PASS</v>
      </c>
    </row>
    <row r="100" spans="1:5" x14ac:dyDescent="0.2">
      <c r="A100" s="18">
        <v>8</v>
      </c>
      <c r="B100" s="48">
        <f>IF(8&lt;='Inputs &amp; Assumptions'!$B$22,B84,0)</f>
        <v>-134370.39000000001</v>
      </c>
      <c r="C100" s="48">
        <f>B100/((1+'Inputs &amp; Assumptions'!$B$20/100)^A100)</f>
        <v>-62684.778616660136</v>
      </c>
      <c r="D100" s="17" t="s">
        <v>664</v>
      </c>
      <c r="E100" s="23" t="str">
        <f t="shared" si="5"/>
        <v>PASS</v>
      </c>
    </row>
    <row r="101" spans="1:5" x14ac:dyDescent="0.2">
      <c r="A101" s="18">
        <v>9</v>
      </c>
      <c r="B101" s="48">
        <f>IF(9&lt;='Inputs &amp; Assumptions'!$B$22,B84,0)</f>
        <v>-134370.39000000001</v>
      </c>
      <c r="C101" s="48">
        <f>B101/((1+'Inputs &amp; Assumptions'!$B$20/100)^A101)</f>
        <v>-56986.162378781934</v>
      </c>
      <c r="D101" s="17" t="s">
        <v>664</v>
      </c>
      <c r="E101" s="23" t="str">
        <f t="shared" si="5"/>
        <v>PASS</v>
      </c>
    </row>
    <row r="102" spans="1:5" x14ac:dyDescent="0.2">
      <c r="A102" s="18">
        <v>10</v>
      </c>
      <c r="B102" s="48">
        <f>IF(10&lt;='Inputs &amp; Assumptions'!$B$22,B84,0)</f>
        <v>-134370.39000000001</v>
      </c>
      <c r="C102" s="48">
        <f>B102/((1+'Inputs &amp; Assumptions'!$B$20/100)^A102)</f>
        <v>-51805.602162529023</v>
      </c>
      <c r="D102" s="17" t="s">
        <v>664</v>
      </c>
      <c r="E102" s="23" t="str">
        <f t="shared" si="5"/>
        <v>PASS</v>
      </c>
    </row>
    <row r="103" spans="1:5" x14ac:dyDescent="0.2">
      <c r="A103" s="18">
        <v>11</v>
      </c>
      <c r="B103" s="48">
        <f>IF(11&lt;='Inputs &amp; Assumptions'!$B$22,B84,0)</f>
        <v>-134370.39000000001</v>
      </c>
      <c r="C103" s="48">
        <f>B103/((1+'Inputs &amp; Assumptions'!$B$20/100)^A103)</f>
        <v>-47096.001965935473</v>
      </c>
      <c r="D103" s="17" t="s">
        <v>664</v>
      </c>
      <c r="E103" s="23" t="str">
        <f t="shared" si="5"/>
        <v>PASS</v>
      </c>
    </row>
    <row r="104" spans="1:5" x14ac:dyDescent="0.2">
      <c r="A104" s="18">
        <v>12</v>
      </c>
      <c r="B104" s="48">
        <f>IF(12&lt;='Inputs &amp; Assumptions'!$B$22,B84,0)</f>
        <v>-134370.39000000001</v>
      </c>
      <c r="C104" s="48">
        <f>B104/((1+'Inputs &amp; Assumptions'!$B$20/100)^A104)</f>
        <v>-42814.547241759523</v>
      </c>
      <c r="D104" s="17" t="s">
        <v>664</v>
      </c>
      <c r="E104" s="23" t="str">
        <f t="shared" si="5"/>
        <v>PASS</v>
      </c>
    </row>
    <row r="105" spans="1:5" x14ac:dyDescent="0.2">
      <c r="A105" s="18">
        <v>13</v>
      </c>
      <c r="B105" s="48">
        <f>IF(13&lt;='Inputs &amp; Assumptions'!$B$22,B84,0)</f>
        <v>-134370.39000000001</v>
      </c>
      <c r="C105" s="48">
        <f>B105/((1+'Inputs &amp; Assumptions'!$B$20/100)^A105)</f>
        <v>-38922.315674326834</v>
      </c>
      <c r="D105" s="17" t="s">
        <v>664</v>
      </c>
      <c r="E105" s="23" t="str">
        <f t="shared" si="5"/>
        <v>PASS</v>
      </c>
    </row>
    <row r="106" spans="1:5" x14ac:dyDescent="0.2">
      <c r="A106" s="18">
        <v>14</v>
      </c>
      <c r="B106" s="48">
        <f>IF(14&lt;='Inputs &amp; Assumptions'!$B$22,B84,0)</f>
        <v>-134370.39000000001</v>
      </c>
      <c r="C106" s="48">
        <f>B106/((1+'Inputs &amp; Assumptions'!$B$20/100)^A106)</f>
        <v>-35383.923340297115</v>
      </c>
      <c r="D106" s="17" t="s">
        <v>664</v>
      </c>
      <c r="E106" s="23" t="str">
        <f t="shared" si="5"/>
        <v>PASS</v>
      </c>
    </row>
    <row r="107" spans="1:5" x14ac:dyDescent="0.2">
      <c r="A107" s="18">
        <v>15</v>
      </c>
      <c r="B107" s="48">
        <f>IF(15&lt;='Inputs &amp; Assumptions'!$B$22,B84,0)</f>
        <v>-134370.39000000001</v>
      </c>
      <c r="C107" s="48">
        <f>B107/((1+'Inputs &amp; Assumptions'!$B$20/100)^A107)</f>
        <v>-32167.203036633742</v>
      </c>
      <c r="D107" s="17" t="s">
        <v>664</v>
      </c>
      <c r="E107" s="23" t="str">
        <f t="shared" si="5"/>
        <v>PASS</v>
      </c>
    </row>
    <row r="108" spans="1:5" x14ac:dyDescent="0.2">
      <c r="A108" s="18">
        <v>16</v>
      </c>
      <c r="B108" s="48">
        <f>IF(16&lt;='Inputs &amp; Assumptions'!$B$22,B84,0)</f>
        <v>-134370.39000000001</v>
      </c>
      <c r="C108" s="48">
        <f>B108/((1+'Inputs &amp; Assumptions'!$B$20/100)^A108)</f>
        <v>-29242.91185148522</v>
      </c>
      <c r="D108" s="17" t="s">
        <v>664</v>
      </c>
      <c r="E108" s="23" t="str">
        <f t="shared" si="5"/>
        <v>PASS</v>
      </c>
    </row>
    <row r="109" spans="1:5" x14ac:dyDescent="0.2">
      <c r="A109" s="18">
        <v>17</v>
      </c>
      <c r="B109" s="48">
        <f>IF(17&lt;='Inputs &amp; Assumptions'!$B$22,B84,0)</f>
        <v>-134370.39000000001</v>
      </c>
      <c r="C109" s="48">
        <f>B109/((1+'Inputs &amp; Assumptions'!$B$20/100)^A109)</f>
        <v>-26584.465319532017</v>
      </c>
      <c r="D109" s="17" t="s">
        <v>664</v>
      </c>
      <c r="E109" s="23" t="str">
        <f t="shared" si="5"/>
        <v>PASS</v>
      </c>
    </row>
    <row r="110" spans="1:5" x14ac:dyDescent="0.2">
      <c r="A110" s="18">
        <v>18</v>
      </c>
      <c r="B110" s="48">
        <f>IF(18&lt;='Inputs &amp; Assumptions'!$B$22,B84,0)</f>
        <v>-134370.39000000001</v>
      </c>
      <c r="C110" s="48">
        <f>B110/((1+'Inputs &amp; Assumptions'!$B$20/100)^A110)</f>
        <v>-24167.695745029105</v>
      </c>
      <c r="D110" s="17" t="s">
        <v>664</v>
      </c>
      <c r="E110" s="23" t="str">
        <f t="shared" si="5"/>
        <v>PASS</v>
      </c>
    </row>
    <row r="111" spans="1:5" x14ac:dyDescent="0.2">
      <c r="A111" s="18">
        <v>19</v>
      </c>
      <c r="B111" s="48">
        <f>IF(19&lt;='Inputs &amp; Assumptions'!$B$22,B84,0)</f>
        <v>-134370.39000000001</v>
      </c>
      <c r="C111" s="48">
        <f>B111/((1+'Inputs &amp; Assumptions'!$B$20/100)^A111)</f>
        <v>-21970.632495481001</v>
      </c>
      <c r="D111" s="17" t="s">
        <v>664</v>
      </c>
      <c r="E111" s="23" t="str">
        <f t="shared" si="5"/>
        <v>PASS</v>
      </c>
    </row>
    <row r="112" spans="1:5" x14ac:dyDescent="0.2">
      <c r="A112" s="18">
        <v>20</v>
      </c>
      <c r="B112" s="48">
        <f>IF(20&lt;='Inputs &amp; Assumptions'!$B$22,B84,0)</f>
        <v>-134370.39000000001</v>
      </c>
      <c r="C112" s="48">
        <f>B112/((1+'Inputs &amp; Assumptions'!$B$20/100)^A112)</f>
        <v>-19973.302268619093</v>
      </c>
      <c r="D112" s="17" t="s">
        <v>664</v>
      </c>
      <c r="E112" s="23" t="str">
        <f t="shared" si="5"/>
        <v>PASS</v>
      </c>
    </row>
    <row r="113" spans="1:8" x14ac:dyDescent="0.2">
      <c r="A113" s="24" t="s">
        <v>665</v>
      </c>
      <c r="C113" s="46">
        <f>SUM(C92:C112)</f>
        <v>-2504583.8773138085</v>
      </c>
      <c r="D113" s="17" t="s">
        <v>666</v>
      </c>
      <c r="E113" s="23" t="str">
        <f>IF(AND(LEN(TRIM(A113&amp;""))&gt;0,TRIM(A113&amp;"")&lt;&gt;"—",LEN(TRIM(C113&amp;""))&gt;0,TRIM(C113&amp;"")&lt;&gt;"—"),"PASS","⚠ FAIL — "&amp;"a required cell is empty/placeholder or wrong type")</f>
        <v>PASS</v>
      </c>
    </row>
    <row r="114" spans="1:8" x14ac:dyDescent="0.2">
      <c r="A114" s="24" t="s">
        <v>667</v>
      </c>
      <c r="C114" s="68" t="str">
        <f>IFERROR(IRR(B92:B112),"n/a — no revenue basis")</f>
        <v>n/a — no revenue basis</v>
      </c>
      <c r="D114" s="17" t="s">
        <v>668</v>
      </c>
      <c r="E114" s="23" t="str">
        <f>IF(AND(LEN(TRIM(A114&amp;""))&gt;0,TRIM(A114&amp;"")&lt;&gt;"—",LEN(TRIM(C114&amp;""))&gt;0,TRIM(C114&amp;"")&lt;&gt;"—"),"PASS","⚠ FAIL — "&amp;"a required cell is empty/placeholder or wrong type")</f>
        <v>PASS</v>
      </c>
    </row>
    <row r="116" spans="1:8" x14ac:dyDescent="0.2">
      <c r="A116" s="6" t="s">
        <v>669</v>
      </c>
      <c r="B116" s="6"/>
      <c r="C116" s="6"/>
      <c r="D116" s="6"/>
    </row>
    <row r="117" spans="1:8" ht="16" x14ac:dyDescent="0.2">
      <c r="A117" s="16" t="s">
        <v>670</v>
      </c>
      <c r="B117" s="16" t="s">
        <v>640</v>
      </c>
      <c r="C117" s="16" t="s">
        <v>671</v>
      </c>
      <c r="D117" s="16"/>
      <c r="E117" s="17" t="s">
        <v>20</v>
      </c>
    </row>
    <row r="118" spans="1:8" x14ac:dyDescent="0.2">
      <c r="A118" s="18" t="s">
        <v>672</v>
      </c>
      <c r="B118" s="48">
        <f>B78</f>
        <v>0</v>
      </c>
      <c r="C118" s="70">
        <f>B118/B83</f>
        <v>0</v>
      </c>
      <c r="E118" s="23" t="str">
        <f>IF(AND(LEN(TRIM(A118&amp;""))&gt;0,TRIM(A118&amp;"")&lt;&gt;"—",LEN(TRIM(B118&amp;""))&gt;0,TRIM(B118&amp;"")&lt;&gt;"—"),"PASS","⚠ FAIL — "&amp;"a required cell is empty/placeholder or wrong type")</f>
        <v>PASS</v>
      </c>
    </row>
    <row r="119" spans="1:8" x14ac:dyDescent="0.2">
      <c r="A119" s="18" t="s">
        <v>673</v>
      </c>
      <c r="B119" s="48">
        <f>B79</f>
        <v>41340</v>
      </c>
      <c r="C119" s="70">
        <f>B119/B83</f>
        <v>0.30765706641172952</v>
      </c>
      <c r="E119" s="23" t="str">
        <f>IF(AND(LEN(TRIM(A119&amp;""))&gt;0,TRIM(A119&amp;"")&lt;&gt;"—",LEN(TRIM(B119&amp;""))&gt;0,TRIM(B119&amp;"")&lt;&gt;"—"),"PASS","⚠ FAIL — "&amp;"a required cell is empty/placeholder or wrong type")</f>
        <v>PASS</v>
      </c>
    </row>
    <row r="120" spans="1:8" x14ac:dyDescent="0.2">
      <c r="A120" s="18" t="s">
        <v>205</v>
      </c>
      <c r="B120" s="48">
        <f>B80</f>
        <v>25000</v>
      </c>
      <c r="C120" s="70">
        <f>B120/B83</f>
        <v>0.18605289454023313</v>
      </c>
      <c r="E120" s="23" t="str">
        <f>IF(AND(LEN(TRIM(A120&amp;""))&gt;0,TRIM(A120&amp;"")&lt;&gt;"—",LEN(TRIM(B120&amp;""))&gt;0,TRIM(B120&amp;"")&lt;&gt;"—"),"PASS","⚠ FAIL — "&amp;"a required cell is empty/placeholder or wrong type")</f>
        <v>PASS</v>
      </c>
    </row>
    <row r="121" spans="1:8" x14ac:dyDescent="0.2">
      <c r="A121" s="18" t="s">
        <v>209</v>
      </c>
      <c r="B121" s="48">
        <f>B81</f>
        <v>40818.39</v>
      </c>
      <c r="C121" s="70">
        <f>B121/B83</f>
        <v>0.30377518439888429</v>
      </c>
      <c r="E121" s="23" t="str">
        <f>IF(AND(LEN(TRIM(A121&amp;""))&gt;0,TRIM(A121&amp;"")&lt;&gt;"—",LEN(TRIM(B121&amp;""))&gt;0,TRIM(B121&amp;"")&lt;&gt;"—"),"PASS","⚠ FAIL — "&amp;"a required cell is empty/placeholder or wrong type")</f>
        <v>PASS</v>
      </c>
    </row>
    <row r="122" spans="1:8" x14ac:dyDescent="0.2">
      <c r="A122" s="18" t="s">
        <v>674</v>
      </c>
      <c r="B122" s="48">
        <f>B82</f>
        <v>27212</v>
      </c>
      <c r="C122" s="70">
        <f>B122/B83</f>
        <v>0.20251485464915298</v>
      </c>
      <c r="E122" s="23" t="str">
        <f>IF(AND(LEN(TRIM(A122&amp;""))&gt;0,TRIM(A122&amp;"")&lt;&gt;"—",LEN(TRIM(B122&amp;""))&gt;0,TRIM(B122&amp;"")&lt;&gt;"—"),"PASS","⚠ FAIL — "&amp;"a required cell is empty/placeholder or wrong type")</f>
        <v>PASS</v>
      </c>
    </row>
    <row r="124" spans="1:8" x14ac:dyDescent="0.2">
      <c r="A124" s="17" t="s">
        <v>675</v>
      </c>
      <c r="B124" s="50">
        <f>B77</f>
        <v>0</v>
      </c>
    </row>
    <row r="125" spans="1:8" x14ac:dyDescent="0.2">
      <c r="A125" s="17" t="s">
        <v>650</v>
      </c>
      <c r="B125" s="50">
        <f>B83</f>
        <v>134370.39000000001</v>
      </c>
    </row>
    <row r="126" spans="1:8" x14ac:dyDescent="0.2">
      <c r="A126" s="17" t="s">
        <v>652</v>
      </c>
      <c r="B126" s="50">
        <f>B84</f>
        <v>-134370.39000000001</v>
      </c>
    </row>
    <row r="128" spans="1:8" ht="24" customHeight="1" x14ac:dyDescent="0.2">
      <c r="A128" s="12" t="s">
        <v>676</v>
      </c>
      <c r="B128" s="12"/>
      <c r="C128" s="12"/>
      <c r="D128" s="12"/>
      <c r="E128" s="12"/>
      <c r="F128" s="12"/>
      <c r="G128" s="12"/>
      <c r="H128" s="12"/>
    </row>
    <row r="130" spans="1:9" x14ac:dyDescent="0.2">
      <c r="A130" s="6" t="s">
        <v>677</v>
      </c>
      <c r="B130" s="6"/>
      <c r="C130" s="6"/>
      <c r="D130" s="6"/>
      <c r="E130" s="6"/>
      <c r="F130" s="6"/>
      <c r="G130" s="6"/>
      <c r="H130" s="6"/>
    </row>
    <row r="131" spans="1:9" ht="16" x14ac:dyDescent="0.2">
      <c r="A131" s="16" t="s">
        <v>678</v>
      </c>
      <c r="B131" s="16" t="s">
        <v>679</v>
      </c>
      <c r="C131" s="16" t="s">
        <v>680</v>
      </c>
      <c r="D131" s="16" t="s">
        <v>681</v>
      </c>
      <c r="E131" s="16" t="s">
        <v>682</v>
      </c>
      <c r="F131" s="16" t="s">
        <v>683</v>
      </c>
      <c r="G131" s="16" t="s">
        <v>684</v>
      </c>
      <c r="H131" s="16" t="s">
        <v>685</v>
      </c>
      <c r="I131" s="17" t="s">
        <v>20</v>
      </c>
    </row>
    <row r="132" spans="1:9" x14ac:dyDescent="0.2">
      <c r="A132" s="71">
        <v>9</v>
      </c>
      <c r="B132" s="48">
        <f>'Inputs &amp; Assumptions'!$B$18*(A132/'Inputs &amp; Assumptions'!$B$5)^'Inputs &amp; Assumptions'!$B$19</f>
        <v>272122.60000000003</v>
      </c>
      <c r="C132" s="48">
        <f>A132*'Inputs &amp; Assumptions'!$B$6</f>
        <v>0</v>
      </c>
      <c r="D132" s="48">
        <f>A132*'Inputs &amp; Assumptions'!$B$8*'Inputs &amp; Assumptions'!$B$7+'Inputs &amp; Assumptions'!$B$10*(A132/'Inputs &amp; Assumptions'!$B$5)*'Inputs &amp; Assumptions'!$B$12*'Inputs &amp; Assumptions'!$B$11*'Inputs &amp; Assumptions'!$B$9+'Inputs &amp; Assumptions'!$B$15+B132*'Inputs &amp; Assumptions'!$B$16/100+'Inputs &amp; Assumptions'!$B$17</f>
        <v>68643.678</v>
      </c>
      <c r="E132" s="48">
        <f t="shared" ref="E132:E147" si="6">C132-D132</f>
        <v>-68643.678</v>
      </c>
      <c r="F132" s="35" t="str">
        <f t="shared" ref="F132:F147" si="7">IF(E132&gt;0,B132/E132,"n/a")</f>
        <v>n/a</v>
      </c>
      <c r="G132" s="48">
        <f>-B132+E132*(1-(1+('Inputs &amp; Assumptions'!$B$20/100))^-'Inputs &amp; Assumptions'!$B$22)/('Inputs &amp; Assumptions'!$B$20/100)</f>
        <v>-856524.92661158927</v>
      </c>
      <c r="H132" s="70" t="str">
        <f>IF(E132&gt;0,IFERROR(MAX(-0.99,RATE('Inputs &amp; Assumptions'!$B$22,E132,-B132,0,0,E132/B132)),-1),"n/a")</f>
        <v>n/a</v>
      </c>
      <c r="I132" s="23" t="str">
        <f t="shared" ref="I132:I147" si="8">IF(AND(LEN(TRIM(A132&amp;""))&gt;0,TRIM(A132&amp;"")&lt;&gt;"—",LEN(TRIM(B132&amp;""))&gt;0,TRIM(B132&amp;"")&lt;&gt;"—",LEN(TRIM(C132&amp;""))&gt;0,TRIM(C132&amp;"")&lt;&gt;"—",LEN(TRIM(D132&amp;""))&gt;0,TRIM(D132&amp;"")&lt;&gt;"—",LEN(TRIM(E132&amp;""))&gt;0,TRIM(E132&amp;"")&lt;&gt;"—",LEN(TRIM(F132&amp;""))&gt;0,TRIM(F132&amp;"")&lt;&gt;"—",LEN(TRIM(G132&amp;""))&gt;0,TRIM(G132&amp;"")&lt;&gt;"—",LEN(TRIM(H132&amp;""))&gt;0,TRIM(H132&amp;"")&lt;&gt;"—"),"PASS","⚠ FAIL — "&amp;"a required cell is empty/placeholder or wrong type")</f>
        <v>PASS</v>
      </c>
    </row>
    <row r="133" spans="1:9" x14ac:dyDescent="0.2">
      <c r="A133" s="71">
        <v>11.154199999999999</v>
      </c>
      <c r="B133" s="48">
        <f>'Inputs &amp; Assumptions'!$B$18*(A133/'Inputs &amp; Assumptions'!$B$5)^'Inputs &amp; Assumptions'!$B$19</f>
        <v>337256.65610222222</v>
      </c>
      <c r="C133" s="48">
        <f>A133*'Inputs &amp; Assumptions'!$B$6</f>
        <v>0</v>
      </c>
      <c r="D133" s="48">
        <f>A133*'Inputs &amp; Assumptions'!$B$8*'Inputs &amp; Assumptions'!$B$7+'Inputs &amp; Assumptions'!$B$10*(A133/'Inputs &amp; Assumptions'!$B$5)*'Inputs &amp; Assumptions'!$B$12*'Inputs &amp; Assumptions'!$B$11*'Inputs &amp; Assumptions'!$B$9+'Inputs &amp; Assumptions'!$B$15+B133*'Inputs &amp; Assumptions'!$B$16/100+'Inputs &amp; Assumptions'!$B$17</f>
        <v>72576.691416400005</v>
      </c>
      <c r="E133" s="48">
        <f t="shared" si="6"/>
        <v>-72576.691416400005</v>
      </c>
      <c r="F133" s="35" t="str">
        <f t="shared" si="7"/>
        <v>n/a</v>
      </c>
      <c r="G133" s="48">
        <f>-B133+E133*(1-(1+('Inputs &amp; Assumptions'!$B$20/100))^-'Inputs &amp; Assumptions'!$B$22)/('Inputs &amp; Assumptions'!$B$20/100)</f>
        <v>-955142.94304499822</v>
      </c>
      <c r="H133" s="70" t="str">
        <f>IF(E133&gt;0,IFERROR(MAX(-0.99,RATE('Inputs &amp; Assumptions'!$B$22,E133,-B133,0,0,E133/B133)),-1),"n/a")</f>
        <v>n/a</v>
      </c>
      <c r="I133" s="23" t="str">
        <f t="shared" si="8"/>
        <v>PASS</v>
      </c>
    </row>
    <row r="134" spans="1:9" x14ac:dyDescent="0.2">
      <c r="A134" s="71">
        <v>13.824</v>
      </c>
      <c r="B134" s="48">
        <f>'Inputs &amp; Assumptions'!$B$18*(A134/'Inputs &amp; Assumptions'!$B$5)^'Inputs &amp; Assumptions'!$B$19</f>
        <v>417980.31359999994</v>
      </c>
      <c r="C134" s="48">
        <f>A134*'Inputs &amp; Assumptions'!$B$6</f>
        <v>0</v>
      </c>
      <c r="D134" s="48">
        <f>A134*'Inputs &amp; Assumptions'!$B$8*'Inputs &amp; Assumptions'!$B$7+'Inputs &amp; Assumptions'!$B$10*(A134/'Inputs &amp; Assumptions'!$B$5)*'Inputs &amp; Assumptions'!$B$12*'Inputs &amp; Assumptions'!$B$11*'Inputs &amp; Assumptions'!$B$9+'Inputs &amp; Assumptions'!$B$15+B134*'Inputs &amp; Assumptions'!$B$16/100+'Inputs &amp; Assumptions'!$B$17</f>
        <v>77451.057407999993</v>
      </c>
      <c r="E134" s="48">
        <f t="shared" si="6"/>
        <v>-77451.057407999993</v>
      </c>
      <c r="F134" s="35" t="str">
        <f t="shared" si="7"/>
        <v>n/a</v>
      </c>
      <c r="G134" s="48">
        <f>-B134+E134*(1-(1+('Inputs &amp; Assumptions'!$B$20/100))^-'Inputs &amp; Assumptions'!$B$22)/('Inputs &amp; Assumptions'!$B$20/100)</f>
        <v>-1077364.8260056865</v>
      </c>
      <c r="H134" s="70" t="str">
        <f>IF(E134&gt;0,IFERROR(MAX(-0.99,RATE('Inputs &amp; Assumptions'!$B$22,E134,-B134,0,0,E134/B134)),-1),"n/a")</f>
        <v>n/a</v>
      </c>
      <c r="I134" s="23" t="str">
        <f t="shared" si="8"/>
        <v>PASS</v>
      </c>
    </row>
    <row r="135" spans="1:9" x14ac:dyDescent="0.2">
      <c r="A135" s="71">
        <v>17.132899999999999</v>
      </c>
      <c r="B135" s="48">
        <f>'Inputs &amp; Assumptions'!$B$18*(A135/'Inputs &amp; Assumptions'!$B$5)^'Inputs &amp; Assumptions'!$B$19</f>
        <v>518027.69928222219</v>
      </c>
      <c r="C135" s="48">
        <f>A135*'Inputs &amp; Assumptions'!$B$6</f>
        <v>0</v>
      </c>
      <c r="D135" s="48">
        <f>A135*'Inputs &amp; Assumptions'!$B$8*'Inputs &amp; Assumptions'!$B$7+'Inputs &amp; Assumptions'!$B$10*(A135/'Inputs &amp; Assumptions'!$B$5)*'Inputs &amp; Assumptions'!$B$12*'Inputs &amp; Assumptions'!$B$11*'Inputs &amp; Assumptions'!$B$9+'Inputs &amp; Assumptions'!$B$15+B135*'Inputs &amp; Assumptions'!$B$16/100+'Inputs &amp; Assumptions'!$B$17</f>
        <v>83492.255111799997</v>
      </c>
      <c r="E135" s="48">
        <f t="shared" si="6"/>
        <v>-83492.255111799997</v>
      </c>
      <c r="F135" s="35" t="str">
        <f t="shared" si="7"/>
        <v>n/a</v>
      </c>
      <c r="G135" s="48">
        <f>-B135+E135*(1-(1+('Inputs &amp; Assumptions'!$B$20/100))^-'Inputs &amp; Assumptions'!$B$22)/('Inputs &amp; Assumptions'!$B$20/100)</f>
        <v>-1228844.3332828693</v>
      </c>
      <c r="H135" s="70" t="str">
        <f>IF(E135&gt;0,IFERROR(MAX(-0.99,RATE('Inputs &amp; Assumptions'!$B$22,E135,-B135,0,0,E135/B135)),-1),"n/a")</f>
        <v>n/a</v>
      </c>
      <c r="I135" s="23" t="str">
        <f t="shared" si="8"/>
        <v>PASS</v>
      </c>
    </row>
    <row r="136" spans="1:9" x14ac:dyDescent="0.2">
      <c r="A136" s="71">
        <v>21.233699999999999</v>
      </c>
      <c r="B136" s="48">
        <f>'Inputs &amp; Assumptions'!$B$18*(A136/'Inputs &amp; Assumptions'!$B$5)^'Inputs &amp; Assumptions'!$B$19</f>
        <v>642018.85017999995</v>
      </c>
      <c r="C136" s="48">
        <f>A136*'Inputs &amp; Assumptions'!$B$6</f>
        <v>0</v>
      </c>
      <c r="D136" s="48">
        <f>A136*'Inputs &amp; Assumptions'!$B$8*'Inputs &amp; Assumptions'!$B$7+'Inputs &amp; Assumptions'!$B$10*(A136/'Inputs &amp; Assumptions'!$B$5)*'Inputs &amp; Assumptions'!$B$12*'Inputs &amp; Assumptions'!$B$11*'Inputs &amp; Assumptions'!$B$9+'Inputs &amp; Assumptions'!$B$15+B136*'Inputs &amp; Assumptions'!$B$16/100+'Inputs &amp; Assumptions'!$B$17</f>
        <v>90979.257905399994</v>
      </c>
      <c r="E136" s="48">
        <f t="shared" si="6"/>
        <v>-90979.257905399994</v>
      </c>
      <c r="F136" s="35" t="str">
        <f t="shared" si="7"/>
        <v>n/a</v>
      </c>
      <c r="G136" s="48">
        <f>-B136+E136*(1-(1+('Inputs &amp; Assumptions'!$B$20/100))^-'Inputs &amp; Assumptions'!$B$22)/('Inputs &amp; Assumptions'!$B$20/100)</f>
        <v>-1416576.5595339709</v>
      </c>
      <c r="H136" s="70" t="str">
        <f>IF(E136&gt;0,IFERROR(MAX(-0.99,RATE('Inputs &amp; Assumptions'!$B$22,E136,-B136,0,0,E136/B136)),-1),"n/a")</f>
        <v>n/a</v>
      </c>
      <c r="I136" s="23" t="str">
        <f t="shared" si="8"/>
        <v>PASS</v>
      </c>
    </row>
    <row r="137" spans="1:9" x14ac:dyDescent="0.2">
      <c r="A137" s="71">
        <v>26.316199999999998</v>
      </c>
      <c r="B137" s="48">
        <f>'Inputs &amp; Assumptions'!$B$18*(A137/'Inputs &amp; Assumptions'!$B$5)^'Inputs &amp; Assumptions'!$B$19</f>
        <v>795692.52956888895</v>
      </c>
      <c r="C137" s="48">
        <f>A137*'Inputs &amp; Assumptions'!$B$6</f>
        <v>0</v>
      </c>
      <c r="D137" s="48">
        <f>A137*'Inputs &amp; Assumptions'!$B$8*'Inputs &amp; Assumptions'!$B$7+'Inputs &amp; Assumptions'!$B$10*(A137/'Inputs &amp; Assumptions'!$B$5)*'Inputs &amp; Assumptions'!$B$12*'Inputs &amp; Assumptions'!$B$11*'Inputs &amp; Assumptions'!$B$9+'Inputs &amp; Assumptions'!$B$15+B137*'Inputs &amp; Assumptions'!$B$16/100+'Inputs &amp; Assumptions'!$B$17</f>
        <v>100258.5916204</v>
      </c>
      <c r="E137" s="48">
        <f t="shared" si="6"/>
        <v>-100258.5916204</v>
      </c>
      <c r="F137" s="35" t="str">
        <f t="shared" si="7"/>
        <v>n/a</v>
      </c>
      <c r="G137" s="48">
        <f>-B137+E137*(1-(1+('Inputs &amp; Assumptions'!$B$20/100))^-'Inputs &amp; Assumptions'!$B$22)/('Inputs &amp; Assumptions'!$B$20/100)</f>
        <v>-1649250.4377824166</v>
      </c>
      <c r="H137" s="70" t="str">
        <f>IF(E137&gt;0,IFERROR(MAX(-0.99,RATE('Inputs &amp; Assumptions'!$B$22,E137,-B137,0,0,E137/B137)),-1),"n/a")</f>
        <v>n/a</v>
      </c>
      <c r="I137" s="23" t="str">
        <f t="shared" si="8"/>
        <v>PASS</v>
      </c>
    </row>
    <row r="138" spans="1:9" x14ac:dyDescent="0.2">
      <c r="A138" s="71">
        <v>32.615099999999998</v>
      </c>
      <c r="B138" s="48">
        <f>'Inputs &amp; Assumptions'!$B$18*(A138/'Inputs &amp; Assumptions'!$B$5)^'Inputs &amp; Assumptions'!$B$19</f>
        <v>986145.09013999999</v>
      </c>
      <c r="C138" s="48">
        <f>A138*'Inputs &amp; Assumptions'!$B$6</f>
        <v>0</v>
      </c>
      <c r="D138" s="48">
        <f>A138*'Inputs &amp; Assumptions'!$B$8*'Inputs &amp; Assumptions'!$B$7+'Inputs &amp; Assumptions'!$B$10*(A138/'Inputs &amp; Assumptions'!$B$5)*'Inputs &amp; Assumptions'!$B$12*'Inputs &amp; Assumptions'!$B$11*'Inputs &amp; Assumptions'!$B$9+'Inputs &amp; Assumptions'!$B$15+B138*'Inputs &amp; Assumptions'!$B$16/100+'Inputs &amp; Assumptions'!$B$17</f>
        <v>111758.7579042</v>
      </c>
      <c r="E138" s="48">
        <f t="shared" si="6"/>
        <v>-111758.7579042</v>
      </c>
      <c r="F138" s="35" t="str">
        <f t="shared" si="7"/>
        <v>n/a</v>
      </c>
      <c r="G138" s="48">
        <f>-B138+E138*(1-(1+('Inputs &amp; Assumptions'!$B$20/100))^-'Inputs &amp; Assumptions'!$B$22)/('Inputs &amp; Assumptions'!$B$20/100)</f>
        <v>-1937610.396798478</v>
      </c>
      <c r="H138" s="70" t="str">
        <f>IF(E138&gt;0,IFERROR(MAX(-0.99,RATE('Inputs &amp; Assumptions'!$B$22,E138,-B138,0,0,E138/B138)),-1),"n/a")</f>
        <v>n/a</v>
      </c>
      <c r="I138" s="23" t="str">
        <f t="shared" si="8"/>
        <v>PASS</v>
      </c>
    </row>
    <row r="139" spans="1:9" x14ac:dyDescent="0.2">
      <c r="A139" s="71">
        <v>40.421700000000001</v>
      </c>
      <c r="B139" s="48">
        <f>'Inputs &amp; Assumptions'!$B$18*(A139/'Inputs &amp; Assumptions'!$B$5)^'Inputs &amp; Assumptions'!$B$19</f>
        <v>1222184.2333800001</v>
      </c>
      <c r="C139" s="48">
        <f>A139*'Inputs &amp; Assumptions'!$B$6</f>
        <v>0</v>
      </c>
      <c r="D139" s="48">
        <f>A139*'Inputs &amp; Assumptions'!$B$8*'Inputs &amp; Assumptions'!$B$7+'Inputs &amp; Assumptions'!$B$10*(A139/'Inputs &amp; Assumptions'!$B$5)*'Inputs &amp; Assumptions'!$B$12*'Inputs &amp; Assumptions'!$B$11*'Inputs &amp; Assumptions'!$B$9+'Inputs &amp; Assumptions'!$B$15+B139*'Inputs &amp; Assumptions'!$B$16/100+'Inputs &amp; Assumptions'!$B$17</f>
        <v>126011.5954014</v>
      </c>
      <c r="E139" s="48">
        <f t="shared" si="6"/>
        <v>-126011.5954014</v>
      </c>
      <c r="F139" s="35" t="str">
        <f t="shared" si="7"/>
        <v>n/a</v>
      </c>
      <c r="G139" s="48">
        <f>-B139+E139*(1-(1+('Inputs &amp; Assumptions'!$B$20/100))^-'Inputs &amp; Assumptions'!$B$22)/('Inputs &amp; Assumptions'!$B$20/100)</f>
        <v>-2294991.9802582543</v>
      </c>
      <c r="H139" s="70" t="str">
        <f>IF(E139&gt;0,IFERROR(MAX(-0.99,RATE('Inputs &amp; Assumptions'!$B$22,E139,-B139,0,0,E139/B139)),-1),"n/a")</f>
        <v>n/a</v>
      </c>
      <c r="I139" s="23" t="str">
        <f t="shared" si="8"/>
        <v>PASS</v>
      </c>
    </row>
    <row r="140" spans="1:9" x14ac:dyDescent="0.2">
      <c r="A140" s="71">
        <v>50.096899999999998</v>
      </c>
      <c r="B140" s="48">
        <f>'Inputs &amp; Assumptions'!$B$18*(A140/'Inputs &amp; Assumptions'!$B$5)^'Inputs &amp; Assumptions'!$B$19</f>
        <v>1514722.0755488889</v>
      </c>
      <c r="C140" s="48">
        <f>A140*'Inputs &amp; Assumptions'!$B$6</f>
        <v>0</v>
      </c>
      <c r="D140" s="48">
        <f>A140*'Inputs &amp; Assumptions'!$B$8*'Inputs &amp; Assumptions'!$B$7+'Inputs &amp; Assumptions'!$B$10*(A140/'Inputs &amp; Assumptions'!$B$5)*'Inputs &amp; Assumptions'!$B$12*'Inputs &amp; Assumptions'!$B$11*'Inputs &amp; Assumptions'!$B$9+'Inputs &amp; Assumptions'!$B$15+B140*'Inputs &amp; Assumptions'!$B$16/100+'Inputs &amp; Assumptions'!$B$17</f>
        <v>143676.01439979998</v>
      </c>
      <c r="E140" s="48">
        <f t="shared" si="6"/>
        <v>-143676.01439979998</v>
      </c>
      <c r="F140" s="35" t="str">
        <f t="shared" si="7"/>
        <v>n/a</v>
      </c>
      <c r="G140" s="48">
        <f>-B140+E140*(1-(1+('Inputs &amp; Assumptions'!$B$20/100))^-'Inputs &amp; Assumptions'!$B$22)/('Inputs &amp; Assumptions'!$B$20/100)</f>
        <v>-2737916.9791425355</v>
      </c>
      <c r="H140" s="70" t="str">
        <f>IF(E140&gt;0,IFERROR(MAX(-0.99,RATE('Inputs &amp; Assumptions'!$B$22,E140,-B140,0,0,E140/B140)),-1),"n/a")</f>
        <v>n/a</v>
      </c>
      <c r="I140" s="23" t="str">
        <f t="shared" si="8"/>
        <v>PASS</v>
      </c>
    </row>
    <row r="141" spans="1:9" x14ac:dyDescent="0.2">
      <c r="A141" s="71">
        <v>62.087800000000001</v>
      </c>
      <c r="B141" s="48">
        <f>'Inputs &amp; Assumptions'!$B$18*(A141/'Inputs &amp; Assumptions'!$B$5)^'Inputs &amp; Assumptions'!$B$19</f>
        <v>1877277.062697778</v>
      </c>
      <c r="C141" s="48">
        <f>A141*'Inputs &amp; Assumptions'!$B$6</f>
        <v>0</v>
      </c>
      <c r="D141" s="48">
        <f>A141*'Inputs &amp; Assumptions'!$B$8*'Inputs &amp; Assumptions'!$B$7+'Inputs &amp; Assumptions'!$B$10*(A141/'Inputs &amp; Assumptions'!$B$5)*'Inputs &amp; Assumptions'!$B$12*'Inputs &amp; Assumptions'!$B$11*'Inputs &amp; Assumptions'!$B$9+'Inputs &amp; Assumptions'!$B$15+B141*'Inputs &amp; Assumptions'!$B$16/100+'Inputs &amp; Assumptions'!$B$17</f>
        <v>165568.30414760002</v>
      </c>
      <c r="E141" s="48">
        <f t="shared" si="6"/>
        <v>-165568.30414760002</v>
      </c>
      <c r="F141" s="35" t="str">
        <f t="shared" si="7"/>
        <v>n/a</v>
      </c>
      <c r="G141" s="48">
        <f>-B141+E141*(1-(1+('Inputs &amp; Assumptions'!$B$20/100))^-'Inputs &amp; Assumptions'!$B$22)/('Inputs &amp; Assumptions'!$B$20/100)</f>
        <v>-3286853.3700307375</v>
      </c>
      <c r="H141" s="70" t="str">
        <f>IF(E141&gt;0,IFERROR(MAX(-0.99,RATE('Inputs &amp; Assumptions'!$B$22,E141,-B141,0,0,E141/B141)),-1),"n/a")</f>
        <v>n/a</v>
      </c>
      <c r="I141" s="23" t="str">
        <f t="shared" si="8"/>
        <v>PASS</v>
      </c>
    </row>
    <row r="142" spans="1:9" x14ac:dyDescent="0.2">
      <c r="A142" s="71">
        <v>76.948899999999995</v>
      </c>
      <c r="B142" s="48">
        <f>'Inputs &amp; Assumptions'!$B$18*(A142/'Inputs &amp; Assumptions'!$B$5)^'Inputs &amp; Assumptions'!$B$19</f>
        <v>2326614.970571111</v>
      </c>
      <c r="C142" s="48">
        <f>A142*'Inputs &amp; Assumptions'!$B$6</f>
        <v>0</v>
      </c>
      <c r="D142" s="48">
        <f>A142*'Inputs &amp; Assumptions'!$B$8*'Inputs &amp; Assumptions'!$B$7+'Inputs &amp; Assumptions'!$B$10*(A142/'Inputs &amp; Assumptions'!$B$5)*'Inputs &amp; Assumptions'!$B$12*'Inputs &amp; Assumptions'!$B$11*'Inputs &amp; Assumptions'!$B$9+'Inputs &amp; Assumptions'!$B$15+B142*'Inputs &amp; Assumptions'!$B$16/100+'Inputs &amp; Assumptions'!$B$17</f>
        <v>192700.83858380001</v>
      </c>
      <c r="E142" s="48">
        <f t="shared" si="6"/>
        <v>-192700.83858380001</v>
      </c>
      <c r="F142" s="35" t="str">
        <f t="shared" si="7"/>
        <v>n/a</v>
      </c>
      <c r="G142" s="48">
        <f>-B142+E142*(1-(1+('Inputs &amp; Assumptions'!$B$20/100))^-'Inputs &amp; Assumptions'!$B$22)/('Inputs &amp; Assumptions'!$B$20/100)</f>
        <v>-3967185.8387052026</v>
      </c>
      <c r="H142" s="70" t="str">
        <f>IF(E142&gt;0,IFERROR(MAX(-0.99,RATE('Inputs &amp; Assumptions'!$B$22,E142,-B142,0,0,E142/B142)),-1),"n/a")</f>
        <v>n/a</v>
      </c>
      <c r="I142" s="23" t="str">
        <f t="shared" si="8"/>
        <v>PASS</v>
      </c>
    </row>
    <row r="143" spans="1:9" x14ac:dyDescent="0.2">
      <c r="A143" s="71">
        <v>95.367099999999994</v>
      </c>
      <c r="B143" s="48">
        <f>'Inputs &amp; Assumptions'!$B$18*(A143/'Inputs &amp; Assumptions'!$B$5)^'Inputs &amp; Assumptions'!$B$19</f>
        <v>2883504.8007177776</v>
      </c>
      <c r="C143" s="48">
        <f>A143*'Inputs &amp; Assumptions'!$B$6</f>
        <v>0</v>
      </c>
      <c r="D143" s="48">
        <f>A143*'Inputs &amp; Assumptions'!$B$8*'Inputs &amp; Assumptions'!$B$7+'Inputs &amp; Assumptions'!$B$10*(A143/'Inputs &amp; Assumptions'!$B$5)*'Inputs &amp; Assumptions'!$B$12*'Inputs &amp; Assumptions'!$B$11*'Inputs &amp; Assumptions'!$B$9+'Inputs &amp; Assumptions'!$B$15+B143*'Inputs &amp; Assumptions'!$B$16/100+'Inputs &amp; Assumptions'!$B$17</f>
        <v>226327.71988819999</v>
      </c>
      <c r="E143" s="48">
        <f t="shared" si="6"/>
        <v>-226327.71988819999</v>
      </c>
      <c r="F143" s="35" t="str">
        <f t="shared" si="7"/>
        <v>n/a</v>
      </c>
      <c r="G143" s="48">
        <f>-B143+E143*(1-(1+('Inputs &amp; Assumptions'!$B$20/100))^-'Inputs &amp; Assumptions'!$B$22)/('Inputs &amp; Assumptions'!$B$20/100)</f>
        <v>-4810360.2655336363</v>
      </c>
      <c r="H143" s="70" t="str">
        <f>IF(E143&gt;0,IFERROR(MAX(-0.99,RATE('Inputs &amp; Assumptions'!$B$22,E143,-B143,0,0,E143/B143)),-1),"n/a")</f>
        <v>n/a</v>
      </c>
      <c r="I143" s="23" t="str">
        <f t="shared" si="8"/>
        <v>PASS</v>
      </c>
    </row>
    <row r="144" spans="1:9" x14ac:dyDescent="0.2">
      <c r="A144" s="71">
        <v>118.1938</v>
      </c>
      <c r="B144" s="48">
        <f>'Inputs &amp; Assumptions'!$B$18*(A144/'Inputs &amp; Assumptions'!$B$5)^'Inputs &amp; Assumptions'!$B$19</f>
        <v>3573689.3510977775</v>
      </c>
      <c r="C144" s="48">
        <f>A144*'Inputs &amp; Assumptions'!$B$6</f>
        <v>0</v>
      </c>
      <c r="D144" s="48">
        <f>A144*'Inputs &amp; Assumptions'!$B$8*'Inputs &amp; Assumptions'!$B$7+'Inputs &amp; Assumptions'!$B$10*(A144/'Inputs &amp; Assumptions'!$B$5)*'Inputs &amp; Assumptions'!$B$12*'Inputs &amp; Assumptions'!$B$11*'Inputs &amp; Assumptions'!$B$9+'Inputs &amp; Assumptions'!$B$15+B144*'Inputs &amp; Assumptions'!$B$16/100+'Inputs &amp; Assumptions'!$B$17</f>
        <v>268003.3847996</v>
      </c>
      <c r="E144" s="48">
        <f t="shared" si="6"/>
        <v>-268003.3847996</v>
      </c>
      <c r="F144" s="35" t="str">
        <f t="shared" si="7"/>
        <v>n/a</v>
      </c>
      <c r="G144" s="48">
        <f>-B144+E144*(1-(1+('Inputs &amp; Assumptions'!$B$20/100))^-'Inputs &amp; Assumptions'!$B$22)/('Inputs &amp; Assumptions'!$B$20/100)</f>
        <v>-5855353.2447001459</v>
      </c>
      <c r="H144" s="70" t="str">
        <f>IF(E144&gt;0,IFERROR(MAX(-0.99,RATE('Inputs &amp; Assumptions'!$B$22,E144,-B144,0,0,E144/B144)),-1),"n/a")</f>
        <v>n/a</v>
      </c>
      <c r="I144" s="23" t="str">
        <f t="shared" si="8"/>
        <v>PASS</v>
      </c>
    </row>
    <row r="145" spans="1:9" x14ac:dyDescent="0.2">
      <c r="A145" s="71">
        <v>146.48410000000001</v>
      </c>
      <c r="B145" s="48">
        <f>'Inputs &amp; Assumptions'!$B$18*(A145/'Inputs &amp; Assumptions'!$B$5)^'Inputs &amp; Assumptions'!$B$19</f>
        <v>4429070.4611844448</v>
      </c>
      <c r="C145" s="48">
        <f>A145*'Inputs &amp; Assumptions'!$B$6</f>
        <v>0</v>
      </c>
      <c r="D145" s="48">
        <f>A145*'Inputs &amp; Assumptions'!$B$8*'Inputs &amp; Assumptions'!$B$7+'Inputs &amp; Assumptions'!$B$10*(A145/'Inputs &amp; Assumptions'!$B$5)*'Inputs &amp; Assumptions'!$B$12*'Inputs &amp; Assumptions'!$B$11*'Inputs &amp; Assumptions'!$B$9+'Inputs &amp; Assumptions'!$B$15+B145*'Inputs &amp; Assumptions'!$B$16/100+'Inputs &amp; Assumptions'!$B$17</f>
        <v>319654.17370220006</v>
      </c>
      <c r="E145" s="48">
        <f t="shared" si="6"/>
        <v>-319654.17370220006</v>
      </c>
      <c r="F145" s="35" t="str">
        <f t="shared" si="7"/>
        <v>n/a</v>
      </c>
      <c r="G145" s="48">
        <f>-B145+E145*(1-(1+('Inputs &amp; Assumptions'!$B$20/100))^-'Inputs &amp; Assumptions'!$B$22)/('Inputs &amp; Assumptions'!$B$20/100)</f>
        <v>-7150466.6372848973</v>
      </c>
      <c r="H145" s="70" t="str">
        <f>IF(E145&gt;0,IFERROR(MAX(-0.99,RATE('Inputs &amp; Assumptions'!$B$22,E145,-B145,0,0,E145/B145)),-1),"n/a")</f>
        <v>n/a</v>
      </c>
      <c r="I145" s="23" t="str">
        <f t="shared" si="8"/>
        <v>PASS</v>
      </c>
    </row>
    <row r="146" spans="1:9" x14ac:dyDescent="0.2">
      <c r="A146" s="71">
        <v>181.54589999999999</v>
      </c>
      <c r="B146" s="48">
        <f>'Inputs &amp; Assumptions'!$B$18*(A146/'Inputs &amp; Assumptions'!$B$5)^'Inputs &amp; Assumptions'!$B$19</f>
        <v>5489193.591926666</v>
      </c>
      <c r="C146" s="48">
        <f>A146*'Inputs &amp; Assumptions'!$B$6</f>
        <v>0</v>
      </c>
      <c r="D146" s="48">
        <f>A146*'Inputs &amp; Assumptions'!$B$8*'Inputs &amp; Assumptions'!$B$7+'Inputs &amp; Assumptions'!$B$10*(A146/'Inputs &amp; Assumptions'!$B$5)*'Inputs &amp; Assumptions'!$B$12*'Inputs &amp; Assumptions'!$B$11*'Inputs &amp; Assumptions'!$B$9+'Inputs &amp; Assumptions'!$B$15+B146*'Inputs &amp; Assumptions'!$B$16/100+'Inputs &amp; Assumptions'!$B$17</f>
        <v>383667.97455779999</v>
      </c>
      <c r="E146" s="48">
        <f t="shared" si="6"/>
        <v>-383667.97455779999</v>
      </c>
      <c r="F146" s="35" t="str">
        <f t="shared" si="7"/>
        <v>n/a</v>
      </c>
      <c r="G146" s="48">
        <f>-B146+E146*(1-(1+('Inputs &amp; Assumptions'!$B$20/100))^-'Inputs &amp; Assumptions'!$B$22)/('Inputs &amp; Assumptions'!$B$20/100)</f>
        <v>-8755575.3405552041</v>
      </c>
      <c r="H146" s="70" t="str">
        <f>IF(E146&gt;0,IFERROR(MAX(-0.99,RATE('Inputs &amp; Assumptions'!$B$22,E146,-B146,0,0,E146/B146)),-1),"n/a")</f>
        <v>n/a</v>
      </c>
      <c r="I146" s="23" t="str">
        <f t="shared" si="8"/>
        <v>PASS</v>
      </c>
    </row>
    <row r="147" spans="1:9" x14ac:dyDescent="0.2">
      <c r="A147" s="71">
        <v>225</v>
      </c>
      <c r="B147" s="48">
        <f>'Inputs &amp; Assumptions'!$B$18*(A147/'Inputs &amp; Assumptions'!$B$5)^'Inputs &amp; Assumptions'!$B$19</f>
        <v>6803065</v>
      </c>
      <c r="C147" s="48">
        <f>A147*'Inputs &amp; Assumptions'!$B$6</f>
        <v>0</v>
      </c>
      <c r="D147" s="48">
        <f>A147*'Inputs &amp; Assumptions'!$B$8*'Inputs &amp; Assumptions'!$B$7+'Inputs &amp; Assumptions'!$B$10*(A147/'Inputs &amp; Assumptions'!$B$5)*'Inputs &amp; Assumptions'!$B$12*'Inputs &amp; Assumptions'!$B$11*'Inputs &amp; Assumptions'!$B$9+'Inputs &amp; Assumptions'!$B$15+B147*'Inputs &amp; Assumptions'!$B$16/100+'Inputs &amp; Assumptions'!$B$17</f>
        <v>463003.95</v>
      </c>
      <c r="E147" s="48">
        <f t="shared" si="6"/>
        <v>-463003.95</v>
      </c>
      <c r="F147" s="35" t="str">
        <f t="shared" si="7"/>
        <v>n/a</v>
      </c>
      <c r="G147" s="48">
        <f>-B147+E147*(1-(1+('Inputs &amp; Assumptions'!$B$20/100))^-'Inputs &amp; Assumptions'!$B$22)/('Inputs &amp; Assumptions'!$B$20/100)</f>
        <v>-10744878.630824909</v>
      </c>
      <c r="H147" s="70" t="str">
        <f>IF(E147&gt;0,IFERROR(MAX(-0.99,RATE('Inputs &amp; Assumptions'!$B$22,E147,-B147,0,0,E147/B147)),-1),"n/a")</f>
        <v>n/a</v>
      </c>
      <c r="I147" s="23" t="str">
        <f t="shared" si="8"/>
        <v>PASS</v>
      </c>
    </row>
    <row r="149" spans="1:9" x14ac:dyDescent="0.2">
      <c r="A149" s="6" t="s">
        <v>686</v>
      </c>
      <c r="B149" s="6"/>
      <c r="C149" s="6"/>
      <c r="D149" s="6"/>
      <c r="E149" s="6"/>
      <c r="F149" s="6"/>
      <c r="G149" s="6"/>
      <c r="H149" s="6"/>
    </row>
    <row r="150" spans="1:9" ht="16" x14ac:dyDescent="0.2">
      <c r="A150" s="16" t="s">
        <v>678</v>
      </c>
      <c r="B150" s="16" t="s">
        <v>687</v>
      </c>
      <c r="C150" s="16"/>
      <c r="D150" s="16"/>
      <c r="E150" s="16"/>
      <c r="F150" s="16"/>
      <c r="G150" s="16"/>
      <c r="H150" s="16"/>
      <c r="I150" s="17" t="s">
        <v>20</v>
      </c>
    </row>
    <row r="151" spans="1:9" x14ac:dyDescent="0.2">
      <c r="A151" s="35">
        <f t="shared" ref="A151:A166" si="9">A132</f>
        <v>9</v>
      </c>
      <c r="B151" s="35">
        <f t="shared" ref="B151:B166" si="10">IF(E132&gt;0,MIN(40,B132/E132),40)</f>
        <v>40</v>
      </c>
      <c r="I151" s="23" t="str">
        <f t="shared" ref="I151:I166" si="11">IF(AND(LEN(TRIM(A151&amp;""))&gt;0,TRIM(A151&amp;"")&lt;&gt;"—",LEN(TRIM(B151&amp;""))&gt;0,TRIM(B151&amp;"")&lt;&gt;"—"),"PASS","⚠ FAIL — "&amp;"a required cell is empty/placeholder or wrong type")</f>
        <v>PASS</v>
      </c>
    </row>
    <row r="152" spans="1:9" x14ac:dyDescent="0.2">
      <c r="A152" s="35">
        <f t="shared" si="9"/>
        <v>11.154199999999999</v>
      </c>
      <c r="B152" s="35">
        <f t="shared" si="10"/>
        <v>40</v>
      </c>
      <c r="I152" s="23" t="str">
        <f t="shared" si="11"/>
        <v>PASS</v>
      </c>
    </row>
    <row r="153" spans="1:9" x14ac:dyDescent="0.2">
      <c r="A153" s="35">
        <f t="shared" si="9"/>
        <v>13.824</v>
      </c>
      <c r="B153" s="35">
        <f t="shared" si="10"/>
        <v>40</v>
      </c>
      <c r="I153" s="23" t="str">
        <f t="shared" si="11"/>
        <v>PASS</v>
      </c>
    </row>
    <row r="154" spans="1:9" x14ac:dyDescent="0.2">
      <c r="A154" s="35">
        <f t="shared" si="9"/>
        <v>17.132899999999999</v>
      </c>
      <c r="B154" s="35">
        <f t="shared" si="10"/>
        <v>40</v>
      </c>
      <c r="I154" s="23" t="str">
        <f t="shared" si="11"/>
        <v>PASS</v>
      </c>
    </row>
    <row r="155" spans="1:9" x14ac:dyDescent="0.2">
      <c r="A155" s="35">
        <f t="shared" si="9"/>
        <v>21.233699999999999</v>
      </c>
      <c r="B155" s="35">
        <f t="shared" si="10"/>
        <v>40</v>
      </c>
      <c r="I155" s="23" t="str">
        <f t="shared" si="11"/>
        <v>PASS</v>
      </c>
    </row>
    <row r="156" spans="1:9" x14ac:dyDescent="0.2">
      <c r="A156" s="35">
        <f t="shared" si="9"/>
        <v>26.316199999999998</v>
      </c>
      <c r="B156" s="35">
        <f t="shared" si="10"/>
        <v>40</v>
      </c>
      <c r="I156" s="23" t="str">
        <f t="shared" si="11"/>
        <v>PASS</v>
      </c>
    </row>
    <row r="157" spans="1:9" x14ac:dyDescent="0.2">
      <c r="A157" s="35">
        <f t="shared" si="9"/>
        <v>32.615099999999998</v>
      </c>
      <c r="B157" s="35">
        <f t="shared" si="10"/>
        <v>40</v>
      </c>
      <c r="I157" s="23" t="str">
        <f t="shared" si="11"/>
        <v>PASS</v>
      </c>
    </row>
    <row r="158" spans="1:9" x14ac:dyDescent="0.2">
      <c r="A158" s="35">
        <f t="shared" si="9"/>
        <v>40.421700000000001</v>
      </c>
      <c r="B158" s="35">
        <f t="shared" si="10"/>
        <v>40</v>
      </c>
      <c r="I158" s="23" t="str">
        <f t="shared" si="11"/>
        <v>PASS</v>
      </c>
    </row>
    <row r="159" spans="1:9" x14ac:dyDescent="0.2">
      <c r="A159" s="35">
        <f t="shared" si="9"/>
        <v>50.096899999999998</v>
      </c>
      <c r="B159" s="35">
        <f t="shared" si="10"/>
        <v>40</v>
      </c>
      <c r="I159" s="23" t="str">
        <f t="shared" si="11"/>
        <v>PASS</v>
      </c>
    </row>
    <row r="160" spans="1:9" x14ac:dyDescent="0.2">
      <c r="A160" s="35">
        <f t="shared" si="9"/>
        <v>62.087800000000001</v>
      </c>
      <c r="B160" s="35">
        <f t="shared" si="10"/>
        <v>40</v>
      </c>
      <c r="I160" s="23" t="str">
        <f t="shared" si="11"/>
        <v>PASS</v>
      </c>
    </row>
    <row r="161" spans="1:9" x14ac:dyDescent="0.2">
      <c r="A161" s="35">
        <f t="shared" si="9"/>
        <v>76.948899999999995</v>
      </c>
      <c r="B161" s="35">
        <f t="shared" si="10"/>
        <v>40</v>
      </c>
      <c r="I161" s="23" t="str">
        <f t="shared" si="11"/>
        <v>PASS</v>
      </c>
    </row>
    <row r="162" spans="1:9" x14ac:dyDescent="0.2">
      <c r="A162" s="35">
        <f t="shared" si="9"/>
        <v>95.367099999999994</v>
      </c>
      <c r="B162" s="35">
        <f t="shared" si="10"/>
        <v>40</v>
      </c>
      <c r="I162" s="23" t="str">
        <f t="shared" si="11"/>
        <v>PASS</v>
      </c>
    </row>
    <row r="163" spans="1:9" x14ac:dyDescent="0.2">
      <c r="A163" s="35">
        <f t="shared" si="9"/>
        <v>118.1938</v>
      </c>
      <c r="B163" s="35">
        <f t="shared" si="10"/>
        <v>40</v>
      </c>
      <c r="I163" s="23" t="str">
        <f t="shared" si="11"/>
        <v>PASS</v>
      </c>
    </row>
    <row r="164" spans="1:9" x14ac:dyDescent="0.2">
      <c r="A164" s="35">
        <f t="shared" si="9"/>
        <v>146.48410000000001</v>
      </c>
      <c r="B164" s="35">
        <f t="shared" si="10"/>
        <v>40</v>
      </c>
      <c r="I164" s="23" t="str">
        <f t="shared" si="11"/>
        <v>PASS</v>
      </c>
    </row>
    <row r="165" spans="1:9" x14ac:dyDescent="0.2">
      <c r="A165" s="35">
        <f t="shared" si="9"/>
        <v>181.54589999999999</v>
      </c>
      <c r="B165" s="35">
        <f t="shared" si="10"/>
        <v>40</v>
      </c>
      <c r="I165" s="23" t="str">
        <f t="shared" si="11"/>
        <v>PASS</v>
      </c>
    </row>
    <row r="166" spans="1:9" x14ac:dyDescent="0.2">
      <c r="A166" s="35">
        <f t="shared" si="9"/>
        <v>225</v>
      </c>
      <c r="B166" s="35">
        <f t="shared" si="10"/>
        <v>40</v>
      </c>
      <c r="I166" s="23" t="str">
        <f t="shared" si="11"/>
        <v>PASS</v>
      </c>
    </row>
    <row r="168" spans="1:9" x14ac:dyDescent="0.2">
      <c r="A168" s="6" t="s">
        <v>688</v>
      </c>
      <c r="B168" s="6"/>
      <c r="C168" s="6"/>
      <c r="D168" s="6"/>
      <c r="E168" s="6"/>
      <c r="F168" s="6"/>
      <c r="G168" s="6"/>
      <c r="H168" s="6"/>
    </row>
    <row r="169" spans="1:9" ht="16" x14ac:dyDescent="0.2">
      <c r="A169" s="16" t="s">
        <v>689</v>
      </c>
      <c r="B169" s="16" t="s">
        <v>690</v>
      </c>
      <c r="C169" s="16" t="s">
        <v>691</v>
      </c>
      <c r="D169" s="16" t="s">
        <v>692</v>
      </c>
      <c r="E169" s="16"/>
      <c r="F169" s="16"/>
      <c r="G169" s="16"/>
      <c r="H169" s="16"/>
      <c r="I169" s="17" t="s">
        <v>20</v>
      </c>
    </row>
    <row r="170" spans="1:9" x14ac:dyDescent="0.2">
      <c r="A170" s="24" t="s">
        <v>693</v>
      </c>
      <c r="B170" s="72">
        <f>'Inputs &amp; Assumptions'!$B$6*0.75</f>
        <v>0</v>
      </c>
      <c r="C170" s="72">
        <f>'Inputs &amp; Assumptions'!$B$6</f>
        <v>0</v>
      </c>
      <c r="D170" s="72">
        <f>'Inputs &amp; Assumptions'!$B$6*1.25</f>
        <v>0</v>
      </c>
      <c r="I170" s="23" t="str">
        <f>IF(AND(LEN(TRIM(A170&amp;""))&gt;0,TRIM(A170&amp;"")&lt;&gt;"—",LEN(TRIM(B170&amp;""))&gt;0,TRIM(B170&amp;"")&lt;&gt;"—",LEN(TRIM(C170&amp;""))&gt;0,TRIM(C170&amp;"")&lt;&gt;"—",LEN(TRIM(D170&amp;""))&gt;0,TRIM(D170&amp;"")&lt;&gt;"—"),"PASS","⚠ FAIL — "&amp;"a required cell is empty/placeholder or wrong type")</f>
        <v>PASS</v>
      </c>
    </row>
    <row r="171" spans="1:9" x14ac:dyDescent="0.2">
      <c r="A171" s="24" t="s">
        <v>694</v>
      </c>
      <c r="B171" s="72">
        <f>'Inputs &amp; Assumptions'!$B$9*0.75</f>
        <v>0.11249999999999999</v>
      </c>
      <c r="C171" s="72">
        <f>'Inputs &amp; Assumptions'!$B$9</f>
        <v>0.15</v>
      </c>
      <c r="D171" s="72">
        <f>'Inputs &amp; Assumptions'!$B$9*1.25</f>
        <v>0.1875</v>
      </c>
      <c r="I171" s="23" t="str">
        <f>IF(AND(LEN(TRIM(A171&amp;""))&gt;0,TRIM(A171&amp;"")&lt;&gt;"—",LEN(TRIM(B171&amp;""))&gt;0,TRIM(B171&amp;"")&lt;&gt;"—",LEN(TRIM(C171&amp;""))&gt;0,TRIM(C171&amp;"")&lt;&gt;"—",LEN(TRIM(D171&amp;""))&gt;0,TRIM(D171&amp;"")&lt;&gt;"—"),"PASS","⚠ FAIL — "&amp;"a required cell is empty/placeholder or wrong type")</f>
        <v>PASS</v>
      </c>
    </row>
    <row r="172" spans="1:9" x14ac:dyDescent="0.2">
      <c r="A172" s="24" t="s">
        <v>695</v>
      </c>
      <c r="B172" s="48">
        <f>'Inputs &amp; Assumptions'!$B$18*0.85</f>
        <v>1156521.05</v>
      </c>
      <c r="C172" s="48">
        <f>'Inputs &amp; Assumptions'!$B$18</f>
        <v>1360613</v>
      </c>
      <c r="D172" s="48">
        <f>'Inputs &amp; Assumptions'!$B$18*1.15</f>
        <v>1564704.95</v>
      </c>
      <c r="I172" s="23" t="str">
        <f>IF(AND(LEN(TRIM(A172&amp;""))&gt;0,TRIM(A172&amp;"")&lt;&gt;"—",LEN(TRIM(B172&amp;""))&gt;0,TRIM(B172&amp;"")&lt;&gt;"—",LEN(TRIM(C172&amp;""))&gt;0,TRIM(C172&amp;"")&lt;&gt;"—",LEN(TRIM(D172&amp;""))&gt;0,TRIM(D172&amp;"")&lt;&gt;"—"),"PASS","⚠ FAIL — "&amp;"a required cell is empty/placeholder or wrong type")</f>
        <v>PASS</v>
      </c>
    </row>
    <row r="173" spans="1:9" x14ac:dyDescent="0.2">
      <c r="A173" s="24" t="s">
        <v>680</v>
      </c>
      <c r="B173" s="48">
        <f>'Inputs &amp; Assumptions'!$B$5*B170</f>
        <v>0</v>
      </c>
      <c r="C173" s="48">
        <f>'Inputs &amp; Assumptions'!$B$5*C170</f>
        <v>0</v>
      </c>
      <c r="D173" s="48">
        <f>'Inputs &amp; Assumptions'!$B$5*D170</f>
        <v>0</v>
      </c>
      <c r="I173" s="23" t="str">
        <f>IF(AND(LEN(TRIM(A173&amp;""))&gt;0,TRIM(A173&amp;"")&lt;&gt;"—",LEN(TRIM(B173&amp;""))&gt;0,TRIM(B173&amp;"")&lt;&gt;"—",LEN(TRIM(C173&amp;""))&gt;0,TRIM(C173&amp;"")&lt;&gt;"—",LEN(TRIM(D173&amp;""))&gt;0,TRIM(D173&amp;"")&lt;&gt;"—"),"PASS","⚠ FAIL — "&amp;"a required cell is empty/placeholder or wrong type")</f>
        <v>PASS</v>
      </c>
    </row>
    <row r="174" spans="1:9" x14ac:dyDescent="0.2">
      <c r="A174" s="24" t="s">
        <v>681</v>
      </c>
      <c r="B174" s="48">
        <f>'Inputs &amp; Assumptions'!$B$5*'Inputs &amp; Assumptions'!$B$8*'Inputs &amp; Assumptions'!$B$7+'Inputs &amp; Assumptions'!$B$10*'Inputs &amp; Assumptions'!$B$12*'Inputs &amp; Assumptions'!$B$11*B171+'Inputs &amp; Assumptions'!$B$15+B172*'Inputs &amp; Assumptions'!$B$16/100+'Inputs &amp; Assumptions'!$B$17</f>
        <v>117912.6315</v>
      </c>
      <c r="C174" s="48">
        <f>'Inputs &amp; Assumptions'!$B$5*'Inputs &amp; Assumptions'!$B$8*'Inputs &amp; Assumptions'!$B$7+'Inputs &amp; Assumptions'!$B$10*'Inputs &amp; Assumptions'!$B$12*'Inputs &amp; Assumptions'!$B$11*C171+'Inputs &amp; Assumptions'!$B$15+C172*'Inputs &amp; Assumptions'!$B$16/100+'Inputs &amp; Assumptions'!$B$17</f>
        <v>134370.39000000001</v>
      </c>
      <c r="D174" s="48">
        <f>'Inputs &amp; Assumptions'!$B$5*'Inputs &amp; Assumptions'!$B$8*'Inputs &amp; Assumptions'!$B$7+'Inputs &amp; Assumptions'!$B$10*'Inputs &amp; Assumptions'!$B$12*'Inputs &amp; Assumptions'!$B$11*D171+'Inputs &amp; Assumptions'!$B$15+D172*'Inputs &amp; Assumptions'!$B$16/100+'Inputs &amp; Assumptions'!$B$17</f>
        <v>150828.14850000001</v>
      </c>
    </row>
    <row r="175" spans="1:9" x14ac:dyDescent="0.2">
      <c r="A175" s="24" t="s">
        <v>682</v>
      </c>
      <c r="B175" s="48">
        <f>B173-('Inputs &amp; Assumptions'!$B$5*'Inputs &amp; Assumptions'!$B$8*'Inputs &amp; Assumptions'!$B$7+'Inputs &amp; Assumptions'!$B$10*'Inputs &amp; Assumptions'!$B$12*'Inputs &amp; Assumptions'!$B$11*D171+'Inputs &amp; Assumptions'!$B$15+D172*'Inputs &amp; Assumptions'!$B$16/100+'Inputs &amp; Assumptions'!$B$17)</f>
        <v>-150828.14850000001</v>
      </c>
      <c r="C175" s="48">
        <f>C173-C174</f>
        <v>-134370.39000000001</v>
      </c>
      <c r="D175" s="48">
        <f>D173-('Inputs &amp; Assumptions'!$B$5*'Inputs &amp; Assumptions'!$B$8*'Inputs &amp; Assumptions'!$B$7+'Inputs &amp; Assumptions'!$B$10*'Inputs &amp; Assumptions'!$B$12*'Inputs &amp; Assumptions'!$B$11*B171+'Inputs &amp; Assumptions'!$B$15+B172*'Inputs &amp; Assumptions'!$B$16/100+'Inputs &amp; Assumptions'!$B$17)</f>
        <v>-117912.6315</v>
      </c>
      <c r="I175" s="23" t="str">
        <f>IF(AND(LEN(TRIM(A175&amp;""))&gt;0,TRIM(A175&amp;"")&lt;&gt;"—",LEN(TRIM(B175&amp;""))&gt;0,TRIM(B175&amp;"")&lt;&gt;"—",LEN(TRIM(C175&amp;""))&gt;0,TRIM(C175&amp;"")&lt;&gt;"—",LEN(TRIM(D175&amp;""))&gt;0,TRIM(D175&amp;"")&lt;&gt;"—"),"PASS","⚠ FAIL — "&amp;"a required cell is empty/placeholder or wrong type")</f>
        <v>PASS</v>
      </c>
    </row>
    <row r="176" spans="1:9" x14ac:dyDescent="0.2">
      <c r="A176" s="24" t="s">
        <v>696</v>
      </c>
      <c r="B176" s="35" t="str">
        <f>IF(B175&gt;0,D172/B175,"n/a")</f>
        <v>n/a</v>
      </c>
      <c r="C176" s="35" t="str">
        <f>IF(C175&gt;0,C172/C175,"n/a")</f>
        <v>n/a</v>
      </c>
      <c r="D176" s="35" t="str">
        <f>IF(D175&gt;0,B172/D175,"n/a")</f>
        <v>n/a</v>
      </c>
      <c r="I176" s="23" t="str">
        <f>IF(AND(LEN(TRIM(A176&amp;""))&gt;0,TRIM(A176&amp;"")&lt;&gt;"—",LEN(TRIM(B176&amp;""))&gt;0,TRIM(B176&amp;"")&lt;&gt;"—",LEN(TRIM(C176&amp;""))&gt;0,TRIM(C176&amp;"")&lt;&gt;"—",LEN(TRIM(D176&amp;""))&gt;0,TRIM(D176&amp;"")&lt;&gt;"—"),"PASS","⚠ FAIL — "&amp;"a required cell is empty/placeholder or wrong type")</f>
        <v>PASS</v>
      </c>
    </row>
    <row r="177" spans="1:9" x14ac:dyDescent="0.2">
      <c r="A177" s="6" t="s">
        <v>697</v>
      </c>
      <c r="B177" s="6"/>
      <c r="C177" s="6"/>
      <c r="D177" s="6"/>
      <c r="E177" s="6"/>
      <c r="F177" s="6"/>
      <c r="G177" s="6"/>
      <c r="H177" s="6"/>
    </row>
    <row r="178" spans="1:9" ht="32" x14ac:dyDescent="0.2">
      <c r="A178" s="16" t="s">
        <v>698</v>
      </c>
      <c r="B178" s="16" t="s">
        <v>699</v>
      </c>
      <c r="C178" s="16" t="s">
        <v>700</v>
      </c>
      <c r="D178" s="16" t="s">
        <v>701</v>
      </c>
      <c r="E178" s="16" t="s">
        <v>702</v>
      </c>
      <c r="F178" s="16"/>
      <c r="G178" s="16"/>
      <c r="H178" s="16"/>
      <c r="I178" s="17" t="s">
        <v>20</v>
      </c>
    </row>
    <row r="179" spans="1:9" x14ac:dyDescent="0.2">
      <c r="A179" s="44" t="s">
        <v>703</v>
      </c>
      <c r="B179" s="48">
        <f>'Inputs &amp; Assumptions'!$B$5*'Inputs &amp; Assumptions'!$B$6*0.8-('Inputs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C179"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79" s="48">
        <f>'Inputs &amp; Assumptions'!$B$5*'Inputs &amp; Assumptions'!$B$6*1.2-('Inputs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E179" s="48">
        <f t="shared" ref="E179:E184" si="12">ABS(D179-B179)</f>
        <v>0</v>
      </c>
      <c r="I179" s="23" t="str">
        <f t="shared" ref="I179:I184" si="13">IF(AND(LEN(TRIM(A179&amp;""))&gt;0,TRIM(A179&amp;"")&lt;&gt;"—",LEN(TRIM(B179&amp;""))&gt;0,TRIM(B179&amp;"")&lt;&gt;"—",LEN(TRIM(C179&amp;""))&gt;0,TRIM(C179&amp;"")&lt;&gt;"—",LEN(TRIM(D179&amp;""))&gt;0,TRIM(D179&amp;"")&lt;&gt;"—",LEN(TRIM(E179&amp;""))&gt;0,TRIM(E179&amp;"")&lt;&gt;"—"),"PASS","⚠ FAIL — "&amp;"a required cell is empty/placeholder or wrong type")</f>
        <v>PASS</v>
      </c>
    </row>
    <row r="180" spans="1:9" x14ac:dyDescent="0.2">
      <c r="A180" s="44" t="s">
        <v>182</v>
      </c>
      <c r="B180" s="48">
        <f>'Inputs &amp; Assumptions'!$B$5*'Inputs &amp; Assumptions'!$B$6-('Inputs &amp; Assumptions'!$B$5*'Inputs &amp; Assumptions'!$B$8*'Inputs &amp; Assumptions'!$B$7*0.8+'Inputs &amp; Assumptions'!$B$10*'Inputs &amp; Assumptions'!$B$12*'Inputs &amp; Assumptions'!$B$11*'Inputs &amp; Assumptions'!$B$9+'Inputs &amp; Assumptions'!$B$15+'Inputs &amp; Assumptions'!$B$18*'Inputs &amp; Assumptions'!$B$16/100+'Inputs &amp; Assumptions'!$B$17)</f>
        <v>-134370.39000000001</v>
      </c>
      <c r="C180"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80" s="48">
        <f>'Inputs &amp; Assumptions'!$B$5*'Inputs &amp; Assumptions'!$B$6-('Inputs &amp; Assumptions'!$B$5*'Inputs &amp; Assumptions'!$B$8*'Inputs &amp; Assumptions'!$B$7*1.2+'Inputs &amp; Assumptions'!$B$10*'Inputs &amp; Assumptions'!$B$12*'Inputs &amp; Assumptions'!$B$11*'Inputs &amp; Assumptions'!$B$9+'Inputs &amp; Assumptions'!$B$15+'Inputs &amp; Assumptions'!$B$18*'Inputs &amp; Assumptions'!$B$16/100+'Inputs &amp; Assumptions'!$B$17)</f>
        <v>-134370.39000000001</v>
      </c>
      <c r="E180" s="48">
        <f t="shared" si="12"/>
        <v>0</v>
      </c>
      <c r="I180" s="23" t="str">
        <f t="shared" si="13"/>
        <v>PASS</v>
      </c>
    </row>
    <row r="181" spans="1:9" x14ac:dyDescent="0.2">
      <c r="A181" s="44" t="s">
        <v>185</v>
      </c>
      <c r="B181" s="48">
        <f>'Inputs &amp; Assumptions'!$B$5*'Inputs &amp; Assumptions'!$B$6-('Inputs &amp; Assumptions'!$B$5*'Inputs &amp; Assumptions'!$B$8*0.8*'Inputs &amp; Assumptions'!$B$7+'Inputs &amp; Assumptions'!$B$10*'Inputs &amp; Assumptions'!$B$12*'Inputs &amp; Assumptions'!$B$11*'Inputs &amp; Assumptions'!$B$9+'Inputs &amp; Assumptions'!$B$15+'Inputs &amp; Assumptions'!$B$18*'Inputs &amp; Assumptions'!$B$16/100+'Inputs &amp; Assumptions'!$B$17)</f>
        <v>-134370.39000000001</v>
      </c>
      <c r="C181"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81" s="48">
        <f>'Inputs &amp; Assumptions'!$B$5*'Inputs &amp; Assumptions'!$B$6-('Inputs &amp; Assumptions'!$B$5*'Inputs &amp; Assumptions'!$B$8*1.2*'Inputs &amp; Assumptions'!$B$7+'Inputs &amp; Assumptions'!$B$10*'Inputs &amp; Assumptions'!$B$12*'Inputs &amp; Assumptions'!$B$11*'Inputs &amp; Assumptions'!$B$9+'Inputs &amp; Assumptions'!$B$15+'Inputs &amp; Assumptions'!$B$18*'Inputs &amp; Assumptions'!$B$16/100+'Inputs &amp; Assumptions'!$B$17)</f>
        <v>-134370.39000000001</v>
      </c>
      <c r="E181" s="48">
        <f t="shared" si="12"/>
        <v>0</v>
      </c>
      <c r="I181" s="23" t="str">
        <f t="shared" si="13"/>
        <v>PASS</v>
      </c>
    </row>
    <row r="182" spans="1:9" x14ac:dyDescent="0.2">
      <c r="A182" s="44" t="s">
        <v>189</v>
      </c>
      <c r="B182" s="48">
        <f>'Inputs &amp; Assumptions'!$B$5*'Inputs &amp; Assumptions'!$B$6-('Inputs &amp; Assumptions'!$B$5*'Inputs &amp; Assumptions'!$B$8*'Inputs &amp; Assumptions'!$B$7+'Inputs &amp; Assumptions'!$B$10*'Inputs &amp; Assumptions'!$B$12*'Inputs &amp; Assumptions'!$B$11*'Inputs &amp; Assumptions'!$B$9*0.8+'Inputs &amp; Assumptions'!$B$15+'Inputs &amp; Assumptions'!$B$18*'Inputs &amp; Assumptions'!$B$16/100+'Inputs &amp; Assumptions'!$B$17)</f>
        <v>-126102.39</v>
      </c>
      <c r="C182"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82" s="48">
        <f>'Inputs &amp; Assumptions'!$B$5*'Inputs &amp; Assumptions'!$B$6-('Inputs &amp; Assumptions'!$B$5*'Inputs &amp; Assumptions'!$B$8*'Inputs &amp; Assumptions'!$B$7+'Inputs &amp; Assumptions'!$B$10*'Inputs &amp; Assumptions'!$B$12*'Inputs &amp; Assumptions'!$B$11*'Inputs &amp; Assumptions'!$B$9*1.2+'Inputs &amp; Assumptions'!$B$15+'Inputs &amp; Assumptions'!$B$18*'Inputs &amp; Assumptions'!$B$16/100+'Inputs &amp; Assumptions'!$B$17)</f>
        <v>-142638.39000000001</v>
      </c>
      <c r="E182" s="48">
        <f t="shared" si="12"/>
        <v>16536.000000000015</v>
      </c>
      <c r="I182" s="23" t="str">
        <f t="shared" si="13"/>
        <v>PASS</v>
      </c>
    </row>
    <row r="183" spans="1:9" x14ac:dyDescent="0.2">
      <c r="A183" s="44" t="s">
        <v>704</v>
      </c>
      <c r="B183" s="48">
        <f>'Inputs &amp; Assumptions'!$B$5*'Inputs &amp; Assumptions'!$B$6-('Inputs &amp; Assumptions'!$B$5*'Inputs &amp; Assumptions'!$B$8*'Inputs &amp; Assumptions'!$B$7+'Inputs &amp; Assumptions'!$B$10*'Inputs &amp; Assumptions'!$B$12*'Inputs &amp; Assumptions'!$B$11*'Inputs &amp; Assumptions'!$B$9+'Inputs &amp; Assumptions'!$B$15+'Inputs &amp; Assumptions'!$B$18*0.8*'Inputs &amp; Assumptions'!$B$16/100+'Inputs &amp; Assumptions'!$B$17)</f>
        <v>-126206.712</v>
      </c>
      <c r="C183"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83" s="48">
        <f>'Inputs &amp; Assumptions'!$B$5*'Inputs &amp; Assumptions'!$B$6-('Inputs &amp; Assumptions'!$B$5*'Inputs &amp; Assumptions'!$B$8*'Inputs &amp; Assumptions'!$B$7+'Inputs &amp; Assumptions'!$B$10*'Inputs &amp; Assumptions'!$B$12*'Inputs &amp; Assumptions'!$B$11*'Inputs &amp; Assumptions'!$B$9+'Inputs &amp; Assumptions'!$B$15+'Inputs &amp; Assumptions'!$B$18*1.2*'Inputs &amp; Assumptions'!$B$16/100+'Inputs &amp; Assumptions'!$B$17)</f>
        <v>-142534.068</v>
      </c>
      <c r="E183" s="48">
        <f t="shared" si="12"/>
        <v>16327.356</v>
      </c>
      <c r="I183" s="23" t="str">
        <f t="shared" si="13"/>
        <v>PASS</v>
      </c>
    </row>
    <row r="184" spans="1:9" x14ac:dyDescent="0.2">
      <c r="A184" s="44" t="s">
        <v>205</v>
      </c>
      <c r="B184" s="48">
        <f>'Inputs &amp; Assumptions'!$B$5*'Inputs &amp; Assumptions'!$B$6-('Inputs &amp; Assumptions'!$B$5*'Inputs &amp; Assumptions'!$B$8*'Inputs &amp; Assumptions'!$B$7+'Inputs &amp; Assumptions'!$B$10*'Inputs &amp; Assumptions'!$B$12*'Inputs &amp; Assumptions'!$B$11*'Inputs &amp; Assumptions'!$B$9+'Inputs &amp; Assumptions'!$B$15*0.8+'Inputs &amp; Assumptions'!$B$18*'Inputs &amp; Assumptions'!$B$16/100+'Inputs &amp; Assumptions'!$B$17)</f>
        <v>-129370.39</v>
      </c>
      <c r="C184"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84" s="48">
        <f>'Inputs &amp; Assumptions'!$B$5*'Inputs &amp; Assumptions'!$B$6-('Inputs &amp; Assumptions'!$B$5*'Inputs &amp; Assumptions'!$B$8*'Inputs &amp; Assumptions'!$B$7+'Inputs &amp; Assumptions'!$B$10*'Inputs &amp; Assumptions'!$B$12*'Inputs &amp; Assumptions'!$B$11*'Inputs &amp; Assumptions'!$B$9+'Inputs &amp; Assumptions'!$B$15*1.2+'Inputs &amp; Assumptions'!$B$18*'Inputs &amp; Assumptions'!$B$16/100+'Inputs &amp; Assumptions'!$B$17)</f>
        <v>-139370.39000000001</v>
      </c>
      <c r="E184" s="48">
        <f t="shared" si="12"/>
        <v>10000.000000000015</v>
      </c>
      <c r="I184" s="23" t="str">
        <f t="shared" si="13"/>
        <v>PASS</v>
      </c>
    </row>
    <row r="186" spans="1:9" x14ac:dyDescent="0.2">
      <c r="A186" s="6" t="s">
        <v>705</v>
      </c>
      <c r="B186" s="6"/>
      <c r="C186" s="6"/>
      <c r="D186" s="6"/>
      <c r="E186" s="6"/>
      <c r="F186" s="6"/>
      <c r="G186" s="6"/>
      <c r="H186" s="6"/>
    </row>
    <row r="187" spans="1:9" x14ac:dyDescent="0.2">
      <c r="A187" s="24" t="s">
        <v>706</v>
      </c>
      <c r="B187" s="66">
        <f>('Inputs &amp; Assumptions'!$B$5*'Inputs &amp; Assumptions'!$B$8*'Inputs &amp; Assumptions'!$B$7+'Inputs &amp; Assumptions'!$B$10*'Inputs &amp; Assumptions'!$B$12*'Inputs &amp; Assumptions'!$B$11*'Inputs &amp; Assumptions'!$B$9+'Inputs &amp; Assumptions'!$B$15+'Inputs &amp; Assumptions'!$B$18*'Inputs &amp; Assumptions'!$B$16/100+'Inputs &amp; Assumptions'!$B$17)/('Inputs &amp; Assumptions'!$B$5)</f>
        <v>2986.0086666666671</v>
      </c>
      <c r="C187" s="17" t="s">
        <v>707</v>
      </c>
    </row>
    <row r="188" spans="1:9" x14ac:dyDescent="0.2">
      <c r="A188" s="24" t="s">
        <v>708</v>
      </c>
      <c r="B188" s="17" t="s">
        <v>709</v>
      </c>
      <c r="C188" s="17" t="s">
        <v>710</v>
      </c>
      <c r="D188" s="17" t="s">
        <v>711</v>
      </c>
    </row>
    <row r="189" spans="1:9" x14ac:dyDescent="0.2">
      <c r="A189" s="44" t="s">
        <v>712</v>
      </c>
      <c r="B189" s="48">
        <f>'Inputs &amp; Assumptions'!$B$5*'Inputs &amp; Assumptions'!$B$6*0.8-('Inputs &amp; Assumptions'!$B$5*'Inputs &amp; Assumptions'!$B$8*1.1*'Inputs &amp; Assumptions'!$B$7*1.2+'Inputs &amp; Assumptions'!$B$10*'Inputs &amp; Assumptions'!$B$12*'Inputs &amp; Assumptions'!$B$11*'Inputs &amp; Assumptions'!$B$9*1.2+'Inputs &amp; Assumptions'!$B$15+'Inputs &amp; Assumptions'!$B$18*1.15*'Inputs &amp; Assumptions'!$B$16/100+'Inputs &amp; Assumptions'!$B$17)</f>
        <v>-148761.14850000001</v>
      </c>
      <c r="C189" s="48">
        <f>'Inputs &amp; Assumptions'!$B$5*'Inputs &amp; Assumptions'!$B$6-('Inputs &amp; Assumptions'!$B$5*'Inputs &amp; Assumptions'!$B$8*'Inputs &amp; Assumptions'!$B$7+'Inputs &amp; Assumptions'!$B$10*'Inputs &amp; Assumptions'!$B$12*'Inputs &amp; Assumptions'!$B$11*'Inputs &amp; Assumptions'!$B$9+'Inputs &amp; Assumptions'!$B$15+'Inputs &amp; Assumptions'!$B$18*'Inputs &amp; Assumptions'!$B$16/100+'Inputs &amp; Assumptions'!$B$17)</f>
        <v>-134370.39000000001</v>
      </c>
      <c r="D189" s="48">
        <f>'Inputs &amp; Assumptions'!$B$5*'Inputs &amp; Assumptions'!$B$6*1.2-('Inputs &amp; Assumptions'!$B$5*'Inputs &amp; Assumptions'!$B$8*0.9*'Inputs &amp; Assumptions'!$B$7*0.8+'Inputs &amp; Assumptions'!$B$10*'Inputs &amp; Assumptions'!$B$12*'Inputs &amp; Assumptions'!$B$11*'Inputs &amp; Assumptions'!$B$9*0.8+'Inputs &amp; Assumptions'!$B$15+'Inputs &amp; Assumptions'!$B$18*0.85*'Inputs &amp; Assumptions'!$B$16/100+'Inputs &amp; Assumptions'!$B$17)</f>
        <v>-119979.6315</v>
      </c>
    </row>
    <row r="192" spans="1:9" x14ac:dyDescent="0.2">
      <c r="A192" s="17" t="s">
        <v>690</v>
      </c>
      <c r="B192" s="50">
        <f>B175</f>
        <v>-150828.14850000001</v>
      </c>
    </row>
    <row r="193" spans="1:8" ht="24" customHeight="1" x14ac:dyDescent="0.2">
      <c r="A193" s="12" t="s">
        <v>713</v>
      </c>
      <c r="B193" s="12"/>
      <c r="C193" s="12"/>
      <c r="D193" s="12"/>
      <c r="E193" s="12"/>
      <c r="F193" s="12"/>
      <c r="G193" s="12"/>
      <c r="H193" s="12"/>
    </row>
    <row r="194" spans="1:8" x14ac:dyDescent="0.2">
      <c r="A194" s="17" t="s">
        <v>692</v>
      </c>
      <c r="B194" s="50">
        <f>D175</f>
        <v>-117912.6315</v>
      </c>
    </row>
    <row r="195" spans="1:8" x14ac:dyDescent="0.2">
      <c r="A195" s="6" t="s">
        <v>714</v>
      </c>
      <c r="B195" s="6"/>
      <c r="C195" s="6"/>
      <c r="D195" s="6"/>
      <c r="E195" s="6"/>
      <c r="F195" s="6"/>
    </row>
    <row r="196" spans="1:8" x14ac:dyDescent="0.2">
      <c r="A196" s="24" t="s">
        <v>715</v>
      </c>
      <c r="B196" s="45">
        <f>'Inputs &amp; Assumptions'!$B$18</f>
        <v>1360613</v>
      </c>
    </row>
    <row r="197" spans="1:8" ht="16" x14ac:dyDescent="0.2">
      <c r="A197" s="24" t="s">
        <v>716</v>
      </c>
      <c r="B197" s="73">
        <f>'Inputs &amp; Assumptions'!$B$5*(B196/'Inputs &amp; Assumptions'!$B$18)^(1/'Inputs &amp; Assumptions'!$B$19)</f>
        <v>45</v>
      </c>
    </row>
    <row r="198" spans="1:8" x14ac:dyDescent="0.2">
      <c r="A198" s="18" t="s">
        <v>717</v>
      </c>
      <c r="B198" s="48">
        <f>B197*1000*'Inputs &amp; Assumptions'!$B$6</f>
        <v>0</v>
      </c>
    </row>
    <row r="199" spans="1:8" x14ac:dyDescent="0.2">
      <c r="A199" s="18" t="s">
        <v>718</v>
      </c>
      <c r="B199" s="48">
        <f>FORECAST(B197,'Financial model'!$D$132:$D$147,'Financial model'!$A$132:$A$147)</f>
        <v>134370.39000000001</v>
      </c>
    </row>
    <row r="200" spans="1:8" x14ac:dyDescent="0.2">
      <c r="A200" s="24" t="s">
        <v>719</v>
      </c>
      <c r="B200" s="46">
        <f>B198-B199</f>
        <v>-134370.39000000001</v>
      </c>
    </row>
    <row r="201" spans="1:8" x14ac:dyDescent="0.2">
      <c r="A201" s="18" t="s">
        <v>720</v>
      </c>
      <c r="B201" s="35" t="str">
        <f>IF(B200&gt;0,B196/B200,"n/a (EBITDA ≤ 0)")</f>
        <v>n/a (EBITDA ≤ 0)</v>
      </c>
    </row>
    <row r="202" spans="1:8" x14ac:dyDescent="0.2">
      <c r="A202" s="18" t="s">
        <v>721</v>
      </c>
      <c r="B202" s="70" t="str">
        <f>IF(B200&gt;0,IFERROR(MAX(-0.99,RATE('Inputs &amp; Assumptions'!$B$22,B200,-B196,0,0,B200/B196)),-1),"n/a")</f>
        <v>n/a</v>
      </c>
    </row>
    <row r="204" spans="1:8" ht="15" customHeight="1" x14ac:dyDescent="0.2">
      <c r="A204" s="131" t="s">
        <v>722</v>
      </c>
      <c r="B204" s="131"/>
      <c r="C204" s="131"/>
      <c r="D204" s="131"/>
      <c r="E204" s="131"/>
      <c r="F204" s="131"/>
    </row>
    <row r="205" spans="1:8" x14ac:dyDescent="0.2">
      <c r="A205" s="131"/>
      <c r="B205" s="131"/>
      <c r="C205" s="131"/>
      <c r="D205" s="131"/>
      <c r="E205" s="131"/>
      <c r="F205" s="131"/>
    </row>
    <row r="206" spans="1:8" x14ac:dyDescent="0.2">
      <c r="A206" s="131"/>
      <c r="B206" s="131"/>
      <c r="C206" s="131"/>
      <c r="D206" s="131"/>
      <c r="E206" s="131"/>
      <c r="F206" s="131"/>
    </row>
    <row r="207" spans="1:8" ht="21.75" customHeight="1" x14ac:dyDescent="0.2">
      <c r="A207" s="132" t="s">
        <v>723</v>
      </c>
      <c r="B207" s="132"/>
      <c r="C207" s="132"/>
      <c r="D207" s="132"/>
      <c r="E207" s="132"/>
      <c r="F207" s="132"/>
    </row>
    <row r="208" spans="1:8" ht="21.75" customHeight="1" x14ac:dyDescent="0.2">
      <c r="A208" s="132"/>
      <c r="B208" s="132"/>
      <c r="C208" s="132"/>
      <c r="D208" s="132"/>
      <c r="E208" s="132"/>
      <c r="F208" s="132"/>
    </row>
    <row r="209" spans="1:15" ht="21.75" customHeight="1" x14ac:dyDescent="0.2">
      <c r="A209" s="132"/>
      <c r="B209" s="132"/>
      <c r="C209" s="132"/>
      <c r="D209" s="132"/>
      <c r="E209" s="132"/>
      <c r="F209" s="132"/>
    </row>
    <row r="210" spans="1:15" ht="21.75" customHeight="1" x14ac:dyDescent="0.2">
      <c r="A210" s="132"/>
      <c r="B210" s="132"/>
      <c r="C210" s="132"/>
      <c r="D210" s="132"/>
      <c r="E210" s="132"/>
      <c r="F210" s="132"/>
    </row>
    <row r="212" spans="1:15" x14ac:dyDescent="0.2">
      <c r="A212" s="6" t="s">
        <v>724</v>
      </c>
      <c r="B212" s="6"/>
      <c r="C212" s="6"/>
      <c r="D212" s="6"/>
      <c r="E212" s="6"/>
      <c r="F212" s="6"/>
    </row>
    <row r="213" spans="1:15" ht="32" x14ac:dyDescent="0.2">
      <c r="A213" s="16" t="s">
        <v>725</v>
      </c>
      <c r="B213" s="16" t="s">
        <v>678</v>
      </c>
      <c r="C213" s="16" t="s">
        <v>726</v>
      </c>
      <c r="D213" s="16" t="s">
        <v>667</v>
      </c>
      <c r="E213" s="16" t="s">
        <v>683</v>
      </c>
      <c r="F213" s="16" t="s">
        <v>727</v>
      </c>
      <c r="G213" s="17" t="s">
        <v>20</v>
      </c>
    </row>
    <row r="214" spans="1:15" ht="104" x14ac:dyDescent="0.2">
      <c r="A214" s="44" t="s">
        <v>728</v>
      </c>
      <c r="B214" s="74" t="str">
        <f>IF(MAX('Financial model'!$E$132:$E$147)&lt;0,"none in range (all EBITDA &lt; 0)",IF(INDEX('Financial model'!$E$132:$E$147,1)&gt;=0,INDEX('Financial model'!$A$132:$A$147,1),INDEX('Financial model'!$A$132:$A$147,MATCH(0,'Financial model'!$E$132:$E$147,1)+1)))</f>
        <v>none in range (all EBITDA &lt; 0)</v>
      </c>
      <c r="C214" s="48" t="str">
        <f>IFERROR(INDEX('Financial model'!$B$132:$B$147,MATCH(B214,'Financial model'!$A$132:$A$147,0)),"—")</f>
        <v>—</v>
      </c>
      <c r="D214" s="70" t="str">
        <f>IFERROR(INDEX('Financial model'!$H$132:$H$147,MATCH(B214,'Financial model'!$A$132:$A$147,0)),"—")</f>
        <v>—</v>
      </c>
      <c r="E214" s="35" t="str">
        <f>IFERROR(INDEX('Financial model'!$F$132:$F$147,MATCH(B214,'Financial model'!$A$132:$A$147,0)),"—")</f>
        <v>—</v>
      </c>
      <c r="F214" s="22" t="s">
        <v>729</v>
      </c>
    </row>
    <row r="215" spans="1:15" ht="65" x14ac:dyDescent="0.2">
      <c r="A215" s="44" t="s">
        <v>730</v>
      </c>
      <c r="B215" s="74" t="str">
        <f>IFERROR(INDEX('Financial model'!$A$132:$A$147,MATCH('Inputs &amp; Assumptions'!$B$20/100,'Financial model'!$H$132:$H$147,1)+1),"&gt; range")</f>
        <v>&gt; range</v>
      </c>
      <c r="C215" s="48" t="str">
        <f>IFERROR(INDEX('Financial model'!$B$132:$B$147,MATCH(B215,'Financial model'!$A$132:$A$147,0)),"—")</f>
        <v>—</v>
      </c>
      <c r="D215" s="70" t="str">
        <f>IFERROR(INDEX('Financial model'!$H$132:$H$147,MATCH(B215,'Financial model'!$A$132:$A$147,0)),"—")</f>
        <v>—</v>
      </c>
      <c r="E215" s="35" t="str">
        <f>IFERROR(INDEX('Financial model'!$F$132:$F$147,MATCH(B215,'Financial model'!$A$132:$A$147,0)),"—")</f>
        <v>—</v>
      </c>
      <c r="F215" s="22" t="s">
        <v>731</v>
      </c>
      <c r="G215" s="23" t="str">
        <f>IF(AND(LEN(TRIM(A215&amp;""))&gt;0,TRIM(A215&amp;"")&lt;&gt;"—",LEN(TRIM(B215&amp;""))&gt;0,TRIM(B215&amp;"")&lt;&gt;"—",LEN(TRIM(C215&amp;""))&gt;0,TRIM(C215&amp;"")&lt;&gt;"—",LEN(TRIM(D215&amp;""))&gt;0,TRIM(D215&amp;"")&lt;&gt;"—",LEN(TRIM(E215&amp;""))&gt;0,TRIM(E215&amp;"")&lt;&gt;"—",LEN(TRIM(F215&amp;""))&gt;0,TRIM(F215&amp;"")&lt;&gt;"—"),"PASS","⚠ FAIL — "&amp;"a required cell is empty/placeholder or wrong type")</f>
        <v>⚠ FAIL — a required cell is empty/placeholder or wrong type</v>
      </c>
    </row>
    <row r="216" spans="1:15" ht="78" x14ac:dyDescent="0.2">
      <c r="A216" s="44" t="s">
        <v>732</v>
      </c>
      <c r="B216" s="74" t="str">
        <f>IFERROR(INDEX('Financial model'!$A$132:$A$147,MATCH('Inputs &amp; Assumptions'!$B$21/100,'Financial model'!$H$132:$H$147,1)+1),"&gt; range")</f>
        <v>&gt; range</v>
      </c>
      <c r="C216" s="48" t="str">
        <f>IFERROR(INDEX('Financial model'!$B$132:$B$147,MATCH(B216,'Financial model'!$A$132:$A$147,0)),"—")</f>
        <v>—</v>
      </c>
      <c r="D216" s="70" t="str">
        <f>IFERROR(INDEX('Financial model'!$H$132:$H$147,MATCH(B216,'Financial model'!$A$132:$A$147,0)),"—")</f>
        <v>—</v>
      </c>
      <c r="E216" s="35" t="str">
        <f>IFERROR(INDEX('Financial model'!$F$132:$F$147,MATCH(B216,'Financial model'!$A$132:$A$147,0)),"—")</f>
        <v>—</v>
      </c>
      <c r="F216" s="22" t="s">
        <v>733</v>
      </c>
      <c r="G216" s="23" t="str">
        <f>IF(AND(LEN(TRIM(A216&amp;""))&gt;0,TRIM(A216&amp;"")&lt;&gt;"—",LEN(TRIM(B216&amp;""))&gt;0,TRIM(B216&amp;"")&lt;&gt;"—",LEN(TRIM(C216&amp;""))&gt;0,TRIM(C216&amp;"")&lt;&gt;"—",LEN(TRIM(D216&amp;""))&gt;0,TRIM(D216&amp;"")&lt;&gt;"—",LEN(TRIM(E216&amp;""))&gt;0,TRIM(E216&amp;"")&lt;&gt;"—",LEN(TRIM(F216&amp;""))&gt;0,TRIM(F216&amp;"")&lt;&gt;"—"),"PASS","⚠ FAIL — "&amp;"a required cell is empty/placeholder or wrong type")</f>
        <v>⚠ FAIL — a required cell is empty/placeholder or wrong type</v>
      </c>
    </row>
    <row r="217" spans="1:15" ht="104" x14ac:dyDescent="0.2">
      <c r="A217" s="44" t="s">
        <v>734</v>
      </c>
      <c r="B217" s="69">
        <f>INDEX('Financial model'!$A$132:$A$147,MATCH(MAX('Financial model'!$G$132:$G$147),'Financial model'!$G$132:$G$147,0))</f>
        <v>9</v>
      </c>
      <c r="C217" s="48">
        <f>IFERROR(INDEX('Financial model'!$B$132:$B$147,MATCH(B217,'Financial model'!$A$132:$A$147,0)),"—")</f>
        <v>272122.60000000003</v>
      </c>
      <c r="D217" s="70" t="str">
        <f>IFERROR(INDEX('Financial model'!$H$132:$H$147,MATCH(B217,'Financial model'!$A$132:$A$147,0)),"—")</f>
        <v>n/a</v>
      </c>
      <c r="E217" s="35" t="str">
        <f>IFERROR(INDEX('Financial model'!$F$132:$F$147,MATCH(B217,'Financial model'!$A$132:$A$147,0)),"—")</f>
        <v>n/a</v>
      </c>
      <c r="F217" s="22" t="s">
        <v>735</v>
      </c>
      <c r="G217" s="23" t="str">
        <f>IF(AND(LEN(TRIM(A217&amp;""))&gt;0,TRIM(A217&amp;"")&lt;&gt;"—",LEN(TRIM(B217&amp;""))&gt;0,TRIM(B217&amp;"")&lt;&gt;"—",LEN(TRIM(C217&amp;""))&gt;0,TRIM(C217&amp;"")&lt;&gt;"—",LEN(TRIM(D217&amp;""))&gt;0,TRIM(D217&amp;"")&lt;&gt;"—",LEN(TRIM(E217&amp;""))&gt;0,TRIM(E217&amp;"")&lt;&gt;"—",LEN(TRIM(F217&amp;""))&gt;0,TRIM(F217&amp;"")&lt;&gt;"—"),"PASS","⚠ FAIL — "&amp;"a required cell is empty/placeholder or wrong type")</f>
        <v>PASS</v>
      </c>
    </row>
    <row r="219" spans="1:15" x14ac:dyDescent="0.2">
      <c r="A219" s="6" t="s">
        <v>736</v>
      </c>
      <c r="B219" s="6"/>
      <c r="C219" s="6"/>
      <c r="D219" s="6"/>
      <c r="E219" s="6"/>
      <c r="F219" s="6"/>
    </row>
    <row r="220" spans="1:15" ht="15" customHeight="1" x14ac:dyDescent="0.2">
      <c r="A220" s="133" t="s">
        <v>737</v>
      </c>
      <c r="B220" s="133"/>
      <c r="C220" s="133"/>
      <c r="D220" s="133"/>
      <c r="E220" s="133"/>
      <c r="F220" s="133"/>
    </row>
    <row r="221" spans="1:15" x14ac:dyDescent="0.2">
      <c r="A221" s="133"/>
      <c r="B221" s="133"/>
      <c r="C221" s="133"/>
      <c r="D221" s="133"/>
      <c r="E221" s="133"/>
      <c r="F221" s="133"/>
    </row>
    <row r="222" spans="1:15" x14ac:dyDescent="0.2">
      <c r="A222" s="133"/>
      <c r="B222" s="133"/>
      <c r="C222" s="133"/>
      <c r="D222" s="133"/>
      <c r="E222" s="133"/>
      <c r="F222" s="133"/>
    </row>
    <row r="224" spans="1:15" x14ac:dyDescent="0.2">
      <c r="H224" s="24" t="s">
        <v>726</v>
      </c>
      <c r="I224" s="24" t="s">
        <v>738</v>
      </c>
      <c r="J224" s="24" t="s">
        <v>667</v>
      </c>
      <c r="K224" s="24" t="s">
        <v>739</v>
      </c>
      <c r="L224" s="24" t="s">
        <v>740</v>
      </c>
      <c r="M224" s="24" t="s">
        <v>741</v>
      </c>
      <c r="N224" s="24" t="s">
        <v>742</v>
      </c>
      <c r="O224" s="24" t="s">
        <v>655</v>
      </c>
    </row>
    <row r="225" spans="8:15" x14ac:dyDescent="0.2">
      <c r="H225" s="50">
        <f>'Financial model'!B132</f>
        <v>272122.60000000003</v>
      </c>
      <c r="I225" s="65">
        <f>'Financial model'!A132</f>
        <v>9</v>
      </c>
      <c r="J225" s="75">
        <f>IFERROR(N('Financial model'!H132)+0,NA())</f>
        <v>0</v>
      </c>
      <c r="K225" s="75">
        <f>'Inputs &amp; Assumptions'!$B$20/100</f>
        <v>0.1</v>
      </c>
      <c r="L225" s="75">
        <f>'Inputs &amp; Assumptions'!$B$21/100</f>
        <v>0.15</v>
      </c>
      <c r="M225" s="50">
        <f>'Financial model'!G132</f>
        <v>-856524.92661158927</v>
      </c>
      <c r="N225" s="65">
        <f>IF('Financial model'!E132&gt;0,MIN(40,'Financial model'!B132/'Financial model'!E132),40)</f>
        <v>40</v>
      </c>
      <c r="O225" s="75">
        <f>IFERROR('Financial model'!E132/'Financial model'!C132,0)</f>
        <v>0</v>
      </c>
    </row>
    <row r="226" spans="8:15" x14ac:dyDescent="0.2">
      <c r="H226" s="50">
        <f>'Financial model'!B133</f>
        <v>337256.65610222222</v>
      </c>
      <c r="I226" s="65">
        <f>'Financial model'!A133</f>
        <v>11.154199999999999</v>
      </c>
      <c r="J226" s="75">
        <f>IFERROR(N('Financial model'!H133)+0,NA())</f>
        <v>0</v>
      </c>
      <c r="K226" s="75">
        <f>'Inputs &amp; Assumptions'!$B$20/100</f>
        <v>0.1</v>
      </c>
      <c r="L226" s="75">
        <f>'Inputs &amp; Assumptions'!$B$21/100</f>
        <v>0.15</v>
      </c>
      <c r="M226" s="50">
        <f>'Financial model'!G133</f>
        <v>-955142.94304499822</v>
      </c>
      <c r="N226" s="65">
        <f>IF('Financial model'!E133&gt;0,MIN(40,'Financial model'!B133/'Financial model'!E133),40)</f>
        <v>40</v>
      </c>
      <c r="O226" s="75">
        <f>IFERROR('Financial model'!E133/'Financial model'!C133,0)</f>
        <v>0</v>
      </c>
    </row>
    <row r="227" spans="8:15" x14ac:dyDescent="0.2">
      <c r="H227" s="50">
        <f>'Financial model'!B134</f>
        <v>417980.31359999994</v>
      </c>
      <c r="I227" s="65">
        <f>'Financial model'!A134</f>
        <v>13.824</v>
      </c>
      <c r="J227" s="75">
        <f>IFERROR(N('Financial model'!H134)+0,NA())</f>
        <v>0</v>
      </c>
      <c r="K227" s="75">
        <f>'Inputs &amp; Assumptions'!$B$20/100</f>
        <v>0.1</v>
      </c>
      <c r="L227" s="75">
        <f>'Inputs &amp; Assumptions'!$B$21/100</f>
        <v>0.15</v>
      </c>
      <c r="M227" s="50">
        <f>'Financial model'!G134</f>
        <v>-1077364.8260056865</v>
      </c>
      <c r="N227" s="65">
        <f>IF('Financial model'!E134&gt;0,MIN(40,'Financial model'!B134/'Financial model'!E134),40)</f>
        <v>40</v>
      </c>
      <c r="O227" s="75">
        <f>IFERROR('Financial model'!E134/'Financial model'!C134,0)</f>
        <v>0</v>
      </c>
    </row>
    <row r="228" spans="8:15" x14ac:dyDescent="0.2">
      <c r="H228" s="50">
        <f>'Financial model'!B135</f>
        <v>518027.69928222219</v>
      </c>
      <c r="I228" s="65">
        <f>'Financial model'!A135</f>
        <v>17.132899999999999</v>
      </c>
      <c r="J228" s="75">
        <f>IFERROR(N('Financial model'!H135)+0,NA())</f>
        <v>0</v>
      </c>
      <c r="K228" s="75">
        <f>'Inputs &amp; Assumptions'!$B$20/100</f>
        <v>0.1</v>
      </c>
      <c r="L228" s="75">
        <f>'Inputs &amp; Assumptions'!$B$21/100</f>
        <v>0.15</v>
      </c>
      <c r="M228" s="50">
        <f>'Financial model'!G135</f>
        <v>-1228844.3332828693</v>
      </c>
      <c r="N228" s="65">
        <f>IF('Financial model'!E135&gt;0,MIN(40,'Financial model'!B135/'Financial model'!E135),40)</f>
        <v>40</v>
      </c>
      <c r="O228" s="75">
        <f>IFERROR('Financial model'!E135/'Financial model'!C135,0)</f>
        <v>0</v>
      </c>
    </row>
    <row r="229" spans="8:15" x14ac:dyDescent="0.2">
      <c r="H229" s="50">
        <f>'Financial model'!B136</f>
        <v>642018.85017999995</v>
      </c>
      <c r="I229" s="65">
        <f>'Financial model'!A136</f>
        <v>21.233699999999999</v>
      </c>
      <c r="J229" s="75">
        <f>IFERROR(N('Financial model'!H136)+0,NA())</f>
        <v>0</v>
      </c>
      <c r="K229" s="75">
        <f>'Inputs &amp; Assumptions'!$B$20/100</f>
        <v>0.1</v>
      </c>
      <c r="L229" s="75">
        <f>'Inputs &amp; Assumptions'!$B$21/100</f>
        <v>0.15</v>
      </c>
      <c r="M229" s="50">
        <f>'Financial model'!G136</f>
        <v>-1416576.5595339709</v>
      </c>
      <c r="N229" s="65">
        <f>IF('Financial model'!E136&gt;0,MIN(40,'Financial model'!B136/'Financial model'!E136),40)</f>
        <v>40</v>
      </c>
      <c r="O229" s="75">
        <f>IFERROR('Financial model'!E136/'Financial model'!C136,0)</f>
        <v>0</v>
      </c>
    </row>
    <row r="230" spans="8:15" x14ac:dyDescent="0.2">
      <c r="H230" s="50">
        <f>'Financial model'!B137</f>
        <v>795692.52956888895</v>
      </c>
      <c r="I230" s="65">
        <f>'Financial model'!A137</f>
        <v>26.316199999999998</v>
      </c>
      <c r="J230" s="75">
        <f>IFERROR(N('Financial model'!H137)+0,NA())</f>
        <v>0</v>
      </c>
      <c r="K230" s="75">
        <f>'Inputs &amp; Assumptions'!$B$20/100</f>
        <v>0.1</v>
      </c>
      <c r="L230" s="75">
        <f>'Inputs &amp; Assumptions'!$B$21/100</f>
        <v>0.15</v>
      </c>
      <c r="M230" s="50">
        <f>'Financial model'!G137</f>
        <v>-1649250.4377824166</v>
      </c>
      <c r="N230" s="65">
        <f>IF('Financial model'!E137&gt;0,MIN(40,'Financial model'!B137/'Financial model'!E137),40)</f>
        <v>40</v>
      </c>
      <c r="O230" s="75">
        <f>IFERROR('Financial model'!E137/'Financial model'!C137,0)</f>
        <v>0</v>
      </c>
    </row>
    <row r="231" spans="8:15" x14ac:dyDescent="0.2">
      <c r="H231" s="50">
        <f>'Financial model'!B138</f>
        <v>986145.09013999999</v>
      </c>
      <c r="I231" s="65">
        <f>'Financial model'!A138</f>
        <v>32.615099999999998</v>
      </c>
      <c r="J231" s="75">
        <f>IFERROR(N('Financial model'!H138)+0,NA())</f>
        <v>0</v>
      </c>
      <c r="K231" s="75">
        <f>'Inputs &amp; Assumptions'!$B$20/100</f>
        <v>0.1</v>
      </c>
      <c r="L231" s="75">
        <f>'Inputs &amp; Assumptions'!$B$21/100</f>
        <v>0.15</v>
      </c>
      <c r="M231" s="50">
        <f>'Financial model'!G138</f>
        <v>-1937610.396798478</v>
      </c>
      <c r="N231" s="65">
        <f>IF('Financial model'!E138&gt;0,MIN(40,'Financial model'!B138/'Financial model'!E138),40)</f>
        <v>40</v>
      </c>
      <c r="O231" s="75">
        <f>IFERROR('Financial model'!E138/'Financial model'!C138,0)</f>
        <v>0</v>
      </c>
    </row>
    <row r="232" spans="8:15" x14ac:dyDescent="0.2">
      <c r="H232" s="50">
        <f>'Financial model'!B139</f>
        <v>1222184.2333800001</v>
      </c>
      <c r="I232" s="65">
        <f>'Financial model'!A139</f>
        <v>40.421700000000001</v>
      </c>
      <c r="J232" s="75">
        <f>IFERROR(N('Financial model'!H139)+0,NA())</f>
        <v>0</v>
      </c>
      <c r="K232" s="75">
        <f>'Inputs &amp; Assumptions'!$B$20/100</f>
        <v>0.1</v>
      </c>
      <c r="L232" s="75">
        <f>'Inputs &amp; Assumptions'!$B$21/100</f>
        <v>0.15</v>
      </c>
      <c r="M232" s="50">
        <f>'Financial model'!G139</f>
        <v>-2294991.9802582543</v>
      </c>
      <c r="N232" s="65">
        <f>IF('Financial model'!E139&gt;0,MIN(40,'Financial model'!B139/'Financial model'!E139),40)</f>
        <v>40</v>
      </c>
      <c r="O232" s="75">
        <f>IFERROR('Financial model'!E139/'Financial model'!C139,0)</f>
        <v>0</v>
      </c>
    </row>
    <row r="233" spans="8:15" x14ac:dyDescent="0.2">
      <c r="H233" s="50">
        <f>'Financial model'!B140</f>
        <v>1514722.0755488889</v>
      </c>
      <c r="I233" s="65">
        <f>'Financial model'!A140</f>
        <v>50.096899999999998</v>
      </c>
      <c r="J233" s="75">
        <f>IFERROR(N('Financial model'!H140)+0,NA())</f>
        <v>0</v>
      </c>
      <c r="K233" s="75">
        <f>'Inputs &amp; Assumptions'!$B$20/100</f>
        <v>0.1</v>
      </c>
      <c r="L233" s="75">
        <f>'Inputs &amp; Assumptions'!$B$21/100</f>
        <v>0.15</v>
      </c>
      <c r="M233" s="50">
        <f>'Financial model'!G140</f>
        <v>-2737916.9791425355</v>
      </c>
      <c r="N233" s="65">
        <f>IF('Financial model'!E140&gt;0,MIN(40,'Financial model'!B140/'Financial model'!E140),40)</f>
        <v>40</v>
      </c>
      <c r="O233" s="75">
        <f>IFERROR('Financial model'!E140/'Financial model'!C140,0)</f>
        <v>0</v>
      </c>
    </row>
    <row r="234" spans="8:15" x14ac:dyDescent="0.2">
      <c r="H234" s="50">
        <f>'Financial model'!B141</f>
        <v>1877277.062697778</v>
      </c>
      <c r="I234" s="65">
        <f>'Financial model'!A141</f>
        <v>62.087800000000001</v>
      </c>
      <c r="J234" s="75">
        <f>IFERROR(N('Financial model'!H141)+0,NA())</f>
        <v>0</v>
      </c>
      <c r="K234" s="75">
        <f>'Inputs &amp; Assumptions'!$B$20/100</f>
        <v>0.1</v>
      </c>
      <c r="L234" s="75">
        <f>'Inputs &amp; Assumptions'!$B$21/100</f>
        <v>0.15</v>
      </c>
      <c r="M234" s="50">
        <f>'Financial model'!G141</f>
        <v>-3286853.3700307375</v>
      </c>
      <c r="N234" s="65">
        <f>IF('Financial model'!E141&gt;0,MIN(40,'Financial model'!B141/'Financial model'!E141),40)</f>
        <v>40</v>
      </c>
      <c r="O234" s="75">
        <f>IFERROR('Financial model'!E141/'Financial model'!C141,0)</f>
        <v>0</v>
      </c>
    </row>
    <row r="235" spans="8:15" x14ac:dyDescent="0.2">
      <c r="H235" s="50">
        <f>'Financial model'!B142</f>
        <v>2326614.970571111</v>
      </c>
      <c r="I235" s="65">
        <f>'Financial model'!A142</f>
        <v>76.948899999999995</v>
      </c>
      <c r="J235" s="75">
        <f>IFERROR(N('Financial model'!H142)+0,NA())</f>
        <v>0</v>
      </c>
      <c r="K235" s="75">
        <f>'Inputs &amp; Assumptions'!$B$20/100</f>
        <v>0.1</v>
      </c>
      <c r="L235" s="75">
        <f>'Inputs &amp; Assumptions'!$B$21/100</f>
        <v>0.15</v>
      </c>
      <c r="M235" s="50">
        <f>'Financial model'!G142</f>
        <v>-3967185.8387052026</v>
      </c>
      <c r="N235" s="65">
        <f>IF('Financial model'!E142&gt;0,MIN(40,'Financial model'!B142/'Financial model'!E142),40)</f>
        <v>40</v>
      </c>
      <c r="O235" s="75">
        <f>IFERROR('Financial model'!E142/'Financial model'!C142,0)</f>
        <v>0</v>
      </c>
    </row>
    <row r="236" spans="8:15" x14ac:dyDescent="0.2">
      <c r="H236" s="50">
        <f>'Financial model'!B143</f>
        <v>2883504.8007177776</v>
      </c>
      <c r="I236" s="65">
        <f>'Financial model'!A143</f>
        <v>95.367099999999994</v>
      </c>
      <c r="J236" s="75">
        <f>IFERROR(N('Financial model'!H143)+0,NA())</f>
        <v>0</v>
      </c>
      <c r="K236" s="75">
        <f>'Inputs &amp; Assumptions'!$B$20/100</f>
        <v>0.1</v>
      </c>
      <c r="L236" s="75">
        <f>'Inputs &amp; Assumptions'!$B$21/100</f>
        <v>0.15</v>
      </c>
      <c r="M236" s="50">
        <f>'Financial model'!G143</f>
        <v>-4810360.2655336363</v>
      </c>
      <c r="N236" s="65">
        <f>IF('Financial model'!E143&gt;0,MIN(40,'Financial model'!B143/'Financial model'!E143),40)</f>
        <v>40</v>
      </c>
      <c r="O236" s="75">
        <f>IFERROR('Financial model'!E143/'Financial model'!C143,0)</f>
        <v>0</v>
      </c>
    </row>
    <row r="237" spans="8:15" x14ac:dyDescent="0.2">
      <c r="H237" s="50">
        <f>'Financial model'!B144</f>
        <v>3573689.3510977775</v>
      </c>
      <c r="I237" s="65">
        <f>'Financial model'!A144</f>
        <v>118.1938</v>
      </c>
      <c r="J237" s="75">
        <f>IFERROR(N('Financial model'!H144)+0,NA())</f>
        <v>0</v>
      </c>
      <c r="K237" s="75">
        <f>'Inputs &amp; Assumptions'!$B$20/100</f>
        <v>0.1</v>
      </c>
      <c r="L237" s="75">
        <f>'Inputs &amp; Assumptions'!$B$21/100</f>
        <v>0.15</v>
      </c>
      <c r="M237" s="50">
        <f>'Financial model'!G144</f>
        <v>-5855353.2447001459</v>
      </c>
      <c r="N237" s="65">
        <f>IF('Financial model'!E144&gt;0,MIN(40,'Financial model'!B144/'Financial model'!E144),40)</f>
        <v>40</v>
      </c>
      <c r="O237" s="75">
        <f>IFERROR('Financial model'!E144/'Financial model'!C144,0)</f>
        <v>0</v>
      </c>
    </row>
    <row r="238" spans="8:15" x14ac:dyDescent="0.2">
      <c r="H238" s="50">
        <f>'Financial model'!B145</f>
        <v>4429070.4611844448</v>
      </c>
      <c r="I238" s="65">
        <f>'Financial model'!A145</f>
        <v>146.48410000000001</v>
      </c>
      <c r="J238" s="75">
        <f>IFERROR(N('Financial model'!H145)+0,NA())</f>
        <v>0</v>
      </c>
      <c r="K238" s="75">
        <f>'Inputs &amp; Assumptions'!$B$20/100</f>
        <v>0.1</v>
      </c>
      <c r="L238" s="75">
        <f>'Inputs &amp; Assumptions'!$B$21/100</f>
        <v>0.15</v>
      </c>
      <c r="M238" s="50">
        <f>'Financial model'!G145</f>
        <v>-7150466.6372848973</v>
      </c>
      <c r="N238" s="65">
        <f>IF('Financial model'!E145&gt;0,MIN(40,'Financial model'!B145/'Financial model'!E145),40)</f>
        <v>40</v>
      </c>
      <c r="O238" s="75">
        <f>IFERROR('Financial model'!E145/'Financial model'!C145,0)</f>
        <v>0</v>
      </c>
    </row>
    <row r="239" spans="8:15" x14ac:dyDescent="0.2">
      <c r="H239" s="50">
        <f>'Financial model'!B146</f>
        <v>5489193.591926666</v>
      </c>
      <c r="I239" s="65">
        <f>'Financial model'!A146</f>
        <v>181.54589999999999</v>
      </c>
      <c r="J239" s="75">
        <f>IFERROR(N('Financial model'!H146)+0,NA())</f>
        <v>0</v>
      </c>
      <c r="K239" s="75">
        <f>'Inputs &amp; Assumptions'!$B$20/100</f>
        <v>0.1</v>
      </c>
      <c r="L239" s="75">
        <f>'Inputs &amp; Assumptions'!$B$21/100</f>
        <v>0.15</v>
      </c>
      <c r="M239" s="50">
        <f>'Financial model'!G146</f>
        <v>-8755575.3405552041</v>
      </c>
      <c r="N239" s="65">
        <f>IF('Financial model'!E146&gt;0,MIN(40,'Financial model'!B146/'Financial model'!E146),40)</f>
        <v>40</v>
      </c>
      <c r="O239" s="75">
        <f>IFERROR('Financial model'!E146/'Financial model'!C146,0)</f>
        <v>0</v>
      </c>
    </row>
    <row r="240" spans="8:15" x14ac:dyDescent="0.2">
      <c r="H240" s="50">
        <f>'Financial model'!B147</f>
        <v>6803065</v>
      </c>
      <c r="I240" s="65">
        <f>'Financial model'!A147</f>
        <v>225</v>
      </c>
      <c r="J240" s="75">
        <f>IFERROR(N('Financial model'!H147)+0,NA())</f>
        <v>0</v>
      </c>
      <c r="K240" s="75">
        <f>'Inputs &amp; Assumptions'!$B$20/100</f>
        <v>0.1</v>
      </c>
      <c r="L240" s="75">
        <f>'Inputs &amp; Assumptions'!$B$21/100</f>
        <v>0.15</v>
      </c>
      <c r="M240" s="50">
        <f>'Financial model'!G147</f>
        <v>-10744878.630824909</v>
      </c>
      <c r="N240" s="65">
        <f>IF('Financial model'!E147&gt;0,MIN(40,'Financial model'!B147/'Financial model'!E147),40)</f>
        <v>40</v>
      </c>
      <c r="O240" s="75">
        <f>IFERROR('Financial model'!E147/'Financial model'!C147,0)</f>
        <v>0</v>
      </c>
    </row>
  </sheetData>
  <mergeCells count="29">
    <mergeCell ref="A207:F210"/>
    <mergeCell ref="A212:F212"/>
    <mergeCell ref="A219:F219"/>
    <mergeCell ref="A220:F222"/>
    <mergeCell ref="A177:H177"/>
    <mergeCell ref="A186:H186"/>
    <mergeCell ref="A193:H193"/>
    <mergeCell ref="A195:F195"/>
    <mergeCell ref="A204:F206"/>
    <mergeCell ref="A116:D116"/>
    <mergeCell ref="A128:H128"/>
    <mergeCell ref="A130:H130"/>
    <mergeCell ref="A149:H149"/>
    <mergeCell ref="A168:H168"/>
    <mergeCell ref="A70:H71"/>
    <mergeCell ref="A73:H73"/>
    <mergeCell ref="A75:D75"/>
    <mergeCell ref="A86:D86"/>
    <mergeCell ref="A90:D90"/>
    <mergeCell ref="A18:H18"/>
    <mergeCell ref="A20:H20"/>
    <mergeCell ref="A21:H22"/>
    <mergeCell ref="A36:H36"/>
    <mergeCell ref="A68:H68"/>
    <mergeCell ref="A1:H1"/>
    <mergeCell ref="A2:H2"/>
    <mergeCell ref="A3:H3"/>
    <mergeCell ref="A4:H4"/>
    <mergeCell ref="A5:H5"/>
  </mergeCells>
  <conditionalFormatting sqref="B84">
    <cfRule type="cellIs" dxfId="25" priority="2" operator="lessThan">
      <formula>0</formula>
    </cfRule>
  </conditionalFormatting>
  <conditionalFormatting sqref="E132:E147">
    <cfRule type="cellIs" dxfId="24" priority="3" operator="lessThan">
      <formula>0</formula>
    </cfRule>
  </conditionalFormatting>
  <hyperlinks>
    <hyperlink ref="I1" location="'Contents'!A1" display="↑ Contents" xr:uid="{00000000-0004-0000-0700-000000000000}"/>
  </hyperlinks>
  <pageMargins left="0.75" right="0.75" top="1" bottom="1" header="0.511811023622047" footer="0.511811023622047"/>
  <pageSetup paperSize="9" orientation="portrait" horizontalDpi="300" verticalDpi="30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597"/>
    <outlinePr summaryBelow="0"/>
  </sheetPr>
  <dimension ref="A1:R415"/>
  <sheetViews>
    <sheetView topLeftCell="L1" zoomScaleNormal="100" workbookViewId="0">
      <pane ySplit="4" topLeftCell="A251" activePane="bottomLeft" state="frozen"/>
      <selection pane="bottomLeft" activeCell="U254" sqref="U254"/>
    </sheetView>
  </sheetViews>
  <sheetFormatPr baseColWidth="10" defaultColWidth="8.6640625" defaultRowHeight="15" outlineLevelRow="1" x14ac:dyDescent="0.2"/>
  <cols>
    <col min="1" max="1" width="12" customWidth="1"/>
    <col min="2" max="2" width="46" customWidth="1"/>
    <col min="3" max="3" width="8" customWidth="1"/>
    <col min="4" max="5" width="12" customWidth="1"/>
    <col min="6" max="6" width="18" customWidth="1"/>
    <col min="7" max="7" width="30" customWidth="1"/>
    <col min="8" max="8" width="22" customWidth="1"/>
    <col min="9" max="9" width="10" customWidth="1"/>
    <col min="10" max="10" width="12" customWidth="1"/>
    <col min="11" max="11" width="30" customWidth="1"/>
    <col min="12" max="12" width="22" customWidth="1"/>
    <col min="13" max="13" width="50" customWidth="1"/>
    <col min="14" max="14" width="30" customWidth="1"/>
    <col min="15" max="15" width="34" customWidth="1"/>
    <col min="16" max="16" width="13" customWidth="1"/>
  </cols>
  <sheetData>
    <row r="1" spans="1:18" ht="25.5" customHeight="1" x14ac:dyDescent="0.2">
      <c r="A1" s="12" t="s">
        <v>93</v>
      </c>
      <c r="B1" s="12"/>
      <c r="C1" s="12"/>
      <c r="D1" s="12"/>
      <c r="E1" s="12"/>
      <c r="F1" s="12"/>
      <c r="G1" s="12"/>
      <c r="H1" s="12"/>
      <c r="I1" s="12"/>
      <c r="J1" s="12"/>
      <c r="K1" s="12"/>
      <c r="L1" s="12"/>
      <c r="M1" s="12"/>
      <c r="N1" s="12"/>
      <c r="O1" s="12"/>
      <c r="P1" s="30" t="s">
        <v>140</v>
      </c>
    </row>
    <row r="2" spans="1:18" ht="30" customHeight="1" x14ac:dyDescent="0.2">
      <c r="A2" s="11" t="str">
        <f>"⬤ TAB QUALITY "&amp;IF(ISNUMBER('Quality &amp; Audit'!$B$37),IF('Quality &amp; Audit'!$B$37=INT('Quality &amp; Audit'!$B$37),TEXT('Quality &amp; Audit'!$B$37,"0"),TEXT('Quality &amp; Audit'!$B$37,"0.0")),"—")&amp;"/10 · "&amp;IF(ISNUMBER('Quality &amp; Audit'!$B$37),IF('Quality &amp; Audit'!$B$37&gt;=8,"PASS","FAIL"),"UNSCORED")&amp;" (target ≥8, live from the Quality &amp; Audit score cell)"&amp;" · column-contract arithmetic: 10 × 417/417 rows passing; content checks: BoM ledger column contract (per-row Row check) — cell completeness+type contract 2895/2917 · score…"&amp;" · full audit: Quality &amp; Audit tab"</f>
        <v>⬤ TAB QUALITY 9.9/10 · PASS (target ≥8, live from the Quality &amp; Audit score cell) · column-contract arithmetic: 10 × 417/417 rows passing; content checks: BoM ledger column contract (per-row Row check) — cell completeness+type contract 2895/2917 · score… · full audit: Quality &amp; Audit tab</v>
      </c>
      <c r="B2" s="11"/>
      <c r="C2" s="11"/>
      <c r="D2" s="11"/>
      <c r="E2" s="11"/>
      <c r="F2" s="11"/>
      <c r="G2" s="11"/>
      <c r="H2" s="11"/>
      <c r="I2" s="11"/>
      <c r="J2" s="11"/>
      <c r="K2" s="11"/>
      <c r="L2" s="11"/>
      <c r="M2" s="11"/>
      <c r="N2" s="11"/>
      <c r="O2" s="11"/>
    </row>
    <row r="3" spans="1:18" ht="66.75" customHeight="1" x14ac:dyDescent="0.2">
      <c r="A3" s="10" t="s">
        <v>743</v>
      </c>
      <c r="B3" s="10"/>
      <c r="C3" s="10"/>
      <c r="D3" s="10"/>
      <c r="E3" s="10"/>
      <c r="F3" s="10"/>
      <c r="G3" s="10"/>
      <c r="H3" s="10"/>
      <c r="I3" s="10"/>
      <c r="J3" s="10"/>
      <c r="K3" s="10"/>
      <c r="L3" s="10"/>
      <c r="M3" s="10"/>
      <c r="N3" s="10"/>
      <c r="O3" s="10"/>
      <c r="R3" s="145" t="s">
        <v>4566</v>
      </c>
    </row>
    <row r="4" spans="1:18" ht="24" x14ac:dyDescent="0.2">
      <c r="A4" s="16" t="s">
        <v>304</v>
      </c>
      <c r="B4" s="16" t="s">
        <v>597</v>
      </c>
      <c r="C4" s="16" t="s">
        <v>744</v>
      </c>
      <c r="D4" s="16" t="s">
        <v>745</v>
      </c>
      <c r="E4" s="16" t="s">
        <v>746</v>
      </c>
      <c r="F4" s="16" t="s">
        <v>747</v>
      </c>
      <c r="G4" s="16" t="s">
        <v>748</v>
      </c>
      <c r="H4" s="16" t="s">
        <v>749</v>
      </c>
      <c r="I4" s="16" t="s">
        <v>750</v>
      </c>
      <c r="J4" s="16" t="s">
        <v>751</v>
      </c>
      <c r="K4" s="16" t="s">
        <v>752</v>
      </c>
      <c r="L4" s="16" t="s">
        <v>314</v>
      </c>
      <c r="M4" s="16" t="s">
        <v>753</v>
      </c>
      <c r="N4" s="16" t="s">
        <v>754</v>
      </c>
      <c r="O4" s="16" t="s">
        <v>755</v>
      </c>
      <c r="P4" s="76" t="s">
        <v>756</v>
      </c>
      <c r="Q4" s="17" t="s">
        <v>20</v>
      </c>
    </row>
    <row r="5" spans="1:18" ht="39" x14ac:dyDescent="0.2">
      <c r="A5" s="18" t="str">
        <f>'Part names'!$A$26</f>
        <v>X-104</v>
      </c>
      <c r="B5" s="39" t="str">
        <f>'Part names'!$B$26</f>
        <v>Electrical Control Panel</v>
      </c>
      <c r="C5" s="32">
        <v>1</v>
      </c>
      <c r="D5" s="48">
        <v>800</v>
      </c>
      <c r="E5" s="48">
        <v>800</v>
      </c>
      <c r="F5" s="18" t="s">
        <v>757</v>
      </c>
      <c r="G5" s="22" t="s">
        <v>758</v>
      </c>
      <c r="H5" s="22" t="s">
        <v>759</v>
      </c>
      <c r="I5" s="18">
        <v>4</v>
      </c>
      <c r="J5" s="18" t="s">
        <v>760</v>
      </c>
      <c r="K5" s="22" t="s">
        <v>446</v>
      </c>
      <c r="L5" s="22" t="s">
        <v>761</v>
      </c>
      <c r="M5" s="22" t="s">
        <v>762</v>
      </c>
      <c r="N5" s="39" t="s">
        <v>763</v>
      </c>
      <c r="O5" s="77" t="str">
        <f t="shared" ref="O5:O15" si="0">IF(AND(LEN(TRIM($B5&amp;""))&gt;0,ISNUMBER($C5),$C5&gt;0,ISNUMBER($D5),$D5&gt;0,ISNUMBER($E5),$E5&gt;0,ABS($E5-$C5*$D5)&lt;=MAX(1,0.005*ABS($E5)),LEN(TRIM($M5&amp;""))&gt;0,TRIM($M5&amp;"")&lt;&gt;"—",LEN(TRIM($P5&amp;""))=0),"PASS","FAIL — "&amp;IF(LEN(TRIM($P5&amp;""))&gt;0,TRIM($P5&amp;""),"line ≠ qty×unit, a required cell empty, or qty/£ non-positive"))</f>
        <v>PASS</v>
      </c>
      <c r="P5" s="78"/>
      <c r="Q5" s="23" t="str">
        <f t="shared" ref="Q5:Q15" si="1">IF(AND(LEN(TRIM(A5&amp;""))&gt;0,TRIM(A5&amp;"")&lt;&gt;"—",LEN(TRIM(B5&amp;""))&gt;0,TRIM(B5&amp;"")&lt;&gt;"—",LEN(TRIM(C5&amp;""))&gt;0,TRIM(C5&amp;"")&lt;&gt;"—",ISNUMBER(C5),LEN(TRIM(D5&amp;""))&gt;0,TRIM(D5&amp;"")&lt;&gt;"—",ISNUMBER(D5),LEN(TRIM(E5&amp;""))&gt;0,TRIM(E5&amp;"")&lt;&gt;"—",ISNUMBER(E5),LEN(TRIM(F5&amp;""))&gt;0,TRIM(F5&amp;"")&lt;&gt;"—",LEN(TRIM(I5&amp;""))&gt;0,TRIM(I5&amp;"")&lt;&gt;"—",LEN(TRIM(J5&amp;""))&gt;0,TRIM(J5&amp;"")&lt;&gt;"—",LEN(TRIM(O5&amp;""))&gt;0,TRIM(O5&amp;"")&lt;&gt;"—"),"PASS","⚠ FAIL — "&amp;"a required cell is empty/placeholder or wrong type")</f>
        <v>PASS</v>
      </c>
    </row>
    <row r="6" spans="1:18" ht="39" x14ac:dyDescent="0.2">
      <c r="A6" s="18" t="str">
        <f>'Part names'!$A$11</f>
        <v>X-107 / X-110</v>
      </c>
      <c r="B6" s="39" t="str">
        <f>'Part names'!$B$11</f>
        <v>Circuit Breaker</v>
      </c>
      <c r="C6" s="32">
        <v>2</v>
      </c>
      <c r="D6" s="48">
        <v>283</v>
      </c>
      <c r="E6" s="48">
        <v>566</v>
      </c>
      <c r="F6" s="18" t="s">
        <v>248</v>
      </c>
      <c r="G6" s="22" t="s">
        <v>764</v>
      </c>
      <c r="H6" s="22" t="s">
        <v>248</v>
      </c>
      <c r="I6" s="18">
        <v>2</v>
      </c>
      <c r="J6" s="18" t="s">
        <v>765</v>
      </c>
      <c r="K6" s="22" t="s">
        <v>766</v>
      </c>
      <c r="L6" s="22" t="s">
        <v>761</v>
      </c>
      <c r="M6" s="22" t="s">
        <v>248</v>
      </c>
      <c r="N6" s="39" t="s">
        <v>767</v>
      </c>
      <c r="O6" s="77" t="str">
        <f t="shared" si="0"/>
        <v>PASS</v>
      </c>
      <c r="P6" s="78"/>
      <c r="Q6" s="23" t="str">
        <f t="shared" si="1"/>
        <v>PASS</v>
      </c>
    </row>
    <row r="7" spans="1:18" ht="39" x14ac:dyDescent="0.2">
      <c r="A7" s="18" t="str">
        <f>'Part names'!$A$81</f>
        <v>X-108 / X-111</v>
      </c>
      <c r="B7" s="39" t="str">
        <f>'Part names'!$B$81</f>
        <v>Terminal Block</v>
      </c>
      <c r="C7" s="32">
        <v>2</v>
      </c>
      <c r="D7" s="48">
        <v>1.5</v>
      </c>
      <c r="E7" s="48">
        <v>3</v>
      </c>
      <c r="F7" s="18" t="s">
        <v>248</v>
      </c>
      <c r="G7" s="22" t="s">
        <v>764</v>
      </c>
      <c r="H7" s="22" t="s">
        <v>248</v>
      </c>
      <c r="I7" s="18">
        <v>2</v>
      </c>
      <c r="J7" s="18" t="s">
        <v>765</v>
      </c>
      <c r="K7" s="22" t="s">
        <v>768</v>
      </c>
      <c r="L7" s="22" t="s">
        <v>761</v>
      </c>
      <c r="M7" s="22" t="s">
        <v>248</v>
      </c>
      <c r="N7" s="39" t="s">
        <v>769</v>
      </c>
      <c r="O7" s="77" t="str">
        <f t="shared" si="0"/>
        <v>PASS</v>
      </c>
      <c r="P7" s="78"/>
      <c r="Q7" s="23" t="str">
        <f t="shared" si="1"/>
        <v>PASS</v>
      </c>
    </row>
    <row r="8" spans="1:18" ht="39" x14ac:dyDescent="0.2">
      <c r="A8" s="18" t="str">
        <f>'Part names'!$A$6</f>
        <v>D-101</v>
      </c>
      <c r="B8" s="39" t="str">
        <f>'Part names'!$B$6</f>
        <v>3 Phase Power Input</v>
      </c>
      <c r="C8" s="32">
        <v>1</v>
      </c>
      <c r="D8" s="48">
        <v>168</v>
      </c>
      <c r="E8" s="48">
        <v>168</v>
      </c>
      <c r="F8" s="18" t="s">
        <v>248</v>
      </c>
      <c r="G8" s="22" t="s">
        <v>764</v>
      </c>
      <c r="H8" s="22" t="s">
        <v>248</v>
      </c>
      <c r="I8" s="18">
        <v>2</v>
      </c>
      <c r="J8" s="18" t="s">
        <v>765</v>
      </c>
      <c r="K8" s="22" t="s">
        <v>320</v>
      </c>
      <c r="L8" s="22" t="s">
        <v>761</v>
      </c>
      <c r="M8" s="22" t="s">
        <v>248</v>
      </c>
      <c r="N8" s="39" t="s">
        <v>770</v>
      </c>
      <c r="O8" s="77" t="str">
        <f t="shared" si="0"/>
        <v>PASS</v>
      </c>
      <c r="P8" s="78"/>
      <c r="Q8" s="23" t="str">
        <f t="shared" si="1"/>
        <v>PASS</v>
      </c>
    </row>
    <row r="9" spans="1:18" ht="39" x14ac:dyDescent="0.2">
      <c r="A9" s="18" t="str">
        <f>'Part names'!$A$17</f>
        <v>X-109</v>
      </c>
      <c r="B9" s="39" t="str">
        <f>'Part names'!$B$17</f>
        <v>DC Power Cabling</v>
      </c>
      <c r="C9" s="32">
        <v>1</v>
      </c>
      <c r="D9" s="48">
        <v>3</v>
      </c>
      <c r="E9" s="48">
        <v>3</v>
      </c>
      <c r="F9" s="18" t="s">
        <v>771</v>
      </c>
      <c r="G9" s="22" t="s">
        <v>772</v>
      </c>
      <c r="H9" s="22" t="s">
        <v>773</v>
      </c>
      <c r="I9" s="18">
        <v>5</v>
      </c>
      <c r="J9" s="18" t="s">
        <v>774</v>
      </c>
      <c r="K9" s="22" t="s">
        <v>775</v>
      </c>
      <c r="L9" s="22" t="s">
        <v>761</v>
      </c>
      <c r="M9" s="22" t="s">
        <v>776</v>
      </c>
      <c r="N9" s="22" t="s">
        <v>777</v>
      </c>
      <c r="O9" s="77" t="str">
        <f t="shared" si="0"/>
        <v>PASS</v>
      </c>
      <c r="P9" s="78"/>
      <c r="Q9" s="23" t="str">
        <f t="shared" si="1"/>
        <v>PASS</v>
      </c>
    </row>
    <row r="10" spans="1:18" ht="39" x14ac:dyDescent="0.2">
      <c r="A10" s="18" t="str">
        <f>'Part names'!$A$78</f>
        <v>G-201</v>
      </c>
      <c r="B10" s="39" t="str">
        <f>'Part names'!$B$78 &amp; "  · 60 kVA · 862x733x948 mm"</f>
        <v>Standby Diesel Generator  · 60 kVA · 862x733x948 mm</v>
      </c>
      <c r="C10" s="32">
        <v>1</v>
      </c>
      <c r="D10" s="48">
        <v>19200</v>
      </c>
      <c r="E10" s="48">
        <v>19200</v>
      </c>
      <c r="F10" s="18" t="s">
        <v>757</v>
      </c>
      <c r="G10" s="22" t="s">
        <v>778</v>
      </c>
      <c r="H10" s="22" t="s">
        <v>779</v>
      </c>
      <c r="I10" s="18">
        <v>4</v>
      </c>
      <c r="J10" s="18" t="s">
        <v>774</v>
      </c>
      <c r="K10" s="22" t="s">
        <v>780</v>
      </c>
      <c r="L10" s="22" t="s">
        <v>761</v>
      </c>
      <c r="M10" s="22" t="s">
        <v>781</v>
      </c>
      <c r="N10" s="39" t="s">
        <v>782</v>
      </c>
      <c r="O10" s="77" t="str">
        <f t="shared" si="0"/>
        <v>PASS</v>
      </c>
      <c r="P10" s="78"/>
      <c r="Q10" s="23" t="str">
        <f t="shared" si="1"/>
        <v>PASS</v>
      </c>
    </row>
    <row r="11" spans="1:18" ht="39" x14ac:dyDescent="0.2">
      <c r="A11" s="18" t="str">
        <f>'Part names'!$A$16</f>
        <v>U-201</v>
      </c>
      <c r="B11" s="39" t="str">
        <f>'Part names'!$B$16 &amp; "  · 5 kW (30 min) · 600x510x660 mm"</f>
        <v>Control + Instrument UPS  · 5 kW (30 min) · 600x510x660 mm</v>
      </c>
      <c r="C11" s="32">
        <v>1</v>
      </c>
      <c r="D11" s="48">
        <v>4000</v>
      </c>
      <c r="E11" s="48">
        <v>4000</v>
      </c>
      <c r="F11" s="18" t="s">
        <v>757</v>
      </c>
      <c r="G11" s="22" t="s">
        <v>783</v>
      </c>
      <c r="H11" s="22" t="s">
        <v>784</v>
      </c>
      <c r="I11" s="18">
        <v>4</v>
      </c>
      <c r="J11" s="18" t="s">
        <v>760</v>
      </c>
      <c r="K11" s="22" t="s">
        <v>785</v>
      </c>
      <c r="L11" s="22" t="s">
        <v>761</v>
      </c>
      <c r="M11" s="22" t="s">
        <v>786</v>
      </c>
      <c r="N11" s="39" t="s">
        <v>787</v>
      </c>
      <c r="O11" s="77" t="str">
        <f t="shared" si="0"/>
        <v>PASS</v>
      </c>
      <c r="P11" s="78"/>
      <c r="Q11" s="23" t="str">
        <f t="shared" si="1"/>
        <v>PASS</v>
      </c>
    </row>
    <row r="12" spans="1:18" ht="52" x14ac:dyDescent="0.2">
      <c r="A12" s="18" t="str">
        <f>'Part names'!$A$73</f>
        <v>EP-103</v>
      </c>
      <c r="B12" s="39" t="str">
        <f>'Part names'!$B$73 &amp; "  · 53 kW plant"</f>
        <v>SCADA / Plant Control System  · 53 kW plant</v>
      </c>
      <c r="C12" s="32">
        <v>1</v>
      </c>
      <c r="D12" s="48">
        <v>62650</v>
      </c>
      <c r="E12" s="48">
        <v>62650</v>
      </c>
      <c r="F12" s="18" t="s">
        <v>757</v>
      </c>
      <c r="G12" s="22" t="s">
        <v>788</v>
      </c>
      <c r="H12" s="22" t="s">
        <v>789</v>
      </c>
      <c r="I12" s="18">
        <v>4</v>
      </c>
      <c r="J12" s="18" t="s">
        <v>774</v>
      </c>
      <c r="K12" s="22" t="s">
        <v>790</v>
      </c>
      <c r="L12" s="22" t="s">
        <v>761</v>
      </c>
      <c r="M12" s="22" t="s">
        <v>791</v>
      </c>
      <c r="N12" s="39" t="s">
        <v>792</v>
      </c>
      <c r="O12" s="77" t="str">
        <f t="shared" si="0"/>
        <v>PASS</v>
      </c>
      <c r="P12" s="78"/>
      <c r="Q12" s="23" t="str">
        <f t="shared" si="1"/>
        <v>PASS</v>
      </c>
    </row>
    <row r="13" spans="1:18" ht="39" x14ac:dyDescent="0.2">
      <c r="A13" s="18" t="str">
        <f>'Part names'!$A$21</f>
        <v>TX-102</v>
      </c>
      <c r="B13" s="39" t="str">
        <f>'Part names'!$B$21 &amp; "  · 75 kVA"</f>
        <v>Distribution Transformer  · 75 kVA</v>
      </c>
      <c r="C13" s="32">
        <v>1</v>
      </c>
      <c r="D13" s="48">
        <v>3000</v>
      </c>
      <c r="E13" s="48">
        <v>3000</v>
      </c>
      <c r="F13" s="18" t="s">
        <v>757</v>
      </c>
      <c r="G13" s="22" t="s">
        <v>793</v>
      </c>
      <c r="H13" s="22" t="s">
        <v>794</v>
      </c>
      <c r="I13" s="18">
        <v>4</v>
      </c>
      <c r="J13" s="18" t="s">
        <v>774</v>
      </c>
      <c r="K13" s="22" t="s">
        <v>795</v>
      </c>
      <c r="L13" s="22" t="s">
        <v>761</v>
      </c>
      <c r="M13" s="22" t="s">
        <v>796</v>
      </c>
      <c r="N13" s="39" t="s">
        <v>797</v>
      </c>
      <c r="O13" s="77" t="str">
        <f t="shared" si="0"/>
        <v>PASS</v>
      </c>
      <c r="P13" s="78"/>
      <c r="Q13" s="23" t="str">
        <f t="shared" si="1"/>
        <v>PASS</v>
      </c>
    </row>
    <row r="14" spans="1:18" ht="39" x14ac:dyDescent="0.2">
      <c r="A14" s="18" t="str">
        <f>'Part names'!$A$53</f>
        <v>EP-104</v>
      </c>
      <c r="B14" s="39" t="str">
        <f>'Part names'!$B$53</f>
        <v>Motor Control Center</v>
      </c>
      <c r="C14" s="32">
        <v>1</v>
      </c>
      <c r="D14" s="48">
        <v>3000</v>
      </c>
      <c r="E14" s="48">
        <v>3000</v>
      </c>
      <c r="F14" s="18" t="s">
        <v>771</v>
      </c>
      <c r="G14" s="22" t="s">
        <v>772</v>
      </c>
      <c r="H14" s="22" t="s">
        <v>759</v>
      </c>
      <c r="I14" s="18">
        <v>5</v>
      </c>
      <c r="J14" s="18" t="s">
        <v>774</v>
      </c>
      <c r="K14" s="22" t="s">
        <v>339</v>
      </c>
      <c r="L14" s="22" t="s">
        <v>761</v>
      </c>
      <c r="M14" s="22" t="s">
        <v>762</v>
      </c>
      <c r="N14" s="39" t="s">
        <v>798</v>
      </c>
      <c r="O14" s="77" t="str">
        <f t="shared" si="0"/>
        <v>PASS</v>
      </c>
      <c r="P14" s="78"/>
      <c r="Q14" s="23" t="str">
        <f t="shared" si="1"/>
        <v>PASS</v>
      </c>
    </row>
    <row r="15" spans="1:18" ht="32" collapsed="1" x14ac:dyDescent="0.2">
      <c r="A15" s="18" t="str">
        <f>'Part names'!$A$82</f>
        <v>F-1</v>
      </c>
      <c r="B15" s="39" t="str">
        <f>'Part names'!$B$82 &amp; "  · 364 m² area"</f>
        <v>Toray HFU-2020AN RO Membrane Elements  · 364 m² area</v>
      </c>
      <c r="C15" s="32">
        <v>1</v>
      </c>
      <c r="D15" s="48">
        <v>9100</v>
      </c>
      <c r="E15" s="48">
        <v>9100</v>
      </c>
      <c r="F15" s="18" t="s">
        <v>757</v>
      </c>
      <c r="G15" s="22" t="s">
        <v>799</v>
      </c>
      <c r="H15" s="22" t="s">
        <v>800</v>
      </c>
      <c r="I15" s="18">
        <v>4</v>
      </c>
      <c r="J15" s="18" t="s">
        <v>774</v>
      </c>
      <c r="K15" s="22" t="s">
        <v>801</v>
      </c>
      <c r="L15" s="39" t="s">
        <v>802</v>
      </c>
      <c r="M15" s="22" t="s">
        <v>803</v>
      </c>
      <c r="N15" s="39" t="s">
        <v>804</v>
      </c>
      <c r="O15" s="77" t="str">
        <f t="shared" si="0"/>
        <v>PASS</v>
      </c>
      <c r="P15" s="78"/>
      <c r="Q15" s="23" t="str">
        <f t="shared" si="1"/>
        <v>PASS</v>
      </c>
    </row>
    <row r="16" spans="1:18" ht="16" hidden="1" outlineLevel="1" x14ac:dyDescent="0.2">
      <c r="A16" s="18" t="s">
        <v>805</v>
      </c>
      <c r="B16" s="39" t="s">
        <v>806</v>
      </c>
      <c r="C16" s="32">
        <v>1</v>
      </c>
      <c r="D16" s="18" t="s">
        <v>807</v>
      </c>
      <c r="E16" s="18" t="s">
        <v>374</v>
      </c>
      <c r="F16" s="18" t="s">
        <v>757</v>
      </c>
      <c r="G16" s="22" t="s">
        <v>808</v>
      </c>
      <c r="H16" s="22"/>
      <c r="I16" s="18">
        <v>4</v>
      </c>
      <c r="J16" s="18" t="s">
        <v>774</v>
      </c>
      <c r="O16" s="77" t="str">
        <f t="shared" ref="O16:O25" si="2">IF(AND(LEN(TRIM($B16&amp;""))&gt;0,LEN(TRIM($P16&amp;""))=0),"PASS","FAIL — "&amp;IF(LEN(TRIM($P16&amp;""))&gt;0,TRIM($P16&amp;""),"line ≠ qty×unit, a required cell empty, or qty/£ non-positive"))</f>
        <v>PASS</v>
      </c>
      <c r="P16" s="78"/>
      <c r="Q16" s="23" t="str">
        <f t="shared" ref="Q16:Q25" si="3">IF(AND(LEN(TRIM(B16&amp;""))&gt;0,TRIM(B16&amp;"")&lt;&gt;"—",LEN(TRIM(C16&amp;""))&gt;0,TRIM(C16&amp;"")&lt;&gt;"—",ISNUMBER(C16),LEN(TRIM(F16&amp;""))&gt;0,TRIM(F16&amp;"")&lt;&gt;"—",LEN(TRIM(I16&amp;""))&gt;0,TRIM(I16&amp;"")&lt;&gt;"—",LEN(TRIM(J16&amp;""))&gt;0,TRIM(J16&amp;"")&lt;&gt;"—",LEN(TRIM(O16&amp;""))&gt;0,TRIM(O16&amp;"")&lt;&gt;"—"),"PASS","⚠ FAIL — "&amp;"a required cell is empty/placeholder or wrong type")</f>
        <v>PASS</v>
      </c>
    </row>
    <row r="17" spans="1:17" ht="16" hidden="1" outlineLevel="1" x14ac:dyDescent="0.2">
      <c r="A17" s="18" t="s">
        <v>809</v>
      </c>
      <c r="B17" s="39" t="s">
        <v>810</v>
      </c>
      <c r="C17" s="32">
        <v>1</v>
      </c>
      <c r="D17" s="18" t="s">
        <v>807</v>
      </c>
      <c r="E17" s="18" t="s">
        <v>374</v>
      </c>
      <c r="F17" s="18" t="s">
        <v>757</v>
      </c>
      <c r="G17" s="22" t="s">
        <v>808</v>
      </c>
      <c r="H17" s="22"/>
      <c r="I17" s="18">
        <v>4</v>
      </c>
      <c r="J17" s="18" t="s">
        <v>774</v>
      </c>
      <c r="O17" s="77" t="str">
        <f t="shared" si="2"/>
        <v>PASS</v>
      </c>
      <c r="P17" s="78"/>
      <c r="Q17" s="23" t="str">
        <f t="shared" si="3"/>
        <v>PASS</v>
      </c>
    </row>
    <row r="18" spans="1:17" ht="16" hidden="1" outlineLevel="1" x14ac:dyDescent="0.2">
      <c r="A18" s="18" t="s">
        <v>811</v>
      </c>
      <c r="B18" s="39" t="s">
        <v>812</v>
      </c>
      <c r="C18" s="32">
        <v>1</v>
      </c>
      <c r="D18" s="18" t="s">
        <v>807</v>
      </c>
      <c r="E18" s="18" t="s">
        <v>374</v>
      </c>
      <c r="F18" s="18" t="s">
        <v>771</v>
      </c>
      <c r="G18" s="22" t="s">
        <v>808</v>
      </c>
      <c r="H18" s="22"/>
      <c r="I18" s="18">
        <v>5</v>
      </c>
      <c r="J18" s="18" t="s">
        <v>774</v>
      </c>
      <c r="O18" s="77" t="str">
        <f t="shared" si="2"/>
        <v>PASS</v>
      </c>
      <c r="P18" s="78"/>
      <c r="Q18" s="23" t="str">
        <f t="shared" si="3"/>
        <v>PASS</v>
      </c>
    </row>
    <row r="19" spans="1:17" ht="16" hidden="1" outlineLevel="1" x14ac:dyDescent="0.2">
      <c r="A19" s="18" t="s">
        <v>813</v>
      </c>
      <c r="B19" s="39" t="s">
        <v>814</v>
      </c>
      <c r="C19" s="32">
        <v>1</v>
      </c>
      <c r="D19" s="18" t="s">
        <v>807</v>
      </c>
      <c r="E19" s="18" t="s">
        <v>374</v>
      </c>
      <c r="F19" s="18" t="s">
        <v>771</v>
      </c>
      <c r="G19" s="22" t="s">
        <v>808</v>
      </c>
      <c r="H19" s="22"/>
      <c r="I19" s="18">
        <v>5</v>
      </c>
      <c r="J19" s="18" t="s">
        <v>774</v>
      </c>
      <c r="O19" s="77" t="str">
        <f t="shared" si="2"/>
        <v>PASS</v>
      </c>
      <c r="P19" s="78"/>
      <c r="Q19" s="23" t="str">
        <f t="shared" si="3"/>
        <v>PASS</v>
      </c>
    </row>
    <row r="20" spans="1:17" ht="16" hidden="1" outlineLevel="1" x14ac:dyDescent="0.2">
      <c r="A20" s="18" t="s">
        <v>815</v>
      </c>
      <c r="B20" s="39" t="s">
        <v>816</v>
      </c>
      <c r="C20" s="32">
        <v>1</v>
      </c>
      <c r="D20" s="18" t="s">
        <v>807</v>
      </c>
      <c r="E20" s="18" t="s">
        <v>374</v>
      </c>
      <c r="F20" s="18" t="s">
        <v>757</v>
      </c>
      <c r="G20" s="22" t="s">
        <v>808</v>
      </c>
      <c r="H20" s="22"/>
      <c r="I20" s="18">
        <v>4</v>
      </c>
      <c r="J20" s="18" t="s">
        <v>774</v>
      </c>
      <c r="O20" s="77" t="str">
        <f t="shared" si="2"/>
        <v>PASS</v>
      </c>
      <c r="P20" s="78"/>
      <c r="Q20" s="23" t="str">
        <f t="shared" si="3"/>
        <v>PASS</v>
      </c>
    </row>
    <row r="21" spans="1:17" ht="16" hidden="1" outlineLevel="1" x14ac:dyDescent="0.2">
      <c r="A21" s="18" t="s">
        <v>817</v>
      </c>
      <c r="B21" s="39" t="s">
        <v>818</v>
      </c>
      <c r="C21" s="32">
        <v>1</v>
      </c>
      <c r="D21" s="18" t="s">
        <v>807</v>
      </c>
      <c r="E21" s="18" t="s">
        <v>374</v>
      </c>
      <c r="F21" s="18" t="s">
        <v>771</v>
      </c>
      <c r="G21" s="22" t="s">
        <v>808</v>
      </c>
      <c r="H21" s="22"/>
      <c r="I21" s="18">
        <v>5</v>
      </c>
      <c r="J21" s="18" t="s">
        <v>774</v>
      </c>
      <c r="O21" s="77" t="str">
        <f t="shared" si="2"/>
        <v>PASS</v>
      </c>
      <c r="P21" s="78"/>
      <c r="Q21" s="23" t="str">
        <f t="shared" si="3"/>
        <v>PASS</v>
      </c>
    </row>
    <row r="22" spans="1:17" ht="16" hidden="1" outlineLevel="1" x14ac:dyDescent="0.2">
      <c r="A22" s="18" t="s">
        <v>819</v>
      </c>
      <c r="B22" s="39" t="s">
        <v>820</v>
      </c>
      <c r="C22" s="32">
        <v>1</v>
      </c>
      <c r="D22" s="18" t="s">
        <v>807</v>
      </c>
      <c r="E22" s="18" t="s">
        <v>374</v>
      </c>
      <c r="F22" s="18" t="s">
        <v>771</v>
      </c>
      <c r="G22" s="22" t="s">
        <v>808</v>
      </c>
      <c r="H22" s="22"/>
      <c r="I22" s="18">
        <v>5</v>
      </c>
      <c r="J22" s="18" t="s">
        <v>774</v>
      </c>
      <c r="O22" s="77" t="str">
        <f t="shared" si="2"/>
        <v>PASS</v>
      </c>
      <c r="P22" s="78"/>
      <c r="Q22" s="23" t="str">
        <f t="shared" si="3"/>
        <v>PASS</v>
      </c>
    </row>
    <row r="23" spans="1:17" ht="16" hidden="1" outlineLevel="1" x14ac:dyDescent="0.2">
      <c r="A23" s="18" t="s">
        <v>821</v>
      </c>
      <c r="B23" s="39" t="s">
        <v>822</v>
      </c>
      <c r="C23" s="32">
        <v>1</v>
      </c>
      <c r="D23" s="18" t="s">
        <v>807</v>
      </c>
      <c r="E23" s="18" t="s">
        <v>374</v>
      </c>
      <c r="F23" s="18" t="s">
        <v>757</v>
      </c>
      <c r="G23" s="22" t="s">
        <v>808</v>
      </c>
      <c r="H23" s="22"/>
      <c r="I23" s="18">
        <v>4</v>
      </c>
      <c r="J23" s="18" t="s">
        <v>774</v>
      </c>
      <c r="O23" s="77" t="str">
        <f t="shared" si="2"/>
        <v>PASS</v>
      </c>
      <c r="P23" s="78"/>
      <c r="Q23" s="23" t="str">
        <f t="shared" si="3"/>
        <v>PASS</v>
      </c>
    </row>
    <row r="24" spans="1:17" ht="16" hidden="1" outlineLevel="1" x14ac:dyDescent="0.2">
      <c r="A24" s="18" t="s">
        <v>823</v>
      </c>
      <c r="B24" s="39" t="s">
        <v>824</v>
      </c>
      <c r="C24" s="32">
        <v>1</v>
      </c>
      <c r="D24" s="18" t="s">
        <v>807</v>
      </c>
      <c r="E24" s="18" t="s">
        <v>374</v>
      </c>
      <c r="F24" s="18" t="s">
        <v>757</v>
      </c>
      <c r="G24" s="22" t="s">
        <v>808</v>
      </c>
      <c r="H24" s="22"/>
      <c r="I24" s="18">
        <v>4</v>
      </c>
      <c r="J24" s="18" t="s">
        <v>774</v>
      </c>
      <c r="O24" s="77" t="str">
        <f t="shared" si="2"/>
        <v>PASS</v>
      </c>
      <c r="P24" s="78"/>
      <c r="Q24" s="23" t="str">
        <f t="shared" si="3"/>
        <v>PASS</v>
      </c>
    </row>
    <row r="25" spans="1:17" ht="16" hidden="1" outlineLevel="1" x14ac:dyDescent="0.2">
      <c r="A25" s="18" t="s">
        <v>825</v>
      </c>
      <c r="B25" s="39" t="s">
        <v>826</v>
      </c>
      <c r="C25" s="32">
        <v>1</v>
      </c>
      <c r="D25" s="18" t="s">
        <v>807</v>
      </c>
      <c r="E25" s="18" t="s">
        <v>374</v>
      </c>
      <c r="F25" s="18" t="s">
        <v>771</v>
      </c>
      <c r="G25" s="22" t="s">
        <v>808</v>
      </c>
      <c r="H25" s="22"/>
      <c r="I25" s="18">
        <v>5</v>
      </c>
      <c r="J25" s="18" t="s">
        <v>774</v>
      </c>
      <c r="O25" s="77" t="str">
        <f t="shared" si="2"/>
        <v>PASS</v>
      </c>
      <c r="P25" s="78"/>
      <c r="Q25" s="23" t="str">
        <f t="shared" si="3"/>
        <v>PASS</v>
      </c>
    </row>
    <row r="26" spans="1:17" ht="30" collapsed="1" x14ac:dyDescent="0.2">
      <c r="A26" s="18" t="str">
        <f>'Part names'!$A$86</f>
        <v>Z-103</v>
      </c>
      <c r="B26" s="39" t="str">
        <f>'Part names'!$B$86</f>
        <v>Ultrafiltration Module</v>
      </c>
      <c r="C26" s="32">
        <v>1</v>
      </c>
      <c r="D26" s="48">
        <v>14825</v>
      </c>
      <c r="E26" s="48">
        <v>0</v>
      </c>
      <c r="F26" s="18" t="s">
        <v>757</v>
      </c>
      <c r="G26" s="22"/>
      <c r="H26" s="22" t="s">
        <v>773</v>
      </c>
      <c r="I26" s="18">
        <v>4</v>
      </c>
      <c r="J26" s="18" t="s">
        <v>774</v>
      </c>
      <c r="O26" s="77" t="str">
        <f>IF(AND(LEN(TRIM($B26&amp;""))&gt;0,ISNUMBER($C26),$C26&gt;0,ISNUMBER($D26),$D26&gt;0,ISNUMBER($E26),$E26&gt;0,LEN(TRIM($P26&amp;""))=0),"PASS","FAIL — "&amp;IF(LEN(TRIM($P26&amp;""))&gt;0,TRIM($P26&amp;""),"line ≠ qty×unit, a required cell empty, or qty/£ non-positive"))</f>
        <v>FAIL — line ≠ qty×unit, a required cell empty, or qty/£ non-positive</v>
      </c>
      <c r="P26" s="78"/>
      <c r="Q26" s="23" t="str">
        <f>IF(AND(LEN(TRIM(A26&amp;""))&gt;0,TRIM(A26&amp;"")&lt;&gt;"—",LEN(TRIM(B26&amp;""))&gt;0,TRIM(B26&amp;"")&lt;&gt;"—",LEN(TRIM(C26&amp;""))&gt;0,TRIM(C26&amp;"")&lt;&gt;"—",ISNUMBER(C26),LEN(TRIM(D26&amp;""))&gt;0,TRIM(D26&amp;"")&lt;&gt;"—",ISNUMBER(D26),LEN(TRIM(E26&amp;""))&gt;0,TRIM(E26&amp;"")&lt;&gt;"—",ISNUMBER(E26),LEN(TRIM(F26&amp;""))&gt;0,TRIM(F26&amp;"")&lt;&gt;"—",LEN(TRIM(I26&amp;""))&gt;0,TRIM(I26&amp;"")&lt;&gt;"—",LEN(TRIM(J26&amp;""))&gt;0,TRIM(J26&amp;"")&lt;&gt;"—",LEN(TRIM(O26&amp;""))&gt;0,TRIM(O26&amp;"")&lt;&gt;"—"),"PASS","⚠ FAIL — "&amp;"a required cell is empty/placeholder or wrong type")</f>
        <v>PASS</v>
      </c>
    </row>
    <row r="27" spans="1:17" ht="16" hidden="1" outlineLevel="1" x14ac:dyDescent="0.2">
      <c r="A27" s="18" t="s">
        <v>827</v>
      </c>
      <c r="B27" s="39" t="s">
        <v>806</v>
      </c>
      <c r="C27" s="32">
        <v>1</v>
      </c>
      <c r="D27" s="18" t="s">
        <v>807</v>
      </c>
      <c r="E27" s="18" t="s">
        <v>374</v>
      </c>
      <c r="F27" s="18" t="s">
        <v>757</v>
      </c>
      <c r="G27" s="22" t="s">
        <v>808</v>
      </c>
      <c r="H27" s="22"/>
      <c r="I27" s="18">
        <v>4</v>
      </c>
      <c r="J27" s="18" t="s">
        <v>774</v>
      </c>
      <c r="O27" s="77" t="str">
        <f t="shared" ref="O27:O36" si="4">IF(AND(LEN(TRIM($B27&amp;""))&gt;0,LEN(TRIM($P27&amp;""))=0),"PASS","FAIL — "&amp;IF(LEN(TRIM($P27&amp;""))&gt;0,TRIM($P27&amp;""),"line ≠ qty×unit, a required cell empty, or qty/£ non-positive"))</f>
        <v>PASS</v>
      </c>
      <c r="P27" s="78"/>
      <c r="Q27" s="23" t="str">
        <f t="shared" ref="Q27:Q36" si="5">IF(AND(LEN(TRIM(B27&amp;""))&gt;0,TRIM(B27&amp;"")&lt;&gt;"—",LEN(TRIM(C27&amp;""))&gt;0,TRIM(C27&amp;"")&lt;&gt;"—",ISNUMBER(C27),LEN(TRIM(F27&amp;""))&gt;0,TRIM(F27&amp;"")&lt;&gt;"—",LEN(TRIM(I27&amp;""))&gt;0,TRIM(I27&amp;"")&lt;&gt;"—",LEN(TRIM(J27&amp;""))&gt;0,TRIM(J27&amp;"")&lt;&gt;"—",LEN(TRIM(O27&amp;""))&gt;0,TRIM(O27&amp;"")&lt;&gt;"—"),"PASS","⚠ FAIL — "&amp;"a required cell is empty/placeholder or wrong type")</f>
        <v>PASS</v>
      </c>
    </row>
    <row r="28" spans="1:17" ht="16" hidden="1" outlineLevel="1" x14ac:dyDescent="0.2">
      <c r="A28" s="18" t="s">
        <v>828</v>
      </c>
      <c r="B28" s="39" t="s">
        <v>810</v>
      </c>
      <c r="C28" s="32">
        <v>1</v>
      </c>
      <c r="D28" s="18" t="s">
        <v>807</v>
      </c>
      <c r="E28" s="18" t="s">
        <v>374</v>
      </c>
      <c r="F28" s="18" t="s">
        <v>757</v>
      </c>
      <c r="G28" s="22" t="s">
        <v>808</v>
      </c>
      <c r="H28" s="22"/>
      <c r="I28" s="18">
        <v>4</v>
      </c>
      <c r="J28" s="18" t="s">
        <v>774</v>
      </c>
      <c r="O28" s="77" t="str">
        <f t="shared" si="4"/>
        <v>PASS</v>
      </c>
      <c r="P28" s="78"/>
      <c r="Q28" s="23" t="str">
        <f t="shared" si="5"/>
        <v>PASS</v>
      </c>
    </row>
    <row r="29" spans="1:17" ht="16" hidden="1" outlineLevel="1" x14ac:dyDescent="0.2">
      <c r="A29" s="18" t="s">
        <v>829</v>
      </c>
      <c r="B29" s="39" t="s">
        <v>812</v>
      </c>
      <c r="C29" s="32">
        <v>1</v>
      </c>
      <c r="D29" s="18" t="s">
        <v>807</v>
      </c>
      <c r="E29" s="18" t="s">
        <v>374</v>
      </c>
      <c r="F29" s="18" t="s">
        <v>771</v>
      </c>
      <c r="G29" s="22" t="s">
        <v>808</v>
      </c>
      <c r="H29" s="22"/>
      <c r="I29" s="18">
        <v>5</v>
      </c>
      <c r="J29" s="18" t="s">
        <v>774</v>
      </c>
      <c r="O29" s="77" t="str">
        <f t="shared" si="4"/>
        <v>PASS</v>
      </c>
      <c r="P29" s="78"/>
      <c r="Q29" s="23" t="str">
        <f t="shared" si="5"/>
        <v>PASS</v>
      </c>
    </row>
    <row r="30" spans="1:17" ht="16" hidden="1" outlineLevel="1" x14ac:dyDescent="0.2">
      <c r="A30" s="18" t="s">
        <v>830</v>
      </c>
      <c r="B30" s="39" t="s">
        <v>814</v>
      </c>
      <c r="C30" s="32">
        <v>1</v>
      </c>
      <c r="D30" s="18" t="s">
        <v>807</v>
      </c>
      <c r="E30" s="18" t="s">
        <v>374</v>
      </c>
      <c r="F30" s="18" t="s">
        <v>771</v>
      </c>
      <c r="G30" s="22" t="s">
        <v>808</v>
      </c>
      <c r="H30" s="22"/>
      <c r="I30" s="18">
        <v>5</v>
      </c>
      <c r="J30" s="18" t="s">
        <v>774</v>
      </c>
      <c r="O30" s="77" t="str">
        <f t="shared" si="4"/>
        <v>PASS</v>
      </c>
      <c r="P30" s="78"/>
      <c r="Q30" s="23" t="str">
        <f t="shared" si="5"/>
        <v>PASS</v>
      </c>
    </row>
    <row r="31" spans="1:17" ht="16" hidden="1" outlineLevel="1" x14ac:dyDescent="0.2">
      <c r="A31" s="18" t="s">
        <v>831</v>
      </c>
      <c r="B31" s="39" t="s">
        <v>816</v>
      </c>
      <c r="C31" s="32">
        <v>1</v>
      </c>
      <c r="D31" s="18" t="s">
        <v>807</v>
      </c>
      <c r="E31" s="18" t="s">
        <v>374</v>
      </c>
      <c r="F31" s="18" t="s">
        <v>757</v>
      </c>
      <c r="G31" s="22" t="s">
        <v>808</v>
      </c>
      <c r="H31" s="22"/>
      <c r="I31" s="18">
        <v>4</v>
      </c>
      <c r="J31" s="18" t="s">
        <v>774</v>
      </c>
      <c r="O31" s="77" t="str">
        <f t="shared" si="4"/>
        <v>PASS</v>
      </c>
      <c r="P31" s="78"/>
      <c r="Q31" s="23" t="str">
        <f t="shared" si="5"/>
        <v>PASS</v>
      </c>
    </row>
    <row r="32" spans="1:17" ht="16" hidden="1" outlineLevel="1" x14ac:dyDescent="0.2">
      <c r="A32" s="18" t="s">
        <v>832</v>
      </c>
      <c r="B32" s="39" t="s">
        <v>818</v>
      </c>
      <c r="C32" s="32">
        <v>1</v>
      </c>
      <c r="D32" s="18" t="s">
        <v>807</v>
      </c>
      <c r="E32" s="18" t="s">
        <v>374</v>
      </c>
      <c r="F32" s="18" t="s">
        <v>771</v>
      </c>
      <c r="G32" s="22" t="s">
        <v>808</v>
      </c>
      <c r="H32" s="22"/>
      <c r="I32" s="18">
        <v>5</v>
      </c>
      <c r="J32" s="18" t="s">
        <v>774</v>
      </c>
      <c r="O32" s="77" t="str">
        <f t="shared" si="4"/>
        <v>PASS</v>
      </c>
      <c r="P32" s="78"/>
      <c r="Q32" s="23" t="str">
        <f t="shared" si="5"/>
        <v>PASS</v>
      </c>
    </row>
    <row r="33" spans="1:17" ht="16" hidden="1" outlineLevel="1" x14ac:dyDescent="0.2">
      <c r="A33" s="18" t="s">
        <v>833</v>
      </c>
      <c r="B33" s="39" t="s">
        <v>820</v>
      </c>
      <c r="C33" s="32">
        <v>1</v>
      </c>
      <c r="D33" s="18" t="s">
        <v>807</v>
      </c>
      <c r="E33" s="18" t="s">
        <v>374</v>
      </c>
      <c r="F33" s="18" t="s">
        <v>771</v>
      </c>
      <c r="G33" s="22" t="s">
        <v>808</v>
      </c>
      <c r="H33" s="22"/>
      <c r="I33" s="18">
        <v>5</v>
      </c>
      <c r="J33" s="18" t="s">
        <v>774</v>
      </c>
      <c r="O33" s="77" t="str">
        <f t="shared" si="4"/>
        <v>PASS</v>
      </c>
      <c r="P33" s="78"/>
      <c r="Q33" s="23" t="str">
        <f t="shared" si="5"/>
        <v>PASS</v>
      </c>
    </row>
    <row r="34" spans="1:17" ht="16" hidden="1" outlineLevel="1" x14ac:dyDescent="0.2">
      <c r="A34" s="18" t="s">
        <v>834</v>
      </c>
      <c r="B34" s="39" t="s">
        <v>822</v>
      </c>
      <c r="C34" s="32">
        <v>1</v>
      </c>
      <c r="D34" s="18" t="s">
        <v>807</v>
      </c>
      <c r="E34" s="18" t="s">
        <v>374</v>
      </c>
      <c r="F34" s="18" t="s">
        <v>757</v>
      </c>
      <c r="G34" s="22" t="s">
        <v>808</v>
      </c>
      <c r="H34" s="22"/>
      <c r="I34" s="18">
        <v>4</v>
      </c>
      <c r="J34" s="18" t="s">
        <v>774</v>
      </c>
      <c r="O34" s="77" t="str">
        <f t="shared" si="4"/>
        <v>PASS</v>
      </c>
      <c r="P34" s="78"/>
      <c r="Q34" s="23" t="str">
        <f t="shared" si="5"/>
        <v>PASS</v>
      </c>
    </row>
    <row r="35" spans="1:17" ht="16" hidden="1" outlineLevel="1" x14ac:dyDescent="0.2">
      <c r="A35" s="18" t="s">
        <v>835</v>
      </c>
      <c r="B35" s="39" t="s">
        <v>824</v>
      </c>
      <c r="C35" s="32">
        <v>1</v>
      </c>
      <c r="D35" s="18" t="s">
        <v>807</v>
      </c>
      <c r="E35" s="18" t="s">
        <v>374</v>
      </c>
      <c r="F35" s="18" t="s">
        <v>757</v>
      </c>
      <c r="G35" s="22" t="s">
        <v>808</v>
      </c>
      <c r="H35" s="22"/>
      <c r="I35" s="18">
        <v>4</v>
      </c>
      <c r="J35" s="18" t="s">
        <v>774</v>
      </c>
      <c r="O35" s="77" t="str">
        <f t="shared" si="4"/>
        <v>PASS</v>
      </c>
      <c r="P35" s="78"/>
      <c r="Q35" s="23" t="str">
        <f t="shared" si="5"/>
        <v>PASS</v>
      </c>
    </row>
    <row r="36" spans="1:17" ht="16" hidden="1" outlineLevel="1" x14ac:dyDescent="0.2">
      <c r="A36" s="18" t="s">
        <v>836</v>
      </c>
      <c r="B36" s="39" t="s">
        <v>826</v>
      </c>
      <c r="C36" s="32">
        <v>1</v>
      </c>
      <c r="D36" s="18" t="s">
        <v>807</v>
      </c>
      <c r="E36" s="18" t="s">
        <v>374</v>
      </c>
      <c r="F36" s="18" t="s">
        <v>771</v>
      </c>
      <c r="G36" s="22" t="s">
        <v>808</v>
      </c>
      <c r="H36" s="22"/>
      <c r="I36" s="18">
        <v>5</v>
      </c>
      <c r="J36" s="18" t="s">
        <v>774</v>
      </c>
      <c r="O36" s="77" t="str">
        <f t="shared" si="4"/>
        <v>PASS</v>
      </c>
      <c r="P36" s="78"/>
      <c r="Q36" s="23" t="str">
        <f t="shared" si="5"/>
        <v>PASS</v>
      </c>
    </row>
    <row r="37" spans="1:17" ht="39" x14ac:dyDescent="0.2">
      <c r="A37" s="18" t="str">
        <f>'Part names'!$A$43</f>
        <v>X-112</v>
      </c>
      <c r="B37" s="39" t="str">
        <f>'Part names'!$B$43</f>
        <v>Hydraulic Connectors</v>
      </c>
      <c r="C37" s="32">
        <v>1</v>
      </c>
      <c r="D37" s="48">
        <v>1</v>
      </c>
      <c r="E37" s="48">
        <v>1</v>
      </c>
      <c r="F37" s="18" t="s">
        <v>771</v>
      </c>
      <c r="G37" s="22" t="s">
        <v>772</v>
      </c>
      <c r="H37" s="22" t="s">
        <v>773</v>
      </c>
      <c r="I37" s="18">
        <v>5</v>
      </c>
      <c r="J37" s="18" t="s">
        <v>774</v>
      </c>
      <c r="K37" s="22" t="s">
        <v>837</v>
      </c>
      <c r="L37" s="22" t="s">
        <v>761</v>
      </c>
      <c r="M37" s="22" t="s">
        <v>776</v>
      </c>
      <c r="N37" s="22" t="s">
        <v>777</v>
      </c>
      <c r="O37" s="77" t="str">
        <f>IF(AND(LEN(TRIM($B37&amp;""))&gt;0,ISNUMBER($C37),$C37&gt;0,ISNUMBER($D37),$D37&gt;0,ISNUMBER($E37),$E37&gt;0,ABS($E37-$C37*$D37)&lt;=MAX(1,0.005*ABS($E37)),LEN(TRIM($M37&amp;""))&gt;0,TRIM($M37&amp;"")&lt;&gt;"—",LEN(TRIM($P37&amp;""))=0),"PASS","FAIL — "&amp;IF(LEN(TRIM($P37&amp;""))&gt;0,TRIM($P37&amp;""),"line ≠ qty×unit, a required cell empty, or qty/£ non-positive"))</f>
        <v>PASS</v>
      </c>
      <c r="P37" s="78"/>
      <c r="Q37" s="23" t="str">
        <f>IF(AND(LEN(TRIM(A37&amp;""))&gt;0,TRIM(A37&amp;"")&lt;&gt;"—",LEN(TRIM(B37&amp;""))&gt;0,TRIM(B37&amp;"")&lt;&gt;"—",LEN(TRIM(C37&amp;""))&gt;0,TRIM(C37&amp;"")&lt;&gt;"—",ISNUMBER(C37),LEN(TRIM(D37&amp;""))&gt;0,TRIM(D37&amp;"")&lt;&gt;"—",ISNUMBER(D37),LEN(TRIM(E37&amp;""))&gt;0,TRIM(E37&amp;"")&lt;&gt;"—",ISNUMBER(E37),LEN(TRIM(F37&amp;""))&gt;0,TRIM(F37&amp;"")&lt;&gt;"—",LEN(TRIM(I37&amp;""))&gt;0,TRIM(I37&amp;"")&lt;&gt;"—",LEN(TRIM(J37&amp;""))&gt;0,TRIM(J37&amp;"")&lt;&gt;"—",LEN(TRIM(O37&amp;""))&gt;0,TRIM(O37&amp;"")&lt;&gt;"—"),"PASS","⚠ FAIL — "&amp;"a required cell is empty/placeholder or wrong type")</f>
        <v>PASS</v>
      </c>
    </row>
    <row r="38" spans="1:17" ht="52" collapsed="1" x14ac:dyDescent="0.2">
      <c r="A38" s="18" t="str">
        <f>'Part names'!$A$87</f>
        <v>V-102</v>
      </c>
      <c r="B38" s="39" t="str">
        <f>'Part names'!$B$87 &amp; "  · 4 kW · 600x510x660 mm"</f>
        <v>Uv Disinfection  · 4 kW · 600x510x660 mm</v>
      </c>
      <c r="C38" s="32">
        <v>1</v>
      </c>
      <c r="D38" s="48">
        <v>17540</v>
      </c>
      <c r="E38" s="48">
        <v>17540</v>
      </c>
      <c r="F38" s="18" t="s">
        <v>757</v>
      </c>
      <c r="G38" s="22" t="s">
        <v>838</v>
      </c>
      <c r="H38" s="22" t="s">
        <v>839</v>
      </c>
      <c r="I38" s="18">
        <v>4</v>
      </c>
      <c r="J38" s="18" t="s">
        <v>774</v>
      </c>
      <c r="K38" s="22" t="s">
        <v>840</v>
      </c>
      <c r="L38" s="39" t="s">
        <v>358</v>
      </c>
      <c r="M38" s="22" t="s">
        <v>841</v>
      </c>
      <c r="N38" s="39" t="s">
        <v>842</v>
      </c>
      <c r="O38" s="77" t="str">
        <f>IF(AND(LEN(TRIM($B38&amp;""))&gt;0,ISNUMBER($C38),$C38&gt;0,ISNUMBER($D38),$D38&gt;0,ISNUMBER($E38),$E38&gt;0,ABS($E38-$C38*$D38)&lt;=MAX(1,0.005*ABS($E38)),LEN(TRIM($M38&amp;""))&gt;0,TRIM($M38&amp;"")&lt;&gt;"—",LEN(TRIM($P38&amp;""))=0),"PASS","FAIL — "&amp;IF(LEN(TRIM($P38&amp;""))&gt;0,TRIM($P38&amp;""),"line ≠ qty×unit, a required cell empty, or qty/£ non-positive"))</f>
        <v>PASS</v>
      </c>
      <c r="P38" s="78"/>
      <c r="Q38" s="23" t="str">
        <f>IF(AND(LEN(TRIM(A38&amp;""))&gt;0,TRIM(A38&amp;"")&lt;&gt;"—",LEN(TRIM(B38&amp;""))&gt;0,TRIM(B38&amp;"")&lt;&gt;"—",LEN(TRIM(C38&amp;""))&gt;0,TRIM(C38&amp;"")&lt;&gt;"—",ISNUMBER(C38),LEN(TRIM(D38&amp;""))&gt;0,TRIM(D38&amp;"")&lt;&gt;"—",ISNUMBER(D38),LEN(TRIM(E38&amp;""))&gt;0,TRIM(E38&amp;"")&lt;&gt;"—",ISNUMBER(E38),LEN(TRIM(F38&amp;""))&gt;0,TRIM(F38&amp;"")&lt;&gt;"—",LEN(TRIM(I38&amp;""))&gt;0,TRIM(I38&amp;"")&lt;&gt;"—",LEN(TRIM(J38&amp;""))&gt;0,TRIM(J38&amp;"")&lt;&gt;"—",LEN(TRIM(O38&amp;""))&gt;0,TRIM(O38&amp;"")&lt;&gt;"—"),"PASS","⚠ FAIL — "&amp;"a required cell is empty/placeholder or wrong type")</f>
        <v>PASS</v>
      </c>
    </row>
    <row r="39" spans="1:17" ht="16" hidden="1" outlineLevel="1" x14ac:dyDescent="0.2">
      <c r="A39" s="18" t="s">
        <v>843</v>
      </c>
      <c r="B39" s="39" t="s">
        <v>844</v>
      </c>
      <c r="C39" s="32">
        <v>1</v>
      </c>
      <c r="D39" s="18" t="s">
        <v>807</v>
      </c>
      <c r="E39" s="18" t="s">
        <v>374</v>
      </c>
      <c r="F39" s="18" t="s">
        <v>757</v>
      </c>
      <c r="G39" s="22" t="s">
        <v>808</v>
      </c>
      <c r="H39" s="22"/>
      <c r="I39" s="18">
        <v>4</v>
      </c>
      <c r="J39" s="18" t="s">
        <v>774</v>
      </c>
      <c r="O39" s="77" t="str">
        <f t="shared" ref="O39:O45" si="6">IF(AND(LEN(TRIM($B39&amp;""))&gt;0,LEN(TRIM($P39&amp;""))=0),"PASS","FAIL — "&amp;IF(LEN(TRIM($P39&amp;""))&gt;0,TRIM($P39&amp;""),"line ≠ qty×unit, a required cell empty, or qty/£ non-positive"))</f>
        <v>PASS</v>
      </c>
      <c r="P39" s="78"/>
      <c r="Q39" s="23" t="str">
        <f t="shared" ref="Q39:Q45" si="7">IF(AND(LEN(TRIM(B39&amp;""))&gt;0,TRIM(B39&amp;"")&lt;&gt;"—",LEN(TRIM(C39&amp;""))&gt;0,TRIM(C39&amp;"")&lt;&gt;"—",ISNUMBER(C39),LEN(TRIM(F39&amp;""))&gt;0,TRIM(F39&amp;"")&lt;&gt;"—",LEN(TRIM(I39&amp;""))&gt;0,TRIM(I39&amp;"")&lt;&gt;"—",LEN(TRIM(J39&amp;""))&gt;0,TRIM(J39&amp;"")&lt;&gt;"—",LEN(TRIM(O39&amp;""))&gt;0,TRIM(O39&amp;"")&lt;&gt;"—"),"PASS","⚠ FAIL — "&amp;"a required cell is empty/placeholder or wrong type")</f>
        <v>PASS</v>
      </c>
    </row>
    <row r="40" spans="1:17" ht="16" hidden="1" outlineLevel="1" x14ac:dyDescent="0.2">
      <c r="A40" s="18" t="s">
        <v>845</v>
      </c>
      <c r="B40" s="39" t="s">
        <v>846</v>
      </c>
      <c r="C40" s="32">
        <v>1</v>
      </c>
      <c r="D40" s="18" t="s">
        <v>807</v>
      </c>
      <c r="E40" s="18" t="s">
        <v>374</v>
      </c>
      <c r="F40" s="18" t="s">
        <v>757</v>
      </c>
      <c r="G40" s="22" t="s">
        <v>808</v>
      </c>
      <c r="H40" s="22"/>
      <c r="I40" s="18">
        <v>4</v>
      </c>
      <c r="J40" s="18" t="s">
        <v>774</v>
      </c>
      <c r="O40" s="77" t="str">
        <f t="shared" si="6"/>
        <v>PASS</v>
      </c>
      <c r="P40" s="78"/>
      <c r="Q40" s="23" t="str">
        <f t="shared" si="7"/>
        <v>PASS</v>
      </c>
    </row>
    <row r="41" spans="1:17" ht="16" hidden="1" outlineLevel="1" x14ac:dyDescent="0.2">
      <c r="A41" s="18" t="s">
        <v>847</v>
      </c>
      <c r="B41" s="39" t="s">
        <v>848</v>
      </c>
      <c r="C41" s="32">
        <v>1</v>
      </c>
      <c r="D41" s="18" t="s">
        <v>807</v>
      </c>
      <c r="E41" s="18" t="s">
        <v>374</v>
      </c>
      <c r="F41" s="18" t="s">
        <v>757</v>
      </c>
      <c r="G41" s="22" t="s">
        <v>808</v>
      </c>
      <c r="H41" s="22"/>
      <c r="I41" s="18">
        <v>4</v>
      </c>
      <c r="J41" s="18" t="s">
        <v>774</v>
      </c>
      <c r="O41" s="77" t="str">
        <f t="shared" si="6"/>
        <v>PASS</v>
      </c>
      <c r="P41" s="78"/>
      <c r="Q41" s="23" t="str">
        <f t="shared" si="7"/>
        <v>PASS</v>
      </c>
    </row>
    <row r="42" spans="1:17" ht="16" hidden="1" outlineLevel="1" x14ac:dyDescent="0.2">
      <c r="A42" s="18" t="s">
        <v>849</v>
      </c>
      <c r="B42" s="39" t="s">
        <v>850</v>
      </c>
      <c r="C42" s="32">
        <v>1</v>
      </c>
      <c r="D42" s="18" t="s">
        <v>807</v>
      </c>
      <c r="E42" s="18" t="s">
        <v>374</v>
      </c>
      <c r="F42" s="18" t="s">
        <v>757</v>
      </c>
      <c r="G42" s="22" t="s">
        <v>808</v>
      </c>
      <c r="H42" s="22"/>
      <c r="I42" s="18">
        <v>4</v>
      </c>
      <c r="J42" s="18" t="s">
        <v>760</v>
      </c>
      <c r="O42" s="77" t="str">
        <f t="shared" si="6"/>
        <v>PASS</v>
      </c>
      <c r="P42" s="78"/>
      <c r="Q42" s="23" t="str">
        <f t="shared" si="7"/>
        <v>PASS</v>
      </c>
    </row>
    <row r="43" spans="1:17" ht="16" hidden="1" outlineLevel="1" x14ac:dyDescent="0.2">
      <c r="A43" s="18" t="s">
        <v>851</v>
      </c>
      <c r="B43" s="39" t="s">
        <v>852</v>
      </c>
      <c r="C43" s="32">
        <v>1</v>
      </c>
      <c r="D43" s="18" t="s">
        <v>807</v>
      </c>
      <c r="E43" s="18" t="s">
        <v>374</v>
      </c>
      <c r="F43" s="18" t="s">
        <v>757</v>
      </c>
      <c r="G43" s="22"/>
      <c r="H43" s="22" t="s">
        <v>248</v>
      </c>
      <c r="I43" s="18">
        <v>4</v>
      </c>
      <c r="J43" s="18" t="s">
        <v>774</v>
      </c>
      <c r="O43" s="77" t="str">
        <f t="shared" si="6"/>
        <v>PASS</v>
      </c>
      <c r="P43" s="78"/>
      <c r="Q43" s="23" t="str">
        <f t="shared" si="7"/>
        <v>PASS</v>
      </c>
    </row>
    <row r="44" spans="1:17" ht="16" hidden="1" outlineLevel="1" x14ac:dyDescent="0.2">
      <c r="A44" s="18" t="s">
        <v>853</v>
      </c>
      <c r="B44" s="39" t="s">
        <v>854</v>
      </c>
      <c r="C44" s="32">
        <v>1</v>
      </c>
      <c r="D44" s="18" t="s">
        <v>807</v>
      </c>
      <c r="E44" s="18" t="s">
        <v>374</v>
      </c>
      <c r="F44" s="18" t="s">
        <v>771</v>
      </c>
      <c r="G44" s="22" t="s">
        <v>808</v>
      </c>
      <c r="H44" s="22"/>
      <c r="I44" s="18">
        <v>5</v>
      </c>
      <c r="J44" s="18" t="s">
        <v>774</v>
      </c>
      <c r="O44" s="77" t="str">
        <f t="shared" si="6"/>
        <v>PASS</v>
      </c>
      <c r="P44" s="78"/>
      <c r="Q44" s="23" t="str">
        <f t="shared" si="7"/>
        <v>PASS</v>
      </c>
    </row>
    <row r="45" spans="1:17" ht="16" hidden="1" outlineLevel="1" x14ac:dyDescent="0.2">
      <c r="A45" s="18" t="s">
        <v>855</v>
      </c>
      <c r="B45" s="39" t="s">
        <v>856</v>
      </c>
      <c r="C45" s="32">
        <v>1</v>
      </c>
      <c r="D45" s="18" t="s">
        <v>807</v>
      </c>
      <c r="E45" s="18" t="s">
        <v>374</v>
      </c>
      <c r="F45" s="18" t="s">
        <v>771</v>
      </c>
      <c r="G45" s="22" t="s">
        <v>808</v>
      </c>
      <c r="H45" s="22"/>
      <c r="I45" s="18">
        <v>5</v>
      </c>
      <c r="J45" s="18" t="s">
        <v>774</v>
      </c>
      <c r="O45" s="77" t="str">
        <f t="shared" si="6"/>
        <v>PASS</v>
      </c>
      <c r="P45" s="78"/>
      <c r="Q45" s="23" t="str">
        <f t="shared" si="7"/>
        <v>PASS</v>
      </c>
    </row>
    <row r="46" spans="1:17" ht="104" collapsed="1" x14ac:dyDescent="0.2">
      <c r="A46" s="18" t="str">
        <f>'Part names'!$A$75</f>
        <v>V-106</v>
      </c>
      <c r="B46" s="39" t="str">
        <f>'Part names'!$B$75 &amp; "  · 1.2 m dia x 1.3 m"</f>
        <v>Softener Vessel  · 1.2 m dia x 1.3 m</v>
      </c>
      <c r="C46" s="32">
        <v>2</v>
      </c>
      <c r="D46" s="48">
        <v>8000</v>
      </c>
      <c r="E46" s="48">
        <v>16000</v>
      </c>
      <c r="F46" s="18" t="s">
        <v>757</v>
      </c>
      <c r="G46" s="22" t="s">
        <v>857</v>
      </c>
      <c r="H46" s="22" t="s">
        <v>858</v>
      </c>
      <c r="I46" s="18">
        <v>4</v>
      </c>
      <c r="J46" s="18" t="s">
        <v>774</v>
      </c>
      <c r="K46" s="22" t="s">
        <v>859</v>
      </c>
      <c r="L46" s="39" t="s">
        <v>442</v>
      </c>
      <c r="M46" s="22" t="s">
        <v>860</v>
      </c>
      <c r="N46" s="39" t="s">
        <v>861</v>
      </c>
      <c r="O46" s="77" t="str">
        <f>IF(AND(LEN(TRIM($B46&amp;""))&gt;0,ISNUMBER($C46),$C46&gt;0,ISNUMBER($D46),$D46&gt;0,ISNUMBER($E46),$E46&gt;0,ABS($E46-$C46*$D46)&lt;=MAX(1,0.005*ABS($E46)),LEN(TRIM($M46&amp;""))&gt;0,TRIM($M46&amp;"")&lt;&gt;"—",LEN(TRIM($P46&amp;""))=0),"PASS","FAIL — "&amp;IF(LEN(TRIM($P46&amp;""))&gt;0,TRIM($P46&amp;""),"line ≠ qty×unit, a required cell empty, or qty/£ non-positive"))</f>
        <v>PASS</v>
      </c>
      <c r="P46" s="78"/>
      <c r="Q46" s="23" t="str">
        <f>IF(AND(LEN(TRIM(A46&amp;""))&gt;0,TRIM(A46&amp;"")&lt;&gt;"—",LEN(TRIM(B46&amp;""))&gt;0,TRIM(B46&amp;"")&lt;&gt;"—",LEN(TRIM(C46&amp;""))&gt;0,TRIM(C46&amp;"")&lt;&gt;"—",ISNUMBER(C46),LEN(TRIM(D46&amp;""))&gt;0,TRIM(D46&amp;"")&lt;&gt;"—",ISNUMBER(D46),LEN(TRIM(E46&amp;""))&gt;0,TRIM(E46&amp;"")&lt;&gt;"—",ISNUMBER(E46),LEN(TRIM(F46&amp;""))&gt;0,TRIM(F46&amp;"")&lt;&gt;"—",LEN(TRIM(I46&amp;""))&gt;0,TRIM(I46&amp;"")&lt;&gt;"—",LEN(TRIM(J46&amp;""))&gt;0,TRIM(J46&amp;"")&lt;&gt;"—",LEN(TRIM(O46&amp;""))&gt;0,TRIM(O46&amp;"")&lt;&gt;"—"),"PASS","⚠ FAIL — "&amp;"a required cell is empty/placeholder or wrong type")</f>
        <v>PASS</v>
      </c>
    </row>
    <row r="47" spans="1:17" ht="16" hidden="1" outlineLevel="1" x14ac:dyDescent="0.2">
      <c r="A47" s="18" t="s">
        <v>862</v>
      </c>
      <c r="B47" s="39" t="s">
        <v>863</v>
      </c>
      <c r="C47" s="32">
        <v>1</v>
      </c>
      <c r="D47" s="18" t="s">
        <v>807</v>
      </c>
      <c r="E47" s="18" t="s">
        <v>374</v>
      </c>
      <c r="F47" s="18" t="s">
        <v>771</v>
      </c>
      <c r="G47" s="22" t="s">
        <v>808</v>
      </c>
      <c r="H47" s="22"/>
      <c r="I47" s="18">
        <v>5</v>
      </c>
      <c r="J47" s="18" t="s">
        <v>774</v>
      </c>
      <c r="O47" s="77" t="str">
        <f t="shared" ref="O47:O61" si="8">IF(AND(LEN(TRIM($B47&amp;""))&gt;0,LEN(TRIM($P47&amp;""))=0),"PASS","FAIL — "&amp;IF(LEN(TRIM($P47&amp;""))&gt;0,TRIM($P47&amp;""),"line ≠ qty×unit, a required cell empty, or qty/£ non-positive"))</f>
        <v>PASS</v>
      </c>
      <c r="P47" s="78"/>
      <c r="Q47" s="23" t="str">
        <f t="shared" ref="Q47:Q61" si="9">IF(AND(LEN(TRIM(B47&amp;""))&gt;0,TRIM(B47&amp;"")&lt;&gt;"—",LEN(TRIM(C47&amp;""))&gt;0,TRIM(C47&amp;"")&lt;&gt;"—",ISNUMBER(C47),LEN(TRIM(F47&amp;""))&gt;0,TRIM(F47&amp;"")&lt;&gt;"—",LEN(TRIM(I47&amp;""))&gt;0,TRIM(I47&amp;"")&lt;&gt;"—",LEN(TRIM(J47&amp;""))&gt;0,TRIM(J47&amp;"")&lt;&gt;"—",LEN(TRIM(O47&amp;""))&gt;0,TRIM(O47&amp;"")&lt;&gt;"—"),"PASS","⚠ FAIL — "&amp;"a required cell is empty/placeholder or wrong type")</f>
        <v>PASS</v>
      </c>
    </row>
    <row r="48" spans="1:17" ht="16" hidden="1" outlineLevel="1" x14ac:dyDescent="0.2">
      <c r="A48" s="18" t="s">
        <v>864</v>
      </c>
      <c r="B48" s="39" t="s">
        <v>865</v>
      </c>
      <c r="C48" s="32">
        <v>1</v>
      </c>
      <c r="D48" s="18" t="s">
        <v>807</v>
      </c>
      <c r="E48" s="18" t="s">
        <v>374</v>
      </c>
      <c r="F48" s="18" t="s">
        <v>771</v>
      </c>
      <c r="G48" s="22" t="s">
        <v>808</v>
      </c>
      <c r="H48" s="22"/>
      <c r="I48" s="18">
        <v>5</v>
      </c>
      <c r="J48" s="18" t="s">
        <v>774</v>
      </c>
      <c r="O48" s="77" t="str">
        <f t="shared" si="8"/>
        <v>PASS</v>
      </c>
      <c r="P48" s="78"/>
      <c r="Q48" s="23" t="str">
        <f t="shared" si="9"/>
        <v>PASS</v>
      </c>
    </row>
    <row r="49" spans="1:17" ht="16" hidden="1" outlineLevel="1" x14ac:dyDescent="0.2">
      <c r="A49" s="18" t="s">
        <v>866</v>
      </c>
      <c r="B49" s="39" t="s">
        <v>867</v>
      </c>
      <c r="C49" s="32">
        <v>1</v>
      </c>
      <c r="D49" s="18" t="s">
        <v>807</v>
      </c>
      <c r="E49" s="18" t="s">
        <v>374</v>
      </c>
      <c r="F49" s="18" t="s">
        <v>771</v>
      </c>
      <c r="G49" s="22" t="s">
        <v>808</v>
      </c>
      <c r="H49" s="22"/>
      <c r="I49" s="18">
        <v>5</v>
      </c>
      <c r="J49" s="18" t="s">
        <v>774</v>
      </c>
      <c r="O49" s="77" t="str">
        <f t="shared" si="8"/>
        <v>PASS</v>
      </c>
      <c r="P49" s="78"/>
      <c r="Q49" s="23" t="str">
        <f t="shared" si="9"/>
        <v>PASS</v>
      </c>
    </row>
    <row r="50" spans="1:17" ht="16" hidden="1" outlineLevel="1" x14ac:dyDescent="0.2">
      <c r="A50" s="18" t="s">
        <v>868</v>
      </c>
      <c r="B50" s="39" t="s">
        <v>869</v>
      </c>
      <c r="C50" s="32">
        <v>1</v>
      </c>
      <c r="D50" s="18" t="s">
        <v>807</v>
      </c>
      <c r="E50" s="18" t="s">
        <v>374</v>
      </c>
      <c r="F50" s="18" t="s">
        <v>757</v>
      </c>
      <c r="G50" s="22" t="s">
        <v>808</v>
      </c>
      <c r="H50" s="22"/>
      <c r="I50" s="18">
        <v>4</v>
      </c>
      <c r="J50" s="18" t="s">
        <v>774</v>
      </c>
      <c r="O50" s="77" t="str">
        <f t="shared" si="8"/>
        <v>PASS</v>
      </c>
      <c r="P50" s="78"/>
      <c r="Q50" s="23" t="str">
        <f t="shared" si="9"/>
        <v>PASS</v>
      </c>
    </row>
    <row r="51" spans="1:17" ht="16" hidden="1" outlineLevel="1" x14ac:dyDescent="0.2">
      <c r="A51" s="18" t="s">
        <v>870</v>
      </c>
      <c r="B51" s="39" t="s">
        <v>871</v>
      </c>
      <c r="C51" s="32">
        <v>1</v>
      </c>
      <c r="D51" s="18" t="s">
        <v>807</v>
      </c>
      <c r="E51" s="18" t="s">
        <v>374</v>
      </c>
      <c r="F51" s="18" t="s">
        <v>771</v>
      </c>
      <c r="G51" s="22" t="s">
        <v>808</v>
      </c>
      <c r="H51" s="22"/>
      <c r="I51" s="18">
        <v>5</v>
      </c>
      <c r="J51" s="18" t="s">
        <v>774</v>
      </c>
      <c r="O51" s="77" t="str">
        <f t="shared" si="8"/>
        <v>PASS</v>
      </c>
      <c r="P51" s="78"/>
      <c r="Q51" s="23" t="str">
        <f t="shared" si="9"/>
        <v>PASS</v>
      </c>
    </row>
    <row r="52" spans="1:17" ht="16" hidden="1" outlineLevel="1" x14ac:dyDescent="0.2">
      <c r="A52" s="18" t="s">
        <v>872</v>
      </c>
      <c r="B52" s="39" t="s">
        <v>873</v>
      </c>
      <c r="C52" s="32">
        <v>1</v>
      </c>
      <c r="D52" s="18" t="s">
        <v>807</v>
      </c>
      <c r="E52" s="18" t="s">
        <v>374</v>
      </c>
      <c r="F52" s="18" t="s">
        <v>771</v>
      </c>
      <c r="G52" s="22" t="s">
        <v>808</v>
      </c>
      <c r="H52" s="22"/>
      <c r="I52" s="18">
        <v>5</v>
      </c>
      <c r="J52" s="18" t="s">
        <v>774</v>
      </c>
      <c r="O52" s="77" t="str">
        <f t="shared" si="8"/>
        <v>PASS</v>
      </c>
      <c r="P52" s="78"/>
      <c r="Q52" s="23" t="str">
        <f t="shared" si="9"/>
        <v>PASS</v>
      </c>
    </row>
    <row r="53" spans="1:17" ht="16" hidden="1" outlineLevel="1" x14ac:dyDescent="0.2">
      <c r="A53" s="18" t="s">
        <v>874</v>
      </c>
      <c r="B53" s="39" t="s">
        <v>875</v>
      </c>
      <c r="C53" s="32">
        <v>1</v>
      </c>
      <c r="D53" s="18" t="s">
        <v>807</v>
      </c>
      <c r="E53" s="18" t="s">
        <v>374</v>
      </c>
      <c r="F53" s="18" t="s">
        <v>771</v>
      </c>
      <c r="G53" s="22" t="s">
        <v>808</v>
      </c>
      <c r="H53" s="22"/>
      <c r="I53" s="18">
        <v>5</v>
      </c>
      <c r="J53" s="18" t="s">
        <v>774</v>
      </c>
      <c r="O53" s="77" t="str">
        <f t="shared" si="8"/>
        <v>PASS</v>
      </c>
      <c r="P53" s="78"/>
      <c r="Q53" s="23" t="str">
        <f t="shared" si="9"/>
        <v>PASS</v>
      </c>
    </row>
    <row r="54" spans="1:17" ht="16" hidden="1" outlineLevel="1" x14ac:dyDescent="0.2">
      <c r="A54" s="18" t="s">
        <v>876</v>
      </c>
      <c r="B54" s="39" t="s">
        <v>877</v>
      </c>
      <c r="C54" s="32">
        <v>1</v>
      </c>
      <c r="D54" s="18" t="s">
        <v>807</v>
      </c>
      <c r="E54" s="18" t="s">
        <v>374</v>
      </c>
      <c r="F54" s="18" t="s">
        <v>771</v>
      </c>
      <c r="G54" s="22" t="s">
        <v>808</v>
      </c>
      <c r="H54" s="22"/>
      <c r="I54" s="18">
        <v>5</v>
      </c>
      <c r="J54" s="18" t="s">
        <v>774</v>
      </c>
      <c r="O54" s="77" t="str">
        <f t="shared" si="8"/>
        <v>PASS</v>
      </c>
      <c r="P54" s="78"/>
      <c r="Q54" s="23" t="str">
        <f t="shared" si="9"/>
        <v>PASS</v>
      </c>
    </row>
    <row r="55" spans="1:17" ht="16" hidden="1" outlineLevel="1" x14ac:dyDescent="0.2">
      <c r="A55" s="18" t="s">
        <v>878</v>
      </c>
      <c r="B55" s="39" t="s">
        <v>879</v>
      </c>
      <c r="C55" s="32">
        <v>1</v>
      </c>
      <c r="D55" s="18" t="s">
        <v>807</v>
      </c>
      <c r="E55" s="18" t="s">
        <v>374</v>
      </c>
      <c r="F55" s="18" t="s">
        <v>757</v>
      </c>
      <c r="G55" s="22" t="s">
        <v>808</v>
      </c>
      <c r="H55" s="22"/>
      <c r="I55" s="18">
        <v>4</v>
      </c>
      <c r="J55" s="18" t="s">
        <v>774</v>
      </c>
      <c r="O55" s="77" t="str">
        <f t="shared" si="8"/>
        <v>PASS</v>
      </c>
      <c r="P55" s="78"/>
      <c r="Q55" s="23" t="str">
        <f t="shared" si="9"/>
        <v>PASS</v>
      </c>
    </row>
    <row r="56" spans="1:17" ht="16" hidden="1" outlineLevel="1" x14ac:dyDescent="0.2">
      <c r="A56" s="18" t="s">
        <v>880</v>
      </c>
      <c r="B56" s="39" t="s">
        <v>881</v>
      </c>
      <c r="C56" s="32">
        <v>1</v>
      </c>
      <c r="D56" s="18" t="s">
        <v>807</v>
      </c>
      <c r="E56" s="18" t="s">
        <v>374</v>
      </c>
      <c r="F56" s="18" t="s">
        <v>771</v>
      </c>
      <c r="G56" s="22" t="s">
        <v>808</v>
      </c>
      <c r="H56" s="22"/>
      <c r="I56" s="18">
        <v>5</v>
      </c>
      <c r="J56" s="18" t="s">
        <v>774</v>
      </c>
      <c r="O56" s="77" t="str">
        <f t="shared" si="8"/>
        <v>PASS</v>
      </c>
      <c r="P56" s="78"/>
      <c r="Q56" s="23" t="str">
        <f t="shared" si="9"/>
        <v>PASS</v>
      </c>
    </row>
    <row r="57" spans="1:17" ht="16" hidden="1" outlineLevel="1" x14ac:dyDescent="0.2">
      <c r="A57" s="18" t="s">
        <v>882</v>
      </c>
      <c r="B57" s="39" t="s">
        <v>883</v>
      </c>
      <c r="C57" s="32">
        <v>1</v>
      </c>
      <c r="D57" s="18" t="s">
        <v>807</v>
      </c>
      <c r="E57" s="18" t="s">
        <v>374</v>
      </c>
      <c r="F57" s="18" t="s">
        <v>757</v>
      </c>
      <c r="G57" s="22" t="s">
        <v>808</v>
      </c>
      <c r="H57" s="22"/>
      <c r="I57" s="18">
        <v>4</v>
      </c>
      <c r="J57" s="18" t="s">
        <v>774</v>
      </c>
      <c r="O57" s="77" t="str">
        <f t="shared" si="8"/>
        <v>PASS</v>
      </c>
      <c r="P57" s="78"/>
      <c r="Q57" s="23" t="str">
        <f t="shared" si="9"/>
        <v>PASS</v>
      </c>
    </row>
    <row r="58" spans="1:17" ht="16" hidden="1" outlineLevel="1" x14ac:dyDescent="0.2">
      <c r="A58" s="18" t="s">
        <v>884</v>
      </c>
      <c r="B58" s="39" t="s">
        <v>885</v>
      </c>
      <c r="C58" s="32">
        <v>1</v>
      </c>
      <c r="D58" s="18" t="s">
        <v>807</v>
      </c>
      <c r="E58" s="18" t="s">
        <v>374</v>
      </c>
      <c r="F58" s="18" t="s">
        <v>771</v>
      </c>
      <c r="G58" s="22" t="s">
        <v>808</v>
      </c>
      <c r="H58" s="22"/>
      <c r="I58" s="18">
        <v>5</v>
      </c>
      <c r="J58" s="18" t="s">
        <v>774</v>
      </c>
      <c r="O58" s="77" t="str">
        <f t="shared" si="8"/>
        <v>PASS</v>
      </c>
      <c r="P58" s="78"/>
      <c r="Q58" s="23" t="str">
        <f t="shared" si="9"/>
        <v>PASS</v>
      </c>
    </row>
    <row r="59" spans="1:17" ht="16" hidden="1" outlineLevel="1" x14ac:dyDescent="0.2">
      <c r="A59" s="18" t="s">
        <v>886</v>
      </c>
      <c r="B59" s="39" t="s">
        <v>887</v>
      </c>
      <c r="C59" s="32">
        <v>1</v>
      </c>
      <c r="D59" s="18" t="s">
        <v>807</v>
      </c>
      <c r="E59" s="18" t="s">
        <v>374</v>
      </c>
      <c r="F59" s="18" t="s">
        <v>771</v>
      </c>
      <c r="G59" s="22" t="s">
        <v>808</v>
      </c>
      <c r="H59" s="22"/>
      <c r="I59" s="18">
        <v>5</v>
      </c>
      <c r="J59" s="18" t="s">
        <v>774</v>
      </c>
      <c r="O59" s="77" t="str">
        <f t="shared" si="8"/>
        <v>PASS</v>
      </c>
      <c r="P59" s="78"/>
      <c r="Q59" s="23" t="str">
        <f t="shared" si="9"/>
        <v>PASS</v>
      </c>
    </row>
    <row r="60" spans="1:17" ht="16" hidden="1" outlineLevel="1" x14ac:dyDescent="0.2">
      <c r="A60" s="18" t="s">
        <v>888</v>
      </c>
      <c r="B60" s="39" t="s">
        <v>889</v>
      </c>
      <c r="C60" s="32">
        <v>1</v>
      </c>
      <c r="D60" s="18" t="s">
        <v>807</v>
      </c>
      <c r="E60" s="18" t="s">
        <v>374</v>
      </c>
      <c r="F60" s="18" t="s">
        <v>757</v>
      </c>
      <c r="G60" s="22" t="s">
        <v>808</v>
      </c>
      <c r="H60" s="22"/>
      <c r="I60" s="18">
        <v>4</v>
      </c>
      <c r="J60" s="18" t="s">
        <v>774</v>
      </c>
      <c r="O60" s="77" t="str">
        <f t="shared" si="8"/>
        <v>PASS</v>
      </c>
      <c r="P60" s="78"/>
      <c r="Q60" s="23" t="str">
        <f t="shared" si="9"/>
        <v>PASS</v>
      </c>
    </row>
    <row r="61" spans="1:17" ht="16" hidden="1" outlineLevel="1" x14ac:dyDescent="0.2">
      <c r="A61" s="18" t="s">
        <v>890</v>
      </c>
      <c r="B61" s="39" t="s">
        <v>826</v>
      </c>
      <c r="C61" s="32">
        <v>1</v>
      </c>
      <c r="D61" s="18" t="s">
        <v>807</v>
      </c>
      <c r="E61" s="18" t="s">
        <v>374</v>
      </c>
      <c r="F61" s="18" t="s">
        <v>771</v>
      </c>
      <c r="G61" s="22" t="s">
        <v>808</v>
      </c>
      <c r="H61" s="22"/>
      <c r="I61" s="18">
        <v>5</v>
      </c>
      <c r="J61" s="18" t="s">
        <v>774</v>
      </c>
      <c r="O61" s="77" t="str">
        <f t="shared" si="8"/>
        <v>PASS</v>
      </c>
      <c r="P61" s="78"/>
      <c r="Q61" s="23" t="str">
        <f t="shared" si="9"/>
        <v>PASS</v>
      </c>
    </row>
    <row r="62" spans="1:17" ht="32" collapsed="1" x14ac:dyDescent="0.2">
      <c r="A62" s="18" t="str">
        <f>'Part names'!$A$30</f>
        <v>P-106</v>
      </c>
      <c r="B62" s="39" t="str">
        <f>'Part names'!$B$30 &amp; "  · 8 kW · 600x510x660 mm"</f>
        <v>Fertigation Dosing Pump  · 8 kW · 600x510x660 mm</v>
      </c>
      <c r="C62" s="32">
        <v>2</v>
      </c>
      <c r="D62" s="48">
        <v>8634</v>
      </c>
      <c r="E62" s="48">
        <v>17268</v>
      </c>
      <c r="F62" s="18" t="s">
        <v>757</v>
      </c>
      <c r="G62" s="22" t="s">
        <v>758</v>
      </c>
      <c r="H62" s="22" t="s">
        <v>248</v>
      </c>
      <c r="I62" s="18">
        <v>4</v>
      </c>
      <c r="J62" s="18" t="s">
        <v>774</v>
      </c>
      <c r="K62" s="22" t="s">
        <v>891</v>
      </c>
      <c r="L62" s="39" t="s">
        <v>358</v>
      </c>
      <c r="M62" s="22" t="s">
        <v>892</v>
      </c>
      <c r="N62" s="39" t="s">
        <v>893</v>
      </c>
      <c r="O62" s="77" t="str">
        <f>IF(AND(LEN(TRIM($B62&amp;""))&gt;0,ISNUMBER($C62),$C62&gt;0,ISNUMBER($D62),$D62&gt;0,ISNUMBER($E62),$E62&gt;0,ABS($E62-$C62*$D62)&lt;=MAX(1,0.005*ABS($E62)),LEN(TRIM($M62&amp;""))&gt;0,TRIM($M62&amp;"")&lt;&gt;"—",LEN(TRIM($P62&amp;""))=0),"PASS","FAIL — "&amp;IF(LEN(TRIM($P62&amp;""))&gt;0,TRIM($P62&amp;""),"line ≠ qty×unit, a required cell empty, or qty/£ non-positive"))</f>
        <v>PASS</v>
      </c>
      <c r="P62" s="78"/>
      <c r="Q62" s="23" t="str">
        <f>IF(AND(LEN(TRIM(A62&amp;""))&gt;0,TRIM(A62&amp;"")&lt;&gt;"—",LEN(TRIM(B62&amp;""))&gt;0,TRIM(B62&amp;"")&lt;&gt;"—",LEN(TRIM(C62&amp;""))&gt;0,TRIM(C62&amp;"")&lt;&gt;"—",ISNUMBER(C62),LEN(TRIM(D62&amp;""))&gt;0,TRIM(D62&amp;"")&lt;&gt;"—",ISNUMBER(D62),LEN(TRIM(E62&amp;""))&gt;0,TRIM(E62&amp;"")&lt;&gt;"—",ISNUMBER(E62),LEN(TRIM(F62&amp;""))&gt;0,TRIM(F62&amp;"")&lt;&gt;"—",LEN(TRIM(I62&amp;""))&gt;0,TRIM(I62&amp;"")&lt;&gt;"—",LEN(TRIM(J62&amp;""))&gt;0,TRIM(J62&amp;"")&lt;&gt;"—",LEN(TRIM(O62&amp;""))&gt;0,TRIM(O62&amp;"")&lt;&gt;"—"),"PASS","⚠ FAIL — "&amp;"a required cell is empty/placeholder or wrong type")</f>
        <v>PASS</v>
      </c>
    </row>
    <row r="63" spans="1:17" ht="16" hidden="1" outlineLevel="1" x14ac:dyDescent="0.2">
      <c r="A63" s="18" t="s">
        <v>894</v>
      </c>
      <c r="B63" s="39" t="s">
        <v>895</v>
      </c>
      <c r="C63" s="32">
        <v>1</v>
      </c>
      <c r="D63" s="18" t="s">
        <v>807</v>
      </c>
      <c r="E63" s="18" t="s">
        <v>374</v>
      </c>
      <c r="F63" s="18" t="s">
        <v>771</v>
      </c>
      <c r="G63" s="22" t="s">
        <v>808</v>
      </c>
      <c r="H63" s="22"/>
      <c r="I63" s="18">
        <v>5</v>
      </c>
      <c r="J63" s="18" t="s">
        <v>774</v>
      </c>
      <c r="O63" s="77" t="str">
        <f t="shared" ref="O63:O75" si="10">IF(AND(LEN(TRIM($B63&amp;""))&gt;0,LEN(TRIM($P63&amp;""))=0),"PASS","FAIL — "&amp;IF(LEN(TRIM($P63&amp;""))&gt;0,TRIM($P63&amp;""),"line ≠ qty×unit, a required cell empty, or qty/£ non-positive"))</f>
        <v>PASS</v>
      </c>
      <c r="P63" s="78"/>
      <c r="Q63" s="23" t="str">
        <f t="shared" ref="Q63:Q75" si="11">IF(AND(LEN(TRIM(B63&amp;""))&gt;0,TRIM(B63&amp;"")&lt;&gt;"—",LEN(TRIM(C63&amp;""))&gt;0,TRIM(C63&amp;"")&lt;&gt;"—",ISNUMBER(C63),LEN(TRIM(F63&amp;""))&gt;0,TRIM(F63&amp;"")&lt;&gt;"—",LEN(TRIM(I63&amp;""))&gt;0,TRIM(I63&amp;"")&lt;&gt;"—",LEN(TRIM(J63&amp;""))&gt;0,TRIM(J63&amp;"")&lt;&gt;"—",LEN(TRIM(O63&amp;""))&gt;0,TRIM(O63&amp;"")&lt;&gt;"—"),"PASS","⚠ FAIL — "&amp;"a required cell is empty/placeholder or wrong type")</f>
        <v>PASS</v>
      </c>
    </row>
    <row r="64" spans="1:17" ht="16" hidden="1" outlineLevel="1" x14ac:dyDescent="0.2">
      <c r="A64" s="18" t="s">
        <v>896</v>
      </c>
      <c r="B64" s="39" t="s">
        <v>897</v>
      </c>
      <c r="C64" s="32">
        <v>1</v>
      </c>
      <c r="D64" s="18" t="s">
        <v>807</v>
      </c>
      <c r="E64" s="18" t="s">
        <v>374</v>
      </c>
      <c r="F64" s="18" t="s">
        <v>757</v>
      </c>
      <c r="G64" s="22" t="s">
        <v>808</v>
      </c>
      <c r="H64" s="22"/>
      <c r="I64" s="18">
        <v>4</v>
      </c>
      <c r="J64" s="18" t="s">
        <v>774</v>
      </c>
      <c r="O64" s="77" t="str">
        <f t="shared" si="10"/>
        <v>PASS</v>
      </c>
      <c r="P64" s="78"/>
      <c r="Q64" s="23" t="str">
        <f t="shared" si="11"/>
        <v>PASS</v>
      </c>
    </row>
    <row r="65" spans="1:17" ht="16" hidden="1" outlineLevel="1" x14ac:dyDescent="0.2">
      <c r="A65" s="18" t="s">
        <v>898</v>
      </c>
      <c r="B65" s="39" t="s">
        <v>899</v>
      </c>
      <c r="C65" s="32">
        <v>1</v>
      </c>
      <c r="D65" s="18" t="s">
        <v>807</v>
      </c>
      <c r="E65" s="18" t="s">
        <v>374</v>
      </c>
      <c r="F65" s="18" t="s">
        <v>757</v>
      </c>
      <c r="G65" s="22" t="s">
        <v>808</v>
      </c>
      <c r="H65" s="22"/>
      <c r="I65" s="18">
        <v>4</v>
      </c>
      <c r="J65" s="18" t="s">
        <v>774</v>
      </c>
      <c r="O65" s="77" t="str">
        <f t="shared" si="10"/>
        <v>PASS</v>
      </c>
      <c r="P65" s="78"/>
      <c r="Q65" s="23" t="str">
        <f t="shared" si="11"/>
        <v>PASS</v>
      </c>
    </row>
    <row r="66" spans="1:17" ht="16" hidden="1" outlineLevel="1" x14ac:dyDescent="0.2">
      <c r="A66" s="18" t="s">
        <v>900</v>
      </c>
      <c r="B66" s="39" t="s">
        <v>901</v>
      </c>
      <c r="C66" s="32">
        <v>1</v>
      </c>
      <c r="D66" s="18" t="s">
        <v>807</v>
      </c>
      <c r="E66" s="18" t="s">
        <v>374</v>
      </c>
      <c r="F66" s="18" t="s">
        <v>248</v>
      </c>
      <c r="G66" s="22"/>
      <c r="H66" s="22" t="s">
        <v>902</v>
      </c>
      <c r="I66" s="18">
        <v>2</v>
      </c>
      <c r="J66" s="18" t="s">
        <v>765</v>
      </c>
      <c r="O66" s="77" t="str">
        <f t="shared" si="10"/>
        <v>PASS</v>
      </c>
      <c r="P66" s="78"/>
      <c r="Q66" s="23" t="str">
        <f t="shared" si="11"/>
        <v>PASS</v>
      </c>
    </row>
    <row r="67" spans="1:17" ht="16" hidden="1" outlineLevel="1" x14ac:dyDescent="0.2">
      <c r="A67" s="18" t="s">
        <v>903</v>
      </c>
      <c r="B67" s="39" t="s">
        <v>904</v>
      </c>
      <c r="C67" s="32">
        <v>1</v>
      </c>
      <c r="D67" s="18" t="s">
        <v>807</v>
      </c>
      <c r="E67" s="18" t="s">
        <v>374</v>
      </c>
      <c r="F67" s="18" t="s">
        <v>757</v>
      </c>
      <c r="G67" s="22" t="s">
        <v>808</v>
      </c>
      <c r="H67" s="22"/>
      <c r="I67" s="18">
        <v>4</v>
      </c>
      <c r="J67" s="18" t="s">
        <v>774</v>
      </c>
      <c r="O67" s="77" t="str">
        <f t="shared" si="10"/>
        <v>PASS</v>
      </c>
      <c r="P67" s="78"/>
      <c r="Q67" s="23" t="str">
        <f t="shared" si="11"/>
        <v>PASS</v>
      </c>
    </row>
    <row r="68" spans="1:17" ht="16" hidden="1" outlineLevel="1" x14ac:dyDescent="0.2">
      <c r="A68" s="18" t="s">
        <v>905</v>
      </c>
      <c r="B68" s="39" t="s">
        <v>906</v>
      </c>
      <c r="C68" s="32">
        <v>1</v>
      </c>
      <c r="D68" s="18" t="s">
        <v>807</v>
      </c>
      <c r="E68" s="18" t="s">
        <v>374</v>
      </c>
      <c r="F68" s="18" t="s">
        <v>757</v>
      </c>
      <c r="G68" s="22" t="s">
        <v>808</v>
      </c>
      <c r="H68" s="22"/>
      <c r="I68" s="18">
        <v>4</v>
      </c>
      <c r="J68" s="18" t="s">
        <v>774</v>
      </c>
      <c r="O68" s="77" t="str">
        <f t="shared" si="10"/>
        <v>PASS</v>
      </c>
      <c r="P68" s="78"/>
      <c r="Q68" s="23" t="str">
        <f t="shared" si="11"/>
        <v>PASS</v>
      </c>
    </row>
    <row r="69" spans="1:17" ht="16" hidden="1" outlineLevel="1" x14ac:dyDescent="0.2">
      <c r="A69" s="18" t="s">
        <v>907</v>
      </c>
      <c r="B69" s="39" t="s">
        <v>908</v>
      </c>
      <c r="C69" s="32">
        <v>1</v>
      </c>
      <c r="D69" s="18" t="s">
        <v>807</v>
      </c>
      <c r="E69" s="18" t="s">
        <v>374</v>
      </c>
      <c r="F69" s="18" t="s">
        <v>771</v>
      </c>
      <c r="G69" s="22" t="s">
        <v>808</v>
      </c>
      <c r="H69" s="22"/>
      <c r="I69" s="18">
        <v>5</v>
      </c>
      <c r="J69" s="18" t="s">
        <v>774</v>
      </c>
      <c r="O69" s="77" t="str">
        <f t="shared" si="10"/>
        <v>PASS</v>
      </c>
      <c r="P69" s="78"/>
      <c r="Q69" s="23" t="str">
        <f t="shared" si="11"/>
        <v>PASS</v>
      </c>
    </row>
    <row r="70" spans="1:17" ht="16" hidden="1" outlineLevel="1" x14ac:dyDescent="0.2">
      <c r="A70" s="18" t="s">
        <v>909</v>
      </c>
      <c r="B70" s="39" t="s">
        <v>910</v>
      </c>
      <c r="C70" s="32">
        <v>1</v>
      </c>
      <c r="D70" s="18" t="s">
        <v>807</v>
      </c>
      <c r="E70" s="18" t="s">
        <v>374</v>
      </c>
      <c r="F70" s="18" t="s">
        <v>757</v>
      </c>
      <c r="G70" s="22" t="s">
        <v>808</v>
      </c>
      <c r="H70" s="22"/>
      <c r="I70" s="18">
        <v>4</v>
      </c>
      <c r="J70" s="18" t="s">
        <v>774</v>
      </c>
      <c r="O70" s="77" t="str">
        <f t="shared" si="10"/>
        <v>PASS</v>
      </c>
      <c r="P70" s="78"/>
      <c r="Q70" s="23" t="str">
        <f t="shared" si="11"/>
        <v>PASS</v>
      </c>
    </row>
    <row r="71" spans="1:17" ht="16" hidden="1" outlineLevel="1" x14ac:dyDescent="0.2">
      <c r="A71" s="18" t="s">
        <v>911</v>
      </c>
      <c r="B71" s="39" t="s">
        <v>912</v>
      </c>
      <c r="C71" s="32">
        <v>1</v>
      </c>
      <c r="D71" s="18" t="s">
        <v>807</v>
      </c>
      <c r="E71" s="18" t="s">
        <v>374</v>
      </c>
      <c r="F71" s="18" t="s">
        <v>757</v>
      </c>
      <c r="G71" s="22" t="s">
        <v>808</v>
      </c>
      <c r="H71" s="22"/>
      <c r="I71" s="18">
        <v>4</v>
      </c>
      <c r="J71" s="18" t="s">
        <v>774</v>
      </c>
      <c r="O71" s="77" t="str">
        <f t="shared" si="10"/>
        <v>PASS</v>
      </c>
      <c r="P71" s="78"/>
      <c r="Q71" s="23" t="str">
        <f t="shared" si="11"/>
        <v>PASS</v>
      </c>
    </row>
    <row r="72" spans="1:17" ht="16" hidden="1" outlineLevel="1" x14ac:dyDescent="0.2">
      <c r="A72" s="18" t="s">
        <v>913</v>
      </c>
      <c r="B72" s="39" t="s">
        <v>914</v>
      </c>
      <c r="C72" s="32">
        <v>1</v>
      </c>
      <c r="D72" s="18" t="s">
        <v>807</v>
      </c>
      <c r="E72" s="18" t="s">
        <v>374</v>
      </c>
      <c r="F72" s="18" t="s">
        <v>757</v>
      </c>
      <c r="G72" s="22" t="s">
        <v>808</v>
      </c>
      <c r="H72" s="22"/>
      <c r="I72" s="18">
        <v>4</v>
      </c>
      <c r="J72" s="18" t="s">
        <v>774</v>
      </c>
      <c r="O72" s="77" t="str">
        <f t="shared" si="10"/>
        <v>PASS</v>
      </c>
      <c r="P72" s="78"/>
      <c r="Q72" s="23" t="str">
        <f t="shared" si="11"/>
        <v>PASS</v>
      </c>
    </row>
    <row r="73" spans="1:17" ht="16" hidden="1" outlineLevel="1" x14ac:dyDescent="0.2">
      <c r="A73" s="18" t="s">
        <v>915</v>
      </c>
      <c r="B73" s="39" t="s">
        <v>916</v>
      </c>
      <c r="C73" s="32">
        <v>1</v>
      </c>
      <c r="D73" s="18" t="s">
        <v>807</v>
      </c>
      <c r="E73" s="18" t="s">
        <v>374</v>
      </c>
      <c r="F73" s="18" t="s">
        <v>757</v>
      </c>
      <c r="G73" s="22" t="s">
        <v>808</v>
      </c>
      <c r="H73" s="22"/>
      <c r="I73" s="18">
        <v>4</v>
      </c>
      <c r="J73" s="18" t="s">
        <v>774</v>
      </c>
      <c r="O73" s="77" t="str">
        <f t="shared" si="10"/>
        <v>PASS</v>
      </c>
      <c r="P73" s="78"/>
      <c r="Q73" s="23" t="str">
        <f t="shared" si="11"/>
        <v>PASS</v>
      </c>
    </row>
    <row r="74" spans="1:17" ht="16" hidden="1" outlineLevel="1" x14ac:dyDescent="0.2">
      <c r="A74" s="18" t="s">
        <v>917</v>
      </c>
      <c r="B74" s="39" t="s">
        <v>918</v>
      </c>
      <c r="C74" s="32">
        <v>1</v>
      </c>
      <c r="D74" s="18" t="s">
        <v>807</v>
      </c>
      <c r="E74" s="18" t="s">
        <v>374</v>
      </c>
      <c r="F74" s="18" t="s">
        <v>771</v>
      </c>
      <c r="G74" s="22" t="s">
        <v>808</v>
      </c>
      <c r="H74" s="22"/>
      <c r="I74" s="18">
        <v>5</v>
      </c>
      <c r="J74" s="18" t="s">
        <v>774</v>
      </c>
      <c r="O74" s="77" t="str">
        <f t="shared" si="10"/>
        <v>PASS</v>
      </c>
      <c r="P74" s="78"/>
      <c r="Q74" s="23" t="str">
        <f t="shared" si="11"/>
        <v>PASS</v>
      </c>
    </row>
    <row r="75" spans="1:17" ht="16" hidden="1" outlineLevel="1" x14ac:dyDescent="0.2">
      <c r="A75" s="18" t="s">
        <v>919</v>
      </c>
      <c r="B75" s="39" t="s">
        <v>920</v>
      </c>
      <c r="C75" s="32">
        <v>1</v>
      </c>
      <c r="D75" s="18" t="s">
        <v>807</v>
      </c>
      <c r="E75" s="18" t="s">
        <v>374</v>
      </c>
      <c r="F75" s="18" t="s">
        <v>771</v>
      </c>
      <c r="G75" s="22" t="s">
        <v>808</v>
      </c>
      <c r="H75" s="22"/>
      <c r="I75" s="18">
        <v>5</v>
      </c>
      <c r="J75" s="18" t="s">
        <v>774</v>
      </c>
      <c r="O75" s="77" t="str">
        <f t="shared" si="10"/>
        <v>PASS</v>
      </c>
      <c r="P75" s="78"/>
      <c r="Q75" s="23" t="str">
        <f t="shared" si="11"/>
        <v>PASS</v>
      </c>
    </row>
    <row r="76" spans="1:17" ht="39" collapsed="1" x14ac:dyDescent="0.2">
      <c r="A76" s="18" t="str">
        <f>'Part names'!$A$55</f>
        <v>TK-103</v>
      </c>
      <c r="B76" s="39" t="str">
        <f>'Part names'!$B$55 &amp; "  · 1.1 m dia x 1.1 m"</f>
        <v>Nutrient Tank  · 1.1 m dia x 1.1 m</v>
      </c>
      <c r="C76" s="32">
        <v>8</v>
      </c>
      <c r="D76" s="48">
        <v>2844</v>
      </c>
      <c r="E76" s="48">
        <v>22752</v>
      </c>
      <c r="F76" s="18" t="s">
        <v>757</v>
      </c>
      <c r="G76" s="22" t="s">
        <v>921</v>
      </c>
      <c r="H76" s="22" t="s">
        <v>922</v>
      </c>
      <c r="I76" s="18">
        <v>4</v>
      </c>
      <c r="J76" s="18" t="s">
        <v>774</v>
      </c>
      <c r="K76" s="22" t="s">
        <v>923</v>
      </c>
      <c r="L76" s="39" t="s">
        <v>386</v>
      </c>
      <c r="M76" s="22" t="s">
        <v>924</v>
      </c>
      <c r="N76" s="39" t="s">
        <v>804</v>
      </c>
      <c r="O76" s="77" t="str">
        <f>IF(AND(LEN(TRIM($B76&amp;""))&gt;0,ISNUMBER($C76),$C76&gt;0,ISNUMBER($D76),$D76&gt;0,ISNUMBER($E76),$E76&gt;0,ABS($E76-$C76*$D76)&lt;=MAX(1,0.005*ABS($E76)),LEN(TRIM($M76&amp;""))&gt;0,TRIM($M76&amp;"")&lt;&gt;"—",LEN(TRIM($P76&amp;""))=0),"PASS","FAIL — "&amp;IF(LEN(TRIM($P76&amp;""))&gt;0,TRIM($P76&amp;""),"line ≠ qty×unit, a required cell empty, or qty/£ non-positive"))</f>
        <v>PASS</v>
      </c>
      <c r="P76" s="78"/>
      <c r="Q76" s="23" t="str">
        <f>IF(AND(LEN(TRIM(A76&amp;""))&gt;0,TRIM(A76&amp;"")&lt;&gt;"—",LEN(TRIM(B76&amp;""))&gt;0,TRIM(B76&amp;"")&lt;&gt;"—",LEN(TRIM(C76&amp;""))&gt;0,TRIM(C76&amp;"")&lt;&gt;"—",ISNUMBER(C76),LEN(TRIM(D76&amp;""))&gt;0,TRIM(D76&amp;"")&lt;&gt;"—",ISNUMBER(D76),LEN(TRIM(E76&amp;""))&gt;0,TRIM(E76&amp;"")&lt;&gt;"—",ISNUMBER(E76),LEN(TRIM(F76&amp;""))&gt;0,TRIM(F76&amp;"")&lt;&gt;"—",LEN(TRIM(I76&amp;""))&gt;0,TRIM(I76&amp;"")&lt;&gt;"—",LEN(TRIM(J76&amp;""))&gt;0,TRIM(J76&amp;"")&lt;&gt;"—",LEN(TRIM(O76&amp;""))&gt;0,TRIM(O76&amp;"")&lt;&gt;"—"),"PASS","⚠ FAIL — "&amp;"a required cell is empty/placeholder or wrong type")</f>
        <v>PASS</v>
      </c>
    </row>
    <row r="77" spans="1:17" ht="16" hidden="1" outlineLevel="1" x14ac:dyDescent="0.2">
      <c r="A77" s="18" t="s">
        <v>925</v>
      </c>
      <c r="B77" s="39" t="s">
        <v>926</v>
      </c>
      <c r="C77" s="32">
        <v>1</v>
      </c>
      <c r="D77" s="18" t="s">
        <v>807</v>
      </c>
      <c r="E77" s="18" t="s">
        <v>374</v>
      </c>
      <c r="F77" s="18" t="s">
        <v>757</v>
      </c>
      <c r="G77" s="22" t="s">
        <v>808</v>
      </c>
      <c r="H77" s="22"/>
      <c r="I77" s="18">
        <v>4</v>
      </c>
      <c r="J77" s="18" t="s">
        <v>774</v>
      </c>
      <c r="O77" s="77" t="str">
        <f t="shared" ref="O77:O87" si="12">IF(AND(LEN(TRIM($B77&amp;""))&gt;0,LEN(TRIM($P77&amp;""))=0),"PASS","FAIL — "&amp;IF(LEN(TRIM($P77&amp;""))&gt;0,TRIM($P77&amp;""),"line ≠ qty×unit, a required cell empty, or qty/£ non-positive"))</f>
        <v>PASS</v>
      </c>
      <c r="P77" s="78"/>
      <c r="Q77" s="23" t="str">
        <f t="shared" ref="Q77:Q87" si="13">IF(AND(LEN(TRIM(B77&amp;""))&gt;0,TRIM(B77&amp;"")&lt;&gt;"—",LEN(TRIM(C77&amp;""))&gt;0,TRIM(C77&amp;"")&lt;&gt;"—",ISNUMBER(C77),LEN(TRIM(F77&amp;""))&gt;0,TRIM(F77&amp;"")&lt;&gt;"—",LEN(TRIM(I77&amp;""))&gt;0,TRIM(I77&amp;"")&lt;&gt;"—",LEN(TRIM(J77&amp;""))&gt;0,TRIM(J77&amp;"")&lt;&gt;"—",LEN(TRIM(O77&amp;""))&gt;0,TRIM(O77&amp;"")&lt;&gt;"—"),"PASS","⚠ FAIL — "&amp;"a required cell is empty/placeholder or wrong type")</f>
        <v>PASS</v>
      </c>
    </row>
    <row r="78" spans="1:17" ht="16" hidden="1" outlineLevel="1" x14ac:dyDescent="0.2">
      <c r="A78" s="18" t="s">
        <v>927</v>
      </c>
      <c r="B78" s="39" t="s">
        <v>928</v>
      </c>
      <c r="C78" s="32">
        <v>1</v>
      </c>
      <c r="D78" s="18" t="s">
        <v>807</v>
      </c>
      <c r="E78" s="18" t="s">
        <v>374</v>
      </c>
      <c r="F78" s="18" t="s">
        <v>757</v>
      </c>
      <c r="G78" s="22" t="s">
        <v>808</v>
      </c>
      <c r="H78" s="22"/>
      <c r="I78" s="18">
        <v>4</v>
      </c>
      <c r="J78" s="18" t="s">
        <v>774</v>
      </c>
      <c r="O78" s="77" t="str">
        <f t="shared" si="12"/>
        <v>PASS</v>
      </c>
      <c r="P78" s="78"/>
      <c r="Q78" s="23" t="str">
        <f t="shared" si="13"/>
        <v>PASS</v>
      </c>
    </row>
    <row r="79" spans="1:17" ht="16" hidden="1" outlineLevel="1" x14ac:dyDescent="0.2">
      <c r="A79" s="18" t="s">
        <v>929</v>
      </c>
      <c r="B79" s="39" t="s">
        <v>930</v>
      </c>
      <c r="C79" s="32">
        <v>1</v>
      </c>
      <c r="D79" s="18" t="s">
        <v>807</v>
      </c>
      <c r="E79" s="18" t="s">
        <v>374</v>
      </c>
      <c r="F79" s="18" t="s">
        <v>771</v>
      </c>
      <c r="G79" s="22" t="s">
        <v>808</v>
      </c>
      <c r="H79" s="22"/>
      <c r="I79" s="18">
        <v>5</v>
      </c>
      <c r="J79" s="18" t="s">
        <v>774</v>
      </c>
      <c r="O79" s="77" t="str">
        <f t="shared" si="12"/>
        <v>PASS</v>
      </c>
      <c r="P79" s="78"/>
      <c r="Q79" s="23" t="str">
        <f t="shared" si="13"/>
        <v>PASS</v>
      </c>
    </row>
    <row r="80" spans="1:17" ht="16" hidden="1" outlineLevel="1" x14ac:dyDescent="0.2">
      <c r="A80" s="18" t="s">
        <v>931</v>
      </c>
      <c r="B80" s="39" t="s">
        <v>932</v>
      </c>
      <c r="C80" s="32">
        <v>1</v>
      </c>
      <c r="D80" s="18" t="s">
        <v>807</v>
      </c>
      <c r="E80" s="18" t="s">
        <v>374</v>
      </c>
      <c r="F80" s="18" t="s">
        <v>771</v>
      </c>
      <c r="G80" s="22" t="s">
        <v>808</v>
      </c>
      <c r="H80" s="22"/>
      <c r="I80" s="18">
        <v>5</v>
      </c>
      <c r="J80" s="18" t="s">
        <v>774</v>
      </c>
      <c r="O80" s="77" t="str">
        <f t="shared" si="12"/>
        <v>PASS</v>
      </c>
      <c r="P80" s="78"/>
      <c r="Q80" s="23" t="str">
        <f t="shared" si="13"/>
        <v>PASS</v>
      </c>
    </row>
    <row r="81" spans="1:17" ht="16" hidden="1" outlineLevel="1" x14ac:dyDescent="0.2">
      <c r="A81" s="18" t="s">
        <v>933</v>
      </c>
      <c r="B81" s="39" t="s">
        <v>934</v>
      </c>
      <c r="C81" s="32">
        <v>1</v>
      </c>
      <c r="D81" s="18" t="s">
        <v>807</v>
      </c>
      <c r="E81" s="18" t="s">
        <v>374</v>
      </c>
      <c r="F81" s="18" t="s">
        <v>771</v>
      </c>
      <c r="G81" s="22" t="s">
        <v>808</v>
      </c>
      <c r="H81" s="22"/>
      <c r="I81" s="18">
        <v>5</v>
      </c>
      <c r="J81" s="18" t="s">
        <v>774</v>
      </c>
      <c r="O81" s="77" t="str">
        <f t="shared" si="12"/>
        <v>PASS</v>
      </c>
      <c r="P81" s="78"/>
      <c r="Q81" s="23" t="str">
        <f t="shared" si="13"/>
        <v>PASS</v>
      </c>
    </row>
    <row r="82" spans="1:17" ht="16" hidden="1" outlineLevel="1" x14ac:dyDescent="0.2">
      <c r="A82" s="18" t="s">
        <v>935</v>
      </c>
      <c r="B82" s="39" t="s">
        <v>936</v>
      </c>
      <c r="C82" s="32">
        <v>1</v>
      </c>
      <c r="D82" s="18" t="s">
        <v>807</v>
      </c>
      <c r="E82" s="18" t="s">
        <v>374</v>
      </c>
      <c r="F82" s="18" t="s">
        <v>757</v>
      </c>
      <c r="G82" s="22" t="s">
        <v>808</v>
      </c>
      <c r="H82" s="22"/>
      <c r="I82" s="18">
        <v>4</v>
      </c>
      <c r="J82" s="18" t="s">
        <v>774</v>
      </c>
      <c r="O82" s="77" t="str">
        <f t="shared" si="12"/>
        <v>PASS</v>
      </c>
      <c r="P82" s="78"/>
      <c r="Q82" s="23" t="str">
        <f t="shared" si="13"/>
        <v>PASS</v>
      </c>
    </row>
    <row r="83" spans="1:17" ht="16" hidden="1" outlineLevel="1" x14ac:dyDescent="0.2">
      <c r="A83" s="18" t="s">
        <v>937</v>
      </c>
      <c r="B83" s="39" t="s">
        <v>938</v>
      </c>
      <c r="C83" s="32">
        <v>1</v>
      </c>
      <c r="D83" s="18" t="s">
        <v>807</v>
      </c>
      <c r="E83" s="18" t="s">
        <v>374</v>
      </c>
      <c r="F83" s="18" t="s">
        <v>771</v>
      </c>
      <c r="G83" s="22" t="s">
        <v>808</v>
      </c>
      <c r="H83" s="22"/>
      <c r="I83" s="18">
        <v>5</v>
      </c>
      <c r="J83" s="18" t="s">
        <v>774</v>
      </c>
      <c r="O83" s="77" t="str">
        <f t="shared" si="12"/>
        <v>PASS</v>
      </c>
      <c r="P83" s="78"/>
      <c r="Q83" s="23" t="str">
        <f t="shared" si="13"/>
        <v>PASS</v>
      </c>
    </row>
    <row r="84" spans="1:17" ht="16" hidden="1" outlineLevel="1" x14ac:dyDescent="0.2">
      <c r="A84" s="18" t="s">
        <v>939</v>
      </c>
      <c r="B84" s="39" t="s">
        <v>940</v>
      </c>
      <c r="C84" s="32">
        <v>1</v>
      </c>
      <c r="D84" s="18" t="s">
        <v>807</v>
      </c>
      <c r="E84" s="18" t="s">
        <v>374</v>
      </c>
      <c r="F84" s="18" t="s">
        <v>757</v>
      </c>
      <c r="G84" s="22" t="s">
        <v>808</v>
      </c>
      <c r="H84" s="22"/>
      <c r="I84" s="18">
        <v>4</v>
      </c>
      <c r="J84" s="18" t="s">
        <v>774</v>
      </c>
      <c r="O84" s="77" t="str">
        <f t="shared" si="12"/>
        <v>PASS</v>
      </c>
      <c r="P84" s="78"/>
      <c r="Q84" s="23" t="str">
        <f t="shared" si="13"/>
        <v>PASS</v>
      </c>
    </row>
    <row r="85" spans="1:17" ht="16" hidden="1" outlineLevel="1" x14ac:dyDescent="0.2">
      <c r="A85" s="18" t="s">
        <v>941</v>
      </c>
      <c r="B85" s="39" t="s">
        <v>942</v>
      </c>
      <c r="C85" s="32">
        <v>1</v>
      </c>
      <c r="D85" s="18" t="s">
        <v>807</v>
      </c>
      <c r="E85" s="18" t="s">
        <v>374</v>
      </c>
      <c r="F85" s="18" t="s">
        <v>771</v>
      </c>
      <c r="G85" s="22" t="s">
        <v>808</v>
      </c>
      <c r="H85" s="22"/>
      <c r="I85" s="18">
        <v>5</v>
      </c>
      <c r="J85" s="18" t="s">
        <v>774</v>
      </c>
      <c r="O85" s="77" t="str">
        <f t="shared" si="12"/>
        <v>PASS</v>
      </c>
      <c r="P85" s="78"/>
      <c r="Q85" s="23" t="str">
        <f t="shared" si="13"/>
        <v>PASS</v>
      </c>
    </row>
    <row r="86" spans="1:17" ht="16" hidden="1" outlineLevel="1" x14ac:dyDescent="0.2">
      <c r="A86" s="18" t="s">
        <v>943</v>
      </c>
      <c r="B86" s="39" t="s">
        <v>889</v>
      </c>
      <c r="C86" s="32">
        <v>1</v>
      </c>
      <c r="D86" s="18" t="s">
        <v>807</v>
      </c>
      <c r="E86" s="18" t="s">
        <v>374</v>
      </c>
      <c r="F86" s="18" t="s">
        <v>757</v>
      </c>
      <c r="G86" s="22" t="s">
        <v>808</v>
      </c>
      <c r="H86" s="22"/>
      <c r="I86" s="18">
        <v>4</v>
      </c>
      <c r="J86" s="18" t="s">
        <v>774</v>
      </c>
      <c r="O86" s="77" t="str">
        <f t="shared" si="12"/>
        <v>PASS</v>
      </c>
      <c r="P86" s="78"/>
      <c r="Q86" s="23" t="str">
        <f t="shared" si="13"/>
        <v>PASS</v>
      </c>
    </row>
    <row r="87" spans="1:17" ht="16" hidden="1" outlineLevel="1" x14ac:dyDescent="0.2">
      <c r="A87" s="18" t="s">
        <v>944</v>
      </c>
      <c r="B87" s="39" t="s">
        <v>826</v>
      </c>
      <c r="C87" s="32">
        <v>1</v>
      </c>
      <c r="D87" s="18" t="s">
        <v>807</v>
      </c>
      <c r="E87" s="18" t="s">
        <v>374</v>
      </c>
      <c r="F87" s="18" t="s">
        <v>771</v>
      </c>
      <c r="G87" s="22" t="s">
        <v>808</v>
      </c>
      <c r="H87" s="22"/>
      <c r="I87" s="18">
        <v>5</v>
      </c>
      <c r="J87" s="18" t="s">
        <v>774</v>
      </c>
      <c r="O87" s="77" t="str">
        <f t="shared" si="12"/>
        <v>PASS</v>
      </c>
      <c r="P87" s="78"/>
      <c r="Q87" s="23" t="str">
        <f t="shared" si="13"/>
        <v>PASS</v>
      </c>
    </row>
    <row r="88" spans="1:17" ht="78" collapsed="1" x14ac:dyDescent="0.2">
      <c r="A88" s="18" t="str">
        <f>'Part names'!$A$38</f>
        <v>P-102</v>
      </c>
      <c r="B88" s="39" t="str">
        <f>'Part names'!$B$38 &amp; "  · 25 m³/h · 900x500x700 mm"</f>
        <v>Hand Watering Pump  · 25 m³/h · 900x500x700 mm</v>
      </c>
      <c r="C88" s="32">
        <v>1</v>
      </c>
      <c r="D88" s="48">
        <v>2500</v>
      </c>
      <c r="E88" s="48">
        <v>2500</v>
      </c>
      <c r="F88" s="18" t="s">
        <v>757</v>
      </c>
      <c r="G88" s="22" t="s">
        <v>945</v>
      </c>
      <c r="H88" s="22" t="s">
        <v>946</v>
      </c>
      <c r="I88" s="18">
        <v>4</v>
      </c>
      <c r="J88" s="18" t="s">
        <v>774</v>
      </c>
      <c r="K88" s="22" t="s">
        <v>947</v>
      </c>
      <c r="L88" s="39" t="s">
        <v>358</v>
      </c>
      <c r="M88" s="22" t="s">
        <v>948</v>
      </c>
      <c r="N88" s="39" t="s">
        <v>949</v>
      </c>
      <c r="O88" s="77" t="str">
        <f>IF(AND(LEN(TRIM($B88&amp;""))&gt;0,ISNUMBER($C88),$C88&gt;0,ISNUMBER($D88),$D88&gt;0,ISNUMBER($E88),$E88&gt;0,ABS($E88-$C88*$D88)&lt;=MAX(1,0.005*ABS($E88)),LEN(TRIM($M88&amp;""))&gt;0,TRIM($M88&amp;"")&lt;&gt;"—",LEN(TRIM($P88&amp;""))=0),"PASS","FAIL — "&amp;IF(LEN(TRIM($P88&amp;""))&gt;0,TRIM($P88&amp;""),"line ≠ qty×unit, a required cell empty, or qty/£ non-positive"))</f>
        <v>PASS</v>
      </c>
      <c r="P88" s="78"/>
      <c r="Q88" s="23" t="str">
        <f>IF(AND(LEN(TRIM(A88&amp;""))&gt;0,TRIM(A88&amp;"")&lt;&gt;"—",LEN(TRIM(B88&amp;""))&gt;0,TRIM(B88&amp;"")&lt;&gt;"—",LEN(TRIM(C88&amp;""))&gt;0,TRIM(C88&amp;"")&lt;&gt;"—",ISNUMBER(C88),LEN(TRIM(D88&amp;""))&gt;0,TRIM(D88&amp;"")&lt;&gt;"—",ISNUMBER(D88),LEN(TRIM(E88&amp;""))&gt;0,TRIM(E88&amp;"")&lt;&gt;"—",ISNUMBER(E88),LEN(TRIM(F88&amp;""))&gt;0,TRIM(F88&amp;"")&lt;&gt;"—",LEN(TRIM(I88&amp;""))&gt;0,TRIM(I88&amp;"")&lt;&gt;"—",LEN(TRIM(J88&amp;""))&gt;0,TRIM(J88&amp;"")&lt;&gt;"—",LEN(TRIM(O88&amp;""))&gt;0,TRIM(O88&amp;"")&lt;&gt;"—"),"PASS","⚠ FAIL — "&amp;"a required cell is empty/placeholder or wrong type")</f>
        <v>PASS</v>
      </c>
    </row>
    <row r="89" spans="1:17" ht="16" hidden="1" outlineLevel="1" x14ac:dyDescent="0.2">
      <c r="A89" s="18" t="s">
        <v>950</v>
      </c>
      <c r="B89" s="39" t="s">
        <v>895</v>
      </c>
      <c r="C89" s="32">
        <v>1</v>
      </c>
      <c r="D89" s="18" t="s">
        <v>807</v>
      </c>
      <c r="E89" s="18" t="s">
        <v>374</v>
      </c>
      <c r="F89" s="18" t="s">
        <v>771</v>
      </c>
      <c r="G89" s="22" t="s">
        <v>808</v>
      </c>
      <c r="H89" s="22"/>
      <c r="I89" s="18">
        <v>5</v>
      </c>
      <c r="J89" s="18" t="s">
        <v>774</v>
      </c>
      <c r="O89" s="77" t="str">
        <f t="shared" ref="O89:O101" si="14">IF(AND(LEN(TRIM($B89&amp;""))&gt;0,LEN(TRIM($P89&amp;""))=0),"PASS","FAIL — "&amp;IF(LEN(TRIM($P89&amp;""))&gt;0,TRIM($P89&amp;""),"line ≠ qty×unit, a required cell empty, or qty/£ non-positive"))</f>
        <v>PASS</v>
      </c>
      <c r="P89" s="78"/>
      <c r="Q89" s="23" t="str">
        <f t="shared" ref="Q89:Q101" si="15">IF(AND(LEN(TRIM(B89&amp;""))&gt;0,TRIM(B89&amp;"")&lt;&gt;"—",LEN(TRIM(C89&amp;""))&gt;0,TRIM(C89&amp;"")&lt;&gt;"—",ISNUMBER(C89),LEN(TRIM(F89&amp;""))&gt;0,TRIM(F89&amp;"")&lt;&gt;"—",LEN(TRIM(I89&amp;""))&gt;0,TRIM(I89&amp;"")&lt;&gt;"—",LEN(TRIM(J89&amp;""))&gt;0,TRIM(J89&amp;"")&lt;&gt;"—",LEN(TRIM(O89&amp;""))&gt;0,TRIM(O89&amp;"")&lt;&gt;"—"),"PASS","⚠ FAIL — "&amp;"a required cell is empty/placeholder or wrong type")</f>
        <v>PASS</v>
      </c>
    </row>
    <row r="90" spans="1:17" ht="16" hidden="1" outlineLevel="1" x14ac:dyDescent="0.2">
      <c r="A90" s="18" t="s">
        <v>951</v>
      </c>
      <c r="B90" s="39" t="s">
        <v>897</v>
      </c>
      <c r="C90" s="32">
        <v>1</v>
      </c>
      <c r="D90" s="18" t="s">
        <v>807</v>
      </c>
      <c r="E90" s="18" t="s">
        <v>374</v>
      </c>
      <c r="F90" s="18" t="s">
        <v>757</v>
      </c>
      <c r="G90" s="22" t="s">
        <v>808</v>
      </c>
      <c r="H90" s="22"/>
      <c r="I90" s="18">
        <v>4</v>
      </c>
      <c r="J90" s="18" t="s">
        <v>774</v>
      </c>
      <c r="O90" s="77" t="str">
        <f t="shared" si="14"/>
        <v>PASS</v>
      </c>
      <c r="P90" s="78"/>
      <c r="Q90" s="23" t="str">
        <f t="shared" si="15"/>
        <v>PASS</v>
      </c>
    </row>
    <row r="91" spans="1:17" ht="16" hidden="1" outlineLevel="1" x14ac:dyDescent="0.2">
      <c r="A91" s="18" t="s">
        <v>952</v>
      </c>
      <c r="B91" s="39" t="s">
        <v>953</v>
      </c>
      <c r="C91" s="32">
        <v>1</v>
      </c>
      <c r="D91" s="18" t="s">
        <v>807</v>
      </c>
      <c r="E91" s="18" t="s">
        <v>374</v>
      </c>
      <c r="F91" s="18" t="s">
        <v>757</v>
      </c>
      <c r="G91" s="22" t="s">
        <v>808</v>
      </c>
      <c r="H91" s="22"/>
      <c r="I91" s="18">
        <v>4</v>
      </c>
      <c r="J91" s="18" t="s">
        <v>774</v>
      </c>
      <c r="O91" s="77" t="str">
        <f t="shared" si="14"/>
        <v>PASS</v>
      </c>
      <c r="P91" s="78"/>
      <c r="Q91" s="23" t="str">
        <f t="shared" si="15"/>
        <v>PASS</v>
      </c>
    </row>
    <row r="92" spans="1:17" ht="16" hidden="1" outlineLevel="1" x14ac:dyDescent="0.2">
      <c r="A92" s="18" t="s">
        <v>954</v>
      </c>
      <c r="B92" s="39" t="s">
        <v>955</v>
      </c>
      <c r="C92" s="32">
        <v>1</v>
      </c>
      <c r="D92" s="18" t="s">
        <v>807</v>
      </c>
      <c r="E92" s="18" t="s">
        <v>374</v>
      </c>
      <c r="F92" s="18" t="s">
        <v>248</v>
      </c>
      <c r="G92" s="22" t="s">
        <v>808</v>
      </c>
      <c r="H92" s="22"/>
      <c r="I92" s="18">
        <v>2</v>
      </c>
      <c r="J92" s="18" t="s">
        <v>765</v>
      </c>
      <c r="O92" s="77" t="str">
        <f t="shared" si="14"/>
        <v>PASS</v>
      </c>
      <c r="P92" s="78"/>
      <c r="Q92" s="23" t="str">
        <f t="shared" si="15"/>
        <v>PASS</v>
      </c>
    </row>
    <row r="93" spans="1:17" ht="16" hidden="1" outlineLevel="1" x14ac:dyDescent="0.2">
      <c r="A93" s="18" t="s">
        <v>956</v>
      </c>
      <c r="B93" s="39" t="s">
        <v>904</v>
      </c>
      <c r="C93" s="32">
        <v>1</v>
      </c>
      <c r="D93" s="18" t="s">
        <v>807</v>
      </c>
      <c r="E93" s="18" t="s">
        <v>374</v>
      </c>
      <c r="F93" s="18" t="s">
        <v>757</v>
      </c>
      <c r="G93" s="22" t="s">
        <v>808</v>
      </c>
      <c r="H93" s="22"/>
      <c r="I93" s="18">
        <v>4</v>
      </c>
      <c r="J93" s="18" t="s">
        <v>774</v>
      </c>
      <c r="O93" s="77" t="str">
        <f t="shared" si="14"/>
        <v>PASS</v>
      </c>
      <c r="P93" s="78"/>
      <c r="Q93" s="23" t="str">
        <f t="shared" si="15"/>
        <v>PASS</v>
      </c>
    </row>
    <row r="94" spans="1:17" ht="16" hidden="1" outlineLevel="1" x14ac:dyDescent="0.2">
      <c r="A94" s="18" t="s">
        <v>957</v>
      </c>
      <c r="B94" s="39" t="s">
        <v>906</v>
      </c>
      <c r="C94" s="32">
        <v>1</v>
      </c>
      <c r="D94" s="18" t="s">
        <v>807</v>
      </c>
      <c r="E94" s="18" t="s">
        <v>374</v>
      </c>
      <c r="F94" s="18" t="s">
        <v>757</v>
      </c>
      <c r="G94" s="22" t="s">
        <v>808</v>
      </c>
      <c r="H94" s="22"/>
      <c r="I94" s="18">
        <v>4</v>
      </c>
      <c r="J94" s="18" t="s">
        <v>774</v>
      </c>
      <c r="O94" s="77" t="str">
        <f t="shared" si="14"/>
        <v>PASS</v>
      </c>
      <c r="P94" s="78"/>
      <c r="Q94" s="23" t="str">
        <f t="shared" si="15"/>
        <v>PASS</v>
      </c>
    </row>
    <row r="95" spans="1:17" ht="16" hidden="1" outlineLevel="1" x14ac:dyDescent="0.2">
      <c r="A95" s="18" t="s">
        <v>958</v>
      </c>
      <c r="B95" s="39" t="s">
        <v>908</v>
      </c>
      <c r="C95" s="32">
        <v>1</v>
      </c>
      <c r="D95" s="18" t="s">
        <v>807</v>
      </c>
      <c r="E95" s="18" t="s">
        <v>374</v>
      </c>
      <c r="F95" s="18" t="s">
        <v>771</v>
      </c>
      <c r="G95" s="22" t="s">
        <v>808</v>
      </c>
      <c r="H95" s="22"/>
      <c r="I95" s="18">
        <v>5</v>
      </c>
      <c r="J95" s="18" t="s">
        <v>774</v>
      </c>
      <c r="O95" s="77" t="str">
        <f t="shared" si="14"/>
        <v>PASS</v>
      </c>
      <c r="P95" s="78"/>
      <c r="Q95" s="23" t="str">
        <f t="shared" si="15"/>
        <v>PASS</v>
      </c>
    </row>
    <row r="96" spans="1:17" ht="16" hidden="1" outlineLevel="1" x14ac:dyDescent="0.2">
      <c r="A96" s="18" t="s">
        <v>959</v>
      </c>
      <c r="B96" s="39" t="s">
        <v>910</v>
      </c>
      <c r="C96" s="32">
        <v>1</v>
      </c>
      <c r="D96" s="18" t="s">
        <v>807</v>
      </c>
      <c r="E96" s="18" t="s">
        <v>374</v>
      </c>
      <c r="F96" s="18" t="s">
        <v>757</v>
      </c>
      <c r="G96" s="22" t="s">
        <v>808</v>
      </c>
      <c r="H96" s="22"/>
      <c r="I96" s="18">
        <v>4</v>
      </c>
      <c r="J96" s="18" t="s">
        <v>774</v>
      </c>
      <c r="O96" s="77" t="str">
        <f t="shared" si="14"/>
        <v>PASS</v>
      </c>
      <c r="P96" s="78"/>
      <c r="Q96" s="23" t="str">
        <f t="shared" si="15"/>
        <v>PASS</v>
      </c>
    </row>
    <row r="97" spans="1:17" ht="32" hidden="1" outlineLevel="1" x14ac:dyDescent="0.2">
      <c r="A97" s="18" t="s">
        <v>960</v>
      </c>
      <c r="B97" s="39" t="s">
        <v>961</v>
      </c>
      <c r="C97" s="32">
        <v>1</v>
      </c>
      <c r="D97" s="18" t="s">
        <v>807</v>
      </c>
      <c r="E97" s="18" t="s">
        <v>374</v>
      </c>
      <c r="F97" s="18" t="s">
        <v>757</v>
      </c>
      <c r="G97" s="22" t="s">
        <v>808</v>
      </c>
      <c r="H97" s="22"/>
      <c r="I97" s="18">
        <v>4</v>
      </c>
      <c r="J97" s="18" t="s">
        <v>774</v>
      </c>
      <c r="O97" s="77" t="str">
        <f t="shared" si="14"/>
        <v>PASS</v>
      </c>
      <c r="P97" s="78"/>
      <c r="Q97" s="23" t="str">
        <f t="shared" si="15"/>
        <v>PASS</v>
      </c>
    </row>
    <row r="98" spans="1:17" ht="32" hidden="1" outlineLevel="1" x14ac:dyDescent="0.2">
      <c r="A98" s="18" t="s">
        <v>962</v>
      </c>
      <c r="B98" s="39" t="s">
        <v>963</v>
      </c>
      <c r="C98" s="32">
        <v>1</v>
      </c>
      <c r="D98" s="18" t="s">
        <v>807</v>
      </c>
      <c r="E98" s="18" t="s">
        <v>374</v>
      </c>
      <c r="F98" s="18" t="s">
        <v>757</v>
      </c>
      <c r="G98" s="22" t="s">
        <v>808</v>
      </c>
      <c r="H98" s="22"/>
      <c r="I98" s="18">
        <v>4</v>
      </c>
      <c r="J98" s="18" t="s">
        <v>774</v>
      </c>
      <c r="O98" s="77" t="str">
        <f t="shared" si="14"/>
        <v>PASS</v>
      </c>
      <c r="P98" s="78"/>
      <c r="Q98" s="23" t="str">
        <f t="shared" si="15"/>
        <v>PASS</v>
      </c>
    </row>
    <row r="99" spans="1:17" ht="32" hidden="1" outlineLevel="1" x14ac:dyDescent="0.2">
      <c r="A99" s="18" t="s">
        <v>964</v>
      </c>
      <c r="B99" s="39" t="s">
        <v>965</v>
      </c>
      <c r="C99" s="32">
        <v>1</v>
      </c>
      <c r="D99" s="18" t="s">
        <v>807</v>
      </c>
      <c r="E99" s="18" t="s">
        <v>374</v>
      </c>
      <c r="F99" s="18" t="s">
        <v>757</v>
      </c>
      <c r="G99" s="22" t="s">
        <v>808</v>
      </c>
      <c r="H99" s="22"/>
      <c r="I99" s="18">
        <v>4</v>
      </c>
      <c r="J99" s="18" t="s">
        <v>774</v>
      </c>
      <c r="O99" s="77" t="str">
        <f t="shared" si="14"/>
        <v>PASS</v>
      </c>
      <c r="P99" s="78"/>
      <c r="Q99" s="23" t="str">
        <f t="shared" si="15"/>
        <v>PASS</v>
      </c>
    </row>
    <row r="100" spans="1:17" ht="16" hidden="1" outlineLevel="1" x14ac:dyDescent="0.2">
      <c r="A100" s="18" t="s">
        <v>966</v>
      </c>
      <c r="B100" s="39" t="s">
        <v>918</v>
      </c>
      <c r="C100" s="32">
        <v>1</v>
      </c>
      <c r="D100" s="18" t="s">
        <v>807</v>
      </c>
      <c r="E100" s="18" t="s">
        <v>374</v>
      </c>
      <c r="F100" s="18" t="s">
        <v>771</v>
      </c>
      <c r="G100" s="22" t="s">
        <v>808</v>
      </c>
      <c r="H100" s="22"/>
      <c r="I100" s="18">
        <v>5</v>
      </c>
      <c r="J100" s="18" t="s">
        <v>774</v>
      </c>
      <c r="O100" s="77" t="str">
        <f t="shared" si="14"/>
        <v>PASS</v>
      </c>
      <c r="P100" s="78"/>
      <c r="Q100" s="23" t="str">
        <f t="shared" si="15"/>
        <v>PASS</v>
      </c>
    </row>
    <row r="101" spans="1:17" ht="16" hidden="1" outlineLevel="1" x14ac:dyDescent="0.2">
      <c r="A101" s="18" t="s">
        <v>967</v>
      </c>
      <c r="B101" s="39" t="s">
        <v>920</v>
      </c>
      <c r="C101" s="32">
        <v>1</v>
      </c>
      <c r="D101" s="18" t="s">
        <v>807</v>
      </c>
      <c r="E101" s="18" t="s">
        <v>374</v>
      </c>
      <c r="F101" s="18" t="s">
        <v>771</v>
      </c>
      <c r="G101" s="22" t="s">
        <v>808</v>
      </c>
      <c r="H101" s="22"/>
      <c r="I101" s="18">
        <v>5</v>
      </c>
      <c r="J101" s="18" t="s">
        <v>774</v>
      </c>
      <c r="O101" s="77" t="str">
        <f t="shared" si="14"/>
        <v>PASS</v>
      </c>
      <c r="P101" s="78"/>
      <c r="Q101" s="23" t="str">
        <f t="shared" si="15"/>
        <v>PASS</v>
      </c>
    </row>
    <row r="102" spans="1:17" ht="39" collapsed="1" x14ac:dyDescent="0.2">
      <c r="A102" s="18" t="str">
        <f>'Part names'!$A$22</f>
        <v>TK-114</v>
      </c>
      <c r="B102" s="39" t="str">
        <f>'Part names'!$B$22 &amp; "  · 2.1 m dia x 1.4 m"</f>
        <v>Drain Collection Sump  · 2.1 m dia x 1.4 m</v>
      </c>
      <c r="C102" s="32">
        <v>2</v>
      </c>
      <c r="D102" s="48">
        <v>4683</v>
      </c>
      <c r="E102" s="48">
        <v>9366</v>
      </c>
      <c r="F102" s="18" t="s">
        <v>757</v>
      </c>
      <c r="G102" s="22" t="s">
        <v>968</v>
      </c>
      <c r="H102" s="22" t="s">
        <v>969</v>
      </c>
      <c r="I102" s="18">
        <v>4</v>
      </c>
      <c r="J102" s="18" t="s">
        <v>774</v>
      </c>
      <c r="K102" s="22" t="s">
        <v>970</v>
      </c>
      <c r="L102" s="39" t="s">
        <v>386</v>
      </c>
      <c r="M102" s="22" t="s">
        <v>971</v>
      </c>
      <c r="N102" s="39" t="s">
        <v>804</v>
      </c>
      <c r="O102" s="77" t="str">
        <f>IF(AND(LEN(TRIM($B102&amp;""))&gt;0,ISNUMBER($C102),$C102&gt;0,ISNUMBER($D102),$D102&gt;0,ISNUMBER($E102),$E102&gt;0,ABS($E102-$C102*$D102)&lt;=MAX(1,0.005*ABS($E102)),LEN(TRIM($M102&amp;""))&gt;0,TRIM($M102&amp;"")&lt;&gt;"—",LEN(TRIM($P102&amp;""))=0),"PASS","FAIL — "&amp;IF(LEN(TRIM($P102&amp;""))&gt;0,TRIM($P102&amp;""),"line ≠ qty×unit, a required cell empty, or qty/£ non-positive"))</f>
        <v>PASS</v>
      </c>
      <c r="P102" s="78"/>
      <c r="Q102" s="23" t="str">
        <f>IF(AND(LEN(TRIM(A102&amp;""))&gt;0,TRIM(A102&amp;"")&lt;&gt;"—",LEN(TRIM(B102&amp;""))&gt;0,TRIM(B102&amp;"")&lt;&gt;"—",LEN(TRIM(C102&amp;""))&gt;0,TRIM(C102&amp;"")&lt;&gt;"—",ISNUMBER(C102),LEN(TRIM(D102&amp;""))&gt;0,TRIM(D102&amp;"")&lt;&gt;"—",ISNUMBER(D102),LEN(TRIM(E102&amp;""))&gt;0,TRIM(E102&amp;"")&lt;&gt;"—",ISNUMBER(E102),LEN(TRIM(F102&amp;""))&gt;0,TRIM(F102&amp;"")&lt;&gt;"—",LEN(TRIM(I102&amp;""))&gt;0,TRIM(I102&amp;"")&lt;&gt;"—",LEN(TRIM(J102&amp;""))&gt;0,TRIM(J102&amp;"")&lt;&gt;"—",LEN(TRIM(O102&amp;""))&gt;0,TRIM(O102&amp;"")&lt;&gt;"—"),"PASS","⚠ FAIL — "&amp;"a required cell is empty/placeholder or wrong type")</f>
        <v>PASS</v>
      </c>
    </row>
    <row r="103" spans="1:17" ht="16" hidden="1" outlineLevel="1" x14ac:dyDescent="0.2">
      <c r="A103" s="18" t="s">
        <v>972</v>
      </c>
      <c r="B103" s="39" t="s">
        <v>926</v>
      </c>
      <c r="C103" s="32">
        <v>1</v>
      </c>
      <c r="D103" s="18" t="s">
        <v>807</v>
      </c>
      <c r="E103" s="18" t="s">
        <v>374</v>
      </c>
      <c r="F103" s="18" t="s">
        <v>757</v>
      </c>
      <c r="G103" s="22" t="s">
        <v>808</v>
      </c>
      <c r="H103" s="22"/>
      <c r="I103" s="18">
        <v>4</v>
      </c>
      <c r="J103" s="18" t="s">
        <v>774</v>
      </c>
      <c r="O103" s="77" t="str">
        <f t="shared" ref="O103:O113" si="16">IF(AND(LEN(TRIM($B103&amp;""))&gt;0,LEN(TRIM($P103&amp;""))=0),"PASS","FAIL — "&amp;IF(LEN(TRIM($P103&amp;""))&gt;0,TRIM($P103&amp;""),"line ≠ qty×unit, a required cell empty, or qty/£ non-positive"))</f>
        <v>PASS</v>
      </c>
      <c r="P103" s="78"/>
      <c r="Q103" s="23" t="str">
        <f t="shared" ref="Q103:Q113" si="17">IF(AND(LEN(TRIM(B103&amp;""))&gt;0,TRIM(B103&amp;"")&lt;&gt;"—",LEN(TRIM(C103&amp;""))&gt;0,TRIM(C103&amp;"")&lt;&gt;"—",ISNUMBER(C103),LEN(TRIM(F103&amp;""))&gt;0,TRIM(F103&amp;"")&lt;&gt;"—",LEN(TRIM(I103&amp;""))&gt;0,TRIM(I103&amp;"")&lt;&gt;"—",LEN(TRIM(J103&amp;""))&gt;0,TRIM(J103&amp;"")&lt;&gt;"—",LEN(TRIM(O103&amp;""))&gt;0,TRIM(O103&amp;"")&lt;&gt;"—"),"PASS","⚠ FAIL — "&amp;"a required cell is empty/placeholder or wrong type")</f>
        <v>PASS</v>
      </c>
    </row>
    <row r="104" spans="1:17" ht="16" hidden="1" outlineLevel="1" x14ac:dyDescent="0.2">
      <c r="A104" s="18" t="s">
        <v>973</v>
      </c>
      <c r="B104" s="39" t="s">
        <v>928</v>
      </c>
      <c r="C104" s="32">
        <v>1</v>
      </c>
      <c r="D104" s="18" t="s">
        <v>807</v>
      </c>
      <c r="E104" s="18" t="s">
        <v>374</v>
      </c>
      <c r="F104" s="18" t="s">
        <v>757</v>
      </c>
      <c r="G104" s="22" t="s">
        <v>808</v>
      </c>
      <c r="H104" s="22"/>
      <c r="I104" s="18">
        <v>4</v>
      </c>
      <c r="J104" s="18" t="s">
        <v>774</v>
      </c>
      <c r="O104" s="77" t="str">
        <f t="shared" si="16"/>
        <v>PASS</v>
      </c>
      <c r="P104" s="78"/>
      <c r="Q104" s="23" t="str">
        <f t="shared" si="17"/>
        <v>PASS</v>
      </c>
    </row>
    <row r="105" spans="1:17" ht="16" hidden="1" outlineLevel="1" x14ac:dyDescent="0.2">
      <c r="A105" s="18" t="s">
        <v>974</v>
      </c>
      <c r="B105" s="39" t="s">
        <v>930</v>
      </c>
      <c r="C105" s="32">
        <v>1</v>
      </c>
      <c r="D105" s="18" t="s">
        <v>807</v>
      </c>
      <c r="E105" s="18" t="s">
        <v>374</v>
      </c>
      <c r="F105" s="18" t="s">
        <v>771</v>
      </c>
      <c r="G105" s="22" t="s">
        <v>808</v>
      </c>
      <c r="H105" s="22"/>
      <c r="I105" s="18">
        <v>5</v>
      </c>
      <c r="J105" s="18" t="s">
        <v>774</v>
      </c>
      <c r="O105" s="77" t="str">
        <f t="shared" si="16"/>
        <v>PASS</v>
      </c>
      <c r="P105" s="78"/>
      <c r="Q105" s="23" t="str">
        <f t="shared" si="17"/>
        <v>PASS</v>
      </c>
    </row>
    <row r="106" spans="1:17" ht="16" hidden="1" outlineLevel="1" x14ac:dyDescent="0.2">
      <c r="A106" s="18" t="s">
        <v>975</v>
      </c>
      <c r="B106" s="39" t="s">
        <v>932</v>
      </c>
      <c r="C106" s="32">
        <v>1</v>
      </c>
      <c r="D106" s="18" t="s">
        <v>807</v>
      </c>
      <c r="E106" s="18" t="s">
        <v>374</v>
      </c>
      <c r="F106" s="18" t="s">
        <v>771</v>
      </c>
      <c r="G106" s="22" t="s">
        <v>808</v>
      </c>
      <c r="H106" s="22"/>
      <c r="I106" s="18">
        <v>5</v>
      </c>
      <c r="J106" s="18" t="s">
        <v>774</v>
      </c>
      <c r="O106" s="77" t="str">
        <f t="shared" si="16"/>
        <v>PASS</v>
      </c>
      <c r="P106" s="78"/>
      <c r="Q106" s="23" t="str">
        <f t="shared" si="17"/>
        <v>PASS</v>
      </c>
    </row>
    <row r="107" spans="1:17" ht="16" hidden="1" outlineLevel="1" x14ac:dyDescent="0.2">
      <c r="A107" s="18" t="s">
        <v>976</v>
      </c>
      <c r="B107" s="39" t="s">
        <v>934</v>
      </c>
      <c r="C107" s="32">
        <v>1</v>
      </c>
      <c r="D107" s="18" t="s">
        <v>807</v>
      </c>
      <c r="E107" s="18" t="s">
        <v>374</v>
      </c>
      <c r="F107" s="18" t="s">
        <v>771</v>
      </c>
      <c r="G107" s="22" t="s">
        <v>808</v>
      </c>
      <c r="H107" s="22"/>
      <c r="I107" s="18">
        <v>5</v>
      </c>
      <c r="J107" s="18" t="s">
        <v>774</v>
      </c>
      <c r="O107" s="77" t="str">
        <f t="shared" si="16"/>
        <v>PASS</v>
      </c>
      <c r="P107" s="78"/>
      <c r="Q107" s="23" t="str">
        <f t="shared" si="17"/>
        <v>PASS</v>
      </c>
    </row>
    <row r="108" spans="1:17" ht="16" hidden="1" outlineLevel="1" x14ac:dyDescent="0.2">
      <c r="A108" s="18" t="s">
        <v>977</v>
      </c>
      <c r="B108" s="39" t="s">
        <v>936</v>
      </c>
      <c r="C108" s="32">
        <v>1</v>
      </c>
      <c r="D108" s="18" t="s">
        <v>807</v>
      </c>
      <c r="E108" s="18" t="s">
        <v>374</v>
      </c>
      <c r="F108" s="18" t="s">
        <v>757</v>
      </c>
      <c r="G108" s="22" t="s">
        <v>808</v>
      </c>
      <c r="H108" s="22"/>
      <c r="I108" s="18">
        <v>4</v>
      </c>
      <c r="J108" s="18" t="s">
        <v>774</v>
      </c>
      <c r="O108" s="77" t="str">
        <f t="shared" si="16"/>
        <v>PASS</v>
      </c>
      <c r="P108" s="78"/>
      <c r="Q108" s="23" t="str">
        <f t="shared" si="17"/>
        <v>PASS</v>
      </c>
    </row>
    <row r="109" spans="1:17" ht="16" hidden="1" outlineLevel="1" x14ac:dyDescent="0.2">
      <c r="A109" s="18" t="s">
        <v>978</v>
      </c>
      <c r="B109" s="39" t="s">
        <v>938</v>
      </c>
      <c r="C109" s="32">
        <v>1</v>
      </c>
      <c r="D109" s="18" t="s">
        <v>807</v>
      </c>
      <c r="E109" s="18" t="s">
        <v>374</v>
      </c>
      <c r="F109" s="18" t="s">
        <v>771</v>
      </c>
      <c r="G109" s="22" t="s">
        <v>808</v>
      </c>
      <c r="H109" s="22"/>
      <c r="I109" s="18">
        <v>5</v>
      </c>
      <c r="J109" s="18" t="s">
        <v>774</v>
      </c>
      <c r="O109" s="77" t="str">
        <f t="shared" si="16"/>
        <v>PASS</v>
      </c>
      <c r="P109" s="78"/>
      <c r="Q109" s="23" t="str">
        <f t="shared" si="17"/>
        <v>PASS</v>
      </c>
    </row>
    <row r="110" spans="1:17" ht="16" hidden="1" outlineLevel="1" x14ac:dyDescent="0.2">
      <c r="A110" s="18" t="s">
        <v>979</v>
      </c>
      <c r="B110" s="39" t="s">
        <v>940</v>
      </c>
      <c r="C110" s="32">
        <v>1</v>
      </c>
      <c r="D110" s="18" t="s">
        <v>807</v>
      </c>
      <c r="E110" s="18" t="s">
        <v>374</v>
      </c>
      <c r="F110" s="18" t="s">
        <v>757</v>
      </c>
      <c r="G110" s="22" t="s">
        <v>808</v>
      </c>
      <c r="H110" s="22"/>
      <c r="I110" s="18">
        <v>4</v>
      </c>
      <c r="J110" s="18" t="s">
        <v>774</v>
      </c>
      <c r="O110" s="77" t="str">
        <f t="shared" si="16"/>
        <v>PASS</v>
      </c>
      <c r="P110" s="78"/>
      <c r="Q110" s="23" t="str">
        <f t="shared" si="17"/>
        <v>PASS</v>
      </c>
    </row>
    <row r="111" spans="1:17" ht="16" hidden="1" outlineLevel="1" x14ac:dyDescent="0.2">
      <c r="A111" s="18" t="s">
        <v>980</v>
      </c>
      <c r="B111" s="39" t="s">
        <v>942</v>
      </c>
      <c r="C111" s="32">
        <v>1</v>
      </c>
      <c r="D111" s="18" t="s">
        <v>807</v>
      </c>
      <c r="E111" s="18" t="s">
        <v>374</v>
      </c>
      <c r="F111" s="18" t="s">
        <v>771</v>
      </c>
      <c r="G111" s="22" t="s">
        <v>808</v>
      </c>
      <c r="H111" s="22"/>
      <c r="I111" s="18">
        <v>5</v>
      </c>
      <c r="J111" s="18" t="s">
        <v>774</v>
      </c>
      <c r="O111" s="77" t="str">
        <f t="shared" si="16"/>
        <v>PASS</v>
      </c>
      <c r="P111" s="78"/>
      <c r="Q111" s="23" t="str">
        <f t="shared" si="17"/>
        <v>PASS</v>
      </c>
    </row>
    <row r="112" spans="1:17" ht="16" hidden="1" outlineLevel="1" x14ac:dyDescent="0.2">
      <c r="A112" s="18" t="s">
        <v>981</v>
      </c>
      <c r="B112" s="39" t="s">
        <v>889</v>
      </c>
      <c r="C112" s="32">
        <v>1</v>
      </c>
      <c r="D112" s="18" t="s">
        <v>807</v>
      </c>
      <c r="E112" s="18" t="s">
        <v>374</v>
      </c>
      <c r="F112" s="18" t="s">
        <v>757</v>
      </c>
      <c r="G112" s="22" t="s">
        <v>808</v>
      </c>
      <c r="H112" s="22"/>
      <c r="I112" s="18">
        <v>4</v>
      </c>
      <c r="J112" s="18" t="s">
        <v>774</v>
      </c>
      <c r="O112" s="77" t="str">
        <f t="shared" si="16"/>
        <v>PASS</v>
      </c>
      <c r="P112" s="78"/>
      <c r="Q112" s="23" t="str">
        <f t="shared" si="17"/>
        <v>PASS</v>
      </c>
    </row>
    <row r="113" spans="1:17" ht="16" hidden="1" outlineLevel="1" x14ac:dyDescent="0.2">
      <c r="A113" s="18" t="s">
        <v>982</v>
      </c>
      <c r="B113" s="39" t="s">
        <v>826</v>
      </c>
      <c r="C113" s="32">
        <v>1</v>
      </c>
      <c r="D113" s="18" t="s">
        <v>807</v>
      </c>
      <c r="E113" s="18" t="s">
        <v>374</v>
      </c>
      <c r="F113" s="18" t="s">
        <v>771</v>
      </c>
      <c r="G113" s="22" t="s">
        <v>808</v>
      </c>
      <c r="H113" s="22"/>
      <c r="I113" s="18">
        <v>5</v>
      </c>
      <c r="J113" s="18" t="s">
        <v>774</v>
      </c>
      <c r="O113" s="77" t="str">
        <f t="shared" si="16"/>
        <v>PASS</v>
      </c>
      <c r="P113" s="78"/>
      <c r="Q113" s="23" t="str">
        <f t="shared" si="17"/>
        <v>PASS</v>
      </c>
    </row>
    <row r="114" spans="1:17" ht="39" collapsed="1" x14ac:dyDescent="0.2">
      <c r="A114" s="18" t="str">
        <f>'Part names'!$A$23</f>
        <v>P-104</v>
      </c>
      <c r="B114" s="39" t="str">
        <f>'Part names'!$B$23 &amp; "  · 2 kW · 600x510x660 mm"</f>
        <v>Drain Transfer Pump  · 2 kW · 600x510x660 mm</v>
      </c>
      <c r="C114" s="32">
        <v>2</v>
      </c>
      <c r="D114" s="48">
        <v>1850</v>
      </c>
      <c r="E114" s="48">
        <v>3700</v>
      </c>
      <c r="F114" s="18" t="s">
        <v>757</v>
      </c>
      <c r="G114" s="22" t="s">
        <v>983</v>
      </c>
      <c r="H114" s="22"/>
      <c r="I114" s="18">
        <v>4</v>
      </c>
      <c r="J114" s="18" t="s">
        <v>774</v>
      </c>
      <c r="K114" s="22" t="s">
        <v>984</v>
      </c>
      <c r="L114" s="39" t="s">
        <v>358</v>
      </c>
      <c r="M114" s="22" t="s">
        <v>985</v>
      </c>
      <c r="N114" s="39" t="s">
        <v>986</v>
      </c>
      <c r="O114" s="77" t="str">
        <f>IF(AND(LEN(TRIM($B114&amp;""))&gt;0,ISNUMBER($C114),$C114&gt;0,ISNUMBER($D114),$D114&gt;0,ISNUMBER($E114),$E114&gt;0,ABS($E114-$C114*$D114)&lt;=MAX(1,0.005*ABS($E114)),LEN(TRIM($M114&amp;""))&gt;0,TRIM($M114&amp;"")&lt;&gt;"—",LEN(TRIM($P114&amp;""))=0),"PASS","FAIL — "&amp;IF(LEN(TRIM($P114&amp;""))&gt;0,TRIM($P114&amp;""),"line ≠ qty×unit, a required cell empty, or qty/£ non-positive"))</f>
        <v>PASS</v>
      </c>
      <c r="P114" s="78"/>
      <c r="Q114" s="23" t="str">
        <f>IF(AND(LEN(TRIM(A114&amp;""))&gt;0,TRIM(A114&amp;"")&lt;&gt;"—",LEN(TRIM(B114&amp;""))&gt;0,TRIM(B114&amp;"")&lt;&gt;"—",LEN(TRIM(C114&amp;""))&gt;0,TRIM(C114&amp;"")&lt;&gt;"—",ISNUMBER(C114),LEN(TRIM(D114&amp;""))&gt;0,TRIM(D114&amp;"")&lt;&gt;"—",ISNUMBER(D114),LEN(TRIM(E114&amp;""))&gt;0,TRIM(E114&amp;"")&lt;&gt;"—",ISNUMBER(E114),LEN(TRIM(F114&amp;""))&gt;0,TRIM(F114&amp;"")&lt;&gt;"—",LEN(TRIM(I114&amp;""))&gt;0,TRIM(I114&amp;"")&lt;&gt;"—",LEN(TRIM(J114&amp;""))&gt;0,TRIM(J114&amp;"")&lt;&gt;"—",LEN(TRIM(O114&amp;""))&gt;0,TRIM(O114&amp;"")&lt;&gt;"—"),"PASS","⚠ FAIL — "&amp;"a required cell is empty/placeholder or wrong type")</f>
        <v>PASS</v>
      </c>
    </row>
    <row r="115" spans="1:17" ht="16" hidden="1" outlineLevel="1" x14ac:dyDescent="0.2">
      <c r="A115" s="18" t="s">
        <v>987</v>
      </c>
      <c r="B115" s="39" t="s">
        <v>895</v>
      </c>
      <c r="C115" s="32">
        <v>1</v>
      </c>
      <c r="D115" s="18" t="s">
        <v>807</v>
      </c>
      <c r="E115" s="18" t="s">
        <v>374</v>
      </c>
      <c r="F115" s="18" t="s">
        <v>771</v>
      </c>
      <c r="G115" s="22" t="s">
        <v>808</v>
      </c>
      <c r="H115" s="22"/>
      <c r="I115" s="18">
        <v>5</v>
      </c>
      <c r="J115" s="18" t="s">
        <v>774</v>
      </c>
      <c r="O115" s="77" t="str">
        <f t="shared" ref="O115:O127" si="18">IF(AND(LEN(TRIM($B115&amp;""))&gt;0,LEN(TRIM($P115&amp;""))=0),"PASS","FAIL — "&amp;IF(LEN(TRIM($P115&amp;""))&gt;0,TRIM($P115&amp;""),"line ≠ qty×unit, a required cell empty, or qty/£ non-positive"))</f>
        <v>PASS</v>
      </c>
      <c r="P115" s="78"/>
      <c r="Q115" s="23" t="str">
        <f t="shared" ref="Q115:Q127" si="19">IF(AND(LEN(TRIM(B115&amp;""))&gt;0,TRIM(B115&amp;"")&lt;&gt;"—",LEN(TRIM(C115&amp;""))&gt;0,TRIM(C115&amp;"")&lt;&gt;"—",ISNUMBER(C115),LEN(TRIM(F115&amp;""))&gt;0,TRIM(F115&amp;"")&lt;&gt;"—",LEN(TRIM(I115&amp;""))&gt;0,TRIM(I115&amp;"")&lt;&gt;"—",LEN(TRIM(J115&amp;""))&gt;0,TRIM(J115&amp;"")&lt;&gt;"—",LEN(TRIM(O115&amp;""))&gt;0,TRIM(O115&amp;"")&lt;&gt;"—"),"PASS","⚠ FAIL — "&amp;"a required cell is empty/placeholder or wrong type")</f>
        <v>PASS</v>
      </c>
    </row>
    <row r="116" spans="1:17" ht="16" hidden="1" outlineLevel="1" x14ac:dyDescent="0.2">
      <c r="A116" s="18" t="s">
        <v>988</v>
      </c>
      <c r="B116" s="39" t="s">
        <v>897</v>
      </c>
      <c r="C116" s="32">
        <v>1</v>
      </c>
      <c r="D116" s="18" t="s">
        <v>807</v>
      </c>
      <c r="E116" s="18" t="s">
        <v>374</v>
      </c>
      <c r="F116" s="18" t="s">
        <v>757</v>
      </c>
      <c r="G116" s="22" t="s">
        <v>808</v>
      </c>
      <c r="H116" s="22"/>
      <c r="I116" s="18">
        <v>4</v>
      </c>
      <c r="J116" s="18" t="s">
        <v>774</v>
      </c>
      <c r="O116" s="77" t="str">
        <f t="shared" si="18"/>
        <v>PASS</v>
      </c>
      <c r="P116" s="78"/>
      <c r="Q116" s="23" t="str">
        <f t="shared" si="19"/>
        <v>PASS</v>
      </c>
    </row>
    <row r="117" spans="1:17" ht="16" hidden="1" outlineLevel="1" x14ac:dyDescent="0.2">
      <c r="A117" s="18" t="s">
        <v>989</v>
      </c>
      <c r="B117" s="39" t="s">
        <v>990</v>
      </c>
      <c r="C117" s="32">
        <v>1</v>
      </c>
      <c r="D117" s="18" t="s">
        <v>807</v>
      </c>
      <c r="E117" s="18" t="s">
        <v>374</v>
      </c>
      <c r="F117" s="18" t="s">
        <v>757</v>
      </c>
      <c r="G117" s="22" t="s">
        <v>808</v>
      </c>
      <c r="H117" s="22"/>
      <c r="I117" s="18">
        <v>4</v>
      </c>
      <c r="J117" s="18" t="s">
        <v>774</v>
      </c>
      <c r="O117" s="77" t="str">
        <f t="shared" si="18"/>
        <v>PASS</v>
      </c>
      <c r="P117" s="78"/>
      <c r="Q117" s="23" t="str">
        <f t="shared" si="19"/>
        <v>PASS</v>
      </c>
    </row>
    <row r="118" spans="1:17" ht="16" hidden="1" outlineLevel="1" x14ac:dyDescent="0.2">
      <c r="A118" s="18" t="s">
        <v>991</v>
      </c>
      <c r="B118" s="39" t="s">
        <v>992</v>
      </c>
      <c r="C118" s="32">
        <v>1</v>
      </c>
      <c r="D118" s="18" t="s">
        <v>807</v>
      </c>
      <c r="E118" s="18" t="s">
        <v>374</v>
      </c>
      <c r="F118" s="18" t="s">
        <v>248</v>
      </c>
      <c r="G118" s="22"/>
      <c r="H118" s="22" t="s">
        <v>902</v>
      </c>
      <c r="I118" s="18">
        <v>2</v>
      </c>
      <c r="J118" s="18" t="s">
        <v>765</v>
      </c>
      <c r="O118" s="77" t="str">
        <f t="shared" si="18"/>
        <v>PASS</v>
      </c>
      <c r="P118" s="78"/>
      <c r="Q118" s="23" t="str">
        <f t="shared" si="19"/>
        <v>PASS</v>
      </c>
    </row>
    <row r="119" spans="1:17" ht="16" hidden="1" outlineLevel="1" x14ac:dyDescent="0.2">
      <c r="A119" s="18" t="s">
        <v>993</v>
      </c>
      <c r="B119" s="39" t="s">
        <v>904</v>
      </c>
      <c r="C119" s="32">
        <v>1</v>
      </c>
      <c r="D119" s="18" t="s">
        <v>807</v>
      </c>
      <c r="E119" s="18" t="s">
        <v>374</v>
      </c>
      <c r="F119" s="18" t="s">
        <v>757</v>
      </c>
      <c r="G119" s="22" t="s">
        <v>808</v>
      </c>
      <c r="H119" s="22"/>
      <c r="I119" s="18">
        <v>4</v>
      </c>
      <c r="J119" s="18" t="s">
        <v>774</v>
      </c>
      <c r="O119" s="77" t="str">
        <f t="shared" si="18"/>
        <v>PASS</v>
      </c>
      <c r="P119" s="78"/>
      <c r="Q119" s="23" t="str">
        <f t="shared" si="19"/>
        <v>PASS</v>
      </c>
    </row>
    <row r="120" spans="1:17" ht="16" hidden="1" outlineLevel="1" x14ac:dyDescent="0.2">
      <c r="A120" s="18" t="s">
        <v>994</v>
      </c>
      <c r="B120" s="39" t="s">
        <v>906</v>
      </c>
      <c r="C120" s="32">
        <v>1</v>
      </c>
      <c r="D120" s="18" t="s">
        <v>807</v>
      </c>
      <c r="E120" s="18" t="s">
        <v>374</v>
      </c>
      <c r="F120" s="18" t="s">
        <v>757</v>
      </c>
      <c r="G120" s="22" t="s">
        <v>808</v>
      </c>
      <c r="H120" s="22"/>
      <c r="I120" s="18">
        <v>4</v>
      </c>
      <c r="J120" s="18" t="s">
        <v>774</v>
      </c>
      <c r="O120" s="77" t="str">
        <f t="shared" si="18"/>
        <v>PASS</v>
      </c>
      <c r="P120" s="78"/>
      <c r="Q120" s="23" t="str">
        <f t="shared" si="19"/>
        <v>PASS</v>
      </c>
    </row>
    <row r="121" spans="1:17" ht="16" hidden="1" outlineLevel="1" x14ac:dyDescent="0.2">
      <c r="A121" s="18" t="s">
        <v>995</v>
      </c>
      <c r="B121" s="39" t="s">
        <v>908</v>
      </c>
      <c r="C121" s="32">
        <v>1</v>
      </c>
      <c r="D121" s="18" t="s">
        <v>807</v>
      </c>
      <c r="E121" s="18" t="s">
        <v>374</v>
      </c>
      <c r="F121" s="18" t="s">
        <v>771</v>
      </c>
      <c r="G121" s="22" t="s">
        <v>808</v>
      </c>
      <c r="H121" s="22"/>
      <c r="I121" s="18">
        <v>5</v>
      </c>
      <c r="J121" s="18" t="s">
        <v>774</v>
      </c>
      <c r="O121" s="77" t="str">
        <f t="shared" si="18"/>
        <v>PASS</v>
      </c>
      <c r="P121" s="78"/>
      <c r="Q121" s="23" t="str">
        <f t="shared" si="19"/>
        <v>PASS</v>
      </c>
    </row>
    <row r="122" spans="1:17" ht="16" hidden="1" outlineLevel="1" x14ac:dyDescent="0.2">
      <c r="A122" s="18" t="s">
        <v>996</v>
      </c>
      <c r="B122" s="39" t="s">
        <v>910</v>
      </c>
      <c r="C122" s="32">
        <v>1</v>
      </c>
      <c r="D122" s="18" t="s">
        <v>807</v>
      </c>
      <c r="E122" s="18" t="s">
        <v>374</v>
      </c>
      <c r="F122" s="18" t="s">
        <v>757</v>
      </c>
      <c r="G122" s="22" t="s">
        <v>808</v>
      </c>
      <c r="H122" s="22"/>
      <c r="I122" s="18">
        <v>4</v>
      </c>
      <c r="J122" s="18" t="s">
        <v>774</v>
      </c>
      <c r="O122" s="77" t="str">
        <f t="shared" si="18"/>
        <v>PASS</v>
      </c>
      <c r="P122" s="78"/>
      <c r="Q122" s="23" t="str">
        <f t="shared" si="19"/>
        <v>PASS</v>
      </c>
    </row>
    <row r="123" spans="1:17" ht="32" hidden="1" outlineLevel="1" x14ac:dyDescent="0.2">
      <c r="A123" s="18" t="s">
        <v>997</v>
      </c>
      <c r="B123" s="39" t="s">
        <v>998</v>
      </c>
      <c r="C123" s="32">
        <v>1</v>
      </c>
      <c r="D123" s="18" t="s">
        <v>807</v>
      </c>
      <c r="E123" s="18" t="s">
        <v>374</v>
      </c>
      <c r="F123" s="18" t="s">
        <v>757</v>
      </c>
      <c r="G123" s="22" t="s">
        <v>808</v>
      </c>
      <c r="H123" s="22"/>
      <c r="I123" s="18">
        <v>4</v>
      </c>
      <c r="J123" s="18" t="s">
        <v>774</v>
      </c>
      <c r="O123" s="77" t="str">
        <f t="shared" si="18"/>
        <v>PASS</v>
      </c>
      <c r="P123" s="78"/>
      <c r="Q123" s="23" t="str">
        <f t="shared" si="19"/>
        <v>PASS</v>
      </c>
    </row>
    <row r="124" spans="1:17" ht="32" hidden="1" outlineLevel="1" x14ac:dyDescent="0.2">
      <c r="A124" s="18" t="s">
        <v>999</v>
      </c>
      <c r="B124" s="39" t="s">
        <v>1000</v>
      </c>
      <c r="C124" s="32">
        <v>1</v>
      </c>
      <c r="D124" s="18" t="s">
        <v>807</v>
      </c>
      <c r="E124" s="18" t="s">
        <v>374</v>
      </c>
      <c r="F124" s="18" t="s">
        <v>757</v>
      </c>
      <c r="G124" s="22" t="s">
        <v>808</v>
      </c>
      <c r="H124" s="22"/>
      <c r="I124" s="18">
        <v>4</v>
      </c>
      <c r="J124" s="18" t="s">
        <v>774</v>
      </c>
      <c r="O124" s="77" t="str">
        <f t="shared" si="18"/>
        <v>PASS</v>
      </c>
      <c r="P124" s="78"/>
      <c r="Q124" s="23" t="str">
        <f t="shared" si="19"/>
        <v>PASS</v>
      </c>
    </row>
    <row r="125" spans="1:17" ht="32" hidden="1" outlineLevel="1" x14ac:dyDescent="0.2">
      <c r="A125" s="18" t="s">
        <v>1001</v>
      </c>
      <c r="B125" s="39" t="s">
        <v>1002</v>
      </c>
      <c r="C125" s="32">
        <v>1</v>
      </c>
      <c r="D125" s="18" t="s">
        <v>807</v>
      </c>
      <c r="E125" s="18" t="s">
        <v>374</v>
      </c>
      <c r="F125" s="18" t="s">
        <v>757</v>
      </c>
      <c r="G125" s="22" t="s">
        <v>808</v>
      </c>
      <c r="H125" s="22"/>
      <c r="I125" s="18">
        <v>4</v>
      </c>
      <c r="J125" s="18" t="s">
        <v>774</v>
      </c>
      <c r="O125" s="77" t="str">
        <f t="shared" si="18"/>
        <v>PASS</v>
      </c>
      <c r="P125" s="78"/>
      <c r="Q125" s="23" t="str">
        <f t="shared" si="19"/>
        <v>PASS</v>
      </c>
    </row>
    <row r="126" spans="1:17" ht="16" hidden="1" outlineLevel="1" x14ac:dyDescent="0.2">
      <c r="A126" s="18" t="s">
        <v>1003</v>
      </c>
      <c r="B126" s="39" t="s">
        <v>918</v>
      </c>
      <c r="C126" s="32">
        <v>1</v>
      </c>
      <c r="D126" s="18" t="s">
        <v>807</v>
      </c>
      <c r="E126" s="18" t="s">
        <v>374</v>
      </c>
      <c r="F126" s="18" t="s">
        <v>771</v>
      </c>
      <c r="G126" s="22" t="s">
        <v>808</v>
      </c>
      <c r="H126" s="22"/>
      <c r="I126" s="18">
        <v>5</v>
      </c>
      <c r="J126" s="18" t="s">
        <v>774</v>
      </c>
      <c r="O126" s="77" t="str">
        <f t="shared" si="18"/>
        <v>PASS</v>
      </c>
      <c r="P126" s="78"/>
      <c r="Q126" s="23" t="str">
        <f t="shared" si="19"/>
        <v>PASS</v>
      </c>
    </row>
    <row r="127" spans="1:17" ht="16" hidden="1" outlineLevel="1" x14ac:dyDescent="0.2">
      <c r="A127" s="18" t="s">
        <v>1004</v>
      </c>
      <c r="B127" s="39" t="s">
        <v>920</v>
      </c>
      <c r="C127" s="32">
        <v>1</v>
      </c>
      <c r="D127" s="18" t="s">
        <v>807</v>
      </c>
      <c r="E127" s="18" t="s">
        <v>374</v>
      </c>
      <c r="F127" s="18" t="s">
        <v>771</v>
      </c>
      <c r="G127" s="22" t="s">
        <v>808</v>
      </c>
      <c r="H127" s="22"/>
      <c r="I127" s="18">
        <v>5</v>
      </c>
      <c r="J127" s="18" t="s">
        <v>774</v>
      </c>
      <c r="O127" s="77" t="str">
        <f t="shared" si="18"/>
        <v>PASS</v>
      </c>
      <c r="P127" s="78"/>
      <c r="Q127" s="23" t="str">
        <f t="shared" si="19"/>
        <v>PASS</v>
      </c>
    </row>
    <row r="128" spans="1:17" ht="39" collapsed="1" x14ac:dyDescent="0.2">
      <c r="A128" s="18" t="str">
        <f>'Part names'!$A$12</f>
        <v>V-104</v>
      </c>
      <c r="B128" s="39" t="str">
        <f>'Part names'!$B$12 &amp; "  · 80 m³/h · 3 m² area"</f>
        <v>Cloth Filter  · 80 m³/h · 3 m² area</v>
      </c>
      <c r="C128" s="32">
        <v>2</v>
      </c>
      <c r="D128" s="48">
        <v>8270</v>
      </c>
      <c r="E128" s="48">
        <v>16540</v>
      </c>
      <c r="F128" s="18" t="s">
        <v>771</v>
      </c>
      <c r="G128" s="22" t="s">
        <v>1005</v>
      </c>
      <c r="H128" s="22" t="s">
        <v>1006</v>
      </c>
      <c r="I128" s="18">
        <v>5</v>
      </c>
      <c r="J128" s="18" t="s">
        <v>774</v>
      </c>
      <c r="K128" s="22" t="s">
        <v>1007</v>
      </c>
      <c r="L128" s="39" t="s">
        <v>348</v>
      </c>
      <c r="M128" s="22" t="s">
        <v>1008</v>
      </c>
      <c r="N128" s="39" t="s">
        <v>804</v>
      </c>
      <c r="O128" s="77" t="str">
        <f>IF(AND(LEN(TRIM($B128&amp;""))&gt;0,ISNUMBER($C128),$C128&gt;0,ISNUMBER($D128),$D128&gt;0,ISNUMBER($E128),$E128&gt;0,ABS($E128-$C128*$D128)&lt;=MAX(1,0.005*ABS($E128)),LEN(TRIM($M128&amp;""))&gt;0,TRIM($M128&amp;"")&lt;&gt;"—",LEN(TRIM($P128&amp;""))=0),"PASS","FAIL — "&amp;IF(LEN(TRIM($P128&amp;""))&gt;0,TRIM($P128&amp;""),"line ≠ qty×unit, a required cell empty, or qty/£ non-positive"))</f>
        <v>PASS</v>
      </c>
      <c r="P128" s="78"/>
      <c r="Q128" s="23" t="str">
        <f>IF(AND(LEN(TRIM(A128&amp;""))&gt;0,TRIM(A128&amp;"")&lt;&gt;"—",LEN(TRIM(B128&amp;""))&gt;0,TRIM(B128&amp;"")&lt;&gt;"—",LEN(TRIM(C128&amp;""))&gt;0,TRIM(C128&amp;"")&lt;&gt;"—",ISNUMBER(C128),LEN(TRIM(D128&amp;""))&gt;0,TRIM(D128&amp;"")&lt;&gt;"—",ISNUMBER(D128),LEN(TRIM(E128&amp;""))&gt;0,TRIM(E128&amp;"")&lt;&gt;"—",ISNUMBER(E128),LEN(TRIM(F128&amp;""))&gt;0,TRIM(F128&amp;"")&lt;&gt;"—",LEN(TRIM(I128&amp;""))&gt;0,TRIM(I128&amp;"")&lt;&gt;"—",LEN(TRIM(J128&amp;""))&gt;0,TRIM(J128&amp;"")&lt;&gt;"—",LEN(TRIM(O128&amp;""))&gt;0,TRIM(O128&amp;"")&lt;&gt;"—"),"PASS","⚠ FAIL — "&amp;"a required cell is empty/placeholder or wrong type")</f>
        <v>PASS</v>
      </c>
    </row>
    <row r="129" spans="1:17" ht="16" hidden="1" outlineLevel="1" x14ac:dyDescent="0.2">
      <c r="A129" s="18" t="s">
        <v>1009</v>
      </c>
      <c r="B129" s="39" t="s">
        <v>1010</v>
      </c>
      <c r="C129" s="32">
        <v>1</v>
      </c>
      <c r="D129" s="18" t="s">
        <v>807</v>
      </c>
      <c r="E129" s="18" t="s">
        <v>374</v>
      </c>
      <c r="F129" s="18" t="s">
        <v>771</v>
      </c>
      <c r="G129" s="22" t="s">
        <v>808</v>
      </c>
      <c r="H129" s="22"/>
      <c r="I129" s="18">
        <v>5</v>
      </c>
      <c r="J129" s="18" t="s">
        <v>774</v>
      </c>
      <c r="O129" s="77" t="str">
        <f t="shared" ref="O129:O137" si="20">IF(AND(LEN(TRIM($B129&amp;""))&gt;0,LEN(TRIM($P129&amp;""))=0),"PASS","FAIL — "&amp;IF(LEN(TRIM($P129&amp;""))&gt;0,TRIM($P129&amp;""),"line ≠ qty×unit, a required cell empty, or qty/£ non-positive"))</f>
        <v>PASS</v>
      </c>
      <c r="P129" s="78"/>
      <c r="Q129" s="23" t="str">
        <f t="shared" ref="Q129:Q137" si="21">IF(AND(LEN(TRIM(B129&amp;""))&gt;0,TRIM(B129&amp;"")&lt;&gt;"—",LEN(TRIM(C129&amp;""))&gt;0,TRIM(C129&amp;"")&lt;&gt;"—",ISNUMBER(C129),LEN(TRIM(F129&amp;""))&gt;0,TRIM(F129&amp;"")&lt;&gt;"—",LEN(TRIM(I129&amp;""))&gt;0,TRIM(I129&amp;"")&lt;&gt;"—",LEN(TRIM(J129&amp;""))&gt;0,TRIM(J129&amp;"")&lt;&gt;"—",LEN(TRIM(O129&amp;""))&gt;0,TRIM(O129&amp;"")&lt;&gt;"—"),"PASS","⚠ FAIL — "&amp;"a required cell is empty/placeholder or wrong type")</f>
        <v>PASS</v>
      </c>
    </row>
    <row r="130" spans="1:17" ht="16" hidden="1" outlineLevel="1" x14ac:dyDescent="0.2">
      <c r="A130" s="18" t="s">
        <v>1011</v>
      </c>
      <c r="B130" s="39" t="s">
        <v>1012</v>
      </c>
      <c r="C130" s="32">
        <v>1</v>
      </c>
      <c r="D130" s="18" t="s">
        <v>807</v>
      </c>
      <c r="E130" s="18" t="s">
        <v>374</v>
      </c>
      <c r="F130" s="18" t="s">
        <v>757</v>
      </c>
      <c r="G130" s="22" t="s">
        <v>808</v>
      </c>
      <c r="H130" s="22"/>
      <c r="I130" s="18">
        <v>4</v>
      </c>
      <c r="J130" s="18" t="s">
        <v>774</v>
      </c>
      <c r="O130" s="77" t="str">
        <f t="shared" si="20"/>
        <v>PASS</v>
      </c>
      <c r="P130" s="78"/>
      <c r="Q130" s="23" t="str">
        <f t="shared" si="21"/>
        <v>PASS</v>
      </c>
    </row>
    <row r="131" spans="1:17" ht="16" hidden="1" outlineLevel="1" x14ac:dyDescent="0.2">
      <c r="A131" s="18" t="s">
        <v>1013</v>
      </c>
      <c r="B131" s="39" t="s">
        <v>1014</v>
      </c>
      <c r="C131" s="32">
        <v>1</v>
      </c>
      <c r="D131" s="18" t="s">
        <v>807</v>
      </c>
      <c r="E131" s="18" t="s">
        <v>374</v>
      </c>
      <c r="F131" s="18" t="s">
        <v>771</v>
      </c>
      <c r="G131" s="22" t="s">
        <v>808</v>
      </c>
      <c r="H131" s="22"/>
      <c r="I131" s="18">
        <v>5</v>
      </c>
      <c r="J131" s="18" t="s">
        <v>774</v>
      </c>
      <c r="O131" s="77" t="str">
        <f t="shared" si="20"/>
        <v>PASS</v>
      </c>
      <c r="P131" s="78"/>
      <c r="Q131" s="23" t="str">
        <f t="shared" si="21"/>
        <v>PASS</v>
      </c>
    </row>
    <row r="132" spans="1:17" ht="16" hidden="1" outlineLevel="1" x14ac:dyDescent="0.2">
      <c r="A132" s="18" t="s">
        <v>1015</v>
      </c>
      <c r="B132" s="39" t="s">
        <v>1016</v>
      </c>
      <c r="C132" s="32">
        <v>1</v>
      </c>
      <c r="D132" s="18" t="s">
        <v>807</v>
      </c>
      <c r="E132" s="18" t="s">
        <v>374</v>
      </c>
      <c r="F132" s="18" t="s">
        <v>757</v>
      </c>
      <c r="G132" s="22" t="s">
        <v>808</v>
      </c>
      <c r="H132" s="22"/>
      <c r="I132" s="18">
        <v>4</v>
      </c>
      <c r="J132" s="18" t="s">
        <v>774</v>
      </c>
      <c r="O132" s="77" t="str">
        <f t="shared" si="20"/>
        <v>PASS</v>
      </c>
      <c r="P132" s="78"/>
      <c r="Q132" s="23" t="str">
        <f t="shared" si="21"/>
        <v>PASS</v>
      </c>
    </row>
    <row r="133" spans="1:17" ht="16" hidden="1" outlineLevel="1" x14ac:dyDescent="0.2">
      <c r="A133" s="18" t="s">
        <v>1017</v>
      </c>
      <c r="B133" s="39" t="s">
        <v>1018</v>
      </c>
      <c r="C133" s="32">
        <v>1</v>
      </c>
      <c r="D133" s="18" t="s">
        <v>807</v>
      </c>
      <c r="E133" s="18" t="s">
        <v>374</v>
      </c>
      <c r="F133" s="18" t="s">
        <v>757</v>
      </c>
      <c r="G133" s="22" t="s">
        <v>808</v>
      </c>
      <c r="H133" s="22"/>
      <c r="I133" s="18">
        <v>4</v>
      </c>
      <c r="J133" s="18" t="s">
        <v>774</v>
      </c>
      <c r="O133" s="77" t="str">
        <f t="shared" si="20"/>
        <v>PASS</v>
      </c>
      <c r="P133" s="78"/>
      <c r="Q133" s="23" t="str">
        <f t="shared" si="21"/>
        <v>PASS</v>
      </c>
    </row>
    <row r="134" spans="1:17" ht="16" hidden="1" outlineLevel="1" x14ac:dyDescent="0.2">
      <c r="A134" s="18" t="s">
        <v>1019</v>
      </c>
      <c r="B134" s="39" t="s">
        <v>1020</v>
      </c>
      <c r="C134" s="32">
        <v>1</v>
      </c>
      <c r="D134" s="18" t="s">
        <v>807</v>
      </c>
      <c r="E134" s="18" t="s">
        <v>374</v>
      </c>
      <c r="F134" s="18" t="s">
        <v>771</v>
      </c>
      <c r="G134" s="22" t="s">
        <v>808</v>
      </c>
      <c r="H134" s="22"/>
      <c r="I134" s="18">
        <v>5</v>
      </c>
      <c r="J134" s="18" t="s">
        <v>774</v>
      </c>
      <c r="O134" s="77" t="str">
        <f t="shared" si="20"/>
        <v>PASS</v>
      </c>
      <c r="P134" s="78"/>
      <c r="Q134" s="23" t="str">
        <f t="shared" si="21"/>
        <v>PASS</v>
      </c>
    </row>
    <row r="135" spans="1:17" ht="16" hidden="1" outlineLevel="1" x14ac:dyDescent="0.2">
      <c r="A135" s="18" t="s">
        <v>1021</v>
      </c>
      <c r="B135" s="39" t="s">
        <v>1022</v>
      </c>
      <c r="C135" s="32">
        <v>1</v>
      </c>
      <c r="D135" s="18" t="s">
        <v>807</v>
      </c>
      <c r="E135" s="18" t="s">
        <v>374</v>
      </c>
      <c r="F135" s="18" t="s">
        <v>757</v>
      </c>
      <c r="G135" s="22" t="s">
        <v>808</v>
      </c>
      <c r="H135" s="22"/>
      <c r="I135" s="18">
        <v>4</v>
      </c>
      <c r="J135" s="18" t="s">
        <v>760</v>
      </c>
      <c r="O135" s="77" t="str">
        <f t="shared" si="20"/>
        <v>PASS</v>
      </c>
      <c r="P135" s="78"/>
      <c r="Q135" s="23" t="str">
        <f t="shared" si="21"/>
        <v>PASS</v>
      </c>
    </row>
    <row r="136" spans="1:17" ht="16" hidden="1" outlineLevel="1" x14ac:dyDescent="0.2">
      <c r="A136" s="18" t="s">
        <v>1023</v>
      </c>
      <c r="B136" s="39" t="s">
        <v>1024</v>
      </c>
      <c r="C136" s="32">
        <v>1</v>
      </c>
      <c r="D136" s="18" t="s">
        <v>807</v>
      </c>
      <c r="E136" s="18" t="s">
        <v>374</v>
      </c>
      <c r="F136" s="18" t="s">
        <v>757</v>
      </c>
      <c r="G136" s="22" t="s">
        <v>808</v>
      </c>
      <c r="H136" s="22"/>
      <c r="I136" s="18">
        <v>4</v>
      </c>
      <c r="J136" s="18" t="s">
        <v>774</v>
      </c>
      <c r="O136" s="77" t="str">
        <f t="shared" si="20"/>
        <v>PASS</v>
      </c>
      <c r="P136" s="78"/>
      <c r="Q136" s="23" t="str">
        <f t="shared" si="21"/>
        <v>PASS</v>
      </c>
    </row>
    <row r="137" spans="1:17" ht="16" hidden="1" outlineLevel="1" x14ac:dyDescent="0.2">
      <c r="A137" s="18" t="s">
        <v>1025</v>
      </c>
      <c r="B137" s="39" t="s">
        <v>1026</v>
      </c>
      <c r="C137" s="32">
        <v>1</v>
      </c>
      <c r="D137" s="18" t="s">
        <v>807</v>
      </c>
      <c r="E137" s="18" t="s">
        <v>374</v>
      </c>
      <c r="F137" s="18" t="s">
        <v>757</v>
      </c>
      <c r="G137" s="22" t="s">
        <v>808</v>
      </c>
      <c r="H137" s="22"/>
      <c r="I137" s="18">
        <v>4</v>
      </c>
      <c r="J137" s="18" t="s">
        <v>760</v>
      </c>
      <c r="O137" s="77" t="str">
        <f t="shared" si="20"/>
        <v>PASS</v>
      </c>
      <c r="P137" s="78"/>
      <c r="Q137" s="23" t="str">
        <f t="shared" si="21"/>
        <v>PASS</v>
      </c>
    </row>
    <row r="138" spans="1:17" ht="39" collapsed="1" x14ac:dyDescent="0.2">
      <c r="A138" s="18" t="str">
        <f>'Part names'!$A$36</f>
        <v>V-103</v>
      </c>
      <c r="B138" s="39" t="str">
        <f>'Part names'!$B$36 &amp; "  · 15 m³/h · 0.9 m dia x 1.8 m"</f>
        <v>Gac Softener  · 15 m³/h · 0.9 m dia x 1.8 m</v>
      </c>
      <c r="C138" s="32">
        <v>1</v>
      </c>
      <c r="D138" s="48">
        <v>14825</v>
      </c>
      <c r="E138" s="48">
        <v>14825</v>
      </c>
      <c r="F138" s="18" t="s">
        <v>757</v>
      </c>
      <c r="G138" s="22" t="s">
        <v>758</v>
      </c>
      <c r="H138" s="22" t="s">
        <v>248</v>
      </c>
      <c r="I138" s="18">
        <v>4</v>
      </c>
      <c r="J138" s="18" t="s">
        <v>760</v>
      </c>
      <c r="K138" s="22" t="s">
        <v>1027</v>
      </c>
      <c r="L138" s="22" t="s">
        <v>761</v>
      </c>
      <c r="M138" s="22" t="s">
        <v>248</v>
      </c>
      <c r="N138" s="39" t="s">
        <v>861</v>
      </c>
      <c r="O138" s="77" t="str">
        <f>IF(AND(LEN(TRIM($B138&amp;""))&gt;0,ISNUMBER($C138),$C138&gt;0,ISNUMBER($D138),$D138&gt;0,ISNUMBER($E138),$E138&gt;0,ABS($E138-$C138*$D138)&lt;=MAX(1,0.005*ABS($E138)),LEN(TRIM($M138&amp;""))&gt;0,TRIM($M138&amp;"")&lt;&gt;"—",LEN(TRIM($P138&amp;""))=0),"PASS","FAIL — "&amp;IF(LEN(TRIM($P138&amp;""))&gt;0,TRIM($P138&amp;""),"line ≠ qty×unit, a required cell empty, or qty/£ non-positive"))</f>
        <v>PASS</v>
      </c>
      <c r="P138" s="78"/>
      <c r="Q138" s="23" t="str">
        <f>IF(AND(LEN(TRIM(A138&amp;""))&gt;0,TRIM(A138&amp;"")&lt;&gt;"—",LEN(TRIM(B138&amp;""))&gt;0,TRIM(B138&amp;"")&lt;&gt;"—",LEN(TRIM(C138&amp;""))&gt;0,TRIM(C138&amp;"")&lt;&gt;"—",ISNUMBER(C138),LEN(TRIM(D138&amp;""))&gt;0,TRIM(D138&amp;"")&lt;&gt;"—",ISNUMBER(D138),LEN(TRIM(E138&amp;""))&gt;0,TRIM(E138&amp;"")&lt;&gt;"—",ISNUMBER(E138),LEN(TRIM(F138&amp;""))&gt;0,TRIM(F138&amp;"")&lt;&gt;"—",LEN(TRIM(I138&amp;""))&gt;0,TRIM(I138&amp;"")&lt;&gt;"—",LEN(TRIM(J138&amp;""))&gt;0,TRIM(J138&amp;"")&lt;&gt;"—",LEN(TRIM(O138&amp;""))&gt;0,TRIM(O138&amp;"")&lt;&gt;"—"),"PASS","⚠ FAIL — "&amp;"a required cell is empty/placeholder or wrong type")</f>
        <v>PASS</v>
      </c>
    </row>
    <row r="139" spans="1:17" ht="16" hidden="1" outlineLevel="1" x14ac:dyDescent="0.2">
      <c r="A139" s="18" t="s">
        <v>1028</v>
      </c>
      <c r="B139" s="39" t="s">
        <v>806</v>
      </c>
      <c r="C139" s="32">
        <v>1</v>
      </c>
      <c r="D139" s="18" t="s">
        <v>807</v>
      </c>
      <c r="E139" s="18" t="s">
        <v>374</v>
      </c>
      <c r="F139" s="18" t="s">
        <v>757</v>
      </c>
      <c r="G139" s="22" t="s">
        <v>808</v>
      </c>
      <c r="H139" s="22"/>
      <c r="I139" s="18">
        <v>4</v>
      </c>
      <c r="J139" s="18" t="s">
        <v>774</v>
      </c>
      <c r="O139" s="77" t="str">
        <f t="shared" ref="O139:O148" si="22">IF(AND(LEN(TRIM($B139&amp;""))&gt;0,LEN(TRIM($P139&amp;""))=0),"PASS","FAIL — "&amp;IF(LEN(TRIM($P139&amp;""))&gt;0,TRIM($P139&amp;""),"line ≠ qty×unit, a required cell empty, or qty/£ non-positive"))</f>
        <v>PASS</v>
      </c>
      <c r="P139" s="78"/>
      <c r="Q139" s="23" t="str">
        <f t="shared" ref="Q139:Q148" si="23">IF(AND(LEN(TRIM(B139&amp;""))&gt;0,TRIM(B139&amp;"")&lt;&gt;"—",LEN(TRIM(C139&amp;""))&gt;0,TRIM(C139&amp;"")&lt;&gt;"—",ISNUMBER(C139),LEN(TRIM(F139&amp;""))&gt;0,TRIM(F139&amp;"")&lt;&gt;"—",LEN(TRIM(I139&amp;""))&gt;0,TRIM(I139&amp;"")&lt;&gt;"—",LEN(TRIM(J139&amp;""))&gt;0,TRIM(J139&amp;"")&lt;&gt;"—",LEN(TRIM(O139&amp;""))&gt;0,TRIM(O139&amp;"")&lt;&gt;"—"),"PASS","⚠ FAIL — "&amp;"a required cell is empty/placeholder or wrong type")</f>
        <v>PASS</v>
      </c>
    </row>
    <row r="140" spans="1:17" ht="16" hidden="1" outlineLevel="1" x14ac:dyDescent="0.2">
      <c r="A140" s="18" t="s">
        <v>1029</v>
      </c>
      <c r="B140" s="39" t="s">
        <v>810</v>
      </c>
      <c r="C140" s="32">
        <v>1</v>
      </c>
      <c r="D140" s="18" t="s">
        <v>807</v>
      </c>
      <c r="E140" s="18" t="s">
        <v>374</v>
      </c>
      <c r="F140" s="18" t="s">
        <v>757</v>
      </c>
      <c r="G140" s="22" t="s">
        <v>808</v>
      </c>
      <c r="H140" s="22"/>
      <c r="I140" s="18">
        <v>4</v>
      </c>
      <c r="J140" s="18" t="s">
        <v>774</v>
      </c>
      <c r="O140" s="77" t="str">
        <f t="shared" si="22"/>
        <v>PASS</v>
      </c>
      <c r="P140" s="78"/>
      <c r="Q140" s="23" t="str">
        <f t="shared" si="23"/>
        <v>PASS</v>
      </c>
    </row>
    <row r="141" spans="1:17" ht="16" hidden="1" outlineLevel="1" x14ac:dyDescent="0.2">
      <c r="A141" s="18" t="s">
        <v>1030</v>
      </c>
      <c r="B141" s="39" t="s">
        <v>812</v>
      </c>
      <c r="C141" s="32">
        <v>1</v>
      </c>
      <c r="D141" s="18" t="s">
        <v>807</v>
      </c>
      <c r="E141" s="18" t="s">
        <v>374</v>
      </c>
      <c r="F141" s="18" t="s">
        <v>771</v>
      </c>
      <c r="G141" s="22" t="s">
        <v>808</v>
      </c>
      <c r="H141" s="22"/>
      <c r="I141" s="18">
        <v>5</v>
      </c>
      <c r="J141" s="18" t="s">
        <v>774</v>
      </c>
      <c r="O141" s="77" t="str">
        <f t="shared" si="22"/>
        <v>PASS</v>
      </c>
      <c r="P141" s="78"/>
      <c r="Q141" s="23" t="str">
        <f t="shared" si="23"/>
        <v>PASS</v>
      </c>
    </row>
    <row r="142" spans="1:17" ht="16" hidden="1" outlineLevel="1" x14ac:dyDescent="0.2">
      <c r="A142" s="18" t="s">
        <v>1031</v>
      </c>
      <c r="B142" s="39" t="s">
        <v>814</v>
      </c>
      <c r="C142" s="32">
        <v>1</v>
      </c>
      <c r="D142" s="18" t="s">
        <v>807</v>
      </c>
      <c r="E142" s="18" t="s">
        <v>374</v>
      </c>
      <c r="F142" s="18" t="s">
        <v>771</v>
      </c>
      <c r="G142" s="22" t="s">
        <v>808</v>
      </c>
      <c r="H142" s="22"/>
      <c r="I142" s="18">
        <v>5</v>
      </c>
      <c r="J142" s="18" t="s">
        <v>774</v>
      </c>
      <c r="O142" s="77" t="str">
        <f t="shared" si="22"/>
        <v>PASS</v>
      </c>
      <c r="P142" s="78"/>
      <c r="Q142" s="23" t="str">
        <f t="shared" si="23"/>
        <v>PASS</v>
      </c>
    </row>
    <row r="143" spans="1:17" ht="16" hidden="1" outlineLevel="1" x14ac:dyDescent="0.2">
      <c r="A143" s="18" t="s">
        <v>1032</v>
      </c>
      <c r="B143" s="39" t="s">
        <v>816</v>
      </c>
      <c r="C143" s="32">
        <v>1</v>
      </c>
      <c r="D143" s="18" t="s">
        <v>807</v>
      </c>
      <c r="E143" s="18" t="s">
        <v>374</v>
      </c>
      <c r="F143" s="18" t="s">
        <v>757</v>
      </c>
      <c r="G143" s="22" t="s">
        <v>808</v>
      </c>
      <c r="H143" s="22"/>
      <c r="I143" s="18">
        <v>4</v>
      </c>
      <c r="J143" s="18" t="s">
        <v>774</v>
      </c>
      <c r="O143" s="77" t="str">
        <f t="shared" si="22"/>
        <v>PASS</v>
      </c>
      <c r="P143" s="78"/>
      <c r="Q143" s="23" t="str">
        <f t="shared" si="23"/>
        <v>PASS</v>
      </c>
    </row>
    <row r="144" spans="1:17" ht="16" hidden="1" outlineLevel="1" x14ac:dyDescent="0.2">
      <c r="A144" s="18" t="s">
        <v>1033</v>
      </c>
      <c r="B144" s="39" t="s">
        <v>818</v>
      </c>
      <c r="C144" s="32">
        <v>1</v>
      </c>
      <c r="D144" s="18" t="s">
        <v>807</v>
      </c>
      <c r="E144" s="18" t="s">
        <v>374</v>
      </c>
      <c r="F144" s="18" t="s">
        <v>771</v>
      </c>
      <c r="G144" s="22" t="s">
        <v>808</v>
      </c>
      <c r="H144" s="22"/>
      <c r="I144" s="18">
        <v>5</v>
      </c>
      <c r="J144" s="18" t="s">
        <v>774</v>
      </c>
      <c r="O144" s="77" t="str">
        <f t="shared" si="22"/>
        <v>PASS</v>
      </c>
      <c r="P144" s="78"/>
      <c r="Q144" s="23" t="str">
        <f t="shared" si="23"/>
        <v>PASS</v>
      </c>
    </row>
    <row r="145" spans="1:17" ht="16" hidden="1" outlineLevel="1" x14ac:dyDescent="0.2">
      <c r="A145" s="18" t="s">
        <v>1034</v>
      </c>
      <c r="B145" s="39" t="s">
        <v>820</v>
      </c>
      <c r="C145" s="32">
        <v>1</v>
      </c>
      <c r="D145" s="18" t="s">
        <v>807</v>
      </c>
      <c r="E145" s="18" t="s">
        <v>374</v>
      </c>
      <c r="F145" s="18" t="s">
        <v>771</v>
      </c>
      <c r="G145" s="22" t="s">
        <v>808</v>
      </c>
      <c r="H145" s="22"/>
      <c r="I145" s="18">
        <v>5</v>
      </c>
      <c r="J145" s="18" t="s">
        <v>774</v>
      </c>
      <c r="O145" s="77" t="str">
        <f t="shared" si="22"/>
        <v>PASS</v>
      </c>
      <c r="P145" s="78"/>
      <c r="Q145" s="23" t="str">
        <f t="shared" si="23"/>
        <v>PASS</v>
      </c>
    </row>
    <row r="146" spans="1:17" ht="16" hidden="1" outlineLevel="1" x14ac:dyDescent="0.2">
      <c r="A146" s="18" t="s">
        <v>1035</v>
      </c>
      <c r="B146" s="39" t="s">
        <v>822</v>
      </c>
      <c r="C146" s="32">
        <v>1</v>
      </c>
      <c r="D146" s="18" t="s">
        <v>807</v>
      </c>
      <c r="E146" s="18" t="s">
        <v>374</v>
      </c>
      <c r="F146" s="18" t="s">
        <v>757</v>
      </c>
      <c r="G146" s="22" t="s">
        <v>808</v>
      </c>
      <c r="H146" s="22"/>
      <c r="I146" s="18">
        <v>4</v>
      </c>
      <c r="J146" s="18" t="s">
        <v>774</v>
      </c>
      <c r="O146" s="77" t="str">
        <f t="shared" si="22"/>
        <v>PASS</v>
      </c>
      <c r="P146" s="78"/>
      <c r="Q146" s="23" t="str">
        <f t="shared" si="23"/>
        <v>PASS</v>
      </c>
    </row>
    <row r="147" spans="1:17" ht="16" hidden="1" outlineLevel="1" x14ac:dyDescent="0.2">
      <c r="A147" s="18" t="s">
        <v>1036</v>
      </c>
      <c r="B147" s="39" t="s">
        <v>824</v>
      </c>
      <c r="C147" s="32">
        <v>1</v>
      </c>
      <c r="D147" s="18" t="s">
        <v>807</v>
      </c>
      <c r="E147" s="18" t="s">
        <v>374</v>
      </c>
      <c r="F147" s="18" t="s">
        <v>757</v>
      </c>
      <c r="G147" s="22" t="s">
        <v>808</v>
      </c>
      <c r="H147" s="22"/>
      <c r="I147" s="18">
        <v>4</v>
      </c>
      <c r="J147" s="18" t="s">
        <v>774</v>
      </c>
      <c r="O147" s="77" t="str">
        <f t="shared" si="22"/>
        <v>PASS</v>
      </c>
      <c r="P147" s="78"/>
      <c r="Q147" s="23" t="str">
        <f t="shared" si="23"/>
        <v>PASS</v>
      </c>
    </row>
    <row r="148" spans="1:17" ht="16" hidden="1" outlineLevel="1" x14ac:dyDescent="0.2">
      <c r="A148" s="18" t="s">
        <v>1037</v>
      </c>
      <c r="B148" s="39" t="s">
        <v>826</v>
      </c>
      <c r="C148" s="32">
        <v>1</v>
      </c>
      <c r="D148" s="18" t="s">
        <v>807</v>
      </c>
      <c r="E148" s="18" t="s">
        <v>374</v>
      </c>
      <c r="F148" s="18" t="s">
        <v>771</v>
      </c>
      <c r="G148" s="22" t="s">
        <v>808</v>
      </c>
      <c r="H148" s="22"/>
      <c r="I148" s="18">
        <v>5</v>
      </c>
      <c r="J148" s="18" t="s">
        <v>774</v>
      </c>
      <c r="O148" s="77" t="str">
        <f t="shared" si="22"/>
        <v>PASS</v>
      </c>
      <c r="P148" s="78"/>
      <c r="Q148" s="23" t="str">
        <f t="shared" si="23"/>
        <v>PASS</v>
      </c>
    </row>
    <row r="149" spans="1:17" ht="39" collapsed="1" x14ac:dyDescent="0.2">
      <c r="A149" s="18" t="str">
        <f>'Part names'!$A$45</f>
        <v>P-103</v>
      </c>
      <c r="B149" s="39" t="str">
        <f>'Part names'!$B$45 &amp; "  · 90 m³/h · 1379x766x1073 mm"</f>
        <v>Irrigation Pump  · 90 m³/h · 1379x766x1073 mm</v>
      </c>
      <c r="C149" s="32">
        <v>1</v>
      </c>
      <c r="D149" s="48">
        <v>9413</v>
      </c>
      <c r="E149" s="48">
        <v>9413</v>
      </c>
      <c r="F149" s="18" t="s">
        <v>757</v>
      </c>
      <c r="G149" s="22" t="s">
        <v>1038</v>
      </c>
      <c r="H149" s="22" t="s">
        <v>1039</v>
      </c>
      <c r="I149" s="18">
        <v>4</v>
      </c>
      <c r="J149" s="18" t="s">
        <v>774</v>
      </c>
      <c r="K149" s="22" t="s">
        <v>1040</v>
      </c>
      <c r="L149" s="39" t="s">
        <v>358</v>
      </c>
      <c r="M149" s="22" t="s">
        <v>1041</v>
      </c>
      <c r="N149" s="39" t="s">
        <v>1042</v>
      </c>
      <c r="O149" s="77" t="str">
        <f>IF(AND(LEN(TRIM($B149&amp;""))&gt;0,ISNUMBER($C149),$C149&gt;0,ISNUMBER($D149),$D149&gt;0,ISNUMBER($E149),$E149&gt;0,ABS($E149-$C149*$D149)&lt;=MAX(1,0.005*ABS($E149)),LEN(TRIM($M149&amp;""))&gt;0,TRIM($M149&amp;"")&lt;&gt;"—",LEN(TRIM($P149&amp;""))=0),"PASS","FAIL — "&amp;IF(LEN(TRIM($P149&amp;""))&gt;0,TRIM($P149&amp;""),"line ≠ qty×unit, a required cell empty, or qty/£ non-positive"))</f>
        <v>PASS</v>
      </c>
      <c r="P149" s="78"/>
      <c r="Q149" s="23" t="str">
        <f>IF(AND(LEN(TRIM(A149&amp;""))&gt;0,TRIM(A149&amp;"")&lt;&gt;"—",LEN(TRIM(B149&amp;""))&gt;0,TRIM(B149&amp;"")&lt;&gt;"—",LEN(TRIM(C149&amp;""))&gt;0,TRIM(C149&amp;"")&lt;&gt;"—",ISNUMBER(C149),LEN(TRIM(D149&amp;""))&gt;0,TRIM(D149&amp;"")&lt;&gt;"—",ISNUMBER(D149),LEN(TRIM(E149&amp;""))&gt;0,TRIM(E149&amp;"")&lt;&gt;"—",ISNUMBER(E149),LEN(TRIM(F149&amp;""))&gt;0,TRIM(F149&amp;"")&lt;&gt;"—",LEN(TRIM(I149&amp;""))&gt;0,TRIM(I149&amp;"")&lt;&gt;"—",LEN(TRIM(J149&amp;""))&gt;0,TRIM(J149&amp;"")&lt;&gt;"—",LEN(TRIM(O149&amp;""))&gt;0,TRIM(O149&amp;"")&lt;&gt;"—"),"PASS","⚠ FAIL — "&amp;"a required cell is empty/placeholder or wrong type")</f>
        <v>PASS</v>
      </c>
    </row>
    <row r="150" spans="1:17" ht="16" hidden="1" outlineLevel="1" x14ac:dyDescent="0.2">
      <c r="A150" s="18" t="s">
        <v>1043</v>
      </c>
      <c r="B150" s="39" t="s">
        <v>895</v>
      </c>
      <c r="C150" s="32">
        <v>1</v>
      </c>
      <c r="D150" s="18" t="s">
        <v>807</v>
      </c>
      <c r="E150" s="18" t="s">
        <v>374</v>
      </c>
      <c r="F150" s="18" t="s">
        <v>771</v>
      </c>
      <c r="G150" s="22" t="s">
        <v>808</v>
      </c>
      <c r="H150" s="22"/>
      <c r="I150" s="18">
        <v>5</v>
      </c>
      <c r="J150" s="18" t="s">
        <v>774</v>
      </c>
      <c r="O150" s="77" t="str">
        <f t="shared" ref="O150:O162" si="24">IF(AND(LEN(TRIM($B150&amp;""))&gt;0,LEN(TRIM($P150&amp;""))=0),"PASS","FAIL — "&amp;IF(LEN(TRIM($P150&amp;""))&gt;0,TRIM($P150&amp;""),"line ≠ qty×unit, a required cell empty, or qty/£ non-positive"))</f>
        <v>PASS</v>
      </c>
      <c r="P150" s="78"/>
      <c r="Q150" s="23" t="str">
        <f t="shared" ref="Q150:Q162" si="25">IF(AND(LEN(TRIM(B150&amp;""))&gt;0,TRIM(B150&amp;"")&lt;&gt;"—",LEN(TRIM(C150&amp;""))&gt;0,TRIM(C150&amp;"")&lt;&gt;"—",ISNUMBER(C150),LEN(TRIM(F150&amp;""))&gt;0,TRIM(F150&amp;"")&lt;&gt;"—",LEN(TRIM(I150&amp;""))&gt;0,TRIM(I150&amp;"")&lt;&gt;"—",LEN(TRIM(J150&amp;""))&gt;0,TRIM(J150&amp;"")&lt;&gt;"—",LEN(TRIM(O150&amp;""))&gt;0,TRIM(O150&amp;"")&lt;&gt;"—"),"PASS","⚠ FAIL — "&amp;"a required cell is empty/placeholder or wrong type")</f>
        <v>PASS</v>
      </c>
    </row>
    <row r="151" spans="1:17" ht="16" hidden="1" outlineLevel="1" x14ac:dyDescent="0.2">
      <c r="A151" s="18" t="s">
        <v>1044</v>
      </c>
      <c r="B151" s="39" t="s">
        <v>897</v>
      </c>
      <c r="C151" s="32">
        <v>1</v>
      </c>
      <c r="D151" s="18" t="s">
        <v>807</v>
      </c>
      <c r="E151" s="18" t="s">
        <v>374</v>
      </c>
      <c r="F151" s="18" t="s">
        <v>757</v>
      </c>
      <c r="G151" s="22" t="s">
        <v>808</v>
      </c>
      <c r="H151" s="22"/>
      <c r="I151" s="18">
        <v>4</v>
      </c>
      <c r="J151" s="18" t="s">
        <v>774</v>
      </c>
      <c r="O151" s="77" t="str">
        <f t="shared" si="24"/>
        <v>PASS</v>
      </c>
      <c r="P151" s="78"/>
      <c r="Q151" s="23" t="str">
        <f t="shared" si="25"/>
        <v>PASS</v>
      </c>
    </row>
    <row r="152" spans="1:17" ht="16" hidden="1" outlineLevel="1" x14ac:dyDescent="0.2">
      <c r="A152" s="18" t="s">
        <v>1045</v>
      </c>
      <c r="B152" s="39" t="s">
        <v>1046</v>
      </c>
      <c r="C152" s="32">
        <v>1</v>
      </c>
      <c r="D152" s="18" t="s">
        <v>807</v>
      </c>
      <c r="E152" s="18" t="s">
        <v>374</v>
      </c>
      <c r="F152" s="18" t="s">
        <v>757</v>
      </c>
      <c r="G152" s="22" t="s">
        <v>808</v>
      </c>
      <c r="H152" s="22"/>
      <c r="I152" s="18">
        <v>4</v>
      </c>
      <c r="J152" s="18" t="s">
        <v>774</v>
      </c>
      <c r="O152" s="77" t="str">
        <f t="shared" si="24"/>
        <v>PASS</v>
      </c>
      <c r="P152" s="78"/>
      <c r="Q152" s="23" t="str">
        <f t="shared" si="25"/>
        <v>PASS</v>
      </c>
    </row>
    <row r="153" spans="1:17" ht="16" hidden="1" outlineLevel="1" x14ac:dyDescent="0.2">
      <c r="A153" s="18" t="s">
        <v>1047</v>
      </c>
      <c r="B153" s="39" t="s">
        <v>1048</v>
      </c>
      <c r="C153" s="32">
        <v>1</v>
      </c>
      <c r="D153" s="18" t="s">
        <v>807</v>
      </c>
      <c r="E153" s="18" t="s">
        <v>374</v>
      </c>
      <c r="F153" s="18" t="s">
        <v>248</v>
      </c>
      <c r="G153" s="22" t="s">
        <v>808</v>
      </c>
      <c r="H153" s="22"/>
      <c r="I153" s="18">
        <v>2</v>
      </c>
      <c r="J153" s="18" t="s">
        <v>765</v>
      </c>
      <c r="O153" s="77" t="str">
        <f t="shared" si="24"/>
        <v>PASS</v>
      </c>
      <c r="P153" s="78"/>
      <c r="Q153" s="23" t="str">
        <f t="shared" si="25"/>
        <v>PASS</v>
      </c>
    </row>
    <row r="154" spans="1:17" ht="16" hidden="1" outlineLevel="1" x14ac:dyDescent="0.2">
      <c r="A154" s="18" t="s">
        <v>1049</v>
      </c>
      <c r="B154" s="39" t="s">
        <v>904</v>
      </c>
      <c r="C154" s="32">
        <v>1</v>
      </c>
      <c r="D154" s="18" t="s">
        <v>807</v>
      </c>
      <c r="E154" s="18" t="s">
        <v>374</v>
      </c>
      <c r="F154" s="18" t="s">
        <v>757</v>
      </c>
      <c r="G154" s="22" t="s">
        <v>808</v>
      </c>
      <c r="H154" s="22"/>
      <c r="I154" s="18">
        <v>4</v>
      </c>
      <c r="J154" s="18" t="s">
        <v>774</v>
      </c>
      <c r="O154" s="77" t="str">
        <f t="shared" si="24"/>
        <v>PASS</v>
      </c>
      <c r="P154" s="78"/>
      <c r="Q154" s="23" t="str">
        <f t="shared" si="25"/>
        <v>PASS</v>
      </c>
    </row>
    <row r="155" spans="1:17" ht="16" hidden="1" outlineLevel="1" x14ac:dyDescent="0.2">
      <c r="A155" s="18" t="s">
        <v>1050</v>
      </c>
      <c r="B155" s="39" t="s">
        <v>906</v>
      </c>
      <c r="C155" s="32">
        <v>1</v>
      </c>
      <c r="D155" s="18" t="s">
        <v>807</v>
      </c>
      <c r="E155" s="18" t="s">
        <v>374</v>
      </c>
      <c r="F155" s="18" t="s">
        <v>757</v>
      </c>
      <c r="G155" s="22" t="s">
        <v>808</v>
      </c>
      <c r="H155" s="22"/>
      <c r="I155" s="18">
        <v>4</v>
      </c>
      <c r="J155" s="18" t="s">
        <v>774</v>
      </c>
      <c r="O155" s="77" t="str">
        <f t="shared" si="24"/>
        <v>PASS</v>
      </c>
      <c r="P155" s="78"/>
      <c r="Q155" s="23" t="str">
        <f t="shared" si="25"/>
        <v>PASS</v>
      </c>
    </row>
    <row r="156" spans="1:17" ht="16" hidden="1" outlineLevel="1" x14ac:dyDescent="0.2">
      <c r="A156" s="18" t="s">
        <v>1051</v>
      </c>
      <c r="B156" s="39" t="s">
        <v>908</v>
      </c>
      <c r="C156" s="32">
        <v>1</v>
      </c>
      <c r="D156" s="18" t="s">
        <v>807</v>
      </c>
      <c r="E156" s="18" t="s">
        <v>374</v>
      </c>
      <c r="F156" s="18" t="s">
        <v>771</v>
      </c>
      <c r="G156" s="22" t="s">
        <v>808</v>
      </c>
      <c r="H156" s="22"/>
      <c r="I156" s="18">
        <v>5</v>
      </c>
      <c r="J156" s="18" t="s">
        <v>774</v>
      </c>
      <c r="O156" s="77" t="str">
        <f t="shared" si="24"/>
        <v>PASS</v>
      </c>
      <c r="P156" s="78"/>
      <c r="Q156" s="23" t="str">
        <f t="shared" si="25"/>
        <v>PASS</v>
      </c>
    </row>
    <row r="157" spans="1:17" ht="16" hidden="1" outlineLevel="1" x14ac:dyDescent="0.2">
      <c r="A157" s="18" t="s">
        <v>1052</v>
      </c>
      <c r="B157" s="39" t="s">
        <v>910</v>
      </c>
      <c r="C157" s="32">
        <v>1</v>
      </c>
      <c r="D157" s="18" t="s">
        <v>807</v>
      </c>
      <c r="E157" s="18" t="s">
        <v>374</v>
      </c>
      <c r="F157" s="18" t="s">
        <v>757</v>
      </c>
      <c r="G157" s="22" t="s">
        <v>808</v>
      </c>
      <c r="H157" s="22"/>
      <c r="I157" s="18">
        <v>4</v>
      </c>
      <c r="J157" s="18" t="s">
        <v>774</v>
      </c>
      <c r="O157" s="77" t="str">
        <f t="shared" si="24"/>
        <v>PASS</v>
      </c>
      <c r="P157" s="78"/>
      <c r="Q157" s="23" t="str">
        <f t="shared" si="25"/>
        <v>PASS</v>
      </c>
    </row>
    <row r="158" spans="1:17" ht="32" hidden="1" outlineLevel="1" x14ac:dyDescent="0.2">
      <c r="A158" s="18" t="s">
        <v>1053</v>
      </c>
      <c r="B158" s="39" t="s">
        <v>1054</v>
      </c>
      <c r="C158" s="32">
        <v>1</v>
      </c>
      <c r="D158" s="18" t="s">
        <v>807</v>
      </c>
      <c r="E158" s="18" t="s">
        <v>374</v>
      </c>
      <c r="F158" s="18" t="s">
        <v>757</v>
      </c>
      <c r="G158" s="22" t="s">
        <v>808</v>
      </c>
      <c r="H158" s="22"/>
      <c r="I158" s="18">
        <v>4</v>
      </c>
      <c r="J158" s="18" t="s">
        <v>774</v>
      </c>
      <c r="O158" s="77" t="str">
        <f t="shared" si="24"/>
        <v>PASS</v>
      </c>
      <c r="P158" s="78"/>
      <c r="Q158" s="23" t="str">
        <f t="shared" si="25"/>
        <v>PASS</v>
      </c>
    </row>
    <row r="159" spans="1:17" ht="32" hidden="1" outlineLevel="1" x14ac:dyDescent="0.2">
      <c r="A159" s="18" t="s">
        <v>1055</v>
      </c>
      <c r="B159" s="39" t="s">
        <v>1056</v>
      </c>
      <c r="C159" s="32">
        <v>1</v>
      </c>
      <c r="D159" s="18" t="s">
        <v>807</v>
      </c>
      <c r="E159" s="18" t="s">
        <v>374</v>
      </c>
      <c r="F159" s="18" t="s">
        <v>757</v>
      </c>
      <c r="G159" s="22" t="s">
        <v>808</v>
      </c>
      <c r="H159" s="22"/>
      <c r="I159" s="18">
        <v>4</v>
      </c>
      <c r="J159" s="18" t="s">
        <v>774</v>
      </c>
      <c r="O159" s="77" t="str">
        <f t="shared" si="24"/>
        <v>PASS</v>
      </c>
      <c r="P159" s="78"/>
      <c r="Q159" s="23" t="str">
        <f t="shared" si="25"/>
        <v>PASS</v>
      </c>
    </row>
    <row r="160" spans="1:17" ht="32" hidden="1" outlineLevel="1" x14ac:dyDescent="0.2">
      <c r="A160" s="18" t="s">
        <v>1057</v>
      </c>
      <c r="B160" s="39" t="s">
        <v>1058</v>
      </c>
      <c r="C160" s="32">
        <v>1</v>
      </c>
      <c r="D160" s="18" t="s">
        <v>807</v>
      </c>
      <c r="E160" s="18" t="s">
        <v>374</v>
      </c>
      <c r="F160" s="18" t="s">
        <v>757</v>
      </c>
      <c r="G160" s="22" t="s">
        <v>808</v>
      </c>
      <c r="H160" s="22"/>
      <c r="I160" s="18">
        <v>4</v>
      </c>
      <c r="J160" s="18" t="s">
        <v>774</v>
      </c>
      <c r="O160" s="77" t="str">
        <f t="shared" si="24"/>
        <v>PASS</v>
      </c>
      <c r="P160" s="78"/>
      <c r="Q160" s="23" t="str">
        <f t="shared" si="25"/>
        <v>PASS</v>
      </c>
    </row>
    <row r="161" spans="1:17" ht="16" hidden="1" outlineLevel="1" x14ac:dyDescent="0.2">
      <c r="A161" s="18" t="s">
        <v>1059</v>
      </c>
      <c r="B161" s="39" t="s">
        <v>918</v>
      </c>
      <c r="C161" s="32">
        <v>1</v>
      </c>
      <c r="D161" s="18" t="s">
        <v>807</v>
      </c>
      <c r="E161" s="18" t="s">
        <v>374</v>
      </c>
      <c r="F161" s="18" t="s">
        <v>771</v>
      </c>
      <c r="G161" s="22" t="s">
        <v>808</v>
      </c>
      <c r="H161" s="22"/>
      <c r="I161" s="18">
        <v>5</v>
      </c>
      <c r="J161" s="18" t="s">
        <v>774</v>
      </c>
      <c r="O161" s="77" t="str">
        <f t="shared" si="24"/>
        <v>PASS</v>
      </c>
      <c r="P161" s="78"/>
      <c r="Q161" s="23" t="str">
        <f t="shared" si="25"/>
        <v>PASS</v>
      </c>
    </row>
    <row r="162" spans="1:17" ht="16" hidden="1" outlineLevel="1" x14ac:dyDescent="0.2">
      <c r="A162" s="18" t="s">
        <v>1060</v>
      </c>
      <c r="B162" s="39" t="s">
        <v>920</v>
      </c>
      <c r="C162" s="32">
        <v>1</v>
      </c>
      <c r="D162" s="18" t="s">
        <v>807</v>
      </c>
      <c r="E162" s="18" t="s">
        <v>374</v>
      </c>
      <c r="F162" s="18" t="s">
        <v>771</v>
      </c>
      <c r="G162" s="22" t="s">
        <v>808</v>
      </c>
      <c r="H162" s="22"/>
      <c r="I162" s="18">
        <v>5</v>
      </c>
      <c r="J162" s="18" t="s">
        <v>774</v>
      </c>
      <c r="O162" s="77" t="str">
        <f t="shared" si="24"/>
        <v>PASS</v>
      </c>
      <c r="P162" s="78"/>
      <c r="Q162" s="23" t="str">
        <f t="shared" si="25"/>
        <v>PASS</v>
      </c>
    </row>
    <row r="163" spans="1:17" ht="65" x14ac:dyDescent="0.2">
      <c r="A163" s="18" t="str">
        <f>'Part names'!$A$20</f>
        <v>M-101</v>
      </c>
      <c r="B163" s="39" t="str">
        <f>'Part names'!$B$20 &amp; "  · 45 m³/h · 700x595x770 mm"</f>
        <v>Distribution Manifold  · 45 m³/h · 700x595x770 mm</v>
      </c>
      <c r="C163" s="32">
        <v>2</v>
      </c>
      <c r="D163" s="48">
        <v>1725</v>
      </c>
      <c r="E163" s="48">
        <v>3450</v>
      </c>
      <c r="F163" s="18" t="s">
        <v>757</v>
      </c>
      <c r="G163" s="22" t="s">
        <v>1038</v>
      </c>
      <c r="H163" s="22" t="s">
        <v>773</v>
      </c>
      <c r="I163" s="18">
        <v>4</v>
      </c>
      <c r="J163" s="18" t="s">
        <v>774</v>
      </c>
      <c r="K163" s="22" t="s">
        <v>1061</v>
      </c>
      <c r="L163" s="39" t="s">
        <v>358</v>
      </c>
      <c r="M163" s="22" t="s">
        <v>1062</v>
      </c>
      <c r="N163" s="39" t="s">
        <v>804</v>
      </c>
      <c r="O163" s="77" t="str">
        <f>IF(AND(LEN(TRIM($B163&amp;""))&gt;0,ISNUMBER($C163),$C163&gt;0,ISNUMBER($D163),$D163&gt;0,ISNUMBER($E163),$E163&gt;0,ABS($E163-$C163*$D163)&lt;=MAX(1,0.005*ABS($E163)),LEN(TRIM($M163&amp;""))&gt;0,TRIM($M163&amp;"")&lt;&gt;"—",LEN(TRIM($P163&amp;""))=0),"PASS","FAIL — "&amp;IF(LEN(TRIM($P163&amp;""))&gt;0,TRIM($P163&amp;""),"line ≠ qty×unit, a required cell empty, or qty/£ non-positive"))</f>
        <v>PASS</v>
      </c>
      <c r="P163" s="78"/>
      <c r="Q163" s="23" t="str">
        <f>IF(AND(LEN(TRIM(A163&amp;""))&gt;0,TRIM(A163&amp;"")&lt;&gt;"—",LEN(TRIM(B163&amp;""))&gt;0,TRIM(B163&amp;"")&lt;&gt;"—",LEN(TRIM(C163&amp;""))&gt;0,TRIM(C163&amp;"")&lt;&gt;"—",ISNUMBER(C163),LEN(TRIM(D163&amp;""))&gt;0,TRIM(D163&amp;"")&lt;&gt;"—",ISNUMBER(D163),LEN(TRIM(E163&amp;""))&gt;0,TRIM(E163&amp;"")&lt;&gt;"—",ISNUMBER(E163),LEN(TRIM(F163&amp;""))&gt;0,TRIM(F163&amp;"")&lt;&gt;"—",LEN(TRIM(I163&amp;""))&gt;0,TRIM(I163&amp;"")&lt;&gt;"—",LEN(TRIM(J163&amp;""))&gt;0,TRIM(J163&amp;"")&lt;&gt;"—",LEN(TRIM(O163&amp;""))&gt;0,TRIM(O163&amp;"")&lt;&gt;"—"),"PASS","⚠ FAIL — "&amp;"a required cell is empty/placeholder or wrong type")</f>
        <v>PASS</v>
      </c>
    </row>
    <row r="164" spans="1:17" ht="39" collapsed="1" x14ac:dyDescent="0.2">
      <c r="A164" s="18" t="str">
        <f>'Part names'!$A$70</f>
        <v>Z-101</v>
      </c>
      <c r="B164" s="39" t="str">
        <f>'Part names'!$B$70 &amp; "  · 2.3 m dia x 2.4 m"</f>
        <v>Reverse Osmosis Skid  · 2.3 m dia x 2.4 m</v>
      </c>
      <c r="C164" s="32">
        <v>1</v>
      </c>
      <c r="D164" s="48">
        <v>8737</v>
      </c>
      <c r="E164" s="48">
        <v>8737</v>
      </c>
      <c r="F164" s="18" t="s">
        <v>757</v>
      </c>
      <c r="G164" s="22" t="s">
        <v>1063</v>
      </c>
      <c r="H164" s="22" t="s">
        <v>1006</v>
      </c>
      <c r="I164" s="18">
        <v>4</v>
      </c>
      <c r="J164" s="18" t="s">
        <v>774</v>
      </c>
      <c r="K164" s="22" t="s">
        <v>1064</v>
      </c>
      <c r="L164" s="39" t="s">
        <v>348</v>
      </c>
      <c r="M164" s="22" t="s">
        <v>1065</v>
      </c>
      <c r="N164" s="39" t="s">
        <v>804</v>
      </c>
      <c r="O164" s="77" t="str">
        <f>IF(AND(LEN(TRIM($B164&amp;""))&gt;0,ISNUMBER($C164),$C164&gt;0,ISNUMBER($D164),$D164&gt;0,ISNUMBER($E164),$E164&gt;0,ABS($E164-$C164*$D164)&lt;=MAX(1,0.005*ABS($E164)),LEN(TRIM($M164&amp;""))&gt;0,TRIM($M164&amp;"")&lt;&gt;"—",LEN(TRIM($P164&amp;""))=0),"PASS","FAIL — "&amp;IF(LEN(TRIM($P164&amp;""))&gt;0,TRIM($P164&amp;""),"line ≠ qty×unit, a required cell empty, or qty/£ non-positive"))</f>
        <v>PASS</v>
      </c>
      <c r="P164" s="78"/>
      <c r="Q164" s="23" t="str">
        <f>IF(AND(LEN(TRIM(A164&amp;""))&gt;0,TRIM(A164&amp;"")&lt;&gt;"—",LEN(TRIM(B164&amp;""))&gt;0,TRIM(B164&amp;"")&lt;&gt;"—",LEN(TRIM(C164&amp;""))&gt;0,TRIM(C164&amp;"")&lt;&gt;"—",ISNUMBER(C164),LEN(TRIM(D164&amp;""))&gt;0,TRIM(D164&amp;"")&lt;&gt;"—",ISNUMBER(D164),LEN(TRIM(E164&amp;""))&gt;0,TRIM(E164&amp;"")&lt;&gt;"—",ISNUMBER(E164),LEN(TRIM(F164&amp;""))&gt;0,TRIM(F164&amp;"")&lt;&gt;"—",LEN(TRIM(I164&amp;""))&gt;0,TRIM(I164&amp;"")&lt;&gt;"—",LEN(TRIM(J164&amp;""))&gt;0,TRIM(J164&amp;"")&lt;&gt;"—",LEN(TRIM(O164&amp;""))&gt;0,TRIM(O164&amp;"")&lt;&gt;"—"),"PASS","⚠ FAIL — "&amp;"a required cell is empty/placeholder or wrong type")</f>
        <v>PASS</v>
      </c>
    </row>
    <row r="165" spans="1:17" ht="16" hidden="1" outlineLevel="1" x14ac:dyDescent="0.2">
      <c r="A165" s="18" t="s">
        <v>1066</v>
      </c>
      <c r="B165" s="39" t="s">
        <v>806</v>
      </c>
      <c r="C165" s="32">
        <v>1</v>
      </c>
      <c r="D165" s="18" t="s">
        <v>807</v>
      </c>
      <c r="E165" s="18" t="s">
        <v>374</v>
      </c>
      <c r="F165" s="18" t="s">
        <v>757</v>
      </c>
      <c r="G165" s="22" t="s">
        <v>808</v>
      </c>
      <c r="H165" s="22"/>
      <c r="I165" s="18">
        <v>4</v>
      </c>
      <c r="J165" s="18" t="s">
        <v>774</v>
      </c>
      <c r="O165" s="77" t="str">
        <f t="shared" ref="O165:O174" si="26">IF(AND(LEN(TRIM($B165&amp;""))&gt;0,LEN(TRIM($P165&amp;""))=0),"PASS","FAIL — "&amp;IF(LEN(TRIM($P165&amp;""))&gt;0,TRIM($P165&amp;""),"line ≠ qty×unit, a required cell empty, or qty/£ non-positive"))</f>
        <v>PASS</v>
      </c>
      <c r="P165" s="78"/>
      <c r="Q165" s="23" t="str">
        <f t="shared" ref="Q165:Q174" si="27">IF(AND(LEN(TRIM(B165&amp;""))&gt;0,TRIM(B165&amp;"")&lt;&gt;"—",LEN(TRIM(C165&amp;""))&gt;0,TRIM(C165&amp;"")&lt;&gt;"—",ISNUMBER(C165),LEN(TRIM(F165&amp;""))&gt;0,TRIM(F165&amp;"")&lt;&gt;"—",LEN(TRIM(I165&amp;""))&gt;0,TRIM(I165&amp;"")&lt;&gt;"—",LEN(TRIM(J165&amp;""))&gt;0,TRIM(J165&amp;"")&lt;&gt;"—",LEN(TRIM(O165&amp;""))&gt;0,TRIM(O165&amp;"")&lt;&gt;"—"),"PASS","⚠ FAIL — "&amp;"a required cell is empty/placeholder or wrong type")</f>
        <v>PASS</v>
      </c>
    </row>
    <row r="166" spans="1:17" ht="16" hidden="1" outlineLevel="1" x14ac:dyDescent="0.2">
      <c r="A166" s="18" t="s">
        <v>1067</v>
      </c>
      <c r="B166" s="39" t="s">
        <v>810</v>
      </c>
      <c r="C166" s="32">
        <v>1</v>
      </c>
      <c r="D166" s="18" t="s">
        <v>807</v>
      </c>
      <c r="E166" s="18" t="s">
        <v>374</v>
      </c>
      <c r="F166" s="18" t="s">
        <v>757</v>
      </c>
      <c r="G166" s="22" t="s">
        <v>808</v>
      </c>
      <c r="H166" s="22"/>
      <c r="I166" s="18">
        <v>4</v>
      </c>
      <c r="J166" s="18" t="s">
        <v>774</v>
      </c>
      <c r="O166" s="77" t="str">
        <f t="shared" si="26"/>
        <v>PASS</v>
      </c>
      <c r="P166" s="78"/>
      <c r="Q166" s="23" t="str">
        <f t="shared" si="27"/>
        <v>PASS</v>
      </c>
    </row>
    <row r="167" spans="1:17" ht="16" hidden="1" outlineLevel="1" x14ac:dyDescent="0.2">
      <c r="A167" s="18" t="s">
        <v>1068</v>
      </c>
      <c r="B167" s="39" t="s">
        <v>812</v>
      </c>
      <c r="C167" s="32">
        <v>1</v>
      </c>
      <c r="D167" s="18" t="s">
        <v>807</v>
      </c>
      <c r="E167" s="18" t="s">
        <v>374</v>
      </c>
      <c r="F167" s="18" t="s">
        <v>771</v>
      </c>
      <c r="G167" s="22" t="s">
        <v>808</v>
      </c>
      <c r="H167" s="22"/>
      <c r="I167" s="18">
        <v>5</v>
      </c>
      <c r="J167" s="18" t="s">
        <v>774</v>
      </c>
      <c r="O167" s="77" t="str">
        <f t="shared" si="26"/>
        <v>PASS</v>
      </c>
      <c r="P167" s="78"/>
      <c r="Q167" s="23" t="str">
        <f t="shared" si="27"/>
        <v>PASS</v>
      </c>
    </row>
    <row r="168" spans="1:17" ht="16" hidden="1" outlineLevel="1" x14ac:dyDescent="0.2">
      <c r="A168" s="18" t="s">
        <v>1069</v>
      </c>
      <c r="B168" s="39" t="s">
        <v>814</v>
      </c>
      <c r="C168" s="32">
        <v>1</v>
      </c>
      <c r="D168" s="18" t="s">
        <v>807</v>
      </c>
      <c r="E168" s="18" t="s">
        <v>374</v>
      </c>
      <c r="F168" s="18" t="s">
        <v>771</v>
      </c>
      <c r="G168" s="22" t="s">
        <v>808</v>
      </c>
      <c r="H168" s="22"/>
      <c r="I168" s="18">
        <v>5</v>
      </c>
      <c r="J168" s="18" t="s">
        <v>774</v>
      </c>
      <c r="O168" s="77" t="str">
        <f t="shared" si="26"/>
        <v>PASS</v>
      </c>
      <c r="P168" s="78"/>
      <c r="Q168" s="23" t="str">
        <f t="shared" si="27"/>
        <v>PASS</v>
      </c>
    </row>
    <row r="169" spans="1:17" ht="16" hidden="1" outlineLevel="1" x14ac:dyDescent="0.2">
      <c r="A169" s="18" t="s">
        <v>1070</v>
      </c>
      <c r="B169" s="39" t="s">
        <v>816</v>
      </c>
      <c r="C169" s="32">
        <v>1</v>
      </c>
      <c r="D169" s="18" t="s">
        <v>807</v>
      </c>
      <c r="E169" s="18" t="s">
        <v>374</v>
      </c>
      <c r="F169" s="18" t="s">
        <v>757</v>
      </c>
      <c r="G169" s="22" t="s">
        <v>808</v>
      </c>
      <c r="H169" s="22"/>
      <c r="I169" s="18">
        <v>4</v>
      </c>
      <c r="J169" s="18" t="s">
        <v>774</v>
      </c>
      <c r="O169" s="77" t="str">
        <f t="shared" si="26"/>
        <v>PASS</v>
      </c>
      <c r="P169" s="78"/>
      <c r="Q169" s="23" t="str">
        <f t="shared" si="27"/>
        <v>PASS</v>
      </c>
    </row>
    <row r="170" spans="1:17" ht="16" hidden="1" outlineLevel="1" x14ac:dyDescent="0.2">
      <c r="A170" s="18" t="s">
        <v>1071</v>
      </c>
      <c r="B170" s="39" t="s">
        <v>818</v>
      </c>
      <c r="C170" s="32">
        <v>1</v>
      </c>
      <c r="D170" s="18" t="s">
        <v>807</v>
      </c>
      <c r="E170" s="18" t="s">
        <v>374</v>
      </c>
      <c r="F170" s="18" t="s">
        <v>771</v>
      </c>
      <c r="G170" s="22" t="s">
        <v>808</v>
      </c>
      <c r="H170" s="22"/>
      <c r="I170" s="18">
        <v>5</v>
      </c>
      <c r="J170" s="18" t="s">
        <v>774</v>
      </c>
      <c r="O170" s="77" t="str">
        <f t="shared" si="26"/>
        <v>PASS</v>
      </c>
      <c r="P170" s="78"/>
      <c r="Q170" s="23" t="str">
        <f t="shared" si="27"/>
        <v>PASS</v>
      </c>
    </row>
    <row r="171" spans="1:17" ht="16" hidden="1" outlineLevel="1" x14ac:dyDescent="0.2">
      <c r="A171" s="18" t="s">
        <v>1072</v>
      </c>
      <c r="B171" s="39" t="s">
        <v>820</v>
      </c>
      <c r="C171" s="32">
        <v>1</v>
      </c>
      <c r="D171" s="18" t="s">
        <v>807</v>
      </c>
      <c r="E171" s="18" t="s">
        <v>374</v>
      </c>
      <c r="F171" s="18" t="s">
        <v>771</v>
      </c>
      <c r="G171" s="22" t="s">
        <v>808</v>
      </c>
      <c r="H171" s="22"/>
      <c r="I171" s="18">
        <v>5</v>
      </c>
      <c r="J171" s="18" t="s">
        <v>774</v>
      </c>
      <c r="O171" s="77" t="str">
        <f t="shared" si="26"/>
        <v>PASS</v>
      </c>
      <c r="P171" s="78"/>
      <c r="Q171" s="23" t="str">
        <f t="shared" si="27"/>
        <v>PASS</v>
      </c>
    </row>
    <row r="172" spans="1:17" ht="16" hidden="1" outlineLevel="1" x14ac:dyDescent="0.2">
      <c r="A172" s="18" t="s">
        <v>1073</v>
      </c>
      <c r="B172" s="39" t="s">
        <v>822</v>
      </c>
      <c r="C172" s="32">
        <v>1</v>
      </c>
      <c r="D172" s="18" t="s">
        <v>807</v>
      </c>
      <c r="E172" s="18" t="s">
        <v>374</v>
      </c>
      <c r="F172" s="18" t="s">
        <v>757</v>
      </c>
      <c r="G172" s="22" t="s">
        <v>808</v>
      </c>
      <c r="H172" s="22"/>
      <c r="I172" s="18">
        <v>4</v>
      </c>
      <c r="J172" s="18" t="s">
        <v>774</v>
      </c>
      <c r="O172" s="77" t="str">
        <f t="shared" si="26"/>
        <v>PASS</v>
      </c>
      <c r="P172" s="78"/>
      <c r="Q172" s="23" t="str">
        <f t="shared" si="27"/>
        <v>PASS</v>
      </c>
    </row>
    <row r="173" spans="1:17" ht="16" hidden="1" outlineLevel="1" x14ac:dyDescent="0.2">
      <c r="A173" s="18" t="s">
        <v>1074</v>
      </c>
      <c r="B173" s="39" t="s">
        <v>824</v>
      </c>
      <c r="C173" s="32">
        <v>1</v>
      </c>
      <c r="D173" s="18" t="s">
        <v>807</v>
      </c>
      <c r="E173" s="18" t="s">
        <v>374</v>
      </c>
      <c r="F173" s="18" t="s">
        <v>757</v>
      </c>
      <c r="G173" s="22" t="s">
        <v>808</v>
      </c>
      <c r="H173" s="22"/>
      <c r="I173" s="18">
        <v>4</v>
      </c>
      <c r="J173" s="18" t="s">
        <v>774</v>
      </c>
      <c r="O173" s="77" t="str">
        <f t="shared" si="26"/>
        <v>PASS</v>
      </c>
      <c r="P173" s="78"/>
      <c r="Q173" s="23" t="str">
        <f t="shared" si="27"/>
        <v>PASS</v>
      </c>
    </row>
    <row r="174" spans="1:17" ht="16" hidden="1" outlineLevel="1" x14ac:dyDescent="0.2">
      <c r="A174" s="18" t="s">
        <v>1075</v>
      </c>
      <c r="B174" s="39" t="s">
        <v>826</v>
      </c>
      <c r="C174" s="32">
        <v>1</v>
      </c>
      <c r="D174" s="18" t="s">
        <v>807</v>
      </c>
      <c r="E174" s="18" t="s">
        <v>374</v>
      </c>
      <c r="F174" s="18" t="s">
        <v>771</v>
      </c>
      <c r="G174" s="22" t="s">
        <v>808</v>
      </c>
      <c r="H174" s="22"/>
      <c r="I174" s="18">
        <v>5</v>
      </c>
      <c r="J174" s="18" t="s">
        <v>774</v>
      </c>
      <c r="O174" s="77" t="str">
        <f t="shared" si="26"/>
        <v>PASS</v>
      </c>
      <c r="P174" s="78"/>
      <c r="Q174" s="23" t="str">
        <f t="shared" si="27"/>
        <v>PASS</v>
      </c>
    </row>
    <row r="175" spans="1:17" ht="39" collapsed="1" x14ac:dyDescent="0.2">
      <c r="A175" s="18" t="str">
        <f>'Part names'!$A$71</f>
        <v>P-101</v>
      </c>
      <c r="B175" s="39" t="str">
        <f>'Part names'!$B$71 &amp; "  · 4 kW · 600x510x660 mm"</f>
        <v>Ro High Pressure Pump  · 4 kW · 600x510x660 mm</v>
      </c>
      <c r="C175" s="32">
        <v>1</v>
      </c>
      <c r="D175" s="48">
        <v>3850</v>
      </c>
      <c r="E175" s="48">
        <v>3850</v>
      </c>
      <c r="F175" s="18" t="s">
        <v>757</v>
      </c>
      <c r="G175" s="22" t="s">
        <v>1076</v>
      </c>
      <c r="H175" s="22"/>
      <c r="I175" s="18">
        <v>4</v>
      </c>
      <c r="J175" s="18" t="s">
        <v>774</v>
      </c>
      <c r="K175" s="22" t="s">
        <v>1077</v>
      </c>
      <c r="L175" s="39" t="s">
        <v>358</v>
      </c>
      <c r="M175" s="22" t="s">
        <v>1078</v>
      </c>
      <c r="N175" s="39" t="s">
        <v>1079</v>
      </c>
      <c r="O175" s="77" t="str">
        <f>IF(AND(LEN(TRIM($B175&amp;""))&gt;0,ISNUMBER($C175),$C175&gt;0,ISNUMBER($D175),$D175&gt;0,ISNUMBER($E175),$E175&gt;0,ABS($E175-$C175*$D175)&lt;=MAX(1,0.005*ABS($E175)),LEN(TRIM($M175&amp;""))&gt;0,TRIM($M175&amp;"")&lt;&gt;"—",LEN(TRIM($P175&amp;""))=0),"PASS","FAIL — "&amp;IF(LEN(TRIM($P175&amp;""))&gt;0,TRIM($P175&amp;""),"line ≠ qty×unit, a required cell empty, or qty/£ non-positive"))</f>
        <v>PASS</v>
      </c>
      <c r="P175" s="78"/>
      <c r="Q175" s="23" t="str">
        <f>IF(AND(LEN(TRIM(A175&amp;""))&gt;0,TRIM(A175&amp;"")&lt;&gt;"—",LEN(TRIM(B175&amp;""))&gt;0,TRIM(B175&amp;"")&lt;&gt;"—",LEN(TRIM(C175&amp;""))&gt;0,TRIM(C175&amp;"")&lt;&gt;"—",ISNUMBER(C175),LEN(TRIM(D175&amp;""))&gt;0,TRIM(D175&amp;"")&lt;&gt;"—",ISNUMBER(D175),LEN(TRIM(E175&amp;""))&gt;0,TRIM(E175&amp;"")&lt;&gt;"—",ISNUMBER(E175),LEN(TRIM(F175&amp;""))&gt;0,TRIM(F175&amp;"")&lt;&gt;"—",LEN(TRIM(I175&amp;""))&gt;0,TRIM(I175&amp;"")&lt;&gt;"—",LEN(TRIM(J175&amp;""))&gt;0,TRIM(J175&amp;"")&lt;&gt;"—",LEN(TRIM(O175&amp;""))&gt;0,TRIM(O175&amp;"")&lt;&gt;"—"),"PASS","⚠ FAIL — "&amp;"a required cell is empty/placeholder or wrong type")</f>
        <v>PASS</v>
      </c>
    </row>
    <row r="176" spans="1:17" ht="16" hidden="1" outlineLevel="1" x14ac:dyDescent="0.2">
      <c r="A176" s="18" t="s">
        <v>1080</v>
      </c>
      <c r="B176" s="39" t="s">
        <v>895</v>
      </c>
      <c r="C176" s="32">
        <v>1</v>
      </c>
      <c r="D176" s="18" t="s">
        <v>807</v>
      </c>
      <c r="E176" s="18" t="s">
        <v>374</v>
      </c>
      <c r="F176" s="18" t="s">
        <v>771</v>
      </c>
      <c r="G176" s="22" t="s">
        <v>808</v>
      </c>
      <c r="H176" s="22"/>
      <c r="I176" s="18">
        <v>5</v>
      </c>
      <c r="J176" s="18" t="s">
        <v>774</v>
      </c>
      <c r="O176" s="77" t="str">
        <f t="shared" ref="O176:O188" si="28">IF(AND(LEN(TRIM($B176&amp;""))&gt;0,LEN(TRIM($P176&amp;""))=0),"PASS","FAIL — "&amp;IF(LEN(TRIM($P176&amp;""))&gt;0,TRIM($P176&amp;""),"line ≠ qty×unit, a required cell empty, or qty/£ non-positive"))</f>
        <v>PASS</v>
      </c>
      <c r="P176" s="78"/>
      <c r="Q176" s="23" t="str">
        <f t="shared" ref="Q176:Q188" si="29">IF(AND(LEN(TRIM(B176&amp;""))&gt;0,TRIM(B176&amp;"")&lt;&gt;"—",LEN(TRIM(C176&amp;""))&gt;0,TRIM(C176&amp;"")&lt;&gt;"—",ISNUMBER(C176),LEN(TRIM(F176&amp;""))&gt;0,TRIM(F176&amp;"")&lt;&gt;"—",LEN(TRIM(I176&amp;""))&gt;0,TRIM(I176&amp;"")&lt;&gt;"—",LEN(TRIM(J176&amp;""))&gt;0,TRIM(J176&amp;"")&lt;&gt;"—",LEN(TRIM(O176&amp;""))&gt;0,TRIM(O176&amp;"")&lt;&gt;"—"),"PASS","⚠ FAIL — "&amp;"a required cell is empty/placeholder or wrong type")</f>
        <v>PASS</v>
      </c>
    </row>
    <row r="177" spans="1:17" ht="16" hidden="1" outlineLevel="1" x14ac:dyDescent="0.2">
      <c r="A177" s="18" t="s">
        <v>1081</v>
      </c>
      <c r="B177" s="39" t="s">
        <v>897</v>
      </c>
      <c r="C177" s="32">
        <v>1</v>
      </c>
      <c r="D177" s="18" t="s">
        <v>807</v>
      </c>
      <c r="E177" s="18" t="s">
        <v>374</v>
      </c>
      <c r="F177" s="18" t="s">
        <v>757</v>
      </c>
      <c r="G177" s="22" t="s">
        <v>808</v>
      </c>
      <c r="H177" s="22"/>
      <c r="I177" s="18">
        <v>4</v>
      </c>
      <c r="J177" s="18" t="s">
        <v>774</v>
      </c>
      <c r="O177" s="77" t="str">
        <f t="shared" si="28"/>
        <v>PASS</v>
      </c>
      <c r="P177" s="78"/>
      <c r="Q177" s="23" t="str">
        <f t="shared" si="29"/>
        <v>PASS</v>
      </c>
    </row>
    <row r="178" spans="1:17" ht="16" hidden="1" outlineLevel="1" x14ac:dyDescent="0.2">
      <c r="A178" s="18" t="s">
        <v>1082</v>
      </c>
      <c r="B178" s="39" t="s">
        <v>1083</v>
      </c>
      <c r="C178" s="32">
        <v>1</v>
      </c>
      <c r="D178" s="18" t="s">
        <v>807</v>
      </c>
      <c r="E178" s="18" t="s">
        <v>374</v>
      </c>
      <c r="F178" s="18" t="s">
        <v>757</v>
      </c>
      <c r="G178" s="22" t="s">
        <v>808</v>
      </c>
      <c r="H178" s="22"/>
      <c r="I178" s="18">
        <v>4</v>
      </c>
      <c r="J178" s="18" t="s">
        <v>774</v>
      </c>
      <c r="O178" s="77" t="str">
        <f t="shared" si="28"/>
        <v>PASS</v>
      </c>
      <c r="P178" s="78"/>
      <c r="Q178" s="23" t="str">
        <f t="shared" si="29"/>
        <v>PASS</v>
      </c>
    </row>
    <row r="179" spans="1:17" ht="16" hidden="1" outlineLevel="1" x14ac:dyDescent="0.2">
      <c r="A179" s="18" t="s">
        <v>1084</v>
      </c>
      <c r="B179" s="39" t="s">
        <v>1085</v>
      </c>
      <c r="C179" s="32">
        <v>1</v>
      </c>
      <c r="D179" s="18" t="s">
        <v>807</v>
      </c>
      <c r="E179" s="18" t="s">
        <v>374</v>
      </c>
      <c r="F179" s="18" t="s">
        <v>248</v>
      </c>
      <c r="G179" s="22" t="s">
        <v>808</v>
      </c>
      <c r="H179" s="22"/>
      <c r="I179" s="18">
        <v>2</v>
      </c>
      <c r="J179" s="18" t="s">
        <v>765</v>
      </c>
      <c r="O179" s="77" t="str">
        <f t="shared" si="28"/>
        <v>PASS</v>
      </c>
      <c r="P179" s="78"/>
      <c r="Q179" s="23" t="str">
        <f t="shared" si="29"/>
        <v>PASS</v>
      </c>
    </row>
    <row r="180" spans="1:17" ht="16" hidden="1" outlineLevel="1" x14ac:dyDescent="0.2">
      <c r="A180" s="18" t="s">
        <v>1086</v>
      </c>
      <c r="B180" s="39" t="s">
        <v>904</v>
      </c>
      <c r="C180" s="32">
        <v>1</v>
      </c>
      <c r="D180" s="18" t="s">
        <v>807</v>
      </c>
      <c r="E180" s="18" t="s">
        <v>374</v>
      </c>
      <c r="F180" s="18" t="s">
        <v>757</v>
      </c>
      <c r="G180" s="22" t="s">
        <v>808</v>
      </c>
      <c r="H180" s="22"/>
      <c r="I180" s="18">
        <v>4</v>
      </c>
      <c r="J180" s="18" t="s">
        <v>774</v>
      </c>
      <c r="O180" s="77" t="str">
        <f t="shared" si="28"/>
        <v>PASS</v>
      </c>
      <c r="P180" s="78"/>
      <c r="Q180" s="23" t="str">
        <f t="shared" si="29"/>
        <v>PASS</v>
      </c>
    </row>
    <row r="181" spans="1:17" ht="16" hidden="1" outlineLevel="1" x14ac:dyDescent="0.2">
      <c r="A181" s="18" t="s">
        <v>1087</v>
      </c>
      <c r="B181" s="39" t="s">
        <v>906</v>
      </c>
      <c r="C181" s="32">
        <v>1</v>
      </c>
      <c r="D181" s="18" t="s">
        <v>807</v>
      </c>
      <c r="E181" s="18" t="s">
        <v>374</v>
      </c>
      <c r="F181" s="18" t="s">
        <v>757</v>
      </c>
      <c r="G181" s="22" t="s">
        <v>808</v>
      </c>
      <c r="H181" s="22"/>
      <c r="I181" s="18">
        <v>4</v>
      </c>
      <c r="J181" s="18" t="s">
        <v>774</v>
      </c>
      <c r="O181" s="77" t="str">
        <f t="shared" si="28"/>
        <v>PASS</v>
      </c>
      <c r="P181" s="78"/>
      <c r="Q181" s="23" t="str">
        <f t="shared" si="29"/>
        <v>PASS</v>
      </c>
    </row>
    <row r="182" spans="1:17" ht="16" hidden="1" outlineLevel="1" x14ac:dyDescent="0.2">
      <c r="A182" s="18" t="s">
        <v>1088</v>
      </c>
      <c r="B182" s="39" t="s">
        <v>908</v>
      </c>
      <c r="C182" s="32">
        <v>1</v>
      </c>
      <c r="D182" s="18" t="s">
        <v>807</v>
      </c>
      <c r="E182" s="18" t="s">
        <v>374</v>
      </c>
      <c r="F182" s="18" t="s">
        <v>771</v>
      </c>
      <c r="G182" s="22" t="s">
        <v>808</v>
      </c>
      <c r="H182" s="22"/>
      <c r="I182" s="18">
        <v>5</v>
      </c>
      <c r="J182" s="18" t="s">
        <v>774</v>
      </c>
      <c r="O182" s="77" t="str">
        <f t="shared" si="28"/>
        <v>PASS</v>
      </c>
      <c r="P182" s="78"/>
      <c r="Q182" s="23" t="str">
        <f t="shared" si="29"/>
        <v>PASS</v>
      </c>
    </row>
    <row r="183" spans="1:17" ht="16" hidden="1" outlineLevel="1" x14ac:dyDescent="0.2">
      <c r="A183" s="18" t="s">
        <v>1089</v>
      </c>
      <c r="B183" s="39" t="s">
        <v>910</v>
      </c>
      <c r="C183" s="32">
        <v>1</v>
      </c>
      <c r="D183" s="18" t="s">
        <v>807</v>
      </c>
      <c r="E183" s="18" t="s">
        <v>374</v>
      </c>
      <c r="F183" s="18" t="s">
        <v>757</v>
      </c>
      <c r="G183" s="22" t="s">
        <v>808</v>
      </c>
      <c r="H183" s="22"/>
      <c r="I183" s="18">
        <v>4</v>
      </c>
      <c r="J183" s="18" t="s">
        <v>774</v>
      </c>
      <c r="O183" s="77" t="str">
        <f t="shared" si="28"/>
        <v>PASS</v>
      </c>
      <c r="P183" s="78"/>
      <c r="Q183" s="23" t="str">
        <f t="shared" si="29"/>
        <v>PASS</v>
      </c>
    </row>
    <row r="184" spans="1:17" ht="16" hidden="1" outlineLevel="1" x14ac:dyDescent="0.2">
      <c r="A184" s="18" t="s">
        <v>1090</v>
      </c>
      <c r="B184" s="39" t="s">
        <v>1091</v>
      </c>
      <c r="C184" s="32">
        <v>1</v>
      </c>
      <c r="D184" s="18" t="s">
        <v>807</v>
      </c>
      <c r="E184" s="18" t="s">
        <v>374</v>
      </c>
      <c r="F184" s="18" t="s">
        <v>757</v>
      </c>
      <c r="G184" s="22" t="s">
        <v>808</v>
      </c>
      <c r="H184" s="22"/>
      <c r="I184" s="18">
        <v>4</v>
      </c>
      <c r="J184" s="18" t="s">
        <v>774</v>
      </c>
      <c r="O184" s="77" t="str">
        <f t="shared" si="28"/>
        <v>PASS</v>
      </c>
      <c r="P184" s="78"/>
      <c r="Q184" s="23" t="str">
        <f t="shared" si="29"/>
        <v>PASS</v>
      </c>
    </row>
    <row r="185" spans="1:17" ht="16" hidden="1" outlineLevel="1" x14ac:dyDescent="0.2">
      <c r="A185" s="18" t="s">
        <v>1092</v>
      </c>
      <c r="B185" s="39" t="s">
        <v>1093</v>
      </c>
      <c r="C185" s="32">
        <v>1</v>
      </c>
      <c r="D185" s="18" t="s">
        <v>807</v>
      </c>
      <c r="E185" s="18" t="s">
        <v>374</v>
      </c>
      <c r="F185" s="18" t="s">
        <v>757</v>
      </c>
      <c r="G185" s="22" t="s">
        <v>808</v>
      </c>
      <c r="H185" s="22"/>
      <c r="I185" s="18">
        <v>4</v>
      </c>
      <c r="J185" s="18" t="s">
        <v>774</v>
      </c>
      <c r="O185" s="77" t="str">
        <f t="shared" si="28"/>
        <v>PASS</v>
      </c>
      <c r="P185" s="78"/>
      <c r="Q185" s="23" t="str">
        <f t="shared" si="29"/>
        <v>PASS</v>
      </c>
    </row>
    <row r="186" spans="1:17" ht="16" hidden="1" outlineLevel="1" x14ac:dyDescent="0.2">
      <c r="A186" s="18" t="s">
        <v>1094</v>
      </c>
      <c r="B186" s="39" t="s">
        <v>1095</v>
      </c>
      <c r="C186" s="32">
        <v>1</v>
      </c>
      <c r="D186" s="18" t="s">
        <v>807</v>
      </c>
      <c r="E186" s="18" t="s">
        <v>374</v>
      </c>
      <c r="F186" s="18" t="s">
        <v>757</v>
      </c>
      <c r="G186" s="22" t="s">
        <v>808</v>
      </c>
      <c r="H186" s="22"/>
      <c r="I186" s="18">
        <v>4</v>
      </c>
      <c r="J186" s="18" t="s">
        <v>774</v>
      </c>
      <c r="O186" s="77" t="str">
        <f t="shared" si="28"/>
        <v>PASS</v>
      </c>
      <c r="P186" s="78"/>
      <c r="Q186" s="23" t="str">
        <f t="shared" si="29"/>
        <v>PASS</v>
      </c>
    </row>
    <row r="187" spans="1:17" ht="16" hidden="1" outlineLevel="1" x14ac:dyDescent="0.2">
      <c r="A187" s="18" t="s">
        <v>1096</v>
      </c>
      <c r="B187" s="39" t="s">
        <v>918</v>
      </c>
      <c r="C187" s="32">
        <v>1</v>
      </c>
      <c r="D187" s="18" t="s">
        <v>807</v>
      </c>
      <c r="E187" s="18" t="s">
        <v>374</v>
      </c>
      <c r="F187" s="18" t="s">
        <v>771</v>
      </c>
      <c r="G187" s="22" t="s">
        <v>808</v>
      </c>
      <c r="H187" s="22"/>
      <c r="I187" s="18">
        <v>5</v>
      </c>
      <c r="J187" s="18" t="s">
        <v>774</v>
      </c>
      <c r="O187" s="77" t="str">
        <f t="shared" si="28"/>
        <v>PASS</v>
      </c>
      <c r="P187" s="78"/>
      <c r="Q187" s="23" t="str">
        <f t="shared" si="29"/>
        <v>PASS</v>
      </c>
    </row>
    <row r="188" spans="1:17" ht="16" hidden="1" outlineLevel="1" x14ac:dyDescent="0.2">
      <c r="A188" s="18" t="s">
        <v>1097</v>
      </c>
      <c r="B188" s="39" t="s">
        <v>920</v>
      </c>
      <c r="C188" s="32">
        <v>1</v>
      </c>
      <c r="D188" s="18" t="s">
        <v>807</v>
      </c>
      <c r="E188" s="18" t="s">
        <v>374</v>
      </c>
      <c r="F188" s="18" t="s">
        <v>771</v>
      </c>
      <c r="G188" s="22" t="s">
        <v>808</v>
      </c>
      <c r="H188" s="22"/>
      <c r="I188" s="18">
        <v>5</v>
      </c>
      <c r="J188" s="18" t="s">
        <v>774</v>
      </c>
      <c r="O188" s="77" t="str">
        <f t="shared" si="28"/>
        <v>PASS</v>
      </c>
      <c r="P188" s="78"/>
      <c r="Q188" s="23" t="str">
        <f t="shared" si="29"/>
        <v>PASS</v>
      </c>
    </row>
    <row r="189" spans="1:17" ht="52" collapsed="1" x14ac:dyDescent="0.2">
      <c r="A189" s="18" t="str">
        <f>'Part names'!$A$35</f>
        <v>V-101</v>
      </c>
      <c r="B189" s="39" t="str">
        <f>'Part names'!$B$35 &amp; "  · 1.3 m dia x 1.4 m"</f>
        <v>Gac Filter  · 1.3 m dia x 1.4 m</v>
      </c>
      <c r="C189" s="32">
        <v>1</v>
      </c>
      <c r="D189" s="48">
        <v>18</v>
      </c>
      <c r="E189" s="48">
        <v>18</v>
      </c>
      <c r="F189" s="18" t="s">
        <v>757</v>
      </c>
      <c r="G189" s="22" t="s">
        <v>1098</v>
      </c>
      <c r="H189" s="22" t="s">
        <v>1099</v>
      </c>
      <c r="I189" s="18">
        <v>4</v>
      </c>
      <c r="J189" s="18" t="s">
        <v>774</v>
      </c>
      <c r="K189" s="22" t="s">
        <v>1100</v>
      </c>
      <c r="L189" s="39" t="s">
        <v>358</v>
      </c>
      <c r="M189" s="22" t="s">
        <v>1101</v>
      </c>
      <c r="N189" s="39" t="s">
        <v>1102</v>
      </c>
      <c r="O189" s="77" t="str">
        <f>IF(AND(LEN(TRIM($B189&amp;""))&gt;0,ISNUMBER($C189),$C189&gt;0,ISNUMBER($D189),$D189&gt;0,ISNUMBER($E189),$E189&gt;0,ABS($E189-$C189*$D189)&lt;=MAX(1,0.005*ABS($E189)),LEN(TRIM($M189&amp;""))&gt;0,TRIM($M189&amp;"")&lt;&gt;"—",LEN(TRIM($P189&amp;""))=0),"PASS","FAIL — "&amp;IF(LEN(TRIM($P189&amp;""))&gt;0,TRIM($P189&amp;""),"line ≠ qty×unit, a required cell empty, or qty/£ non-positive"))</f>
        <v>PASS</v>
      </c>
      <c r="P189" s="78"/>
      <c r="Q189" s="23" t="str">
        <f>IF(AND(LEN(TRIM(A189&amp;""))&gt;0,TRIM(A189&amp;"")&lt;&gt;"—",LEN(TRIM(B189&amp;""))&gt;0,TRIM(B189&amp;"")&lt;&gt;"—",LEN(TRIM(C189&amp;""))&gt;0,TRIM(C189&amp;"")&lt;&gt;"—",ISNUMBER(C189),LEN(TRIM(D189&amp;""))&gt;0,TRIM(D189&amp;"")&lt;&gt;"—",ISNUMBER(D189),LEN(TRIM(E189&amp;""))&gt;0,TRIM(E189&amp;"")&lt;&gt;"—",ISNUMBER(E189),LEN(TRIM(F189&amp;""))&gt;0,TRIM(F189&amp;"")&lt;&gt;"—",LEN(TRIM(I189&amp;""))&gt;0,TRIM(I189&amp;"")&lt;&gt;"—",LEN(TRIM(J189&amp;""))&gt;0,TRIM(J189&amp;"")&lt;&gt;"—",LEN(TRIM(O189&amp;""))&gt;0,TRIM(O189&amp;"")&lt;&gt;"—"),"PASS","⚠ FAIL — "&amp;"a required cell is empty/placeholder or wrong type")</f>
        <v>PASS</v>
      </c>
    </row>
    <row r="190" spans="1:17" ht="16" hidden="1" outlineLevel="1" x14ac:dyDescent="0.2">
      <c r="A190" s="18" t="s">
        <v>1103</v>
      </c>
      <c r="B190" s="39" t="s">
        <v>806</v>
      </c>
      <c r="C190" s="32">
        <v>1</v>
      </c>
      <c r="D190" s="18" t="s">
        <v>807</v>
      </c>
      <c r="E190" s="18" t="s">
        <v>374</v>
      </c>
      <c r="F190" s="18" t="s">
        <v>757</v>
      </c>
      <c r="G190" s="22" t="s">
        <v>808</v>
      </c>
      <c r="H190" s="22"/>
      <c r="I190" s="18">
        <v>4</v>
      </c>
      <c r="J190" s="18" t="s">
        <v>774</v>
      </c>
      <c r="O190" s="77" t="str">
        <f t="shared" ref="O190:O199" si="30">IF(AND(LEN(TRIM($B190&amp;""))&gt;0,LEN(TRIM($P190&amp;""))=0),"PASS","FAIL — "&amp;IF(LEN(TRIM($P190&amp;""))&gt;0,TRIM($P190&amp;""),"line ≠ qty×unit, a required cell empty, or qty/£ non-positive"))</f>
        <v>PASS</v>
      </c>
      <c r="P190" s="78"/>
      <c r="Q190" s="23" t="str">
        <f t="shared" ref="Q190:Q199" si="31">IF(AND(LEN(TRIM(B190&amp;""))&gt;0,TRIM(B190&amp;"")&lt;&gt;"—",LEN(TRIM(C190&amp;""))&gt;0,TRIM(C190&amp;"")&lt;&gt;"—",ISNUMBER(C190),LEN(TRIM(F190&amp;""))&gt;0,TRIM(F190&amp;"")&lt;&gt;"—",LEN(TRIM(I190&amp;""))&gt;0,TRIM(I190&amp;"")&lt;&gt;"—",LEN(TRIM(J190&amp;""))&gt;0,TRIM(J190&amp;"")&lt;&gt;"—",LEN(TRIM(O190&amp;""))&gt;0,TRIM(O190&amp;"")&lt;&gt;"—"),"PASS","⚠ FAIL — "&amp;"a required cell is empty/placeholder or wrong type")</f>
        <v>PASS</v>
      </c>
    </row>
    <row r="191" spans="1:17" ht="16" hidden="1" outlineLevel="1" x14ac:dyDescent="0.2">
      <c r="A191" s="18" t="s">
        <v>1104</v>
      </c>
      <c r="B191" s="39" t="s">
        <v>810</v>
      </c>
      <c r="C191" s="32">
        <v>1</v>
      </c>
      <c r="D191" s="18" t="s">
        <v>807</v>
      </c>
      <c r="E191" s="18" t="s">
        <v>374</v>
      </c>
      <c r="F191" s="18" t="s">
        <v>757</v>
      </c>
      <c r="G191" s="22" t="s">
        <v>808</v>
      </c>
      <c r="H191" s="22"/>
      <c r="I191" s="18">
        <v>4</v>
      </c>
      <c r="J191" s="18" t="s">
        <v>774</v>
      </c>
      <c r="O191" s="77" t="str">
        <f t="shared" si="30"/>
        <v>PASS</v>
      </c>
      <c r="P191" s="78"/>
      <c r="Q191" s="23" t="str">
        <f t="shared" si="31"/>
        <v>PASS</v>
      </c>
    </row>
    <row r="192" spans="1:17" ht="16" hidden="1" outlineLevel="1" x14ac:dyDescent="0.2">
      <c r="A192" s="18" t="s">
        <v>1105</v>
      </c>
      <c r="B192" s="39" t="s">
        <v>812</v>
      </c>
      <c r="C192" s="32">
        <v>1</v>
      </c>
      <c r="D192" s="18" t="s">
        <v>807</v>
      </c>
      <c r="E192" s="18" t="s">
        <v>374</v>
      </c>
      <c r="F192" s="18" t="s">
        <v>771</v>
      </c>
      <c r="G192" s="22" t="s">
        <v>808</v>
      </c>
      <c r="H192" s="22"/>
      <c r="I192" s="18">
        <v>5</v>
      </c>
      <c r="J192" s="18" t="s">
        <v>774</v>
      </c>
      <c r="O192" s="77" t="str">
        <f t="shared" si="30"/>
        <v>PASS</v>
      </c>
      <c r="P192" s="78"/>
      <c r="Q192" s="23" t="str">
        <f t="shared" si="31"/>
        <v>PASS</v>
      </c>
    </row>
    <row r="193" spans="1:17" ht="16" hidden="1" outlineLevel="1" x14ac:dyDescent="0.2">
      <c r="A193" s="18" t="s">
        <v>1106</v>
      </c>
      <c r="B193" s="39" t="s">
        <v>814</v>
      </c>
      <c r="C193" s="32">
        <v>1</v>
      </c>
      <c r="D193" s="18" t="s">
        <v>807</v>
      </c>
      <c r="E193" s="18" t="s">
        <v>374</v>
      </c>
      <c r="F193" s="18" t="s">
        <v>771</v>
      </c>
      <c r="G193" s="22" t="s">
        <v>808</v>
      </c>
      <c r="H193" s="22"/>
      <c r="I193" s="18">
        <v>5</v>
      </c>
      <c r="J193" s="18" t="s">
        <v>774</v>
      </c>
      <c r="O193" s="77" t="str">
        <f t="shared" si="30"/>
        <v>PASS</v>
      </c>
      <c r="P193" s="78"/>
      <c r="Q193" s="23" t="str">
        <f t="shared" si="31"/>
        <v>PASS</v>
      </c>
    </row>
    <row r="194" spans="1:17" ht="16" hidden="1" outlineLevel="1" x14ac:dyDescent="0.2">
      <c r="A194" s="18" t="s">
        <v>1107</v>
      </c>
      <c r="B194" s="39" t="s">
        <v>816</v>
      </c>
      <c r="C194" s="32">
        <v>1</v>
      </c>
      <c r="D194" s="18" t="s">
        <v>807</v>
      </c>
      <c r="E194" s="18" t="s">
        <v>374</v>
      </c>
      <c r="F194" s="18" t="s">
        <v>757</v>
      </c>
      <c r="G194" s="22" t="s">
        <v>808</v>
      </c>
      <c r="H194" s="22"/>
      <c r="I194" s="18">
        <v>4</v>
      </c>
      <c r="J194" s="18" t="s">
        <v>774</v>
      </c>
      <c r="O194" s="77" t="str">
        <f t="shared" si="30"/>
        <v>PASS</v>
      </c>
      <c r="P194" s="78"/>
      <c r="Q194" s="23" t="str">
        <f t="shared" si="31"/>
        <v>PASS</v>
      </c>
    </row>
    <row r="195" spans="1:17" ht="16" hidden="1" outlineLevel="1" x14ac:dyDescent="0.2">
      <c r="A195" s="18" t="s">
        <v>1108</v>
      </c>
      <c r="B195" s="39" t="s">
        <v>818</v>
      </c>
      <c r="C195" s="32">
        <v>1</v>
      </c>
      <c r="D195" s="18" t="s">
        <v>807</v>
      </c>
      <c r="E195" s="18" t="s">
        <v>374</v>
      </c>
      <c r="F195" s="18" t="s">
        <v>771</v>
      </c>
      <c r="G195" s="22" t="s">
        <v>808</v>
      </c>
      <c r="H195" s="22"/>
      <c r="I195" s="18">
        <v>5</v>
      </c>
      <c r="J195" s="18" t="s">
        <v>774</v>
      </c>
      <c r="O195" s="77" t="str">
        <f t="shared" si="30"/>
        <v>PASS</v>
      </c>
      <c r="P195" s="78"/>
      <c r="Q195" s="23" t="str">
        <f t="shared" si="31"/>
        <v>PASS</v>
      </c>
    </row>
    <row r="196" spans="1:17" ht="16" hidden="1" outlineLevel="1" x14ac:dyDescent="0.2">
      <c r="A196" s="18" t="s">
        <v>1109</v>
      </c>
      <c r="B196" s="39" t="s">
        <v>820</v>
      </c>
      <c r="C196" s="32">
        <v>1</v>
      </c>
      <c r="D196" s="18" t="s">
        <v>807</v>
      </c>
      <c r="E196" s="18" t="s">
        <v>374</v>
      </c>
      <c r="F196" s="18" t="s">
        <v>771</v>
      </c>
      <c r="G196" s="22" t="s">
        <v>808</v>
      </c>
      <c r="H196" s="22"/>
      <c r="I196" s="18">
        <v>5</v>
      </c>
      <c r="J196" s="18" t="s">
        <v>774</v>
      </c>
      <c r="O196" s="77" t="str">
        <f t="shared" si="30"/>
        <v>PASS</v>
      </c>
      <c r="P196" s="78"/>
      <c r="Q196" s="23" t="str">
        <f t="shared" si="31"/>
        <v>PASS</v>
      </c>
    </row>
    <row r="197" spans="1:17" ht="16" hidden="1" outlineLevel="1" x14ac:dyDescent="0.2">
      <c r="A197" s="18" t="s">
        <v>1110</v>
      </c>
      <c r="B197" s="39" t="s">
        <v>822</v>
      </c>
      <c r="C197" s="32">
        <v>1</v>
      </c>
      <c r="D197" s="18" t="s">
        <v>807</v>
      </c>
      <c r="E197" s="18" t="s">
        <v>374</v>
      </c>
      <c r="F197" s="18" t="s">
        <v>757</v>
      </c>
      <c r="G197" s="22" t="s">
        <v>808</v>
      </c>
      <c r="H197" s="22"/>
      <c r="I197" s="18">
        <v>4</v>
      </c>
      <c r="J197" s="18" t="s">
        <v>774</v>
      </c>
      <c r="O197" s="77" t="str">
        <f t="shared" si="30"/>
        <v>PASS</v>
      </c>
      <c r="P197" s="78"/>
      <c r="Q197" s="23" t="str">
        <f t="shared" si="31"/>
        <v>PASS</v>
      </c>
    </row>
    <row r="198" spans="1:17" ht="16" hidden="1" outlineLevel="1" x14ac:dyDescent="0.2">
      <c r="A198" s="18" t="s">
        <v>1111</v>
      </c>
      <c r="B198" s="39" t="s">
        <v>824</v>
      </c>
      <c r="C198" s="32">
        <v>1</v>
      </c>
      <c r="D198" s="18" t="s">
        <v>807</v>
      </c>
      <c r="E198" s="18" t="s">
        <v>374</v>
      </c>
      <c r="F198" s="18" t="s">
        <v>757</v>
      </c>
      <c r="G198" s="22" t="s">
        <v>808</v>
      </c>
      <c r="H198" s="22"/>
      <c r="I198" s="18">
        <v>4</v>
      </c>
      <c r="J198" s="18" t="s">
        <v>774</v>
      </c>
      <c r="O198" s="77" t="str">
        <f t="shared" si="30"/>
        <v>PASS</v>
      </c>
      <c r="P198" s="78"/>
      <c r="Q198" s="23" t="str">
        <f t="shared" si="31"/>
        <v>PASS</v>
      </c>
    </row>
    <row r="199" spans="1:17" ht="16" hidden="1" outlineLevel="1" x14ac:dyDescent="0.2">
      <c r="A199" s="18" t="s">
        <v>1112</v>
      </c>
      <c r="B199" s="39" t="s">
        <v>826</v>
      </c>
      <c r="C199" s="32">
        <v>1</v>
      </c>
      <c r="D199" s="18" t="s">
        <v>807</v>
      </c>
      <c r="E199" s="18" t="s">
        <v>374</v>
      </c>
      <c r="F199" s="18" t="s">
        <v>771</v>
      </c>
      <c r="G199" s="22" t="s">
        <v>808</v>
      </c>
      <c r="H199" s="22"/>
      <c r="I199" s="18">
        <v>5</v>
      </c>
      <c r="J199" s="18" t="s">
        <v>774</v>
      </c>
      <c r="O199" s="77" t="str">
        <f t="shared" si="30"/>
        <v>PASS</v>
      </c>
      <c r="P199" s="78"/>
      <c r="Q199" s="23" t="str">
        <f t="shared" si="31"/>
        <v>PASS</v>
      </c>
    </row>
    <row r="200" spans="1:17" ht="39" collapsed="1" x14ac:dyDescent="0.2">
      <c r="A200" s="18" t="str">
        <f>'Part names'!$A$34</f>
        <v>TK-108</v>
      </c>
      <c r="B200" s="39" t="str">
        <f>'Part names'!$B$34 &amp; "  · 3.7 m dia x 3.7 m"</f>
        <v>Fresh Water Tank  · 3.7 m dia x 3.7 m</v>
      </c>
      <c r="C200" s="32">
        <v>1</v>
      </c>
      <c r="D200" s="48">
        <v>13615</v>
      </c>
      <c r="E200" s="48">
        <v>13615</v>
      </c>
      <c r="F200" s="18" t="s">
        <v>757</v>
      </c>
      <c r="G200" s="22" t="s">
        <v>1113</v>
      </c>
      <c r="H200" s="22" t="s">
        <v>1114</v>
      </c>
      <c r="I200" s="18">
        <v>4</v>
      </c>
      <c r="J200" s="18" t="s">
        <v>774</v>
      </c>
      <c r="K200" s="22" t="s">
        <v>1115</v>
      </c>
      <c r="L200" s="39" t="s">
        <v>386</v>
      </c>
      <c r="M200" s="22" t="s">
        <v>1116</v>
      </c>
      <c r="N200" s="39" t="s">
        <v>804</v>
      </c>
      <c r="O200" s="77" t="str">
        <f>IF(AND(LEN(TRIM($B200&amp;""))&gt;0,ISNUMBER($C200),$C200&gt;0,ISNUMBER($D200),$D200&gt;0,ISNUMBER($E200),$E200&gt;0,ABS($E200-$C200*$D200)&lt;=MAX(1,0.005*ABS($E200)),LEN(TRIM($M200&amp;""))&gt;0,TRIM($M200&amp;"")&lt;&gt;"—",LEN(TRIM($P200&amp;""))=0),"PASS","FAIL — "&amp;IF(LEN(TRIM($P200&amp;""))&gt;0,TRIM($P200&amp;""),"line ≠ qty×unit, a required cell empty, or qty/£ non-positive"))</f>
        <v>PASS</v>
      </c>
      <c r="P200" s="78"/>
      <c r="Q200" s="23" t="str">
        <f>IF(AND(LEN(TRIM(A200&amp;""))&gt;0,TRIM(A200&amp;"")&lt;&gt;"—",LEN(TRIM(B200&amp;""))&gt;0,TRIM(B200&amp;"")&lt;&gt;"—",LEN(TRIM(C200&amp;""))&gt;0,TRIM(C200&amp;"")&lt;&gt;"—",ISNUMBER(C200),LEN(TRIM(D200&amp;""))&gt;0,TRIM(D200&amp;"")&lt;&gt;"—",ISNUMBER(D200),LEN(TRIM(E200&amp;""))&gt;0,TRIM(E200&amp;"")&lt;&gt;"—",ISNUMBER(E200),LEN(TRIM(F200&amp;""))&gt;0,TRIM(F200&amp;"")&lt;&gt;"—",LEN(TRIM(I200&amp;""))&gt;0,TRIM(I200&amp;"")&lt;&gt;"—",LEN(TRIM(J200&amp;""))&gt;0,TRIM(J200&amp;"")&lt;&gt;"—",LEN(TRIM(O200&amp;""))&gt;0,TRIM(O200&amp;"")&lt;&gt;"—"),"PASS","⚠ FAIL — "&amp;"a required cell is empty/placeholder or wrong type")</f>
        <v>PASS</v>
      </c>
    </row>
    <row r="201" spans="1:17" ht="16" hidden="1" outlineLevel="1" x14ac:dyDescent="0.2">
      <c r="A201" s="18" t="s">
        <v>1117</v>
      </c>
      <c r="B201" s="39" t="s">
        <v>926</v>
      </c>
      <c r="C201" s="32">
        <v>1</v>
      </c>
      <c r="D201" s="18" t="s">
        <v>807</v>
      </c>
      <c r="E201" s="18" t="s">
        <v>374</v>
      </c>
      <c r="F201" s="18" t="s">
        <v>757</v>
      </c>
      <c r="G201" s="22" t="s">
        <v>808</v>
      </c>
      <c r="H201" s="22"/>
      <c r="I201" s="18">
        <v>4</v>
      </c>
      <c r="J201" s="18" t="s">
        <v>774</v>
      </c>
      <c r="O201" s="77" t="str">
        <f t="shared" ref="O201:O211" si="32">IF(AND(LEN(TRIM($B201&amp;""))&gt;0,LEN(TRIM($P201&amp;""))=0),"PASS","FAIL — "&amp;IF(LEN(TRIM($P201&amp;""))&gt;0,TRIM($P201&amp;""),"line ≠ qty×unit, a required cell empty, or qty/£ non-positive"))</f>
        <v>PASS</v>
      </c>
      <c r="P201" s="78"/>
      <c r="Q201" s="23" t="str">
        <f t="shared" ref="Q201:Q211" si="33">IF(AND(LEN(TRIM(B201&amp;""))&gt;0,TRIM(B201&amp;"")&lt;&gt;"—",LEN(TRIM(C201&amp;""))&gt;0,TRIM(C201&amp;"")&lt;&gt;"—",ISNUMBER(C201),LEN(TRIM(F201&amp;""))&gt;0,TRIM(F201&amp;"")&lt;&gt;"—",LEN(TRIM(I201&amp;""))&gt;0,TRIM(I201&amp;"")&lt;&gt;"—",LEN(TRIM(J201&amp;""))&gt;0,TRIM(J201&amp;"")&lt;&gt;"—",LEN(TRIM(O201&amp;""))&gt;0,TRIM(O201&amp;"")&lt;&gt;"—"),"PASS","⚠ FAIL — "&amp;"a required cell is empty/placeholder or wrong type")</f>
        <v>PASS</v>
      </c>
    </row>
    <row r="202" spans="1:17" ht="16" hidden="1" outlineLevel="1" x14ac:dyDescent="0.2">
      <c r="A202" s="18" t="s">
        <v>1118</v>
      </c>
      <c r="B202" s="39" t="s">
        <v>928</v>
      </c>
      <c r="C202" s="32">
        <v>1</v>
      </c>
      <c r="D202" s="18" t="s">
        <v>807</v>
      </c>
      <c r="E202" s="18" t="s">
        <v>374</v>
      </c>
      <c r="F202" s="18" t="s">
        <v>757</v>
      </c>
      <c r="G202" s="22" t="s">
        <v>808</v>
      </c>
      <c r="H202" s="22"/>
      <c r="I202" s="18">
        <v>4</v>
      </c>
      <c r="J202" s="18" t="s">
        <v>774</v>
      </c>
      <c r="O202" s="77" t="str">
        <f t="shared" si="32"/>
        <v>PASS</v>
      </c>
      <c r="P202" s="78"/>
      <c r="Q202" s="23" t="str">
        <f t="shared" si="33"/>
        <v>PASS</v>
      </c>
    </row>
    <row r="203" spans="1:17" ht="16" hidden="1" outlineLevel="1" x14ac:dyDescent="0.2">
      <c r="A203" s="18" t="s">
        <v>1119</v>
      </c>
      <c r="B203" s="39" t="s">
        <v>930</v>
      </c>
      <c r="C203" s="32">
        <v>1</v>
      </c>
      <c r="D203" s="18" t="s">
        <v>807</v>
      </c>
      <c r="E203" s="18" t="s">
        <v>374</v>
      </c>
      <c r="F203" s="18" t="s">
        <v>771</v>
      </c>
      <c r="G203" s="22" t="s">
        <v>808</v>
      </c>
      <c r="H203" s="22"/>
      <c r="I203" s="18">
        <v>5</v>
      </c>
      <c r="J203" s="18" t="s">
        <v>774</v>
      </c>
      <c r="O203" s="77" t="str">
        <f t="shared" si="32"/>
        <v>PASS</v>
      </c>
      <c r="P203" s="78"/>
      <c r="Q203" s="23" t="str">
        <f t="shared" si="33"/>
        <v>PASS</v>
      </c>
    </row>
    <row r="204" spans="1:17" ht="16" hidden="1" outlineLevel="1" x14ac:dyDescent="0.2">
      <c r="A204" s="18" t="s">
        <v>1120</v>
      </c>
      <c r="B204" s="39" t="s">
        <v>932</v>
      </c>
      <c r="C204" s="32">
        <v>1</v>
      </c>
      <c r="D204" s="18" t="s">
        <v>807</v>
      </c>
      <c r="E204" s="18" t="s">
        <v>374</v>
      </c>
      <c r="F204" s="18" t="s">
        <v>771</v>
      </c>
      <c r="G204" s="22" t="s">
        <v>808</v>
      </c>
      <c r="H204" s="22"/>
      <c r="I204" s="18">
        <v>5</v>
      </c>
      <c r="J204" s="18" t="s">
        <v>774</v>
      </c>
      <c r="O204" s="77" t="str">
        <f t="shared" si="32"/>
        <v>PASS</v>
      </c>
      <c r="P204" s="78"/>
      <c r="Q204" s="23" t="str">
        <f t="shared" si="33"/>
        <v>PASS</v>
      </c>
    </row>
    <row r="205" spans="1:17" ht="16" hidden="1" outlineLevel="1" x14ac:dyDescent="0.2">
      <c r="A205" s="18" t="s">
        <v>1121</v>
      </c>
      <c r="B205" s="39" t="s">
        <v>934</v>
      </c>
      <c r="C205" s="32">
        <v>1</v>
      </c>
      <c r="D205" s="18" t="s">
        <v>807</v>
      </c>
      <c r="E205" s="18" t="s">
        <v>374</v>
      </c>
      <c r="F205" s="18" t="s">
        <v>771</v>
      </c>
      <c r="G205" s="22" t="s">
        <v>808</v>
      </c>
      <c r="H205" s="22"/>
      <c r="I205" s="18">
        <v>5</v>
      </c>
      <c r="J205" s="18" t="s">
        <v>774</v>
      </c>
      <c r="O205" s="77" t="str">
        <f t="shared" si="32"/>
        <v>PASS</v>
      </c>
      <c r="P205" s="78"/>
      <c r="Q205" s="23" t="str">
        <f t="shared" si="33"/>
        <v>PASS</v>
      </c>
    </row>
    <row r="206" spans="1:17" ht="16" hidden="1" outlineLevel="1" x14ac:dyDescent="0.2">
      <c r="A206" s="18" t="s">
        <v>1122</v>
      </c>
      <c r="B206" s="39" t="s">
        <v>936</v>
      </c>
      <c r="C206" s="32">
        <v>1</v>
      </c>
      <c r="D206" s="18" t="s">
        <v>807</v>
      </c>
      <c r="E206" s="18" t="s">
        <v>374</v>
      </c>
      <c r="F206" s="18" t="s">
        <v>757</v>
      </c>
      <c r="G206" s="22" t="s">
        <v>808</v>
      </c>
      <c r="H206" s="22"/>
      <c r="I206" s="18">
        <v>4</v>
      </c>
      <c r="J206" s="18" t="s">
        <v>774</v>
      </c>
      <c r="O206" s="77" t="str">
        <f t="shared" si="32"/>
        <v>PASS</v>
      </c>
      <c r="P206" s="78"/>
      <c r="Q206" s="23" t="str">
        <f t="shared" si="33"/>
        <v>PASS</v>
      </c>
    </row>
    <row r="207" spans="1:17" ht="16" hidden="1" outlineLevel="1" x14ac:dyDescent="0.2">
      <c r="A207" s="18" t="s">
        <v>1123</v>
      </c>
      <c r="B207" s="39" t="s">
        <v>938</v>
      </c>
      <c r="C207" s="32">
        <v>1</v>
      </c>
      <c r="D207" s="18" t="s">
        <v>807</v>
      </c>
      <c r="E207" s="18" t="s">
        <v>374</v>
      </c>
      <c r="F207" s="18" t="s">
        <v>771</v>
      </c>
      <c r="G207" s="22" t="s">
        <v>808</v>
      </c>
      <c r="H207" s="22"/>
      <c r="I207" s="18">
        <v>5</v>
      </c>
      <c r="J207" s="18" t="s">
        <v>774</v>
      </c>
      <c r="O207" s="77" t="str">
        <f t="shared" si="32"/>
        <v>PASS</v>
      </c>
      <c r="P207" s="78"/>
      <c r="Q207" s="23" t="str">
        <f t="shared" si="33"/>
        <v>PASS</v>
      </c>
    </row>
    <row r="208" spans="1:17" ht="16" hidden="1" outlineLevel="1" x14ac:dyDescent="0.2">
      <c r="A208" s="18" t="s">
        <v>1124</v>
      </c>
      <c r="B208" s="39" t="s">
        <v>940</v>
      </c>
      <c r="C208" s="32">
        <v>1</v>
      </c>
      <c r="D208" s="18" t="s">
        <v>807</v>
      </c>
      <c r="E208" s="18" t="s">
        <v>374</v>
      </c>
      <c r="F208" s="18" t="s">
        <v>757</v>
      </c>
      <c r="G208" s="22" t="s">
        <v>808</v>
      </c>
      <c r="H208" s="22"/>
      <c r="I208" s="18">
        <v>4</v>
      </c>
      <c r="J208" s="18" t="s">
        <v>774</v>
      </c>
      <c r="O208" s="77" t="str">
        <f t="shared" si="32"/>
        <v>PASS</v>
      </c>
      <c r="P208" s="78"/>
      <c r="Q208" s="23" t="str">
        <f t="shared" si="33"/>
        <v>PASS</v>
      </c>
    </row>
    <row r="209" spans="1:17" ht="16" hidden="1" outlineLevel="1" x14ac:dyDescent="0.2">
      <c r="A209" s="18" t="s">
        <v>1125</v>
      </c>
      <c r="B209" s="39" t="s">
        <v>942</v>
      </c>
      <c r="C209" s="32">
        <v>1</v>
      </c>
      <c r="D209" s="18" t="s">
        <v>807</v>
      </c>
      <c r="E209" s="18" t="s">
        <v>374</v>
      </c>
      <c r="F209" s="18" t="s">
        <v>771</v>
      </c>
      <c r="G209" s="22" t="s">
        <v>808</v>
      </c>
      <c r="H209" s="22"/>
      <c r="I209" s="18">
        <v>5</v>
      </c>
      <c r="J209" s="18" t="s">
        <v>774</v>
      </c>
      <c r="O209" s="77" t="str">
        <f t="shared" si="32"/>
        <v>PASS</v>
      </c>
      <c r="P209" s="78"/>
      <c r="Q209" s="23" t="str">
        <f t="shared" si="33"/>
        <v>PASS</v>
      </c>
    </row>
    <row r="210" spans="1:17" ht="16" hidden="1" outlineLevel="1" x14ac:dyDescent="0.2">
      <c r="A210" s="18" t="s">
        <v>1126</v>
      </c>
      <c r="B210" s="39" t="s">
        <v>889</v>
      </c>
      <c r="C210" s="32">
        <v>1</v>
      </c>
      <c r="D210" s="18" t="s">
        <v>807</v>
      </c>
      <c r="E210" s="18" t="s">
        <v>374</v>
      </c>
      <c r="F210" s="18" t="s">
        <v>757</v>
      </c>
      <c r="G210" s="22" t="s">
        <v>808</v>
      </c>
      <c r="H210" s="22"/>
      <c r="I210" s="18">
        <v>4</v>
      </c>
      <c r="J210" s="18" t="s">
        <v>774</v>
      </c>
      <c r="O210" s="77" t="str">
        <f t="shared" si="32"/>
        <v>PASS</v>
      </c>
      <c r="P210" s="78"/>
      <c r="Q210" s="23" t="str">
        <f t="shared" si="33"/>
        <v>PASS</v>
      </c>
    </row>
    <row r="211" spans="1:17" ht="16" hidden="1" outlineLevel="1" x14ac:dyDescent="0.2">
      <c r="A211" s="18" t="s">
        <v>1127</v>
      </c>
      <c r="B211" s="39" t="s">
        <v>826</v>
      </c>
      <c r="C211" s="32">
        <v>1</v>
      </c>
      <c r="D211" s="18" t="s">
        <v>807</v>
      </c>
      <c r="E211" s="18" t="s">
        <v>374</v>
      </c>
      <c r="F211" s="18" t="s">
        <v>771</v>
      </c>
      <c r="G211" s="22" t="s">
        <v>808</v>
      </c>
      <c r="H211" s="22"/>
      <c r="I211" s="18">
        <v>5</v>
      </c>
      <c r="J211" s="18" t="s">
        <v>774</v>
      </c>
      <c r="O211" s="77" t="str">
        <f t="shared" si="32"/>
        <v>PASS</v>
      </c>
      <c r="P211" s="78"/>
      <c r="Q211" s="23" t="str">
        <f t="shared" si="33"/>
        <v>PASS</v>
      </c>
    </row>
    <row r="212" spans="1:17" ht="39" collapsed="1" x14ac:dyDescent="0.2">
      <c r="A212" s="18" t="str">
        <f>'Part names'!$A$24</f>
        <v>TK-106</v>
      </c>
      <c r="B212" s="39" t="str">
        <f>'Part names'!$B$24 &amp; "  · 3.7 m dia x 3.7 m"</f>
        <v>Drain Water Tank  · 3.7 m dia x 3.7 m</v>
      </c>
      <c r="C212" s="32">
        <v>2</v>
      </c>
      <c r="D212" s="48">
        <v>13615</v>
      </c>
      <c r="E212" s="48">
        <v>27230</v>
      </c>
      <c r="F212" s="18" t="s">
        <v>757</v>
      </c>
      <c r="G212" s="22" t="s">
        <v>1113</v>
      </c>
      <c r="H212" s="22" t="s">
        <v>1114</v>
      </c>
      <c r="I212" s="18">
        <v>4</v>
      </c>
      <c r="J212" s="18" t="s">
        <v>774</v>
      </c>
      <c r="K212" s="22" t="s">
        <v>1128</v>
      </c>
      <c r="L212" s="39" t="s">
        <v>386</v>
      </c>
      <c r="M212" s="22" t="s">
        <v>1116</v>
      </c>
      <c r="N212" s="39" t="s">
        <v>804</v>
      </c>
      <c r="O212" s="77" t="str">
        <f>IF(AND(LEN(TRIM($B212&amp;""))&gt;0,ISNUMBER($C212),$C212&gt;0,ISNUMBER($D212),$D212&gt;0,ISNUMBER($E212),$E212&gt;0,ABS($E212-$C212*$D212)&lt;=MAX(1,0.005*ABS($E212)),LEN(TRIM($M212&amp;""))&gt;0,TRIM($M212&amp;"")&lt;&gt;"—",LEN(TRIM($P212&amp;""))=0),"PASS","FAIL — "&amp;IF(LEN(TRIM($P212&amp;""))&gt;0,TRIM($P212&amp;""),"line ≠ qty×unit, a required cell empty, or qty/£ non-positive"))</f>
        <v>PASS</v>
      </c>
      <c r="P212" s="78"/>
      <c r="Q212" s="23" t="str">
        <f>IF(AND(LEN(TRIM(A212&amp;""))&gt;0,TRIM(A212&amp;"")&lt;&gt;"—",LEN(TRIM(B212&amp;""))&gt;0,TRIM(B212&amp;"")&lt;&gt;"—",LEN(TRIM(C212&amp;""))&gt;0,TRIM(C212&amp;"")&lt;&gt;"—",ISNUMBER(C212),LEN(TRIM(D212&amp;""))&gt;0,TRIM(D212&amp;"")&lt;&gt;"—",ISNUMBER(D212),LEN(TRIM(E212&amp;""))&gt;0,TRIM(E212&amp;"")&lt;&gt;"—",ISNUMBER(E212),LEN(TRIM(F212&amp;""))&gt;0,TRIM(F212&amp;"")&lt;&gt;"—",LEN(TRIM(I212&amp;""))&gt;0,TRIM(I212&amp;"")&lt;&gt;"—",LEN(TRIM(J212&amp;""))&gt;0,TRIM(J212&amp;"")&lt;&gt;"—",LEN(TRIM(O212&amp;""))&gt;0,TRIM(O212&amp;"")&lt;&gt;"—"),"PASS","⚠ FAIL — "&amp;"a required cell is empty/placeholder or wrong type")</f>
        <v>PASS</v>
      </c>
    </row>
    <row r="213" spans="1:17" ht="16" hidden="1" outlineLevel="1" x14ac:dyDescent="0.2">
      <c r="A213" s="18" t="s">
        <v>1129</v>
      </c>
      <c r="B213" s="39" t="s">
        <v>926</v>
      </c>
      <c r="C213" s="32">
        <v>1</v>
      </c>
      <c r="D213" s="18" t="s">
        <v>807</v>
      </c>
      <c r="E213" s="18" t="s">
        <v>374</v>
      </c>
      <c r="F213" s="18" t="s">
        <v>757</v>
      </c>
      <c r="G213" s="22" t="s">
        <v>808</v>
      </c>
      <c r="H213" s="22"/>
      <c r="I213" s="18">
        <v>4</v>
      </c>
      <c r="J213" s="18" t="s">
        <v>774</v>
      </c>
      <c r="O213" s="77" t="str">
        <f t="shared" ref="O213:O223" si="34">IF(AND(LEN(TRIM($B213&amp;""))&gt;0,LEN(TRIM($P213&amp;""))=0),"PASS","FAIL — "&amp;IF(LEN(TRIM($P213&amp;""))&gt;0,TRIM($P213&amp;""),"line ≠ qty×unit, a required cell empty, or qty/£ non-positive"))</f>
        <v>PASS</v>
      </c>
      <c r="P213" s="78"/>
      <c r="Q213" s="23" t="str">
        <f t="shared" ref="Q213:Q223" si="35">IF(AND(LEN(TRIM(B213&amp;""))&gt;0,TRIM(B213&amp;"")&lt;&gt;"—",LEN(TRIM(C213&amp;""))&gt;0,TRIM(C213&amp;"")&lt;&gt;"—",ISNUMBER(C213),LEN(TRIM(F213&amp;""))&gt;0,TRIM(F213&amp;"")&lt;&gt;"—",LEN(TRIM(I213&amp;""))&gt;0,TRIM(I213&amp;"")&lt;&gt;"—",LEN(TRIM(J213&amp;""))&gt;0,TRIM(J213&amp;"")&lt;&gt;"—",LEN(TRIM(O213&amp;""))&gt;0,TRIM(O213&amp;"")&lt;&gt;"—"),"PASS","⚠ FAIL — "&amp;"a required cell is empty/placeholder or wrong type")</f>
        <v>PASS</v>
      </c>
    </row>
    <row r="214" spans="1:17" ht="16" hidden="1" outlineLevel="1" x14ac:dyDescent="0.2">
      <c r="A214" s="18" t="s">
        <v>1130</v>
      </c>
      <c r="B214" s="39" t="s">
        <v>928</v>
      </c>
      <c r="C214" s="32">
        <v>1</v>
      </c>
      <c r="D214" s="18" t="s">
        <v>807</v>
      </c>
      <c r="E214" s="18" t="s">
        <v>374</v>
      </c>
      <c r="F214" s="18" t="s">
        <v>757</v>
      </c>
      <c r="G214" s="22" t="s">
        <v>808</v>
      </c>
      <c r="H214" s="22"/>
      <c r="I214" s="18">
        <v>4</v>
      </c>
      <c r="J214" s="18" t="s">
        <v>774</v>
      </c>
      <c r="O214" s="77" t="str">
        <f t="shared" si="34"/>
        <v>PASS</v>
      </c>
      <c r="P214" s="78"/>
      <c r="Q214" s="23" t="str">
        <f t="shared" si="35"/>
        <v>PASS</v>
      </c>
    </row>
    <row r="215" spans="1:17" ht="16" hidden="1" outlineLevel="1" x14ac:dyDescent="0.2">
      <c r="A215" s="18" t="s">
        <v>1131</v>
      </c>
      <c r="B215" s="39" t="s">
        <v>930</v>
      </c>
      <c r="C215" s="32">
        <v>1</v>
      </c>
      <c r="D215" s="18" t="s">
        <v>807</v>
      </c>
      <c r="E215" s="18" t="s">
        <v>374</v>
      </c>
      <c r="F215" s="18" t="s">
        <v>771</v>
      </c>
      <c r="G215" s="22" t="s">
        <v>808</v>
      </c>
      <c r="H215" s="22"/>
      <c r="I215" s="18">
        <v>5</v>
      </c>
      <c r="J215" s="18" t="s">
        <v>774</v>
      </c>
      <c r="O215" s="77" t="str">
        <f t="shared" si="34"/>
        <v>PASS</v>
      </c>
      <c r="P215" s="78"/>
      <c r="Q215" s="23" t="str">
        <f t="shared" si="35"/>
        <v>PASS</v>
      </c>
    </row>
    <row r="216" spans="1:17" ht="16" hidden="1" outlineLevel="1" x14ac:dyDescent="0.2">
      <c r="A216" s="18" t="s">
        <v>1132</v>
      </c>
      <c r="B216" s="39" t="s">
        <v>932</v>
      </c>
      <c r="C216" s="32">
        <v>1</v>
      </c>
      <c r="D216" s="18" t="s">
        <v>807</v>
      </c>
      <c r="E216" s="18" t="s">
        <v>374</v>
      </c>
      <c r="F216" s="18" t="s">
        <v>771</v>
      </c>
      <c r="G216" s="22" t="s">
        <v>808</v>
      </c>
      <c r="H216" s="22"/>
      <c r="I216" s="18">
        <v>5</v>
      </c>
      <c r="J216" s="18" t="s">
        <v>774</v>
      </c>
      <c r="O216" s="77" t="str">
        <f t="shared" si="34"/>
        <v>PASS</v>
      </c>
      <c r="P216" s="78"/>
      <c r="Q216" s="23" t="str">
        <f t="shared" si="35"/>
        <v>PASS</v>
      </c>
    </row>
    <row r="217" spans="1:17" ht="16" hidden="1" outlineLevel="1" x14ac:dyDescent="0.2">
      <c r="A217" s="18" t="s">
        <v>1133</v>
      </c>
      <c r="B217" s="39" t="s">
        <v>934</v>
      </c>
      <c r="C217" s="32">
        <v>1</v>
      </c>
      <c r="D217" s="18" t="s">
        <v>807</v>
      </c>
      <c r="E217" s="18" t="s">
        <v>374</v>
      </c>
      <c r="F217" s="18" t="s">
        <v>771</v>
      </c>
      <c r="G217" s="22" t="s">
        <v>808</v>
      </c>
      <c r="H217" s="22"/>
      <c r="I217" s="18">
        <v>5</v>
      </c>
      <c r="J217" s="18" t="s">
        <v>774</v>
      </c>
      <c r="O217" s="77" t="str">
        <f t="shared" si="34"/>
        <v>PASS</v>
      </c>
      <c r="P217" s="78"/>
      <c r="Q217" s="23" t="str">
        <f t="shared" si="35"/>
        <v>PASS</v>
      </c>
    </row>
    <row r="218" spans="1:17" ht="16" hidden="1" outlineLevel="1" x14ac:dyDescent="0.2">
      <c r="A218" s="18" t="s">
        <v>1134</v>
      </c>
      <c r="B218" s="39" t="s">
        <v>936</v>
      </c>
      <c r="C218" s="32">
        <v>1</v>
      </c>
      <c r="D218" s="18" t="s">
        <v>807</v>
      </c>
      <c r="E218" s="18" t="s">
        <v>374</v>
      </c>
      <c r="F218" s="18" t="s">
        <v>757</v>
      </c>
      <c r="G218" s="22" t="s">
        <v>808</v>
      </c>
      <c r="H218" s="22"/>
      <c r="I218" s="18">
        <v>4</v>
      </c>
      <c r="J218" s="18" t="s">
        <v>774</v>
      </c>
      <c r="O218" s="77" t="str">
        <f t="shared" si="34"/>
        <v>PASS</v>
      </c>
      <c r="P218" s="78"/>
      <c r="Q218" s="23" t="str">
        <f t="shared" si="35"/>
        <v>PASS</v>
      </c>
    </row>
    <row r="219" spans="1:17" ht="16" hidden="1" outlineLevel="1" x14ac:dyDescent="0.2">
      <c r="A219" s="18" t="s">
        <v>1135</v>
      </c>
      <c r="B219" s="39" t="s">
        <v>938</v>
      </c>
      <c r="C219" s="32">
        <v>1</v>
      </c>
      <c r="D219" s="18" t="s">
        <v>807</v>
      </c>
      <c r="E219" s="18" t="s">
        <v>374</v>
      </c>
      <c r="F219" s="18" t="s">
        <v>771</v>
      </c>
      <c r="G219" s="22" t="s">
        <v>808</v>
      </c>
      <c r="H219" s="22"/>
      <c r="I219" s="18">
        <v>5</v>
      </c>
      <c r="J219" s="18" t="s">
        <v>774</v>
      </c>
      <c r="O219" s="77" t="str">
        <f t="shared" si="34"/>
        <v>PASS</v>
      </c>
      <c r="P219" s="78"/>
      <c r="Q219" s="23" t="str">
        <f t="shared" si="35"/>
        <v>PASS</v>
      </c>
    </row>
    <row r="220" spans="1:17" ht="16" hidden="1" outlineLevel="1" x14ac:dyDescent="0.2">
      <c r="A220" s="18" t="s">
        <v>1136</v>
      </c>
      <c r="B220" s="39" t="s">
        <v>940</v>
      </c>
      <c r="C220" s="32">
        <v>1</v>
      </c>
      <c r="D220" s="18" t="s">
        <v>807</v>
      </c>
      <c r="E220" s="18" t="s">
        <v>374</v>
      </c>
      <c r="F220" s="18" t="s">
        <v>757</v>
      </c>
      <c r="G220" s="22" t="s">
        <v>808</v>
      </c>
      <c r="H220" s="22"/>
      <c r="I220" s="18">
        <v>4</v>
      </c>
      <c r="J220" s="18" t="s">
        <v>774</v>
      </c>
      <c r="O220" s="77" t="str">
        <f t="shared" si="34"/>
        <v>PASS</v>
      </c>
      <c r="P220" s="78"/>
      <c r="Q220" s="23" t="str">
        <f t="shared" si="35"/>
        <v>PASS</v>
      </c>
    </row>
    <row r="221" spans="1:17" ht="16" hidden="1" outlineLevel="1" x14ac:dyDescent="0.2">
      <c r="A221" s="18" t="s">
        <v>1137</v>
      </c>
      <c r="B221" s="39" t="s">
        <v>942</v>
      </c>
      <c r="C221" s="32">
        <v>1</v>
      </c>
      <c r="D221" s="18" t="s">
        <v>807</v>
      </c>
      <c r="E221" s="18" t="s">
        <v>374</v>
      </c>
      <c r="F221" s="18" t="s">
        <v>771</v>
      </c>
      <c r="G221" s="22" t="s">
        <v>808</v>
      </c>
      <c r="H221" s="22"/>
      <c r="I221" s="18">
        <v>5</v>
      </c>
      <c r="J221" s="18" t="s">
        <v>774</v>
      </c>
      <c r="O221" s="77" t="str">
        <f t="shared" si="34"/>
        <v>PASS</v>
      </c>
      <c r="P221" s="78"/>
      <c r="Q221" s="23" t="str">
        <f t="shared" si="35"/>
        <v>PASS</v>
      </c>
    </row>
    <row r="222" spans="1:17" ht="16" hidden="1" outlineLevel="1" x14ac:dyDescent="0.2">
      <c r="A222" s="18" t="s">
        <v>1138</v>
      </c>
      <c r="B222" s="39" t="s">
        <v>889</v>
      </c>
      <c r="C222" s="32">
        <v>1</v>
      </c>
      <c r="D222" s="18" t="s">
        <v>807</v>
      </c>
      <c r="E222" s="18" t="s">
        <v>374</v>
      </c>
      <c r="F222" s="18" t="s">
        <v>757</v>
      </c>
      <c r="G222" s="22" t="s">
        <v>808</v>
      </c>
      <c r="H222" s="22"/>
      <c r="I222" s="18">
        <v>4</v>
      </c>
      <c r="J222" s="18" t="s">
        <v>774</v>
      </c>
      <c r="O222" s="77" t="str">
        <f t="shared" si="34"/>
        <v>PASS</v>
      </c>
      <c r="P222" s="78"/>
      <c r="Q222" s="23" t="str">
        <f t="shared" si="35"/>
        <v>PASS</v>
      </c>
    </row>
    <row r="223" spans="1:17" ht="16" hidden="1" outlineLevel="1" x14ac:dyDescent="0.2">
      <c r="A223" s="18" t="s">
        <v>1139</v>
      </c>
      <c r="B223" s="39" t="s">
        <v>826</v>
      </c>
      <c r="C223" s="32">
        <v>1</v>
      </c>
      <c r="D223" s="18" t="s">
        <v>807</v>
      </c>
      <c r="E223" s="18" t="s">
        <v>374</v>
      </c>
      <c r="F223" s="18" t="s">
        <v>771</v>
      </c>
      <c r="G223" s="22" t="s">
        <v>808</v>
      </c>
      <c r="H223" s="22"/>
      <c r="I223" s="18">
        <v>5</v>
      </c>
      <c r="J223" s="18" t="s">
        <v>774</v>
      </c>
      <c r="O223" s="77" t="str">
        <f t="shared" si="34"/>
        <v>PASS</v>
      </c>
      <c r="P223" s="78"/>
      <c r="Q223" s="23" t="str">
        <f t="shared" si="35"/>
        <v>PASS</v>
      </c>
    </row>
    <row r="224" spans="1:17" ht="39" x14ac:dyDescent="0.2">
      <c r="A224" s="18" t="str">
        <f>'Part names'!$A$13</f>
        <v>X-113</v>
      </c>
      <c r="B224" s="39" t="str">
        <f>'Part names'!$B$13</f>
        <v>Compartment Spacers</v>
      </c>
      <c r="C224" s="32">
        <v>1</v>
      </c>
      <c r="D224" s="48">
        <v>3</v>
      </c>
      <c r="E224" s="48">
        <v>3</v>
      </c>
      <c r="F224" s="18" t="s">
        <v>757</v>
      </c>
      <c r="G224" s="22" t="s">
        <v>758</v>
      </c>
      <c r="H224" s="22" t="s">
        <v>773</v>
      </c>
      <c r="I224" s="18">
        <v>4</v>
      </c>
      <c r="J224" s="18" t="s">
        <v>760</v>
      </c>
      <c r="K224" s="22" t="s">
        <v>1140</v>
      </c>
      <c r="L224" s="22" t="s">
        <v>761</v>
      </c>
      <c r="M224" s="22" t="s">
        <v>1141</v>
      </c>
      <c r="N224" s="22" t="s">
        <v>777</v>
      </c>
      <c r="O224" s="77" t="str">
        <f>IF(AND(LEN(TRIM($B224&amp;""))&gt;0,ISNUMBER($C224),$C224&gt;0,ISNUMBER($D224),$D224&gt;0,ISNUMBER($E224),$E224&gt;0,ABS($E224-$C224*$D224)&lt;=MAX(1,0.005*ABS($E224)),LEN(TRIM($M224&amp;""))&gt;0,TRIM($M224&amp;"")&lt;&gt;"—",LEN(TRIM($P224&amp;""))=0),"PASS","FAIL — "&amp;IF(LEN(TRIM($P224&amp;""))&gt;0,TRIM($P224&amp;""),"line ≠ qty×unit, a required cell empty, or qty/£ non-positive"))</f>
        <v>PASS</v>
      </c>
      <c r="P224" s="78"/>
      <c r="Q224" s="23" t="str">
        <f>IF(AND(LEN(TRIM(A224&amp;""))&gt;0,TRIM(A224&amp;"")&lt;&gt;"—",LEN(TRIM(B224&amp;""))&gt;0,TRIM(B224&amp;"")&lt;&gt;"—",LEN(TRIM(C224&amp;""))&gt;0,TRIM(C224&amp;"")&lt;&gt;"—",ISNUMBER(C224),LEN(TRIM(D224&amp;""))&gt;0,TRIM(D224&amp;"")&lt;&gt;"—",ISNUMBER(D224),LEN(TRIM(E224&amp;""))&gt;0,TRIM(E224&amp;"")&lt;&gt;"—",ISNUMBER(E224),LEN(TRIM(F224&amp;""))&gt;0,TRIM(F224&amp;"")&lt;&gt;"—",LEN(TRIM(I224&amp;""))&gt;0,TRIM(I224&amp;"")&lt;&gt;"—",LEN(TRIM(J224&amp;""))&gt;0,TRIM(J224&amp;"")&lt;&gt;"—",LEN(TRIM(O224&amp;""))&gt;0,TRIM(O224&amp;"")&lt;&gt;"—"),"PASS","⚠ FAIL — "&amp;"a required cell is empty/placeholder or wrong type")</f>
        <v>PASS</v>
      </c>
    </row>
    <row r="225" spans="1:17" ht="39" collapsed="1" x14ac:dyDescent="0.2">
      <c r="A225" s="18" t="str">
        <f>'Part names'!$A$84</f>
        <v>F-2</v>
      </c>
      <c r="B225" s="39" t="str">
        <f>'Part names'!$B$84 &amp; "  · 364 m² area"</f>
        <v>Uf Membrane Bank  · 364 m² area</v>
      </c>
      <c r="C225" s="32">
        <v>1</v>
      </c>
      <c r="D225" s="48">
        <v>9100</v>
      </c>
      <c r="E225" s="48">
        <v>9100</v>
      </c>
      <c r="F225" s="18" t="s">
        <v>757</v>
      </c>
      <c r="G225" s="22" t="s">
        <v>799</v>
      </c>
      <c r="H225" s="22" t="s">
        <v>800</v>
      </c>
      <c r="I225" s="18">
        <v>4</v>
      </c>
      <c r="J225" s="18" t="s">
        <v>774</v>
      </c>
      <c r="K225" s="22" t="s">
        <v>1142</v>
      </c>
      <c r="L225" s="39" t="s">
        <v>802</v>
      </c>
      <c r="M225" s="22" t="s">
        <v>1143</v>
      </c>
      <c r="N225" s="39" t="s">
        <v>804</v>
      </c>
      <c r="O225" s="77" t="str">
        <f>IF(AND(LEN(TRIM($B225&amp;""))&gt;0,ISNUMBER($C225),$C225&gt;0,ISNUMBER($D225),$D225&gt;0,ISNUMBER($E225),$E225&gt;0,ABS($E225-$C225*$D225)&lt;=MAX(1,0.005*ABS($E225)),LEN(TRIM($M225&amp;""))&gt;0,TRIM($M225&amp;"")&lt;&gt;"—",LEN(TRIM($P225&amp;""))=0),"PASS","FAIL — "&amp;IF(LEN(TRIM($P225&amp;""))&gt;0,TRIM($P225&amp;""),"line ≠ qty×unit, a required cell empty, or qty/£ non-positive"))</f>
        <v>PASS</v>
      </c>
      <c r="P225" s="78"/>
      <c r="Q225" s="23" t="str">
        <f>IF(AND(LEN(TRIM(A225&amp;""))&gt;0,TRIM(A225&amp;"")&lt;&gt;"—",LEN(TRIM(B225&amp;""))&gt;0,TRIM(B225&amp;"")&lt;&gt;"—",LEN(TRIM(C225&amp;""))&gt;0,TRIM(C225&amp;"")&lt;&gt;"—",ISNUMBER(C225),LEN(TRIM(D225&amp;""))&gt;0,TRIM(D225&amp;"")&lt;&gt;"—",ISNUMBER(D225),LEN(TRIM(E225&amp;""))&gt;0,TRIM(E225&amp;"")&lt;&gt;"—",ISNUMBER(E225),LEN(TRIM(F225&amp;""))&gt;0,TRIM(F225&amp;"")&lt;&gt;"—",LEN(TRIM(I225&amp;""))&gt;0,TRIM(I225&amp;"")&lt;&gt;"—",LEN(TRIM(J225&amp;""))&gt;0,TRIM(J225&amp;"")&lt;&gt;"—",LEN(TRIM(O225&amp;""))&gt;0,TRIM(O225&amp;"")&lt;&gt;"—"),"PASS","⚠ FAIL — "&amp;"a required cell is empty/placeholder or wrong type")</f>
        <v>PASS</v>
      </c>
    </row>
    <row r="226" spans="1:17" ht="16" hidden="1" outlineLevel="1" x14ac:dyDescent="0.2">
      <c r="A226" s="18" t="s">
        <v>805</v>
      </c>
      <c r="B226" s="39" t="s">
        <v>806</v>
      </c>
      <c r="C226" s="32">
        <v>1</v>
      </c>
      <c r="D226" s="18" t="s">
        <v>807</v>
      </c>
      <c r="E226" s="18" t="s">
        <v>374</v>
      </c>
      <c r="F226" s="18" t="s">
        <v>757</v>
      </c>
      <c r="G226" s="22" t="s">
        <v>808</v>
      </c>
      <c r="H226" s="22"/>
      <c r="I226" s="18">
        <v>4</v>
      </c>
      <c r="J226" s="18" t="s">
        <v>774</v>
      </c>
      <c r="O226" s="77" t="str">
        <f t="shared" ref="O226:O235" si="36">IF(AND(LEN(TRIM($B226&amp;""))&gt;0,LEN(TRIM($P226&amp;""))=0),"PASS","FAIL — "&amp;IF(LEN(TRIM($P226&amp;""))&gt;0,TRIM($P226&amp;""),"line ≠ qty×unit, a required cell empty, or qty/£ non-positive"))</f>
        <v>PASS</v>
      </c>
      <c r="P226" s="78"/>
      <c r="Q226" s="23" t="str">
        <f t="shared" ref="Q226:Q235" si="37">IF(AND(LEN(TRIM(B226&amp;""))&gt;0,TRIM(B226&amp;"")&lt;&gt;"—",LEN(TRIM(C226&amp;""))&gt;0,TRIM(C226&amp;"")&lt;&gt;"—",ISNUMBER(C226),LEN(TRIM(F226&amp;""))&gt;0,TRIM(F226&amp;"")&lt;&gt;"—",LEN(TRIM(I226&amp;""))&gt;0,TRIM(I226&amp;"")&lt;&gt;"—",LEN(TRIM(J226&amp;""))&gt;0,TRIM(J226&amp;"")&lt;&gt;"—",LEN(TRIM(O226&amp;""))&gt;0,TRIM(O226&amp;"")&lt;&gt;"—"),"PASS","⚠ FAIL — "&amp;"a required cell is empty/placeholder or wrong type")</f>
        <v>PASS</v>
      </c>
    </row>
    <row r="227" spans="1:17" ht="16" hidden="1" outlineLevel="1" x14ac:dyDescent="0.2">
      <c r="A227" s="18" t="s">
        <v>809</v>
      </c>
      <c r="B227" s="39" t="s">
        <v>810</v>
      </c>
      <c r="C227" s="32">
        <v>1</v>
      </c>
      <c r="D227" s="18" t="s">
        <v>807</v>
      </c>
      <c r="E227" s="18" t="s">
        <v>374</v>
      </c>
      <c r="F227" s="18" t="s">
        <v>757</v>
      </c>
      <c r="G227" s="22" t="s">
        <v>808</v>
      </c>
      <c r="H227" s="22"/>
      <c r="I227" s="18">
        <v>4</v>
      </c>
      <c r="J227" s="18" t="s">
        <v>774</v>
      </c>
      <c r="O227" s="77" t="str">
        <f t="shared" si="36"/>
        <v>PASS</v>
      </c>
      <c r="P227" s="78"/>
      <c r="Q227" s="23" t="str">
        <f t="shared" si="37"/>
        <v>PASS</v>
      </c>
    </row>
    <row r="228" spans="1:17" ht="16" hidden="1" outlineLevel="1" x14ac:dyDescent="0.2">
      <c r="A228" s="18" t="s">
        <v>811</v>
      </c>
      <c r="B228" s="39" t="s">
        <v>812</v>
      </c>
      <c r="C228" s="32">
        <v>1</v>
      </c>
      <c r="D228" s="18" t="s">
        <v>807</v>
      </c>
      <c r="E228" s="18" t="s">
        <v>374</v>
      </c>
      <c r="F228" s="18" t="s">
        <v>771</v>
      </c>
      <c r="G228" s="22" t="s">
        <v>808</v>
      </c>
      <c r="H228" s="22"/>
      <c r="I228" s="18">
        <v>5</v>
      </c>
      <c r="J228" s="18" t="s">
        <v>774</v>
      </c>
      <c r="O228" s="77" t="str">
        <f t="shared" si="36"/>
        <v>PASS</v>
      </c>
      <c r="P228" s="78"/>
      <c r="Q228" s="23" t="str">
        <f t="shared" si="37"/>
        <v>PASS</v>
      </c>
    </row>
    <row r="229" spans="1:17" ht="16" hidden="1" outlineLevel="1" x14ac:dyDescent="0.2">
      <c r="A229" s="18" t="s">
        <v>813</v>
      </c>
      <c r="B229" s="39" t="s">
        <v>814</v>
      </c>
      <c r="C229" s="32">
        <v>1</v>
      </c>
      <c r="D229" s="18" t="s">
        <v>807</v>
      </c>
      <c r="E229" s="18" t="s">
        <v>374</v>
      </c>
      <c r="F229" s="18" t="s">
        <v>771</v>
      </c>
      <c r="G229" s="22" t="s">
        <v>808</v>
      </c>
      <c r="H229" s="22"/>
      <c r="I229" s="18">
        <v>5</v>
      </c>
      <c r="J229" s="18" t="s">
        <v>774</v>
      </c>
      <c r="O229" s="77" t="str">
        <f t="shared" si="36"/>
        <v>PASS</v>
      </c>
      <c r="P229" s="78"/>
      <c r="Q229" s="23" t="str">
        <f t="shared" si="37"/>
        <v>PASS</v>
      </c>
    </row>
    <row r="230" spans="1:17" ht="16" hidden="1" outlineLevel="1" x14ac:dyDescent="0.2">
      <c r="A230" s="18" t="s">
        <v>815</v>
      </c>
      <c r="B230" s="39" t="s">
        <v>816</v>
      </c>
      <c r="C230" s="32">
        <v>1</v>
      </c>
      <c r="D230" s="18" t="s">
        <v>807</v>
      </c>
      <c r="E230" s="18" t="s">
        <v>374</v>
      </c>
      <c r="F230" s="18" t="s">
        <v>757</v>
      </c>
      <c r="G230" s="22" t="s">
        <v>808</v>
      </c>
      <c r="H230" s="22"/>
      <c r="I230" s="18">
        <v>4</v>
      </c>
      <c r="J230" s="18" t="s">
        <v>774</v>
      </c>
      <c r="O230" s="77" t="str">
        <f t="shared" si="36"/>
        <v>PASS</v>
      </c>
      <c r="P230" s="78"/>
      <c r="Q230" s="23" t="str">
        <f t="shared" si="37"/>
        <v>PASS</v>
      </c>
    </row>
    <row r="231" spans="1:17" ht="16" hidden="1" outlineLevel="1" x14ac:dyDescent="0.2">
      <c r="A231" s="18" t="s">
        <v>817</v>
      </c>
      <c r="B231" s="39" t="s">
        <v>818</v>
      </c>
      <c r="C231" s="32">
        <v>1</v>
      </c>
      <c r="D231" s="18" t="s">
        <v>807</v>
      </c>
      <c r="E231" s="18" t="s">
        <v>374</v>
      </c>
      <c r="F231" s="18" t="s">
        <v>771</v>
      </c>
      <c r="G231" s="22" t="s">
        <v>808</v>
      </c>
      <c r="H231" s="22"/>
      <c r="I231" s="18">
        <v>5</v>
      </c>
      <c r="J231" s="18" t="s">
        <v>774</v>
      </c>
      <c r="O231" s="77" t="str">
        <f t="shared" si="36"/>
        <v>PASS</v>
      </c>
      <c r="P231" s="78"/>
      <c r="Q231" s="23" t="str">
        <f t="shared" si="37"/>
        <v>PASS</v>
      </c>
    </row>
    <row r="232" spans="1:17" ht="16" hidden="1" outlineLevel="1" x14ac:dyDescent="0.2">
      <c r="A232" s="18" t="s">
        <v>819</v>
      </c>
      <c r="B232" s="39" t="s">
        <v>820</v>
      </c>
      <c r="C232" s="32">
        <v>1</v>
      </c>
      <c r="D232" s="18" t="s">
        <v>807</v>
      </c>
      <c r="E232" s="18" t="s">
        <v>374</v>
      </c>
      <c r="F232" s="18" t="s">
        <v>771</v>
      </c>
      <c r="G232" s="22" t="s">
        <v>808</v>
      </c>
      <c r="H232" s="22"/>
      <c r="I232" s="18">
        <v>5</v>
      </c>
      <c r="J232" s="18" t="s">
        <v>774</v>
      </c>
      <c r="O232" s="77" t="str">
        <f t="shared" si="36"/>
        <v>PASS</v>
      </c>
      <c r="P232" s="78"/>
      <c r="Q232" s="23" t="str">
        <f t="shared" si="37"/>
        <v>PASS</v>
      </c>
    </row>
    <row r="233" spans="1:17" ht="16" hidden="1" outlineLevel="1" x14ac:dyDescent="0.2">
      <c r="A233" s="18" t="s">
        <v>821</v>
      </c>
      <c r="B233" s="39" t="s">
        <v>822</v>
      </c>
      <c r="C233" s="32">
        <v>1</v>
      </c>
      <c r="D233" s="18" t="s">
        <v>807</v>
      </c>
      <c r="E233" s="18" t="s">
        <v>374</v>
      </c>
      <c r="F233" s="18" t="s">
        <v>757</v>
      </c>
      <c r="G233" s="22" t="s">
        <v>808</v>
      </c>
      <c r="H233" s="22"/>
      <c r="I233" s="18">
        <v>4</v>
      </c>
      <c r="J233" s="18" t="s">
        <v>774</v>
      </c>
      <c r="O233" s="77" t="str">
        <f t="shared" si="36"/>
        <v>PASS</v>
      </c>
      <c r="P233" s="78"/>
      <c r="Q233" s="23" t="str">
        <f t="shared" si="37"/>
        <v>PASS</v>
      </c>
    </row>
    <row r="234" spans="1:17" ht="16" hidden="1" outlineLevel="1" x14ac:dyDescent="0.2">
      <c r="A234" s="18" t="s">
        <v>823</v>
      </c>
      <c r="B234" s="39" t="s">
        <v>824</v>
      </c>
      <c r="C234" s="32">
        <v>1</v>
      </c>
      <c r="D234" s="18" t="s">
        <v>807</v>
      </c>
      <c r="E234" s="18" t="s">
        <v>374</v>
      </c>
      <c r="F234" s="18" t="s">
        <v>757</v>
      </c>
      <c r="G234" s="22" t="s">
        <v>808</v>
      </c>
      <c r="H234" s="22"/>
      <c r="I234" s="18">
        <v>4</v>
      </c>
      <c r="J234" s="18" t="s">
        <v>774</v>
      </c>
      <c r="O234" s="77" t="str">
        <f t="shared" si="36"/>
        <v>PASS</v>
      </c>
      <c r="P234" s="78"/>
      <c r="Q234" s="23" t="str">
        <f t="shared" si="37"/>
        <v>PASS</v>
      </c>
    </row>
    <row r="235" spans="1:17" ht="16" hidden="1" outlineLevel="1" x14ac:dyDescent="0.2">
      <c r="A235" s="18" t="s">
        <v>825</v>
      </c>
      <c r="B235" s="39" t="s">
        <v>826</v>
      </c>
      <c r="C235" s="32">
        <v>1</v>
      </c>
      <c r="D235" s="18" t="s">
        <v>807</v>
      </c>
      <c r="E235" s="18" t="s">
        <v>374</v>
      </c>
      <c r="F235" s="18" t="s">
        <v>771</v>
      </c>
      <c r="G235" s="22" t="s">
        <v>808</v>
      </c>
      <c r="H235" s="22"/>
      <c r="I235" s="18">
        <v>5</v>
      </c>
      <c r="J235" s="18" t="s">
        <v>774</v>
      </c>
      <c r="O235" s="77" t="str">
        <f t="shared" si="36"/>
        <v>PASS</v>
      </c>
      <c r="P235" s="78"/>
      <c r="Q235" s="23" t="str">
        <f t="shared" si="37"/>
        <v>PASS</v>
      </c>
    </row>
    <row r="236" spans="1:17" ht="30" collapsed="1" x14ac:dyDescent="0.2">
      <c r="A236" s="18" t="str">
        <f>'Part names'!$A$85</f>
        <v>Z-102</v>
      </c>
      <c r="B236" s="39" t="str">
        <f>'Part names'!$B$85</f>
        <v>Uf Module Bank</v>
      </c>
      <c r="C236" s="32">
        <v>1</v>
      </c>
      <c r="D236" s="48">
        <v>14825</v>
      </c>
      <c r="E236" s="48">
        <v>0</v>
      </c>
      <c r="F236" s="18" t="s">
        <v>757</v>
      </c>
      <c r="G236" s="22"/>
      <c r="H236" s="22" t="s">
        <v>1144</v>
      </c>
      <c r="I236" s="18">
        <v>4</v>
      </c>
      <c r="J236" s="18" t="s">
        <v>774</v>
      </c>
      <c r="O236" s="77" t="str">
        <f>IF(AND(LEN(TRIM($B236&amp;""))&gt;0,ISNUMBER($C236),$C236&gt;0,ISNUMBER($D236),$D236&gt;0,ISNUMBER($E236),$E236&gt;0,LEN(TRIM($P236&amp;""))=0),"PASS","FAIL — "&amp;IF(LEN(TRIM($P236&amp;""))&gt;0,TRIM($P236&amp;""),"line ≠ qty×unit, a required cell empty, or qty/£ non-positive"))</f>
        <v>FAIL — line ≠ qty×unit, a required cell empty, or qty/£ non-positive</v>
      </c>
      <c r="P236" s="78"/>
      <c r="Q236" s="23" t="str">
        <f>IF(AND(LEN(TRIM(A236&amp;""))&gt;0,TRIM(A236&amp;"")&lt;&gt;"—",LEN(TRIM(B236&amp;""))&gt;0,TRIM(B236&amp;"")&lt;&gt;"—",LEN(TRIM(C236&amp;""))&gt;0,TRIM(C236&amp;"")&lt;&gt;"—",ISNUMBER(C236),LEN(TRIM(D236&amp;""))&gt;0,TRIM(D236&amp;"")&lt;&gt;"—",ISNUMBER(D236),LEN(TRIM(E236&amp;""))&gt;0,TRIM(E236&amp;"")&lt;&gt;"—",ISNUMBER(E236),LEN(TRIM(F236&amp;""))&gt;0,TRIM(F236&amp;"")&lt;&gt;"—",LEN(TRIM(I236&amp;""))&gt;0,TRIM(I236&amp;"")&lt;&gt;"—",LEN(TRIM(J236&amp;""))&gt;0,TRIM(J236&amp;"")&lt;&gt;"—",LEN(TRIM(O236&amp;""))&gt;0,TRIM(O236&amp;"")&lt;&gt;"—"),"PASS","⚠ FAIL — "&amp;"a required cell is empty/placeholder or wrong type")</f>
        <v>PASS</v>
      </c>
    </row>
    <row r="237" spans="1:17" ht="16" hidden="1" outlineLevel="1" x14ac:dyDescent="0.2">
      <c r="A237" s="18" t="s">
        <v>1145</v>
      </c>
      <c r="B237" s="39" t="s">
        <v>806</v>
      </c>
      <c r="C237" s="32">
        <v>1</v>
      </c>
      <c r="D237" s="18" t="s">
        <v>807</v>
      </c>
      <c r="E237" s="18" t="s">
        <v>374</v>
      </c>
      <c r="F237" s="18" t="s">
        <v>757</v>
      </c>
      <c r="G237" s="22" t="s">
        <v>808</v>
      </c>
      <c r="H237" s="22"/>
      <c r="I237" s="18">
        <v>4</v>
      </c>
      <c r="J237" s="18" t="s">
        <v>774</v>
      </c>
      <c r="O237" s="77" t="str">
        <f t="shared" ref="O237:O246" si="38">IF(AND(LEN(TRIM($B237&amp;""))&gt;0,LEN(TRIM($P237&amp;""))=0),"PASS","FAIL — "&amp;IF(LEN(TRIM($P237&amp;""))&gt;0,TRIM($P237&amp;""),"line ≠ qty×unit, a required cell empty, or qty/£ non-positive"))</f>
        <v>PASS</v>
      </c>
      <c r="P237" s="78"/>
      <c r="Q237" s="23" t="str">
        <f t="shared" ref="Q237:Q246" si="39">IF(AND(LEN(TRIM(B237&amp;""))&gt;0,TRIM(B237&amp;"")&lt;&gt;"—",LEN(TRIM(C237&amp;""))&gt;0,TRIM(C237&amp;"")&lt;&gt;"—",ISNUMBER(C237),LEN(TRIM(F237&amp;""))&gt;0,TRIM(F237&amp;"")&lt;&gt;"—",LEN(TRIM(I237&amp;""))&gt;0,TRIM(I237&amp;"")&lt;&gt;"—",LEN(TRIM(J237&amp;""))&gt;0,TRIM(J237&amp;"")&lt;&gt;"—",LEN(TRIM(O237&amp;""))&gt;0,TRIM(O237&amp;"")&lt;&gt;"—"),"PASS","⚠ FAIL — "&amp;"a required cell is empty/placeholder or wrong type")</f>
        <v>PASS</v>
      </c>
    </row>
    <row r="238" spans="1:17" ht="16" hidden="1" outlineLevel="1" x14ac:dyDescent="0.2">
      <c r="A238" s="18" t="s">
        <v>1146</v>
      </c>
      <c r="B238" s="39" t="s">
        <v>810</v>
      </c>
      <c r="C238" s="32">
        <v>1</v>
      </c>
      <c r="D238" s="18" t="s">
        <v>807</v>
      </c>
      <c r="E238" s="18" t="s">
        <v>374</v>
      </c>
      <c r="F238" s="18" t="s">
        <v>757</v>
      </c>
      <c r="G238" s="22" t="s">
        <v>808</v>
      </c>
      <c r="H238" s="22"/>
      <c r="I238" s="18">
        <v>4</v>
      </c>
      <c r="J238" s="18" t="s">
        <v>774</v>
      </c>
      <c r="O238" s="77" t="str">
        <f t="shared" si="38"/>
        <v>PASS</v>
      </c>
      <c r="P238" s="78"/>
      <c r="Q238" s="23" t="str">
        <f t="shared" si="39"/>
        <v>PASS</v>
      </c>
    </row>
    <row r="239" spans="1:17" ht="16" hidden="1" outlineLevel="1" x14ac:dyDescent="0.2">
      <c r="A239" s="18" t="s">
        <v>1147</v>
      </c>
      <c r="B239" s="39" t="s">
        <v>812</v>
      </c>
      <c r="C239" s="32">
        <v>1</v>
      </c>
      <c r="D239" s="18" t="s">
        <v>807</v>
      </c>
      <c r="E239" s="18" t="s">
        <v>374</v>
      </c>
      <c r="F239" s="18" t="s">
        <v>771</v>
      </c>
      <c r="G239" s="22" t="s">
        <v>808</v>
      </c>
      <c r="H239" s="22"/>
      <c r="I239" s="18">
        <v>5</v>
      </c>
      <c r="J239" s="18" t="s">
        <v>774</v>
      </c>
      <c r="O239" s="77" t="str">
        <f t="shared" si="38"/>
        <v>PASS</v>
      </c>
      <c r="P239" s="78"/>
      <c r="Q239" s="23" t="str">
        <f t="shared" si="39"/>
        <v>PASS</v>
      </c>
    </row>
    <row r="240" spans="1:17" ht="16" hidden="1" outlineLevel="1" x14ac:dyDescent="0.2">
      <c r="A240" s="18" t="s">
        <v>1148</v>
      </c>
      <c r="B240" s="39" t="s">
        <v>814</v>
      </c>
      <c r="C240" s="32">
        <v>1</v>
      </c>
      <c r="D240" s="18" t="s">
        <v>807</v>
      </c>
      <c r="E240" s="18" t="s">
        <v>374</v>
      </c>
      <c r="F240" s="18" t="s">
        <v>771</v>
      </c>
      <c r="G240" s="22" t="s">
        <v>808</v>
      </c>
      <c r="H240" s="22"/>
      <c r="I240" s="18">
        <v>5</v>
      </c>
      <c r="J240" s="18" t="s">
        <v>774</v>
      </c>
      <c r="O240" s="77" t="str">
        <f t="shared" si="38"/>
        <v>PASS</v>
      </c>
      <c r="P240" s="78"/>
      <c r="Q240" s="23" t="str">
        <f t="shared" si="39"/>
        <v>PASS</v>
      </c>
    </row>
    <row r="241" spans="1:17" ht="16" hidden="1" outlineLevel="1" x14ac:dyDescent="0.2">
      <c r="A241" s="18" t="s">
        <v>1149</v>
      </c>
      <c r="B241" s="39" t="s">
        <v>816</v>
      </c>
      <c r="C241" s="32">
        <v>1</v>
      </c>
      <c r="D241" s="18" t="s">
        <v>807</v>
      </c>
      <c r="E241" s="18" t="s">
        <v>374</v>
      </c>
      <c r="F241" s="18" t="s">
        <v>757</v>
      </c>
      <c r="G241" s="22" t="s">
        <v>808</v>
      </c>
      <c r="H241" s="22"/>
      <c r="I241" s="18">
        <v>4</v>
      </c>
      <c r="J241" s="18" t="s">
        <v>774</v>
      </c>
      <c r="O241" s="77" t="str">
        <f t="shared" si="38"/>
        <v>PASS</v>
      </c>
      <c r="P241" s="78"/>
      <c r="Q241" s="23" t="str">
        <f t="shared" si="39"/>
        <v>PASS</v>
      </c>
    </row>
    <row r="242" spans="1:17" ht="16" hidden="1" outlineLevel="1" x14ac:dyDescent="0.2">
      <c r="A242" s="18" t="s">
        <v>1150</v>
      </c>
      <c r="B242" s="39" t="s">
        <v>818</v>
      </c>
      <c r="C242" s="32">
        <v>1</v>
      </c>
      <c r="D242" s="18" t="s">
        <v>807</v>
      </c>
      <c r="E242" s="18" t="s">
        <v>374</v>
      </c>
      <c r="F242" s="18" t="s">
        <v>771</v>
      </c>
      <c r="G242" s="22" t="s">
        <v>808</v>
      </c>
      <c r="H242" s="22"/>
      <c r="I242" s="18">
        <v>5</v>
      </c>
      <c r="J242" s="18" t="s">
        <v>774</v>
      </c>
      <c r="O242" s="77" t="str">
        <f t="shared" si="38"/>
        <v>PASS</v>
      </c>
      <c r="P242" s="78"/>
      <c r="Q242" s="23" t="str">
        <f t="shared" si="39"/>
        <v>PASS</v>
      </c>
    </row>
    <row r="243" spans="1:17" ht="16" hidden="1" outlineLevel="1" x14ac:dyDescent="0.2">
      <c r="A243" s="18" t="s">
        <v>1151</v>
      </c>
      <c r="B243" s="39" t="s">
        <v>820</v>
      </c>
      <c r="C243" s="32">
        <v>1</v>
      </c>
      <c r="D243" s="18" t="s">
        <v>807</v>
      </c>
      <c r="E243" s="18" t="s">
        <v>374</v>
      </c>
      <c r="F243" s="18" t="s">
        <v>771</v>
      </c>
      <c r="G243" s="22" t="s">
        <v>808</v>
      </c>
      <c r="H243" s="22"/>
      <c r="I243" s="18">
        <v>5</v>
      </c>
      <c r="J243" s="18" t="s">
        <v>774</v>
      </c>
      <c r="O243" s="77" t="str">
        <f t="shared" si="38"/>
        <v>PASS</v>
      </c>
      <c r="P243" s="78"/>
      <c r="Q243" s="23" t="str">
        <f t="shared" si="39"/>
        <v>PASS</v>
      </c>
    </row>
    <row r="244" spans="1:17" ht="16" hidden="1" outlineLevel="1" x14ac:dyDescent="0.2">
      <c r="A244" s="18" t="s">
        <v>1152</v>
      </c>
      <c r="B244" s="39" t="s">
        <v>822</v>
      </c>
      <c r="C244" s="32">
        <v>1</v>
      </c>
      <c r="D244" s="18" t="s">
        <v>807</v>
      </c>
      <c r="E244" s="18" t="s">
        <v>374</v>
      </c>
      <c r="F244" s="18" t="s">
        <v>757</v>
      </c>
      <c r="G244" s="22" t="s">
        <v>808</v>
      </c>
      <c r="H244" s="22"/>
      <c r="I244" s="18">
        <v>4</v>
      </c>
      <c r="J244" s="18" t="s">
        <v>774</v>
      </c>
      <c r="O244" s="77" t="str">
        <f t="shared" si="38"/>
        <v>PASS</v>
      </c>
      <c r="P244" s="78"/>
      <c r="Q244" s="23" t="str">
        <f t="shared" si="39"/>
        <v>PASS</v>
      </c>
    </row>
    <row r="245" spans="1:17" ht="16" hidden="1" outlineLevel="1" x14ac:dyDescent="0.2">
      <c r="A245" s="18" t="s">
        <v>1153</v>
      </c>
      <c r="B245" s="39" t="s">
        <v>824</v>
      </c>
      <c r="C245" s="32">
        <v>1</v>
      </c>
      <c r="D245" s="18" t="s">
        <v>807</v>
      </c>
      <c r="E245" s="18" t="s">
        <v>374</v>
      </c>
      <c r="F245" s="18" t="s">
        <v>757</v>
      </c>
      <c r="G245" s="22" t="s">
        <v>808</v>
      </c>
      <c r="H245" s="22"/>
      <c r="I245" s="18">
        <v>4</v>
      </c>
      <c r="J245" s="18" t="s">
        <v>774</v>
      </c>
      <c r="O245" s="77" t="str">
        <f t="shared" si="38"/>
        <v>PASS</v>
      </c>
      <c r="P245" s="78"/>
      <c r="Q245" s="23" t="str">
        <f t="shared" si="39"/>
        <v>PASS</v>
      </c>
    </row>
    <row r="246" spans="1:17" ht="16" hidden="1" outlineLevel="1" x14ac:dyDescent="0.2">
      <c r="A246" s="18" t="s">
        <v>1154</v>
      </c>
      <c r="B246" s="39" t="s">
        <v>826</v>
      </c>
      <c r="C246" s="32">
        <v>1</v>
      </c>
      <c r="D246" s="18" t="s">
        <v>807</v>
      </c>
      <c r="E246" s="18" t="s">
        <v>374</v>
      </c>
      <c r="F246" s="18" t="s">
        <v>771</v>
      </c>
      <c r="G246" s="22" t="s">
        <v>808</v>
      </c>
      <c r="H246" s="22"/>
      <c r="I246" s="18">
        <v>5</v>
      </c>
      <c r="J246" s="18" t="s">
        <v>774</v>
      </c>
      <c r="O246" s="77" t="str">
        <f t="shared" si="38"/>
        <v>PASS</v>
      </c>
      <c r="P246" s="78"/>
      <c r="Q246" s="23" t="str">
        <f t="shared" si="39"/>
        <v>PASS</v>
      </c>
    </row>
    <row r="247" spans="1:17" ht="39" x14ac:dyDescent="0.2">
      <c r="A247" s="18" t="str">
        <f>'Part names'!$A$63</f>
        <v>X-114 / X-121</v>
      </c>
      <c r="B247" s="39" t="str">
        <f>'Part names'!$B$63</f>
        <v>PLC Controller</v>
      </c>
      <c r="C247" s="32">
        <v>2</v>
      </c>
      <c r="D247" s="48">
        <v>160</v>
      </c>
      <c r="E247" s="48">
        <v>320</v>
      </c>
      <c r="F247" s="18" t="s">
        <v>248</v>
      </c>
      <c r="G247" s="22" t="s">
        <v>764</v>
      </c>
      <c r="H247" s="22" t="s">
        <v>248</v>
      </c>
      <c r="I247" s="18">
        <v>2</v>
      </c>
      <c r="J247" s="18" t="s">
        <v>765</v>
      </c>
      <c r="K247" s="22" t="s">
        <v>1155</v>
      </c>
      <c r="L247" s="22" t="s">
        <v>761</v>
      </c>
      <c r="M247" s="22" t="s">
        <v>248</v>
      </c>
      <c r="N247" s="39" t="s">
        <v>1156</v>
      </c>
      <c r="O247" s="77" t="str">
        <f t="shared" ref="O247:O282" si="40">IF(AND(LEN(TRIM($B247&amp;""))&gt;0,ISNUMBER($C247),$C247&gt;0,ISNUMBER($D247),$D247&gt;0,ISNUMBER($E247),$E247&gt;0,ABS($E247-$C247*$D247)&lt;=MAX(1,0.005*ABS($E247)),LEN(TRIM($M247&amp;""))&gt;0,TRIM($M247&amp;"")&lt;&gt;"—",LEN(TRIM($P247&amp;""))=0),"PASS","FAIL — "&amp;IF(LEN(TRIM($P247&amp;""))&gt;0,TRIM($P247&amp;""),"line ≠ qty×unit, a required cell empty, or qty/£ non-positive"))</f>
        <v>PASS</v>
      </c>
      <c r="P247" s="78"/>
      <c r="Q247" s="23" t="str">
        <f t="shared" ref="Q247:Q282" si="41">IF(AND(LEN(TRIM(A247&amp;""))&gt;0,TRIM(A247&amp;"")&lt;&gt;"—",LEN(TRIM(B247&amp;""))&gt;0,TRIM(B247&amp;"")&lt;&gt;"—",LEN(TRIM(C247&amp;""))&gt;0,TRIM(C247&amp;"")&lt;&gt;"—",ISNUMBER(C247),LEN(TRIM(D247&amp;""))&gt;0,TRIM(D247&amp;"")&lt;&gt;"—",ISNUMBER(D247),LEN(TRIM(E247&amp;""))&gt;0,TRIM(E247&amp;"")&lt;&gt;"—",ISNUMBER(E247),LEN(TRIM(F247&amp;""))&gt;0,TRIM(F247&amp;"")&lt;&gt;"—",LEN(TRIM(I247&amp;""))&gt;0,TRIM(I247&amp;"")&lt;&gt;"—",LEN(TRIM(J247&amp;""))&gt;0,TRIM(J247&amp;"")&lt;&gt;"—",LEN(TRIM(O247&amp;""))&gt;0,TRIM(O247&amp;"")&lt;&gt;"—"),"PASS","⚠ FAIL — "&amp;"a required cell is empty/placeholder or wrong type")</f>
        <v>PASS</v>
      </c>
    </row>
    <row r="248" spans="1:17" ht="52" x14ac:dyDescent="0.2">
      <c r="A248" s="18" t="str">
        <f>'Part names'!$A$88</f>
        <v>X-115</v>
      </c>
      <c r="B248" s="39" t="str">
        <f>'Part names'!$B$88</f>
        <v>Veolia Ro40 Controller</v>
      </c>
      <c r="C248" s="32">
        <v>1</v>
      </c>
      <c r="D248" s="48">
        <v>12</v>
      </c>
      <c r="E248" s="48">
        <v>12</v>
      </c>
      <c r="F248" s="18" t="s">
        <v>771</v>
      </c>
      <c r="G248" s="22" t="s">
        <v>772</v>
      </c>
      <c r="H248" s="22" t="s">
        <v>902</v>
      </c>
      <c r="I248" s="18">
        <v>5</v>
      </c>
      <c r="J248" s="18" t="s">
        <v>774</v>
      </c>
      <c r="K248" s="22" t="s">
        <v>1157</v>
      </c>
      <c r="L248" s="22" t="s">
        <v>761</v>
      </c>
      <c r="M248" s="22" t="s">
        <v>1158</v>
      </c>
      <c r="N248" s="22" t="s">
        <v>1159</v>
      </c>
      <c r="O248" s="77" t="str">
        <f t="shared" si="40"/>
        <v>PASS</v>
      </c>
      <c r="P248" s="78"/>
      <c r="Q248" s="23" t="str">
        <f t="shared" si="41"/>
        <v>PASS</v>
      </c>
    </row>
    <row r="249" spans="1:17" ht="39" x14ac:dyDescent="0.2">
      <c r="A249" s="18" t="str">
        <f>'Part names'!$A$52</f>
        <v>X-116 / X-122</v>
      </c>
      <c r="B249" s="39" t="str">
        <f>'Part names'!$B$52</f>
        <v>Modbus Interface</v>
      </c>
      <c r="C249" s="32">
        <v>2</v>
      </c>
      <c r="D249" s="48">
        <v>270</v>
      </c>
      <c r="E249" s="48">
        <v>540</v>
      </c>
      <c r="F249" s="18" t="s">
        <v>248</v>
      </c>
      <c r="G249" s="22" t="s">
        <v>764</v>
      </c>
      <c r="H249" s="22" t="s">
        <v>248</v>
      </c>
      <c r="I249" s="18">
        <v>2</v>
      </c>
      <c r="J249" s="18" t="s">
        <v>765</v>
      </c>
      <c r="K249" s="22" t="s">
        <v>1160</v>
      </c>
      <c r="L249" s="22" t="s">
        <v>761</v>
      </c>
      <c r="M249" s="22" t="s">
        <v>248</v>
      </c>
      <c r="N249" s="39" t="s">
        <v>1156</v>
      </c>
      <c r="O249" s="77" t="str">
        <f t="shared" si="40"/>
        <v>PASS</v>
      </c>
      <c r="P249" s="78"/>
      <c r="Q249" s="23" t="str">
        <f t="shared" si="41"/>
        <v>PASS</v>
      </c>
    </row>
    <row r="250" spans="1:17" ht="39" x14ac:dyDescent="0.2">
      <c r="A250" s="18" t="str">
        <f>'Part names'!$A$29</f>
        <v>X-117</v>
      </c>
      <c r="B250" s="39" t="str">
        <f>'Part names'!$B$29</f>
        <v>Ethernet Ip Module</v>
      </c>
      <c r="C250" s="32">
        <v>1</v>
      </c>
      <c r="D250" s="48">
        <v>330</v>
      </c>
      <c r="E250" s="48">
        <v>330</v>
      </c>
      <c r="F250" s="18" t="s">
        <v>771</v>
      </c>
      <c r="G250" s="22" t="s">
        <v>772</v>
      </c>
      <c r="H250" s="22" t="s">
        <v>248</v>
      </c>
      <c r="I250" s="18">
        <v>5</v>
      </c>
      <c r="J250" s="18" t="s">
        <v>774</v>
      </c>
      <c r="K250" s="22" t="s">
        <v>1161</v>
      </c>
      <c r="L250" s="22" t="s">
        <v>761</v>
      </c>
      <c r="M250" s="22" t="s">
        <v>248</v>
      </c>
      <c r="N250" s="39" t="s">
        <v>1162</v>
      </c>
      <c r="O250" s="77" t="str">
        <f t="shared" si="40"/>
        <v>PASS</v>
      </c>
      <c r="P250" s="78"/>
      <c r="Q250" s="23" t="str">
        <f t="shared" si="41"/>
        <v>PASS</v>
      </c>
    </row>
    <row r="251" spans="1:17" ht="39" x14ac:dyDescent="0.2">
      <c r="A251" s="18" t="str">
        <f>'Part names'!$A$42</f>
        <v>X-118</v>
      </c>
      <c r="B251" s="39" t="str">
        <f>'Part names'!$B$42</f>
        <v>Hoogendoorn iSii Remote Monitoring</v>
      </c>
      <c r="C251" s="32">
        <v>1</v>
      </c>
      <c r="D251" s="48">
        <v>982</v>
      </c>
      <c r="E251" s="48">
        <v>982</v>
      </c>
      <c r="F251" s="18" t="s">
        <v>757</v>
      </c>
      <c r="G251" s="22" t="s">
        <v>1163</v>
      </c>
      <c r="H251" s="22" t="s">
        <v>1164</v>
      </c>
      <c r="I251" s="18">
        <v>4</v>
      </c>
      <c r="J251" s="18" t="s">
        <v>774</v>
      </c>
      <c r="K251" s="22" t="s">
        <v>1165</v>
      </c>
      <c r="L251" s="22" t="s">
        <v>761</v>
      </c>
      <c r="M251" s="22" t="s">
        <v>1166</v>
      </c>
      <c r="N251" s="39" t="s">
        <v>1167</v>
      </c>
      <c r="O251" s="77" t="str">
        <f t="shared" si="40"/>
        <v>PASS</v>
      </c>
      <c r="P251" s="78"/>
      <c r="Q251" s="23" t="str">
        <f t="shared" si="41"/>
        <v>PASS</v>
      </c>
    </row>
    <row r="252" spans="1:17" ht="52" x14ac:dyDescent="0.2">
      <c r="A252" s="18" t="str">
        <f>'Part names'!$A$18</f>
        <v>X-119</v>
      </c>
      <c r="B252" s="39" t="str">
        <f>'Part names'!$B$18</f>
        <v>Dc3 Power Controller</v>
      </c>
      <c r="C252" s="32">
        <v>1</v>
      </c>
      <c r="D252" s="48">
        <v>12</v>
      </c>
      <c r="E252" s="48">
        <v>12</v>
      </c>
      <c r="F252" s="18" t="s">
        <v>757</v>
      </c>
      <c r="G252" s="22" t="s">
        <v>758</v>
      </c>
      <c r="H252" s="22" t="s">
        <v>902</v>
      </c>
      <c r="I252" s="18">
        <v>4</v>
      </c>
      <c r="J252" s="18" t="s">
        <v>774</v>
      </c>
      <c r="K252" s="22" t="s">
        <v>1168</v>
      </c>
      <c r="L252" s="22" t="s">
        <v>761</v>
      </c>
      <c r="M252" s="22" t="s">
        <v>1169</v>
      </c>
      <c r="N252" s="22" t="s">
        <v>1159</v>
      </c>
      <c r="O252" s="77" t="str">
        <f t="shared" si="40"/>
        <v>PASS</v>
      </c>
      <c r="P252" s="78"/>
      <c r="Q252" s="23" t="str">
        <f t="shared" si="41"/>
        <v>PASS</v>
      </c>
    </row>
    <row r="253" spans="1:17" ht="32" x14ac:dyDescent="0.2">
      <c r="A253" s="18" t="str">
        <f>'Part names'!$A$41</f>
        <v>X-120</v>
      </c>
      <c r="B253" s="39" t="str">
        <f>'Part names'!$B$41</f>
        <v>HMI Touchscreen</v>
      </c>
      <c r="C253" s="32">
        <v>1</v>
      </c>
      <c r="D253" s="48">
        <v>589</v>
      </c>
      <c r="E253" s="48">
        <v>589</v>
      </c>
      <c r="F253" s="18" t="s">
        <v>248</v>
      </c>
      <c r="G253" s="22" t="s">
        <v>764</v>
      </c>
      <c r="H253" s="22" t="s">
        <v>248</v>
      </c>
      <c r="I253" s="18">
        <v>2</v>
      </c>
      <c r="J253" s="18" t="s">
        <v>765</v>
      </c>
      <c r="K253" s="22" t="s">
        <v>1170</v>
      </c>
      <c r="L253" s="39" t="s">
        <v>358</v>
      </c>
      <c r="M253" s="22" t="s">
        <v>892</v>
      </c>
      <c r="N253" s="39" t="s">
        <v>1171</v>
      </c>
      <c r="O253" s="77" t="str">
        <f t="shared" si="40"/>
        <v>PASS</v>
      </c>
      <c r="P253" s="78"/>
      <c r="Q253" s="23" t="str">
        <f t="shared" si="41"/>
        <v>PASS</v>
      </c>
    </row>
    <row r="254" spans="1:17" ht="39" x14ac:dyDescent="0.2">
      <c r="A254" s="18" t="str">
        <f>'Part names'!$A$69</f>
        <v>X-123</v>
      </c>
      <c r="B254" s="39" t="str">
        <f>'Part names'!$B$69</f>
        <v>Remote Monitoring Gateway</v>
      </c>
      <c r="C254" s="32">
        <v>1</v>
      </c>
      <c r="D254" s="48">
        <v>280</v>
      </c>
      <c r="E254" s="48">
        <v>280</v>
      </c>
      <c r="F254" s="18" t="s">
        <v>757</v>
      </c>
      <c r="G254" s="22" t="s">
        <v>758</v>
      </c>
      <c r="H254" s="22" t="s">
        <v>248</v>
      </c>
      <c r="I254" s="18">
        <v>4</v>
      </c>
      <c r="J254" s="18" t="s">
        <v>774</v>
      </c>
      <c r="K254" s="22" t="s">
        <v>1172</v>
      </c>
      <c r="L254" s="22" t="s">
        <v>761</v>
      </c>
      <c r="M254" s="22" t="s">
        <v>248</v>
      </c>
      <c r="N254" s="39" t="s">
        <v>1167</v>
      </c>
      <c r="O254" s="77" t="str">
        <f t="shared" si="40"/>
        <v>PASS</v>
      </c>
      <c r="P254" s="78"/>
      <c r="Q254" s="23" t="str">
        <f t="shared" si="41"/>
        <v>PASS</v>
      </c>
    </row>
    <row r="255" spans="1:17" ht="39" x14ac:dyDescent="0.2">
      <c r="A255" s="18" t="str">
        <f>'Part names'!$A$19</f>
        <v>I-103</v>
      </c>
      <c r="B255" s="39" t="str">
        <f>'Part names'!$B$19</f>
        <v>Digital Control Panel</v>
      </c>
      <c r="C255" s="32">
        <v>1</v>
      </c>
      <c r="D255" s="48">
        <v>850</v>
      </c>
      <c r="E255" s="48">
        <v>850</v>
      </c>
      <c r="F255" s="18" t="s">
        <v>248</v>
      </c>
      <c r="G255" s="22" t="s">
        <v>764</v>
      </c>
      <c r="H255" s="22" t="s">
        <v>248</v>
      </c>
      <c r="I255" s="18">
        <v>4</v>
      </c>
      <c r="J255" s="18" t="s">
        <v>760</v>
      </c>
      <c r="K255" s="22" t="s">
        <v>351</v>
      </c>
      <c r="L255" s="22" t="s">
        <v>761</v>
      </c>
      <c r="M255" s="22" t="s">
        <v>248</v>
      </c>
      <c r="N255" s="39" t="s">
        <v>1173</v>
      </c>
      <c r="O255" s="77" t="str">
        <f t="shared" si="40"/>
        <v>PASS</v>
      </c>
      <c r="P255" s="78"/>
      <c r="Q255" s="23" t="str">
        <f t="shared" si="41"/>
        <v>PASS</v>
      </c>
    </row>
    <row r="256" spans="1:17" ht="32" x14ac:dyDescent="0.2">
      <c r="A256" s="18" t="str">
        <f>'Part names'!$A$76</f>
        <v>X-124 / V-107</v>
      </c>
      <c r="B256" s="39" t="str">
        <f>'Part names'!$B$76</f>
        <v>Solenoid Valve</v>
      </c>
      <c r="C256" s="32">
        <v>2</v>
      </c>
      <c r="D256" s="48">
        <v>393</v>
      </c>
      <c r="E256" s="48">
        <v>786</v>
      </c>
      <c r="F256" s="18" t="s">
        <v>248</v>
      </c>
      <c r="G256" s="22" t="s">
        <v>764</v>
      </c>
      <c r="H256" s="22" t="s">
        <v>248</v>
      </c>
      <c r="I256" s="18">
        <v>2</v>
      </c>
      <c r="J256" s="18" t="s">
        <v>765</v>
      </c>
      <c r="K256" s="22" t="s">
        <v>1174</v>
      </c>
      <c r="L256" s="39" t="s">
        <v>358</v>
      </c>
      <c r="M256" s="22" t="s">
        <v>892</v>
      </c>
      <c r="N256" s="39" t="s">
        <v>1175</v>
      </c>
      <c r="O256" s="77" t="str">
        <f t="shared" si="40"/>
        <v>PASS</v>
      </c>
      <c r="P256" s="78"/>
      <c r="Q256" s="23" t="str">
        <f t="shared" si="41"/>
        <v>PASS</v>
      </c>
    </row>
    <row r="257" spans="1:17" ht="52" x14ac:dyDescent="0.2">
      <c r="A257" s="18" t="str">
        <f>'Part names'!$A$64</f>
        <v>X-125</v>
      </c>
      <c r="B257" s="39" t="str">
        <f>'Part names'!$B$64</f>
        <v>Pneumatic Actuated Valves</v>
      </c>
      <c r="C257" s="32">
        <v>200</v>
      </c>
      <c r="D257" s="48">
        <v>200</v>
      </c>
      <c r="E257" s="48">
        <v>40000</v>
      </c>
      <c r="F257" s="18" t="s">
        <v>757</v>
      </c>
      <c r="G257" s="22" t="s">
        <v>758</v>
      </c>
      <c r="H257" s="22" t="s">
        <v>1176</v>
      </c>
      <c r="I257" s="18">
        <v>4</v>
      </c>
      <c r="J257" s="18" t="s">
        <v>774</v>
      </c>
      <c r="K257" s="22" t="s">
        <v>1177</v>
      </c>
      <c r="L257" s="39" t="s">
        <v>358</v>
      </c>
      <c r="M257" s="22" t="s">
        <v>1178</v>
      </c>
      <c r="N257" s="39" t="s">
        <v>1179</v>
      </c>
      <c r="O257" s="77" t="str">
        <f t="shared" si="40"/>
        <v>PASS</v>
      </c>
      <c r="P257" s="78"/>
      <c r="Q257" s="23" t="str">
        <f t="shared" si="41"/>
        <v>PASS</v>
      </c>
    </row>
    <row r="258" spans="1:17" ht="32" x14ac:dyDescent="0.2">
      <c r="A258" s="18" t="str">
        <f>'Part names'!$A$32</f>
        <v>X-126</v>
      </c>
      <c r="B258" s="39" t="str">
        <f>'Part names'!$B$32</f>
        <v>Flow Control Valves</v>
      </c>
      <c r="C258" s="32">
        <v>1</v>
      </c>
      <c r="D258" s="48">
        <v>18</v>
      </c>
      <c r="E258" s="48">
        <v>18</v>
      </c>
      <c r="F258" s="18" t="s">
        <v>757</v>
      </c>
      <c r="G258" s="22" t="s">
        <v>758</v>
      </c>
      <c r="H258" s="22" t="s">
        <v>248</v>
      </c>
      <c r="I258" s="18">
        <v>4</v>
      </c>
      <c r="J258" s="18" t="s">
        <v>774</v>
      </c>
      <c r="K258" s="22" t="s">
        <v>1180</v>
      </c>
      <c r="L258" s="39" t="s">
        <v>358</v>
      </c>
      <c r="M258" s="22" t="s">
        <v>892</v>
      </c>
      <c r="N258" s="39" t="s">
        <v>1181</v>
      </c>
      <c r="O258" s="77" t="str">
        <f t="shared" si="40"/>
        <v>PASS</v>
      </c>
      <c r="P258" s="78"/>
      <c r="Q258" s="23" t="str">
        <f t="shared" si="41"/>
        <v>PASS</v>
      </c>
    </row>
    <row r="259" spans="1:17" ht="39" x14ac:dyDescent="0.2">
      <c r="A259" s="18" t="str">
        <f>'Part names'!$A$44</f>
        <v>FCV-201–202</v>
      </c>
      <c r="B259" s="39" t="str">
        <f>'Part names'!$B$44 &amp; "  · 45 m³/h · DN100 modulating control valve (45 m³/h @ 2 m/s)"</f>
        <v>Inlet Flow Control Valve  · 45 m³/h · DN100 modulating control valve (45 m³/h @ 2 m/s)</v>
      </c>
      <c r="C259" s="32">
        <v>2</v>
      </c>
      <c r="D259" s="48">
        <v>3312</v>
      </c>
      <c r="E259" s="48">
        <v>6624</v>
      </c>
      <c r="F259" s="18" t="s">
        <v>771</v>
      </c>
      <c r="G259" s="22" t="s">
        <v>772</v>
      </c>
      <c r="H259" s="22" t="s">
        <v>1182</v>
      </c>
      <c r="I259" s="18">
        <v>5</v>
      </c>
      <c r="J259" s="18" t="s">
        <v>774</v>
      </c>
      <c r="K259" s="22" t="s">
        <v>1183</v>
      </c>
      <c r="L259" s="22" t="s">
        <v>761</v>
      </c>
      <c r="M259" s="22" t="s">
        <v>1184</v>
      </c>
      <c r="N259" s="39" t="s">
        <v>1181</v>
      </c>
      <c r="O259" s="77" t="str">
        <f t="shared" si="40"/>
        <v>PASS</v>
      </c>
      <c r="P259" s="78"/>
      <c r="Q259" s="23" t="str">
        <f t="shared" si="41"/>
        <v>PASS</v>
      </c>
    </row>
    <row r="260" spans="1:17" ht="52" x14ac:dyDescent="0.2">
      <c r="A260" s="18" t="str">
        <f>'Part names'!$A$65</f>
        <v>V-108</v>
      </c>
      <c r="B260" s="39" t="str">
        <f>'Part names'!$B$65</f>
        <v>Pneumatic Control Valve</v>
      </c>
      <c r="C260" s="32">
        <v>1</v>
      </c>
      <c r="D260" s="48">
        <v>200</v>
      </c>
      <c r="E260" s="48">
        <v>200</v>
      </c>
      <c r="F260" s="18" t="s">
        <v>757</v>
      </c>
      <c r="G260" s="22" t="s">
        <v>758</v>
      </c>
      <c r="H260" s="22" t="s">
        <v>1176</v>
      </c>
      <c r="I260" s="18">
        <v>4</v>
      </c>
      <c r="J260" s="18" t="s">
        <v>774</v>
      </c>
      <c r="K260" s="22" t="s">
        <v>1185</v>
      </c>
      <c r="L260" s="39" t="s">
        <v>358</v>
      </c>
      <c r="M260" s="22" t="s">
        <v>1178</v>
      </c>
      <c r="N260" s="39" t="s">
        <v>1186</v>
      </c>
      <c r="O260" s="77" t="str">
        <f t="shared" si="40"/>
        <v>PASS</v>
      </c>
      <c r="P260" s="78"/>
      <c r="Q260" s="23" t="str">
        <f t="shared" si="41"/>
        <v>PASS</v>
      </c>
    </row>
    <row r="261" spans="1:17" ht="39" x14ac:dyDescent="0.2">
      <c r="A261" s="18" t="str">
        <f>'Part names'!$A$15</f>
        <v>I-104</v>
      </c>
      <c r="B261" s="39" t="str">
        <f>'Part names'!$B$15</f>
        <v>Conductivity Sensor</v>
      </c>
      <c r="C261" s="32">
        <v>1</v>
      </c>
      <c r="D261" s="48">
        <v>12</v>
      </c>
      <c r="E261" s="48">
        <v>12</v>
      </c>
      <c r="F261" s="18" t="s">
        <v>757</v>
      </c>
      <c r="G261" s="22" t="s">
        <v>758</v>
      </c>
      <c r="H261" s="22" t="s">
        <v>248</v>
      </c>
      <c r="I261" s="18">
        <v>4</v>
      </c>
      <c r="J261" s="18" t="s">
        <v>774</v>
      </c>
      <c r="K261" s="22" t="s">
        <v>1187</v>
      </c>
      <c r="L261" s="22" t="s">
        <v>761</v>
      </c>
      <c r="M261" s="22" t="s">
        <v>248</v>
      </c>
      <c r="N261" s="39" t="s">
        <v>1188</v>
      </c>
      <c r="O261" s="77" t="str">
        <f t="shared" si="40"/>
        <v>PASS</v>
      </c>
      <c r="P261" s="78"/>
      <c r="Q261" s="23" t="str">
        <f t="shared" si="41"/>
        <v>PASS</v>
      </c>
    </row>
    <row r="262" spans="1:17" ht="39" x14ac:dyDescent="0.2">
      <c r="A262" s="18" t="str">
        <f>'Part names'!$A$33</f>
        <v>I-105 / X-127</v>
      </c>
      <c r="B262" s="39" t="str">
        <f>'Part names'!$B$33</f>
        <v>Flow Meter</v>
      </c>
      <c r="C262" s="32">
        <v>2</v>
      </c>
      <c r="D262" s="48">
        <v>691</v>
      </c>
      <c r="E262" s="48">
        <v>1382</v>
      </c>
      <c r="F262" s="18" t="s">
        <v>248</v>
      </c>
      <c r="G262" s="22" t="s">
        <v>764</v>
      </c>
      <c r="H262" s="22" t="s">
        <v>248</v>
      </c>
      <c r="I262" s="18">
        <v>2</v>
      </c>
      <c r="J262" s="18" t="s">
        <v>765</v>
      </c>
      <c r="K262" s="22" t="s">
        <v>1189</v>
      </c>
      <c r="L262" s="22" t="s">
        <v>761</v>
      </c>
      <c r="M262" s="22" t="s">
        <v>248</v>
      </c>
      <c r="N262" s="39" t="s">
        <v>1190</v>
      </c>
      <c r="O262" s="77" t="str">
        <f t="shared" si="40"/>
        <v>PASS</v>
      </c>
      <c r="P262" s="78"/>
      <c r="Q262" s="23" t="str">
        <f t="shared" si="41"/>
        <v>PASS</v>
      </c>
    </row>
    <row r="263" spans="1:17" ht="39" x14ac:dyDescent="0.2">
      <c r="A263" s="18" t="str">
        <f>'Part names'!$A$62</f>
        <v>I-106</v>
      </c>
      <c r="B263" s="39" t="str">
        <f>'Part names'!$B$62</f>
        <v>Ph Sensor</v>
      </c>
      <c r="C263" s="32">
        <v>1</v>
      </c>
      <c r="D263" s="48">
        <v>12</v>
      </c>
      <c r="E263" s="48">
        <v>12</v>
      </c>
      <c r="F263" s="18" t="s">
        <v>757</v>
      </c>
      <c r="G263" s="22" t="s">
        <v>758</v>
      </c>
      <c r="H263" s="22" t="s">
        <v>248</v>
      </c>
      <c r="I263" s="18">
        <v>4</v>
      </c>
      <c r="J263" s="18" t="s">
        <v>774</v>
      </c>
      <c r="K263" s="22" t="s">
        <v>1191</v>
      </c>
      <c r="L263" s="22" t="s">
        <v>761</v>
      </c>
      <c r="M263" s="22" t="s">
        <v>248</v>
      </c>
      <c r="N263" s="39" t="s">
        <v>1192</v>
      </c>
      <c r="O263" s="77" t="str">
        <f t="shared" si="40"/>
        <v>PASS</v>
      </c>
      <c r="P263" s="78"/>
      <c r="Q263" s="23" t="str">
        <f t="shared" si="41"/>
        <v>PASS</v>
      </c>
    </row>
    <row r="264" spans="1:17" ht="39" x14ac:dyDescent="0.2">
      <c r="A264" s="18" t="str">
        <f>'Part names'!$A$56</f>
        <v>I-107</v>
      </c>
      <c r="B264" s="39" t="str">
        <f>'Part names'!$B$56</f>
        <v>Orp Sensor</v>
      </c>
      <c r="C264" s="32">
        <v>1</v>
      </c>
      <c r="D264" s="48">
        <v>12</v>
      </c>
      <c r="E264" s="48">
        <v>12</v>
      </c>
      <c r="F264" s="18" t="s">
        <v>757</v>
      </c>
      <c r="G264" s="22" t="s">
        <v>758</v>
      </c>
      <c r="H264" s="22" t="s">
        <v>248</v>
      </c>
      <c r="I264" s="18">
        <v>4</v>
      </c>
      <c r="J264" s="18" t="s">
        <v>774</v>
      </c>
      <c r="K264" s="22" t="s">
        <v>1193</v>
      </c>
      <c r="L264" s="22" t="s">
        <v>761</v>
      </c>
      <c r="M264" s="22" t="s">
        <v>248</v>
      </c>
      <c r="N264" s="39" t="s">
        <v>1194</v>
      </c>
      <c r="O264" s="77" t="str">
        <f t="shared" si="40"/>
        <v>PASS</v>
      </c>
      <c r="P264" s="78"/>
      <c r="Q264" s="23" t="str">
        <f t="shared" si="41"/>
        <v>PASS</v>
      </c>
    </row>
    <row r="265" spans="1:17" ht="91" x14ac:dyDescent="0.2">
      <c r="A265" s="18" t="str">
        <f>'Part names'!$A$47</f>
        <v>LT-201–213</v>
      </c>
      <c r="B265" s="39" t="str">
        <f>'Part names'!$B$47 &amp; "  · 0–1.4 m"</f>
        <v>Level Transmitter  · 0–1.4 m</v>
      </c>
      <c r="C265" s="32">
        <v>13</v>
      </c>
      <c r="D265" s="48">
        <v>1843</v>
      </c>
      <c r="E265" s="48">
        <v>23959</v>
      </c>
      <c r="F265" s="18" t="s">
        <v>771</v>
      </c>
      <c r="G265" s="22" t="s">
        <v>1195</v>
      </c>
      <c r="H265" s="22" t="s">
        <v>1196</v>
      </c>
      <c r="I265" s="18">
        <v>5</v>
      </c>
      <c r="J265" s="18" t="s">
        <v>774</v>
      </c>
      <c r="K265" s="22" t="s">
        <v>1197</v>
      </c>
      <c r="L265" s="22" t="s">
        <v>761</v>
      </c>
      <c r="M265" s="22" t="s">
        <v>1198</v>
      </c>
      <c r="N265" s="39" t="s">
        <v>1199</v>
      </c>
      <c r="O265" s="77" t="str">
        <f t="shared" si="40"/>
        <v>PASS</v>
      </c>
      <c r="P265" s="78"/>
      <c r="Q265" s="23" t="str">
        <f t="shared" si="41"/>
        <v>PASS</v>
      </c>
    </row>
    <row r="266" spans="1:17" ht="39" x14ac:dyDescent="0.2">
      <c r="A266" s="18" t="s">
        <v>1200</v>
      </c>
      <c r="B266" s="39" t="str">
        <f>'Part names'!$B$47 &amp; "  · 0–3 m"</f>
        <v>Level Transmitter  · 0–3 m</v>
      </c>
      <c r="C266" s="32">
        <v>1</v>
      </c>
      <c r="D266" s="48">
        <v>1843</v>
      </c>
      <c r="E266" s="48">
        <v>1843</v>
      </c>
      <c r="F266" s="18" t="s">
        <v>771</v>
      </c>
      <c r="G266" s="22" t="s">
        <v>1201</v>
      </c>
      <c r="H266" s="22" t="s">
        <v>1202</v>
      </c>
      <c r="I266" s="18">
        <v>5</v>
      </c>
      <c r="J266" s="18" t="s">
        <v>774</v>
      </c>
      <c r="K266" s="22" t="s">
        <v>1203</v>
      </c>
      <c r="L266" s="22" t="s">
        <v>761</v>
      </c>
      <c r="M266" s="22" t="s">
        <v>1204</v>
      </c>
      <c r="N266" s="39" t="s">
        <v>1199</v>
      </c>
      <c r="O266" s="77" t="str">
        <f t="shared" si="40"/>
        <v>PASS</v>
      </c>
      <c r="P266" s="78"/>
      <c r="Q266" s="23" t="str">
        <f t="shared" si="41"/>
        <v>PASS</v>
      </c>
    </row>
    <row r="267" spans="1:17" ht="78" x14ac:dyDescent="0.2">
      <c r="A267" s="18" t="s">
        <v>1205</v>
      </c>
      <c r="B267" s="39" t="str">
        <f>'Part names'!$B$47 &amp; "  · 0–4 m"</f>
        <v>Level Transmitter  · 0–4 m</v>
      </c>
      <c r="C267" s="32">
        <v>3</v>
      </c>
      <c r="D267" s="48">
        <v>1843</v>
      </c>
      <c r="E267" s="48">
        <v>5529</v>
      </c>
      <c r="F267" s="18" t="s">
        <v>771</v>
      </c>
      <c r="G267" s="22" t="s">
        <v>1206</v>
      </c>
      <c r="H267" s="22" t="s">
        <v>1207</v>
      </c>
      <c r="I267" s="18">
        <v>5</v>
      </c>
      <c r="J267" s="18" t="s">
        <v>774</v>
      </c>
      <c r="K267" s="22" t="s">
        <v>1208</v>
      </c>
      <c r="L267" s="22" t="s">
        <v>761</v>
      </c>
      <c r="M267" s="22" t="s">
        <v>1209</v>
      </c>
      <c r="N267" s="39" t="s">
        <v>1199</v>
      </c>
      <c r="O267" s="77" t="str">
        <f t="shared" si="40"/>
        <v>PASS</v>
      </c>
      <c r="P267" s="78"/>
      <c r="Q267" s="23" t="str">
        <f t="shared" si="41"/>
        <v>PASS</v>
      </c>
    </row>
    <row r="268" spans="1:17" ht="39" x14ac:dyDescent="0.2">
      <c r="A268" s="18" t="str">
        <f>'Part names'!$A$61</f>
        <v>AT-201</v>
      </c>
      <c r="B268" s="39" t="str">
        <f>'Part names'!$B$61 &amp; "  · pH 0–14 (control 0.3)"</f>
        <v>pH Analyser  · pH 0–14 (control 0.3)</v>
      </c>
      <c r="C268" s="32">
        <v>1</v>
      </c>
      <c r="D268" s="48">
        <v>2800</v>
      </c>
      <c r="E268" s="48">
        <v>2800</v>
      </c>
      <c r="F268" s="18" t="s">
        <v>771</v>
      </c>
      <c r="G268" s="22" t="s">
        <v>1201</v>
      </c>
      <c r="H268" s="22" t="s">
        <v>1210</v>
      </c>
      <c r="I268" s="18">
        <v>5</v>
      </c>
      <c r="J268" s="18" t="s">
        <v>774</v>
      </c>
      <c r="K268" s="22" t="s">
        <v>1211</v>
      </c>
      <c r="L268" s="22" t="s">
        <v>761</v>
      </c>
      <c r="M268" s="22" t="s">
        <v>1212</v>
      </c>
      <c r="N268" s="39" t="s">
        <v>1213</v>
      </c>
      <c r="O268" s="77" t="str">
        <f t="shared" si="40"/>
        <v>PASS</v>
      </c>
      <c r="P268" s="78"/>
      <c r="Q268" s="23" t="str">
        <f t="shared" si="41"/>
        <v>PASS</v>
      </c>
    </row>
    <row r="269" spans="1:17" ht="78" x14ac:dyDescent="0.2">
      <c r="A269" s="18" t="str">
        <f>'Part names'!$A$68</f>
        <v>PT-201–217</v>
      </c>
      <c r="B269" s="39" t="str">
        <f>'Part names'!$B$68 &amp; "  · 0–5 bar"</f>
        <v>Pressure Transmitter  · 0–5 bar</v>
      </c>
      <c r="C269" s="32">
        <v>17</v>
      </c>
      <c r="D269" s="48">
        <v>700</v>
      </c>
      <c r="E269" s="48">
        <v>11900</v>
      </c>
      <c r="F269" s="18" t="s">
        <v>248</v>
      </c>
      <c r="G269" s="22" t="s">
        <v>1214</v>
      </c>
      <c r="H269" s="22" t="s">
        <v>1215</v>
      </c>
      <c r="I269" s="18">
        <v>2</v>
      </c>
      <c r="J269" s="18" t="s">
        <v>765</v>
      </c>
      <c r="K269" s="22" t="s">
        <v>1216</v>
      </c>
      <c r="L269" s="22" t="s">
        <v>761</v>
      </c>
      <c r="M269" s="22" t="s">
        <v>1217</v>
      </c>
      <c r="N269" s="39" t="s">
        <v>1218</v>
      </c>
      <c r="O269" s="77" t="str">
        <f t="shared" si="40"/>
        <v>PASS</v>
      </c>
      <c r="P269" s="78"/>
      <c r="Q269" s="23" t="str">
        <f t="shared" si="41"/>
        <v>PASS</v>
      </c>
    </row>
    <row r="270" spans="1:17" ht="39" x14ac:dyDescent="0.2">
      <c r="A270" s="18" t="str">
        <f>'Part names'!$A$74</f>
        <v>I-108</v>
      </c>
      <c r="B270" s="39" t="str">
        <f>'Part names'!$B$74</f>
        <v>Silica Analyzer</v>
      </c>
      <c r="C270" s="32">
        <v>1</v>
      </c>
      <c r="D270" s="48">
        <v>280</v>
      </c>
      <c r="E270" s="48">
        <v>280</v>
      </c>
      <c r="F270" s="18" t="s">
        <v>771</v>
      </c>
      <c r="G270" s="22" t="s">
        <v>772</v>
      </c>
      <c r="H270" s="22" t="s">
        <v>248</v>
      </c>
      <c r="I270" s="18">
        <v>5</v>
      </c>
      <c r="J270" s="18" t="s">
        <v>774</v>
      </c>
      <c r="K270" s="22" t="s">
        <v>1219</v>
      </c>
      <c r="L270" s="22" t="s">
        <v>761</v>
      </c>
      <c r="M270" s="22" t="s">
        <v>248</v>
      </c>
      <c r="N270" s="39" t="s">
        <v>1220</v>
      </c>
      <c r="O270" s="77" t="str">
        <f t="shared" si="40"/>
        <v>PASS</v>
      </c>
      <c r="P270" s="78"/>
      <c r="Q270" s="23" t="str">
        <f t="shared" si="41"/>
        <v>PASS</v>
      </c>
    </row>
    <row r="271" spans="1:17" ht="39" x14ac:dyDescent="0.2">
      <c r="A271" s="18" t="str">
        <f>'Part names'!$A$9</f>
        <v>I-109</v>
      </c>
      <c r="B271" s="39" t="str">
        <f>'Part names'!$B$9</f>
        <v>Chlorine Sensor</v>
      </c>
      <c r="C271" s="32">
        <v>1</v>
      </c>
      <c r="D271" s="48">
        <v>12</v>
      </c>
      <c r="E271" s="48">
        <v>12</v>
      </c>
      <c r="F271" s="18" t="s">
        <v>757</v>
      </c>
      <c r="G271" s="22" t="s">
        <v>758</v>
      </c>
      <c r="H271" s="22" t="s">
        <v>248</v>
      </c>
      <c r="I271" s="18">
        <v>4</v>
      </c>
      <c r="J271" s="18" t="s">
        <v>774</v>
      </c>
      <c r="K271" s="22" t="s">
        <v>1221</v>
      </c>
      <c r="L271" s="22" t="s">
        <v>761</v>
      </c>
      <c r="M271" s="22" t="s">
        <v>248</v>
      </c>
      <c r="N271" s="39" t="s">
        <v>1222</v>
      </c>
      <c r="O271" s="77" t="str">
        <f t="shared" si="40"/>
        <v>PASS</v>
      </c>
      <c r="P271" s="78"/>
      <c r="Q271" s="23" t="str">
        <f t="shared" si="41"/>
        <v>PASS</v>
      </c>
    </row>
    <row r="272" spans="1:17" ht="39" x14ac:dyDescent="0.2">
      <c r="A272" s="18" t="str">
        <f>'Part names'!$A$80</f>
        <v>I-110</v>
      </c>
      <c r="B272" s="39" t="str">
        <f>'Part names'!$B$80</f>
        <v>Tds Sensor</v>
      </c>
      <c r="C272" s="32">
        <v>1</v>
      </c>
      <c r="D272" s="48">
        <v>12</v>
      </c>
      <c r="E272" s="48">
        <v>12</v>
      </c>
      <c r="F272" s="18" t="s">
        <v>757</v>
      </c>
      <c r="G272" s="22" t="s">
        <v>758</v>
      </c>
      <c r="H272" s="22" t="s">
        <v>248</v>
      </c>
      <c r="I272" s="18">
        <v>4</v>
      </c>
      <c r="J272" s="18" t="s">
        <v>774</v>
      </c>
      <c r="K272" s="22" t="s">
        <v>1223</v>
      </c>
      <c r="L272" s="22" t="s">
        <v>761</v>
      </c>
      <c r="M272" s="22" t="s">
        <v>248</v>
      </c>
      <c r="N272" s="39" t="s">
        <v>1188</v>
      </c>
      <c r="O272" s="77" t="str">
        <f t="shared" si="40"/>
        <v>PASS</v>
      </c>
      <c r="P272" s="78"/>
      <c r="Q272" s="23" t="str">
        <f t="shared" si="41"/>
        <v>PASS</v>
      </c>
    </row>
    <row r="273" spans="1:17" ht="48" x14ac:dyDescent="0.2">
      <c r="A273" s="18" t="str">
        <f>'Part names'!$A$51</f>
        <v>EP-102</v>
      </c>
      <c r="B273" s="39" t="str">
        <f>'Part names'!$B$51 &amp; "  · 125 A · 400 V 3-phase LV incomer · 125 A ACB frame (sized to 53 kW connected load, PF 0.9, 25% margin)"</f>
        <v>Mains Incomer  · 125 A · 400 V 3-phase LV incomer · 125 A ACB frame (sized to 53 kW connected load, PF 0.9, 25% margin)</v>
      </c>
      <c r="C273" s="32">
        <v>1</v>
      </c>
      <c r="D273" s="48">
        <v>283</v>
      </c>
      <c r="E273" s="48">
        <v>283</v>
      </c>
      <c r="F273" s="18" t="s">
        <v>248</v>
      </c>
      <c r="G273" s="22" t="s">
        <v>764</v>
      </c>
      <c r="H273" s="22" t="s">
        <v>248</v>
      </c>
      <c r="I273" s="18">
        <v>4</v>
      </c>
      <c r="J273" s="18" t="s">
        <v>760</v>
      </c>
      <c r="K273" s="22" t="s">
        <v>1224</v>
      </c>
      <c r="L273" s="22" t="s">
        <v>761</v>
      </c>
      <c r="M273" s="22" t="s">
        <v>248</v>
      </c>
      <c r="N273" s="39" t="s">
        <v>767</v>
      </c>
      <c r="O273" s="77" t="str">
        <f t="shared" si="40"/>
        <v>PASS</v>
      </c>
      <c r="P273" s="78"/>
      <c r="Q273" s="23" t="str">
        <f t="shared" si="41"/>
        <v>PASS</v>
      </c>
    </row>
    <row r="274" spans="1:17" ht="48" x14ac:dyDescent="0.2">
      <c r="A274" s="18" t="str">
        <f>'Part names'!$A$50</f>
        <v>EP-101</v>
      </c>
      <c r="B274" s="39" t="str">
        <f>'Part names'!$B$50 &amp; "  · 125 A · 400 V 3-phase LV incomer · 125 A ACB frame (sized to 53 kW connected load, PF 0.9, 25% margin)"</f>
        <v>Main Switchboard  · 125 A · 400 V 3-phase LV incomer · 125 A ACB frame (sized to 53 kW connected load, PF 0.9, 25% margin)</v>
      </c>
      <c r="C274" s="32">
        <v>1</v>
      </c>
      <c r="D274" s="48">
        <v>4250</v>
      </c>
      <c r="E274" s="48">
        <v>4250</v>
      </c>
      <c r="F274" s="18" t="s">
        <v>757</v>
      </c>
      <c r="G274" s="22" t="s">
        <v>758</v>
      </c>
      <c r="H274" s="22" t="s">
        <v>248</v>
      </c>
      <c r="I274" s="18">
        <v>4</v>
      </c>
      <c r="J274" s="18" t="s">
        <v>774</v>
      </c>
      <c r="K274" s="22" t="s">
        <v>1225</v>
      </c>
      <c r="L274" s="22" t="s">
        <v>761</v>
      </c>
      <c r="M274" s="22" t="s">
        <v>248</v>
      </c>
      <c r="N274" s="39" t="s">
        <v>1226</v>
      </c>
      <c r="O274" s="77" t="str">
        <f t="shared" si="40"/>
        <v>PASS</v>
      </c>
      <c r="P274" s="78"/>
      <c r="Q274" s="23" t="str">
        <f t="shared" si="41"/>
        <v>PASS</v>
      </c>
    </row>
    <row r="275" spans="1:17" ht="39" x14ac:dyDescent="0.2">
      <c r="A275" s="18" t="str">
        <f>'Part names'!$A$66</f>
        <v>X-128</v>
      </c>
      <c r="B275" s="39" t="str">
        <f>'Part names'!$B$66</f>
        <v>Power Supply Unit</v>
      </c>
      <c r="C275" s="32">
        <v>1</v>
      </c>
      <c r="D275" s="48">
        <v>219</v>
      </c>
      <c r="E275" s="48">
        <v>219</v>
      </c>
      <c r="F275" s="18" t="s">
        <v>248</v>
      </c>
      <c r="G275" s="22" t="s">
        <v>764</v>
      </c>
      <c r="H275" s="22" t="s">
        <v>248</v>
      </c>
      <c r="I275" s="18">
        <v>2</v>
      </c>
      <c r="J275" s="18" t="s">
        <v>765</v>
      </c>
      <c r="K275" s="22" t="s">
        <v>1227</v>
      </c>
      <c r="L275" s="22" t="s">
        <v>761</v>
      </c>
      <c r="M275" s="22" t="s">
        <v>248</v>
      </c>
      <c r="N275" s="39" t="s">
        <v>1228</v>
      </c>
      <c r="O275" s="77" t="str">
        <f t="shared" si="40"/>
        <v>PASS</v>
      </c>
      <c r="P275" s="78"/>
      <c r="Q275" s="23" t="str">
        <f t="shared" si="41"/>
        <v>PASS</v>
      </c>
    </row>
    <row r="276" spans="1:17" ht="39" x14ac:dyDescent="0.2">
      <c r="A276" s="18" t="str">
        <f>'Part names'!$A$79</f>
        <v>X-129</v>
      </c>
      <c r="B276" s="39" t="str">
        <f>'Part names'!$B$79</f>
        <v>Surge Protection Device</v>
      </c>
      <c r="C276" s="32">
        <v>1</v>
      </c>
      <c r="D276" s="48">
        <v>250</v>
      </c>
      <c r="E276" s="48">
        <v>250</v>
      </c>
      <c r="F276" s="18" t="s">
        <v>771</v>
      </c>
      <c r="G276" s="22" t="s">
        <v>772</v>
      </c>
      <c r="H276" s="22" t="s">
        <v>248</v>
      </c>
      <c r="I276" s="18">
        <v>5</v>
      </c>
      <c r="J276" s="18" t="s">
        <v>774</v>
      </c>
      <c r="K276" s="22" t="s">
        <v>1229</v>
      </c>
      <c r="L276" s="22" t="s">
        <v>761</v>
      </c>
      <c r="M276" s="22" t="s">
        <v>248</v>
      </c>
      <c r="N276" s="39" t="s">
        <v>1230</v>
      </c>
      <c r="O276" s="77" t="str">
        <f t="shared" si="40"/>
        <v>PASS</v>
      </c>
      <c r="P276" s="78"/>
      <c r="Q276" s="23" t="str">
        <f t="shared" si="41"/>
        <v>PASS</v>
      </c>
    </row>
    <row r="277" spans="1:17" ht="39" x14ac:dyDescent="0.2">
      <c r="A277" s="18" t="str">
        <f>'Part names'!$A$60</f>
        <v>X-106</v>
      </c>
      <c r="B277" s="39" t="str">
        <f>'Part names'!$B$60</f>
        <v>Permeate Outlet</v>
      </c>
      <c r="C277" s="32">
        <v>1</v>
      </c>
      <c r="D277" s="48">
        <v>9</v>
      </c>
      <c r="E277" s="48">
        <v>9</v>
      </c>
      <c r="F277" s="18" t="s">
        <v>771</v>
      </c>
      <c r="G277" s="22" t="s">
        <v>772</v>
      </c>
      <c r="H277" s="22" t="s">
        <v>773</v>
      </c>
      <c r="I277" s="18">
        <v>5</v>
      </c>
      <c r="J277" s="18" t="s">
        <v>774</v>
      </c>
      <c r="K277" s="22" t="s">
        <v>451</v>
      </c>
      <c r="L277" s="22" t="s">
        <v>761</v>
      </c>
      <c r="M277" s="22" t="s">
        <v>776</v>
      </c>
      <c r="N277" s="22" t="s">
        <v>777</v>
      </c>
      <c r="O277" s="77" t="str">
        <f t="shared" si="40"/>
        <v>PASS</v>
      </c>
      <c r="P277" s="78"/>
      <c r="Q277" s="23" t="str">
        <f t="shared" si="41"/>
        <v>PASS</v>
      </c>
    </row>
    <row r="278" spans="1:17" ht="39" x14ac:dyDescent="0.2">
      <c r="A278" s="18" t="str">
        <f>'Part names'!$A$14</f>
        <v>X-105</v>
      </c>
      <c r="B278" s="39" t="str">
        <f>'Part names'!$B$14</f>
        <v>Concentrate Outlet</v>
      </c>
      <c r="C278" s="32">
        <v>1</v>
      </c>
      <c r="D278" s="48">
        <v>9</v>
      </c>
      <c r="E278" s="48">
        <v>9</v>
      </c>
      <c r="F278" s="18" t="s">
        <v>771</v>
      </c>
      <c r="G278" s="22" t="s">
        <v>772</v>
      </c>
      <c r="H278" s="22" t="s">
        <v>773</v>
      </c>
      <c r="I278" s="18">
        <v>5</v>
      </c>
      <c r="J278" s="18" t="s">
        <v>774</v>
      </c>
      <c r="K278" s="22" t="s">
        <v>448</v>
      </c>
      <c r="L278" s="22" t="s">
        <v>761</v>
      </c>
      <c r="M278" s="22" t="s">
        <v>776</v>
      </c>
      <c r="N278" s="22" t="s">
        <v>777</v>
      </c>
      <c r="O278" s="77" t="str">
        <f t="shared" si="40"/>
        <v>PASS</v>
      </c>
      <c r="P278" s="78"/>
      <c r="Q278" s="23" t="str">
        <f t="shared" si="41"/>
        <v>PASS</v>
      </c>
    </row>
    <row r="279" spans="1:17" ht="32" x14ac:dyDescent="0.2">
      <c r="A279" s="18" t="str">
        <f>'Part names'!$A$72</f>
        <v>X-130</v>
      </c>
      <c r="B279" s="39" t="str">
        <f>'Part names'!$B$72</f>
        <v>Sample Valves</v>
      </c>
      <c r="C279" s="32">
        <v>1</v>
      </c>
      <c r="D279" s="48">
        <v>18</v>
      </c>
      <c r="E279" s="48">
        <v>18</v>
      </c>
      <c r="F279" s="18" t="s">
        <v>771</v>
      </c>
      <c r="G279" s="22" t="s">
        <v>772</v>
      </c>
      <c r="H279" s="22" t="s">
        <v>248</v>
      </c>
      <c r="I279" s="18">
        <v>5</v>
      </c>
      <c r="J279" s="18" t="s">
        <v>774</v>
      </c>
      <c r="K279" s="22" t="s">
        <v>1231</v>
      </c>
      <c r="L279" s="39" t="s">
        <v>358</v>
      </c>
      <c r="M279" s="22" t="s">
        <v>892</v>
      </c>
      <c r="N279" s="39" t="s">
        <v>1232</v>
      </c>
      <c r="O279" s="77" t="str">
        <f t="shared" si="40"/>
        <v>PASS</v>
      </c>
      <c r="P279" s="78"/>
      <c r="Q279" s="23" t="str">
        <f t="shared" si="41"/>
        <v>PASS</v>
      </c>
    </row>
    <row r="280" spans="1:17" ht="39" x14ac:dyDescent="0.2">
      <c r="A280" s="18" t="str">
        <f>'Part names'!$A$31</f>
        <v>X-131</v>
      </c>
      <c r="B280" s="39" t="str">
        <f>'Part names'!$B$31</f>
        <v>Flexmount Connectors</v>
      </c>
      <c r="C280" s="32">
        <v>1</v>
      </c>
      <c r="D280" s="48">
        <v>1</v>
      </c>
      <c r="E280" s="48">
        <v>1</v>
      </c>
      <c r="F280" s="18" t="s">
        <v>771</v>
      </c>
      <c r="G280" s="22" t="s">
        <v>772</v>
      </c>
      <c r="H280" s="22" t="s">
        <v>773</v>
      </c>
      <c r="I280" s="18">
        <v>5</v>
      </c>
      <c r="J280" s="18" t="s">
        <v>774</v>
      </c>
      <c r="K280" s="22" t="s">
        <v>1233</v>
      </c>
      <c r="L280" s="22" t="s">
        <v>761</v>
      </c>
      <c r="M280" s="22" t="s">
        <v>776</v>
      </c>
      <c r="N280" s="22" t="s">
        <v>777</v>
      </c>
      <c r="O280" s="77" t="str">
        <f t="shared" si="40"/>
        <v>PASS</v>
      </c>
      <c r="P280" s="78"/>
      <c r="Q280" s="23" t="str">
        <f t="shared" si="41"/>
        <v>PASS</v>
      </c>
    </row>
    <row r="281" spans="1:17" ht="32" x14ac:dyDescent="0.2">
      <c r="A281" s="18" t="str">
        <f>'Part names'!$A$58</f>
        <v>X-132</v>
      </c>
      <c r="B281" s="39" t="str">
        <f>'Part names'!$B$58 &amp; "  · 2.3 m dia x 2.4 m"</f>
        <v>Painted Carbon Steel Skid Frame  · 2.3 m dia x 2.4 m</v>
      </c>
      <c r="C281" s="32">
        <v>1</v>
      </c>
      <c r="D281" s="48">
        <v>40</v>
      </c>
      <c r="E281" s="48">
        <v>40</v>
      </c>
      <c r="F281" s="18" t="s">
        <v>757</v>
      </c>
      <c r="G281" s="22" t="s">
        <v>758</v>
      </c>
      <c r="H281" s="22"/>
      <c r="I281" s="18">
        <v>4</v>
      </c>
      <c r="J281" s="18" t="s">
        <v>774</v>
      </c>
      <c r="K281" s="22" t="s">
        <v>1234</v>
      </c>
      <c r="L281" s="39" t="s">
        <v>1235</v>
      </c>
      <c r="M281" s="22" t="s">
        <v>1236</v>
      </c>
      <c r="N281" s="39" t="s">
        <v>804</v>
      </c>
      <c r="O281" s="77" t="str">
        <f t="shared" si="40"/>
        <v>PASS</v>
      </c>
      <c r="P281" s="78"/>
      <c r="Q281" s="23" t="str">
        <f t="shared" si="41"/>
        <v>PASS</v>
      </c>
    </row>
    <row r="282" spans="1:17" ht="39" collapsed="1" x14ac:dyDescent="0.2">
      <c r="A282" s="18" t="str">
        <f>'Part names'!$A$37</f>
        <v>F-3</v>
      </c>
      <c r="B282" s="39" t="str">
        <f>'Part names'!$B$37 &amp; "  · 364 m² area"</f>
        <v>Grp Membrane Housings  · 364 m² area</v>
      </c>
      <c r="C282" s="32">
        <v>1</v>
      </c>
      <c r="D282" s="48">
        <v>11000</v>
      </c>
      <c r="E282" s="48">
        <v>11000</v>
      </c>
      <c r="F282" s="18" t="s">
        <v>771</v>
      </c>
      <c r="G282" s="22" t="s">
        <v>1237</v>
      </c>
      <c r="H282" s="22" t="s">
        <v>1238</v>
      </c>
      <c r="I282" s="18">
        <v>5</v>
      </c>
      <c r="J282" s="18" t="s">
        <v>774</v>
      </c>
      <c r="K282" s="22" t="s">
        <v>1239</v>
      </c>
      <c r="L282" s="39" t="s">
        <v>802</v>
      </c>
      <c r="M282" s="22" t="s">
        <v>1240</v>
      </c>
      <c r="N282" s="39" t="s">
        <v>804</v>
      </c>
      <c r="O282" s="77" t="str">
        <f t="shared" si="40"/>
        <v>PASS</v>
      </c>
      <c r="P282" s="78"/>
      <c r="Q282" s="23" t="str">
        <f t="shared" si="41"/>
        <v>PASS</v>
      </c>
    </row>
    <row r="283" spans="1:17" ht="16" hidden="1" outlineLevel="1" x14ac:dyDescent="0.2">
      <c r="A283" s="18" t="s">
        <v>805</v>
      </c>
      <c r="B283" s="39" t="s">
        <v>806</v>
      </c>
      <c r="C283" s="32">
        <v>1</v>
      </c>
      <c r="D283" s="18" t="s">
        <v>807</v>
      </c>
      <c r="E283" s="18" t="s">
        <v>374</v>
      </c>
      <c r="F283" s="18" t="s">
        <v>757</v>
      </c>
      <c r="G283" s="22" t="s">
        <v>808</v>
      </c>
      <c r="H283" s="22"/>
      <c r="I283" s="18">
        <v>4</v>
      </c>
      <c r="J283" s="18" t="s">
        <v>774</v>
      </c>
      <c r="O283" s="77" t="str">
        <f t="shared" ref="O283:O292" si="42">IF(AND(LEN(TRIM($B283&amp;""))&gt;0,LEN(TRIM($P283&amp;""))=0),"PASS","FAIL — "&amp;IF(LEN(TRIM($P283&amp;""))&gt;0,TRIM($P283&amp;""),"line ≠ qty×unit, a required cell empty, or qty/£ non-positive"))</f>
        <v>PASS</v>
      </c>
      <c r="P283" s="78"/>
      <c r="Q283" s="23" t="str">
        <f t="shared" ref="Q283:Q292" si="43">IF(AND(LEN(TRIM(B283&amp;""))&gt;0,TRIM(B283&amp;"")&lt;&gt;"—",LEN(TRIM(C283&amp;""))&gt;0,TRIM(C283&amp;"")&lt;&gt;"—",ISNUMBER(C283),LEN(TRIM(F283&amp;""))&gt;0,TRIM(F283&amp;"")&lt;&gt;"—",LEN(TRIM(I283&amp;""))&gt;0,TRIM(I283&amp;"")&lt;&gt;"—",LEN(TRIM(J283&amp;""))&gt;0,TRIM(J283&amp;"")&lt;&gt;"—",LEN(TRIM(O283&amp;""))&gt;0,TRIM(O283&amp;"")&lt;&gt;"—"),"PASS","⚠ FAIL — "&amp;"a required cell is empty/placeholder or wrong type")</f>
        <v>PASS</v>
      </c>
    </row>
    <row r="284" spans="1:17" ht="16" hidden="1" outlineLevel="1" x14ac:dyDescent="0.2">
      <c r="A284" s="18" t="s">
        <v>809</v>
      </c>
      <c r="B284" s="39" t="s">
        <v>810</v>
      </c>
      <c r="C284" s="32">
        <v>1</v>
      </c>
      <c r="D284" s="18" t="s">
        <v>807</v>
      </c>
      <c r="E284" s="18" t="s">
        <v>374</v>
      </c>
      <c r="F284" s="18" t="s">
        <v>757</v>
      </c>
      <c r="G284" s="22" t="s">
        <v>808</v>
      </c>
      <c r="H284" s="22"/>
      <c r="I284" s="18">
        <v>4</v>
      </c>
      <c r="J284" s="18" t="s">
        <v>774</v>
      </c>
      <c r="O284" s="77" t="str">
        <f t="shared" si="42"/>
        <v>PASS</v>
      </c>
      <c r="P284" s="78"/>
      <c r="Q284" s="23" t="str">
        <f t="shared" si="43"/>
        <v>PASS</v>
      </c>
    </row>
    <row r="285" spans="1:17" ht="16" hidden="1" outlineLevel="1" x14ac:dyDescent="0.2">
      <c r="A285" s="18" t="s">
        <v>811</v>
      </c>
      <c r="B285" s="39" t="s">
        <v>812</v>
      </c>
      <c r="C285" s="32">
        <v>1</v>
      </c>
      <c r="D285" s="18" t="s">
        <v>807</v>
      </c>
      <c r="E285" s="18" t="s">
        <v>374</v>
      </c>
      <c r="F285" s="18" t="s">
        <v>771</v>
      </c>
      <c r="G285" s="22" t="s">
        <v>808</v>
      </c>
      <c r="H285" s="22"/>
      <c r="I285" s="18">
        <v>5</v>
      </c>
      <c r="J285" s="18" t="s">
        <v>774</v>
      </c>
      <c r="O285" s="77" t="str">
        <f t="shared" si="42"/>
        <v>PASS</v>
      </c>
      <c r="P285" s="78"/>
      <c r="Q285" s="23" t="str">
        <f t="shared" si="43"/>
        <v>PASS</v>
      </c>
    </row>
    <row r="286" spans="1:17" ht="16" hidden="1" outlineLevel="1" x14ac:dyDescent="0.2">
      <c r="A286" s="18" t="s">
        <v>813</v>
      </c>
      <c r="B286" s="39" t="s">
        <v>814</v>
      </c>
      <c r="C286" s="32">
        <v>1</v>
      </c>
      <c r="D286" s="18" t="s">
        <v>807</v>
      </c>
      <c r="E286" s="18" t="s">
        <v>374</v>
      </c>
      <c r="F286" s="18" t="s">
        <v>771</v>
      </c>
      <c r="G286" s="22" t="s">
        <v>808</v>
      </c>
      <c r="H286" s="22"/>
      <c r="I286" s="18">
        <v>5</v>
      </c>
      <c r="J286" s="18" t="s">
        <v>774</v>
      </c>
      <c r="O286" s="77" t="str">
        <f t="shared" si="42"/>
        <v>PASS</v>
      </c>
      <c r="P286" s="78"/>
      <c r="Q286" s="23" t="str">
        <f t="shared" si="43"/>
        <v>PASS</v>
      </c>
    </row>
    <row r="287" spans="1:17" ht="16" hidden="1" outlineLevel="1" x14ac:dyDescent="0.2">
      <c r="A287" s="18" t="s">
        <v>815</v>
      </c>
      <c r="B287" s="39" t="s">
        <v>816</v>
      </c>
      <c r="C287" s="32">
        <v>1</v>
      </c>
      <c r="D287" s="18" t="s">
        <v>807</v>
      </c>
      <c r="E287" s="18" t="s">
        <v>374</v>
      </c>
      <c r="F287" s="18" t="s">
        <v>757</v>
      </c>
      <c r="G287" s="22" t="s">
        <v>808</v>
      </c>
      <c r="H287" s="22"/>
      <c r="I287" s="18">
        <v>4</v>
      </c>
      <c r="J287" s="18" t="s">
        <v>774</v>
      </c>
      <c r="O287" s="77" t="str">
        <f t="shared" si="42"/>
        <v>PASS</v>
      </c>
      <c r="P287" s="78"/>
      <c r="Q287" s="23" t="str">
        <f t="shared" si="43"/>
        <v>PASS</v>
      </c>
    </row>
    <row r="288" spans="1:17" ht="16" hidden="1" outlineLevel="1" x14ac:dyDescent="0.2">
      <c r="A288" s="18" t="s">
        <v>817</v>
      </c>
      <c r="B288" s="39" t="s">
        <v>818</v>
      </c>
      <c r="C288" s="32">
        <v>1</v>
      </c>
      <c r="D288" s="18" t="s">
        <v>807</v>
      </c>
      <c r="E288" s="18" t="s">
        <v>374</v>
      </c>
      <c r="F288" s="18" t="s">
        <v>771</v>
      </c>
      <c r="G288" s="22" t="s">
        <v>808</v>
      </c>
      <c r="H288" s="22"/>
      <c r="I288" s="18">
        <v>5</v>
      </c>
      <c r="J288" s="18" t="s">
        <v>774</v>
      </c>
      <c r="O288" s="77" t="str">
        <f t="shared" si="42"/>
        <v>PASS</v>
      </c>
      <c r="P288" s="78"/>
      <c r="Q288" s="23" t="str">
        <f t="shared" si="43"/>
        <v>PASS</v>
      </c>
    </row>
    <row r="289" spans="1:17" ht="16" hidden="1" outlineLevel="1" x14ac:dyDescent="0.2">
      <c r="A289" s="18" t="s">
        <v>819</v>
      </c>
      <c r="B289" s="39" t="s">
        <v>820</v>
      </c>
      <c r="C289" s="32">
        <v>1</v>
      </c>
      <c r="D289" s="18" t="s">
        <v>807</v>
      </c>
      <c r="E289" s="18" t="s">
        <v>374</v>
      </c>
      <c r="F289" s="18" t="s">
        <v>771</v>
      </c>
      <c r="G289" s="22" t="s">
        <v>808</v>
      </c>
      <c r="H289" s="22"/>
      <c r="I289" s="18">
        <v>5</v>
      </c>
      <c r="J289" s="18" t="s">
        <v>774</v>
      </c>
      <c r="O289" s="77" t="str">
        <f t="shared" si="42"/>
        <v>PASS</v>
      </c>
      <c r="P289" s="78"/>
      <c r="Q289" s="23" t="str">
        <f t="shared" si="43"/>
        <v>PASS</v>
      </c>
    </row>
    <row r="290" spans="1:17" ht="16" hidden="1" outlineLevel="1" x14ac:dyDescent="0.2">
      <c r="A290" s="18" t="s">
        <v>821</v>
      </c>
      <c r="B290" s="39" t="s">
        <v>822</v>
      </c>
      <c r="C290" s="32">
        <v>1</v>
      </c>
      <c r="D290" s="18" t="s">
        <v>807</v>
      </c>
      <c r="E290" s="18" t="s">
        <v>374</v>
      </c>
      <c r="F290" s="18" t="s">
        <v>757</v>
      </c>
      <c r="G290" s="22" t="s">
        <v>808</v>
      </c>
      <c r="H290" s="22"/>
      <c r="I290" s="18">
        <v>4</v>
      </c>
      <c r="J290" s="18" t="s">
        <v>774</v>
      </c>
      <c r="O290" s="77" t="str">
        <f t="shared" si="42"/>
        <v>PASS</v>
      </c>
      <c r="P290" s="78"/>
      <c r="Q290" s="23" t="str">
        <f t="shared" si="43"/>
        <v>PASS</v>
      </c>
    </row>
    <row r="291" spans="1:17" ht="16" hidden="1" outlineLevel="1" x14ac:dyDescent="0.2">
      <c r="A291" s="18" t="s">
        <v>823</v>
      </c>
      <c r="B291" s="39" t="s">
        <v>824</v>
      </c>
      <c r="C291" s="32">
        <v>1</v>
      </c>
      <c r="D291" s="18" t="s">
        <v>807</v>
      </c>
      <c r="E291" s="18" t="s">
        <v>374</v>
      </c>
      <c r="F291" s="18" t="s">
        <v>757</v>
      </c>
      <c r="G291" s="22" t="s">
        <v>808</v>
      </c>
      <c r="H291" s="22"/>
      <c r="I291" s="18">
        <v>4</v>
      </c>
      <c r="J291" s="18" t="s">
        <v>774</v>
      </c>
      <c r="O291" s="77" t="str">
        <f t="shared" si="42"/>
        <v>PASS</v>
      </c>
      <c r="P291" s="78"/>
      <c r="Q291" s="23" t="str">
        <f t="shared" si="43"/>
        <v>PASS</v>
      </c>
    </row>
    <row r="292" spans="1:17" ht="16" hidden="1" outlineLevel="1" x14ac:dyDescent="0.2">
      <c r="A292" s="18" t="s">
        <v>825</v>
      </c>
      <c r="B292" s="39" t="s">
        <v>826</v>
      </c>
      <c r="C292" s="32">
        <v>1</v>
      </c>
      <c r="D292" s="18" t="s">
        <v>807</v>
      </c>
      <c r="E292" s="18" t="s">
        <v>374</v>
      </c>
      <c r="F292" s="18" t="s">
        <v>771</v>
      </c>
      <c r="G292" s="22" t="s">
        <v>808</v>
      </c>
      <c r="H292" s="22"/>
      <c r="I292" s="18">
        <v>5</v>
      </c>
      <c r="J292" s="18" t="s">
        <v>774</v>
      </c>
      <c r="O292" s="77" t="str">
        <f t="shared" si="42"/>
        <v>PASS</v>
      </c>
      <c r="P292" s="78"/>
      <c r="Q292" s="23" t="str">
        <f t="shared" si="43"/>
        <v>PASS</v>
      </c>
    </row>
    <row r="293" spans="1:17" ht="32" x14ac:dyDescent="0.2">
      <c r="A293" s="18" t="str">
        <f>'Part names'!$A$59</f>
        <v>X-133</v>
      </c>
      <c r="B293" s="39" t="str">
        <f>'Part names'!$B$59 &amp; "  · 2.3 m dia x 2.4 m"</f>
        <v>Painted Steel Skid Frame  · 2.3 m dia x 2.4 m</v>
      </c>
      <c r="C293" s="32">
        <v>1</v>
      </c>
      <c r="D293" s="48">
        <v>40</v>
      </c>
      <c r="E293" s="48">
        <v>40</v>
      </c>
      <c r="F293" s="18" t="s">
        <v>757</v>
      </c>
      <c r="G293" s="22" t="s">
        <v>758</v>
      </c>
      <c r="H293" s="22"/>
      <c r="I293" s="18">
        <v>4</v>
      </c>
      <c r="J293" s="18" t="s">
        <v>774</v>
      </c>
      <c r="K293" s="22" t="s">
        <v>1241</v>
      </c>
      <c r="L293" s="39" t="s">
        <v>1235</v>
      </c>
      <c r="M293" s="22" t="s">
        <v>1236</v>
      </c>
      <c r="N293" s="39" t="s">
        <v>804</v>
      </c>
      <c r="O293" s="77" t="str">
        <f t="shared" ref="O293:O308" si="44">IF(AND(LEN(TRIM($B293&amp;""))&gt;0,ISNUMBER($C293),$C293&gt;0,ISNUMBER($D293),$D293&gt;0,ISNUMBER($E293),$E293&gt;0,ABS($E293-$C293*$D293)&lt;=MAX(1,0.005*ABS($E293)),LEN(TRIM($M293&amp;""))&gt;0,TRIM($M293&amp;"")&lt;&gt;"—",LEN(TRIM($P293&amp;""))=0),"PASS","FAIL — "&amp;IF(LEN(TRIM($P293&amp;""))&gt;0,TRIM($P293&amp;""),"line ≠ qty×unit, a required cell empty, or qty/£ non-positive"))</f>
        <v>PASS</v>
      </c>
      <c r="P293" s="78"/>
      <c r="Q293" s="23" t="str">
        <f t="shared" ref="Q293:Q308" si="45">IF(AND(LEN(TRIM(A293&amp;""))&gt;0,TRIM(A293&amp;"")&lt;&gt;"—",LEN(TRIM(B293&amp;""))&gt;0,TRIM(B293&amp;"")&lt;&gt;"—",LEN(TRIM(C293&amp;""))&gt;0,TRIM(C293&amp;"")&lt;&gt;"—",ISNUMBER(C293),LEN(TRIM(D293&amp;""))&gt;0,TRIM(D293&amp;"")&lt;&gt;"—",ISNUMBER(D293),LEN(TRIM(E293&amp;""))&gt;0,TRIM(E293&amp;"")&lt;&gt;"—",ISNUMBER(E293),LEN(TRIM(F293&amp;""))&gt;0,TRIM(F293&amp;"")&lt;&gt;"—",LEN(TRIM(I293&amp;""))&gt;0,TRIM(I293&amp;"")&lt;&gt;"—",LEN(TRIM(J293&amp;""))&gt;0,TRIM(J293&amp;"")&lt;&gt;"—",LEN(TRIM(O293&amp;""))&gt;0,TRIM(O293&amp;"")&lt;&gt;"—"),"PASS","⚠ FAIL — "&amp;"a required cell is empty/placeholder or wrong type")</f>
        <v>PASS</v>
      </c>
    </row>
    <row r="294" spans="1:17" ht="32" x14ac:dyDescent="0.2">
      <c r="A294" s="18" t="str">
        <f>'Part names'!$A$77</f>
        <v>X-134</v>
      </c>
      <c r="B294" s="39" t="str">
        <f>'Part names'!$B$77 &amp; "  · 2.3 m dia x 2.4 m"</f>
        <v>Sst304 Skid Frame  · 2.3 m dia x 2.4 m</v>
      </c>
      <c r="C294" s="32">
        <v>1</v>
      </c>
      <c r="D294" s="48">
        <v>40</v>
      </c>
      <c r="E294" s="48">
        <v>40</v>
      </c>
      <c r="F294" s="18" t="s">
        <v>757</v>
      </c>
      <c r="G294" s="22" t="s">
        <v>758</v>
      </c>
      <c r="H294" s="22"/>
      <c r="I294" s="18">
        <v>4</v>
      </c>
      <c r="J294" s="18" t="s">
        <v>774</v>
      </c>
      <c r="K294" s="22" t="s">
        <v>1242</v>
      </c>
      <c r="L294" s="39" t="s">
        <v>1243</v>
      </c>
      <c r="M294" s="22" t="s">
        <v>1236</v>
      </c>
      <c r="N294" s="39" t="s">
        <v>804</v>
      </c>
      <c r="O294" s="77" t="str">
        <f t="shared" si="44"/>
        <v>PASS</v>
      </c>
      <c r="P294" s="78"/>
      <c r="Q294" s="23" t="str">
        <f t="shared" si="45"/>
        <v>PASS</v>
      </c>
    </row>
    <row r="295" spans="1:17" ht="39" x14ac:dyDescent="0.2">
      <c r="A295" s="18" t="str">
        <f>'Part names'!$A$48</f>
        <v>X-135</v>
      </c>
      <c r="B295" s="39" t="str">
        <f>'Part names'!$B$48</f>
        <v>Leveling Feet</v>
      </c>
      <c r="C295" s="32">
        <v>1</v>
      </c>
      <c r="D295" s="48">
        <v>3</v>
      </c>
      <c r="E295" s="48">
        <v>3</v>
      </c>
      <c r="F295" s="18" t="s">
        <v>771</v>
      </c>
      <c r="G295" s="22" t="s">
        <v>772</v>
      </c>
      <c r="H295" s="22" t="s">
        <v>773</v>
      </c>
      <c r="I295" s="18">
        <v>5</v>
      </c>
      <c r="J295" s="18" t="s">
        <v>774</v>
      </c>
      <c r="K295" s="22" t="s">
        <v>1244</v>
      </c>
      <c r="L295" s="22" t="s">
        <v>761</v>
      </c>
      <c r="M295" s="22" t="s">
        <v>1245</v>
      </c>
      <c r="N295" s="22" t="s">
        <v>777</v>
      </c>
      <c r="O295" s="77" t="str">
        <f t="shared" si="44"/>
        <v>PASS</v>
      </c>
      <c r="P295" s="78"/>
      <c r="Q295" s="23" t="str">
        <f t="shared" si="45"/>
        <v>PASS</v>
      </c>
    </row>
    <row r="296" spans="1:17" ht="39" x14ac:dyDescent="0.2">
      <c r="A296" s="18" t="str">
        <f>'Part names'!$A$83</f>
        <v>TX-101</v>
      </c>
      <c r="B296" s="39" t="str">
        <f>'Part names'!$B$83 &amp; "  · 75 kW · 1090x927x1199 mm"</f>
        <v>Transformer  · 75 kW · 1090x927x1199 mm</v>
      </c>
      <c r="C296" s="32">
        <v>1</v>
      </c>
      <c r="D296" s="48">
        <v>3000</v>
      </c>
      <c r="E296" s="48">
        <v>3000</v>
      </c>
      <c r="F296" s="18" t="s">
        <v>771</v>
      </c>
      <c r="G296" s="22" t="s">
        <v>793</v>
      </c>
      <c r="H296" s="22" t="s">
        <v>794</v>
      </c>
      <c r="I296" s="18">
        <v>5</v>
      </c>
      <c r="J296" s="18" t="s">
        <v>774</v>
      </c>
      <c r="K296" s="22" t="s">
        <v>1246</v>
      </c>
      <c r="L296" s="22" t="s">
        <v>761</v>
      </c>
      <c r="M296" s="22" t="s">
        <v>1247</v>
      </c>
      <c r="N296" s="79" t="s">
        <v>1248</v>
      </c>
      <c r="O296" s="77" t="str">
        <f t="shared" si="44"/>
        <v>PASS</v>
      </c>
      <c r="P296" s="78"/>
      <c r="Q296" s="23" t="str">
        <f t="shared" si="45"/>
        <v>PASS</v>
      </c>
    </row>
    <row r="297" spans="1:17" ht="32" x14ac:dyDescent="0.2">
      <c r="A297" s="18" t="str">
        <f>'Part names'!$A$67</f>
        <v>V-109</v>
      </c>
      <c r="B297" s="39" t="str">
        <f>'Part names'!$B$67 &amp; "  · 4 kW · 600x510x660 mm"</f>
        <v>Pressure Relief Valve  · 4 kW · 600x510x660 mm</v>
      </c>
      <c r="C297" s="32">
        <v>1</v>
      </c>
      <c r="D297" s="48">
        <v>18</v>
      </c>
      <c r="E297" s="48">
        <v>18</v>
      </c>
      <c r="F297" s="18" t="s">
        <v>771</v>
      </c>
      <c r="G297" s="22" t="s">
        <v>772</v>
      </c>
      <c r="H297" s="22" t="s">
        <v>248</v>
      </c>
      <c r="I297" s="18">
        <v>5</v>
      </c>
      <c r="J297" s="18" t="s">
        <v>774</v>
      </c>
      <c r="K297" s="22" t="s">
        <v>1249</v>
      </c>
      <c r="L297" s="39" t="s">
        <v>358</v>
      </c>
      <c r="M297" s="22" t="s">
        <v>892</v>
      </c>
      <c r="N297" s="39" t="s">
        <v>1250</v>
      </c>
      <c r="O297" s="77" t="str">
        <f t="shared" si="44"/>
        <v>PASS</v>
      </c>
      <c r="P297" s="78"/>
      <c r="Q297" s="23" t="str">
        <f t="shared" si="45"/>
        <v>PASS</v>
      </c>
    </row>
    <row r="298" spans="1:17" ht="39" x14ac:dyDescent="0.2">
      <c r="A298" s="18" t="str">
        <f>'Part names'!$A$49</f>
        <v>I-111</v>
      </c>
      <c r="B298" s="39" t="str">
        <f>'Part names'!$B$49</f>
        <v>Low Pressure Switch</v>
      </c>
      <c r="C298" s="32">
        <v>1</v>
      </c>
      <c r="D298" s="48">
        <v>76</v>
      </c>
      <c r="E298" s="48">
        <v>76</v>
      </c>
      <c r="F298" s="18" t="s">
        <v>757</v>
      </c>
      <c r="G298" s="22" t="s">
        <v>758</v>
      </c>
      <c r="H298" s="22" t="s">
        <v>248</v>
      </c>
      <c r="I298" s="18">
        <v>4</v>
      </c>
      <c r="J298" s="18" t="s">
        <v>760</v>
      </c>
      <c r="K298" s="22" t="s">
        <v>1251</v>
      </c>
      <c r="L298" s="22" t="s">
        <v>761</v>
      </c>
      <c r="M298" s="22" t="s">
        <v>248</v>
      </c>
      <c r="N298" s="39" t="s">
        <v>1252</v>
      </c>
      <c r="O298" s="77" t="str">
        <f t="shared" si="44"/>
        <v>PASS</v>
      </c>
      <c r="P298" s="78"/>
      <c r="Q298" s="23" t="str">
        <f t="shared" si="45"/>
        <v>PASS</v>
      </c>
    </row>
    <row r="299" spans="1:17" ht="39" x14ac:dyDescent="0.2">
      <c r="A299" s="18" t="str">
        <f>'Part names'!$A$40</f>
        <v>I-112</v>
      </c>
      <c r="B299" s="39" t="str">
        <f>'Part names'!$B$40</f>
        <v>High Pressure Switch</v>
      </c>
      <c r="C299" s="32">
        <v>1</v>
      </c>
      <c r="D299" s="48">
        <v>76</v>
      </c>
      <c r="E299" s="48">
        <v>76</v>
      </c>
      <c r="F299" s="18" t="s">
        <v>757</v>
      </c>
      <c r="G299" s="22" t="s">
        <v>758</v>
      </c>
      <c r="H299" s="22" t="s">
        <v>248</v>
      </c>
      <c r="I299" s="18">
        <v>4</v>
      </c>
      <c r="J299" s="18" t="s">
        <v>760</v>
      </c>
      <c r="K299" s="22" t="s">
        <v>1253</v>
      </c>
      <c r="L299" s="22" t="s">
        <v>761</v>
      </c>
      <c r="M299" s="22" t="s">
        <v>248</v>
      </c>
      <c r="N299" s="39" t="s">
        <v>1254</v>
      </c>
      <c r="O299" s="77" t="str">
        <f t="shared" si="44"/>
        <v>PASS</v>
      </c>
      <c r="P299" s="78"/>
      <c r="Q299" s="23" t="str">
        <f t="shared" si="45"/>
        <v>PASS</v>
      </c>
    </row>
    <row r="300" spans="1:17" ht="39" x14ac:dyDescent="0.2">
      <c r="A300" s="18" t="str">
        <f>'Part names'!$A$27</f>
        <v>X-136 / X-139</v>
      </c>
      <c r="B300" s="39" t="str">
        <f>'Part names'!$B$27</f>
        <v>Emergency Stop</v>
      </c>
      <c r="C300" s="32">
        <v>2</v>
      </c>
      <c r="D300" s="48">
        <v>40</v>
      </c>
      <c r="E300" s="48">
        <v>80</v>
      </c>
      <c r="F300" s="18" t="s">
        <v>757</v>
      </c>
      <c r="G300" s="22" t="s">
        <v>758</v>
      </c>
      <c r="H300" s="22" t="s">
        <v>759</v>
      </c>
      <c r="I300" s="18">
        <v>4</v>
      </c>
      <c r="J300" s="18" t="s">
        <v>760</v>
      </c>
      <c r="K300" s="22" t="s">
        <v>1255</v>
      </c>
      <c r="L300" s="22" t="s">
        <v>761</v>
      </c>
      <c r="M300" s="22" t="s">
        <v>762</v>
      </c>
      <c r="N300" s="39" t="s">
        <v>1256</v>
      </c>
      <c r="O300" s="77" t="str">
        <f t="shared" si="44"/>
        <v>PASS</v>
      </c>
      <c r="P300" s="78"/>
      <c r="Q300" s="23" t="str">
        <f t="shared" si="45"/>
        <v>PASS</v>
      </c>
    </row>
    <row r="301" spans="1:17" ht="39" x14ac:dyDescent="0.2">
      <c r="A301" s="18" t="str">
        <f>'Part names'!$A$25</f>
        <v>I-102</v>
      </c>
      <c r="B301" s="39" t="str">
        <f>'Part names'!$B$25</f>
        <v>Electrical Control Cabinet</v>
      </c>
      <c r="C301" s="32">
        <v>1</v>
      </c>
      <c r="D301" s="48">
        <v>8023</v>
      </c>
      <c r="E301" s="48">
        <v>8023</v>
      </c>
      <c r="F301" s="18" t="s">
        <v>757</v>
      </c>
      <c r="G301" s="22" t="s">
        <v>1257</v>
      </c>
      <c r="H301" s="22" t="s">
        <v>1006</v>
      </c>
      <c r="I301" s="18">
        <v>4</v>
      </c>
      <c r="J301" s="18" t="s">
        <v>774</v>
      </c>
      <c r="K301" s="22" t="s">
        <v>346</v>
      </c>
      <c r="L301" s="39" t="s">
        <v>348</v>
      </c>
      <c r="M301" s="22" t="s">
        <v>1258</v>
      </c>
      <c r="N301" s="39" t="s">
        <v>1259</v>
      </c>
      <c r="O301" s="77" t="str">
        <f t="shared" si="44"/>
        <v>PASS</v>
      </c>
      <c r="P301" s="78"/>
      <c r="Q301" s="23" t="str">
        <f t="shared" si="45"/>
        <v>PASS</v>
      </c>
    </row>
    <row r="302" spans="1:17" ht="39" x14ac:dyDescent="0.2">
      <c r="A302" s="18" t="str">
        <f>'Part names'!$A$8</f>
        <v>X-137</v>
      </c>
      <c r="B302" s="39" t="str">
        <f>'Part names'!$B$8</f>
        <v>Cable Trays</v>
      </c>
      <c r="C302" s="32">
        <v>1</v>
      </c>
      <c r="D302" s="48">
        <v>45</v>
      </c>
      <c r="E302" s="48">
        <v>45</v>
      </c>
      <c r="F302" s="18" t="s">
        <v>757</v>
      </c>
      <c r="G302" s="22" t="s">
        <v>758</v>
      </c>
      <c r="H302" s="22" t="s">
        <v>248</v>
      </c>
      <c r="I302" s="18">
        <v>4</v>
      </c>
      <c r="J302" s="18" t="s">
        <v>774</v>
      </c>
      <c r="K302" s="22" t="s">
        <v>1260</v>
      </c>
      <c r="L302" s="22" t="s">
        <v>761</v>
      </c>
      <c r="M302" s="22" t="s">
        <v>248</v>
      </c>
      <c r="N302" s="39" t="s">
        <v>1261</v>
      </c>
      <c r="O302" s="77" t="str">
        <f t="shared" si="44"/>
        <v>PASS</v>
      </c>
      <c r="P302" s="78"/>
      <c r="Q302" s="23" t="str">
        <f t="shared" si="45"/>
        <v>PASS</v>
      </c>
    </row>
    <row r="303" spans="1:17" ht="39" x14ac:dyDescent="0.2">
      <c r="A303" s="18" t="str">
        <f>'Part names'!$A$57</f>
        <v>X-138</v>
      </c>
      <c r="B303" s="39" t="str">
        <f>'Part names'!$B$57</f>
        <v>Overcurrent Protection</v>
      </c>
      <c r="C303" s="32">
        <v>1</v>
      </c>
      <c r="D303" s="48">
        <v>6</v>
      </c>
      <c r="E303" s="48">
        <v>6</v>
      </c>
      <c r="F303" s="18" t="s">
        <v>757</v>
      </c>
      <c r="G303" s="22" t="s">
        <v>758</v>
      </c>
      <c r="H303" s="22" t="s">
        <v>248</v>
      </c>
      <c r="I303" s="18">
        <v>4</v>
      </c>
      <c r="J303" s="18" t="s">
        <v>774</v>
      </c>
      <c r="K303" s="22" t="s">
        <v>1262</v>
      </c>
      <c r="L303" s="22" t="s">
        <v>761</v>
      </c>
      <c r="M303" s="22" t="s">
        <v>248</v>
      </c>
      <c r="N303" s="39" t="s">
        <v>1263</v>
      </c>
      <c r="O303" s="77" t="str">
        <f t="shared" si="44"/>
        <v>PASS</v>
      </c>
      <c r="P303" s="78"/>
      <c r="Q303" s="23" t="str">
        <f t="shared" si="45"/>
        <v>PASS</v>
      </c>
    </row>
    <row r="304" spans="1:17" ht="39" x14ac:dyDescent="0.2">
      <c r="A304" s="18" t="str">
        <f>'Part names'!$A$46</f>
        <v>I-113</v>
      </c>
      <c r="B304" s="39" t="str">
        <f>'Part names'!$B$46</f>
        <v>Leak Detection Sensor</v>
      </c>
      <c r="C304" s="32">
        <v>1</v>
      </c>
      <c r="D304" s="48">
        <v>12</v>
      </c>
      <c r="E304" s="48">
        <v>12</v>
      </c>
      <c r="F304" s="18" t="s">
        <v>757</v>
      </c>
      <c r="G304" s="22" t="s">
        <v>758</v>
      </c>
      <c r="H304" s="22" t="s">
        <v>248</v>
      </c>
      <c r="I304" s="18">
        <v>4</v>
      </c>
      <c r="J304" s="18" t="s">
        <v>774</v>
      </c>
      <c r="K304" s="22" t="s">
        <v>1264</v>
      </c>
      <c r="L304" s="22" t="s">
        <v>761</v>
      </c>
      <c r="M304" s="22" t="s">
        <v>248</v>
      </c>
      <c r="N304" s="39" t="s">
        <v>1265</v>
      </c>
      <c r="O304" s="77" t="str">
        <f t="shared" si="44"/>
        <v>PASS</v>
      </c>
      <c r="P304" s="78"/>
      <c r="Q304" s="23" t="str">
        <f t="shared" si="45"/>
        <v>PASS</v>
      </c>
    </row>
    <row r="305" spans="1:17" ht="39" x14ac:dyDescent="0.2">
      <c r="A305" s="18" t="str">
        <f>'Part names'!$A$54</f>
        <v>X-140</v>
      </c>
      <c r="B305" s="39" t="str">
        <f>'Part names'!$B$54</f>
        <v>Motor Overload Protection</v>
      </c>
      <c r="C305" s="32">
        <v>1</v>
      </c>
      <c r="D305" s="48">
        <v>96</v>
      </c>
      <c r="E305" s="48">
        <v>96</v>
      </c>
      <c r="F305" s="18" t="s">
        <v>248</v>
      </c>
      <c r="G305" s="22" t="s">
        <v>764</v>
      </c>
      <c r="H305" s="22" t="s">
        <v>248</v>
      </c>
      <c r="I305" s="18">
        <v>4</v>
      </c>
      <c r="J305" s="18" t="s">
        <v>760</v>
      </c>
      <c r="K305" s="22" t="s">
        <v>1266</v>
      </c>
      <c r="L305" s="22" t="s">
        <v>761</v>
      </c>
      <c r="M305" s="22" t="s">
        <v>248</v>
      </c>
      <c r="N305" s="39" t="s">
        <v>1267</v>
      </c>
      <c r="O305" s="77" t="str">
        <f t="shared" si="44"/>
        <v>PASS</v>
      </c>
      <c r="P305" s="78"/>
      <c r="Q305" s="23" t="str">
        <f t="shared" si="45"/>
        <v>PASS</v>
      </c>
    </row>
    <row r="306" spans="1:17" ht="39" x14ac:dyDescent="0.2">
      <c r="A306" s="18" t="str">
        <f>'Part names'!$A$28</f>
        <v>I-114</v>
      </c>
      <c r="B306" s="39" t="str">
        <f>'Part names'!$B$28</f>
        <v>Emergency Stop Switch</v>
      </c>
      <c r="C306" s="32">
        <v>1</v>
      </c>
      <c r="D306" s="48">
        <v>159</v>
      </c>
      <c r="E306" s="48">
        <v>159</v>
      </c>
      <c r="F306" s="18" t="s">
        <v>248</v>
      </c>
      <c r="G306" s="22" t="s">
        <v>764</v>
      </c>
      <c r="H306" s="22" t="s">
        <v>248</v>
      </c>
      <c r="I306" s="18">
        <v>2</v>
      </c>
      <c r="J306" s="18" t="s">
        <v>765</v>
      </c>
      <c r="K306" s="22" t="s">
        <v>1268</v>
      </c>
      <c r="L306" s="22" t="s">
        <v>761</v>
      </c>
      <c r="M306" s="22" t="s">
        <v>248</v>
      </c>
      <c r="N306" s="39" t="s">
        <v>1269</v>
      </c>
      <c r="O306" s="77" t="str">
        <f t="shared" si="44"/>
        <v>PASS</v>
      </c>
      <c r="P306" s="78"/>
      <c r="Q306" s="23" t="str">
        <f t="shared" si="45"/>
        <v>PASS</v>
      </c>
    </row>
    <row r="307" spans="1:17" ht="39" x14ac:dyDescent="0.2">
      <c r="A307" s="18" t="str">
        <f>'Part names'!$A$7</f>
        <v>X-141</v>
      </c>
      <c r="B307" s="39" t="str">
        <f>'Part names'!$B$7</f>
        <v>Cable Glands</v>
      </c>
      <c r="C307" s="32">
        <v>1</v>
      </c>
      <c r="D307" s="48">
        <v>2</v>
      </c>
      <c r="E307" s="48">
        <v>2</v>
      </c>
      <c r="F307" s="18" t="s">
        <v>757</v>
      </c>
      <c r="G307" s="22" t="s">
        <v>758</v>
      </c>
      <c r="H307" s="22" t="s">
        <v>248</v>
      </c>
      <c r="I307" s="18">
        <v>4</v>
      </c>
      <c r="J307" s="18" t="s">
        <v>760</v>
      </c>
      <c r="K307" s="22" t="s">
        <v>1270</v>
      </c>
      <c r="L307" s="22" t="s">
        <v>761</v>
      </c>
      <c r="M307" s="22" t="s">
        <v>248</v>
      </c>
      <c r="N307" s="39" t="s">
        <v>1271</v>
      </c>
      <c r="O307" s="77" t="str">
        <f t="shared" si="44"/>
        <v>PASS</v>
      </c>
      <c r="P307" s="78"/>
      <c r="Q307" s="23" t="str">
        <f t="shared" si="45"/>
        <v>PASS</v>
      </c>
    </row>
    <row r="308" spans="1:17" ht="65" collapsed="1" x14ac:dyDescent="0.2">
      <c r="A308" s="18" t="str">
        <f>'Part names'!$A$10</f>
        <v>TK-102 / TK-101</v>
      </c>
      <c r="B308" s="39" t="str">
        <f>'Part names'!$B$10 &amp; "  · 1.4 m dia x 1.3 m"</f>
        <v>Cip Tank  · 1.4 m dia x 1.3 m</v>
      </c>
      <c r="C308" s="32">
        <v>2</v>
      </c>
      <c r="D308" s="48">
        <v>4000</v>
      </c>
      <c r="E308" s="48">
        <v>8000</v>
      </c>
      <c r="F308" s="18" t="s">
        <v>757</v>
      </c>
      <c r="G308" s="22" t="s">
        <v>1272</v>
      </c>
      <c r="H308" s="22" t="s">
        <v>1273</v>
      </c>
      <c r="I308" s="18">
        <v>4</v>
      </c>
      <c r="J308" s="18" t="s">
        <v>774</v>
      </c>
      <c r="K308" s="22" t="s">
        <v>1274</v>
      </c>
      <c r="L308" s="39" t="s">
        <v>386</v>
      </c>
      <c r="M308" s="22" t="s">
        <v>1275</v>
      </c>
      <c r="N308" s="39" t="s">
        <v>804</v>
      </c>
      <c r="O308" s="77" t="str">
        <f t="shared" si="44"/>
        <v>PASS</v>
      </c>
      <c r="P308" s="78"/>
      <c r="Q308" s="23" t="str">
        <f t="shared" si="45"/>
        <v>PASS</v>
      </c>
    </row>
    <row r="309" spans="1:17" ht="16" hidden="1" outlineLevel="1" x14ac:dyDescent="0.2">
      <c r="A309" s="18" t="s">
        <v>1276</v>
      </c>
      <c r="B309" s="39" t="s">
        <v>926</v>
      </c>
      <c r="C309" s="32">
        <v>1</v>
      </c>
      <c r="D309" s="18" t="s">
        <v>807</v>
      </c>
      <c r="E309" s="18" t="s">
        <v>374</v>
      </c>
      <c r="F309" s="18" t="s">
        <v>757</v>
      </c>
      <c r="G309" s="22" t="s">
        <v>808</v>
      </c>
      <c r="H309" s="22"/>
      <c r="I309" s="18">
        <v>4</v>
      </c>
      <c r="J309" s="18" t="s">
        <v>774</v>
      </c>
      <c r="O309" s="77" t="str">
        <f t="shared" ref="O309:O319" si="46">IF(AND(LEN(TRIM($B309&amp;""))&gt;0,LEN(TRIM($P309&amp;""))=0),"PASS","FAIL — "&amp;IF(LEN(TRIM($P309&amp;""))&gt;0,TRIM($P309&amp;""),"line ≠ qty×unit, a required cell empty, or qty/£ non-positive"))</f>
        <v>PASS</v>
      </c>
      <c r="P309" s="78"/>
      <c r="Q309" s="23" t="str">
        <f t="shared" ref="Q309:Q319" si="47">IF(AND(LEN(TRIM(B309&amp;""))&gt;0,TRIM(B309&amp;"")&lt;&gt;"—",LEN(TRIM(C309&amp;""))&gt;0,TRIM(C309&amp;"")&lt;&gt;"—",ISNUMBER(C309),LEN(TRIM(F309&amp;""))&gt;0,TRIM(F309&amp;"")&lt;&gt;"—",LEN(TRIM(I309&amp;""))&gt;0,TRIM(I309&amp;"")&lt;&gt;"—",LEN(TRIM(J309&amp;""))&gt;0,TRIM(J309&amp;"")&lt;&gt;"—",LEN(TRIM(O309&amp;""))&gt;0,TRIM(O309&amp;"")&lt;&gt;"—"),"PASS","⚠ FAIL — "&amp;"a required cell is empty/placeholder or wrong type")</f>
        <v>PASS</v>
      </c>
    </row>
    <row r="310" spans="1:17" ht="16" hidden="1" outlineLevel="1" x14ac:dyDescent="0.2">
      <c r="A310" s="18" t="s">
        <v>1277</v>
      </c>
      <c r="B310" s="39" t="s">
        <v>928</v>
      </c>
      <c r="C310" s="32">
        <v>1</v>
      </c>
      <c r="D310" s="18" t="s">
        <v>807</v>
      </c>
      <c r="E310" s="18" t="s">
        <v>374</v>
      </c>
      <c r="F310" s="18" t="s">
        <v>757</v>
      </c>
      <c r="G310" s="22" t="s">
        <v>808</v>
      </c>
      <c r="H310" s="22"/>
      <c r="I310" s="18">
        <v>4</v>
      </c>
      <c r="J310" s="18" t="s">
        <v>774</v>
      </c>
      <c r="O310" s="77" t="str">
        <f t="shared" si="46"/>
        <v>PASS</v>
      </c>
      <c r="P310" s="78"/>
      <c r="Q310" s="23" t="str">
        <f t="shared" si="47"/>
        <v>PASS</v>
      </c>
    </row>
    <row r="311" spans="1:17" ht="16" hidden="1" outlineLevel="1" x14ac:dyDescent="0.2">
      <c r="A311" s="18" t="s">
        <v>1278</v>
      </c>
      <c r="B311" s="39" t="s">
        <v>930</v>
      </c>
      <c r="C311" s="32">
        <v>1</v>
      </c>
      <c r="D311" s="18" t="s">
        <v>807</v>
      </c>
      <c r="E311" s="18" t="s">
        <v>374</v>
      </c>
      <c r="F311" s="18" t="s">
        <v>771</v>
      </c>
      <c r="G311" s="22" t="s">
        <v>808</v>
      </c>
      <c r="H311" s="22"/>
      <c r="I311" s="18">
        <v>5</v>
      </c>
      <c r="J311" s="18" t="s">
        <v>774</v>
      </c>
      <c r="O311" s="77" t="str">
        <f t="shared" si="46"/>
        <v>PASS</v>
      </c>
      <c r="P311" s="78"/>
      <c r="Q311" s="23" t="str">
        <f t="shared" si="47"/>
        <v>PASS</v>
      </c>
    </row>
    <row r="312" spans="1:17" ht="16" hidden="1" outlineLevel="1" x14ac:dyDescent="0.2">
      <c r="A312" s="18" t="s">
        <v>1279</v>
      </c>
      <c r="B312" s="39" t="s">
        <v>932</v>
      </c>
      <c r="C312" s="32">
        <v>1</v>
      </c>
      <c r="D312" s="18" t="s">
        <v>807</v>
      </c>
      <c r="E312" s="18" t="s">
        <v>374</v>
      </c>
      <c r="F312" s="18" t="s">
        <v>771</v>
      </c>
      <c r="G312" s="22" t="s">
        <v>808</v>
      </c>
      <c r="H312" s="22"/>
      <c r="I312" s="18">
        <v>5</v>
      </c>
      <c r="J312" s="18" t="s">
        <v>774</v>
      </c>
      <c r="O312" s="77" t="str">
        <f t="shared" si="46"/>
        <v>PASS</v>
      </c>
      <c r="P312" s="78"/>
      <c r="Q312" s="23" t="str">
        <f t="shared" si="47"/>
        <v>PASS</v>
      </c>
    </row>
    <row r="313" spans="1:17" ht="16" hidden="1" outlineLevel="1" x14ac:dyDescent="0.2">
      <c r="A313" s="18" t="s">
        <v>1280</v>
      </c>
      <c r="B313" s="39" t="s">
        <v>934</v>
      </c>
      <c r="C313" s="32">
        <v>1</v>
      </c>
      <c r="D313" s="18" t="s">
        <v>807</v>
      </c>
      <c r="E313" s="18" t="s">
        <v>374</v>
      </c>
      <c r="F313" s="18" t="s">
        <v>771</v>
      </c>
      <c r="G313" s="22" t="s">
        <v>808</v>
      </c>
      <c r="H313" s="22"/>
      <c r="I313" s="18">
        <v>5</v>
      </c>
      <c r="J313" s="18" t="s">
        <v>774</v>
      </c>
      <c r="O313" s="77" t="str">
        <f t="shared" si="46"/>
        <v>PASS</v>
      </c>
      <c r="P313" s="78"/>
      <c r="Q313" s="23" t="str">
        <f t="shared" si="47"/>
        <v>PASS</v>
      </c>
    </row>
    <row r="314" spans="1:17" ht="16" hidden="1" outlineLevel="1" x14ac:dyDescent="0.2">
      <c r="A314" s="18" t="s">
        <v>1281</v>
      </c>
      <c r="B314" s="39" t="s">
        <v>936</v>
      </c>
      <c r="C314" s="32">
        <v>1</v>
      </c>
      <c r="D314" s="18" t="s">
        <v>807</v>
      </c>
      <c r="E314" s="18" t="s">
        <v>374</v>
      </c>
      <c r="F314" s="18" t="s">
        <v>757</v>
      </c>
      <c r="G314" s="22" t="s">
        <v>808</v>
      </c>
      <c r="H314" s="22"/>
      <c r="I314" s="18">
        <v>4</v>
      </c>
      <c r="J314" s="18" t="s">
        <v>774</v>
      </c>
      <c r="O314" s="77" t="str">
        <f t="shared" si="46"/>
        <v>PASS</v>
      </c>
      <c r="P314" s="78"/>
      <c r="Q314" s="23" t="str">
        <f t="shared" si="47"/>
        <v>PASS</v>
      </c>
    </row>
    <row r="315" spans="1:17" ht="16" hidden="1" outlineLevel="1" x14ac:dyDescent="0.2">
      <c r="A315" s="18" t="s">
        <v>1282</v>
      </c>
      <c r="B315" s="39" t="s">
        <v>938</v>
      </c>
      <c r="C315" s="32">
        <v>1</v>
      </c>
      <c r="D315" s="18" t="s">
        <v>807</v>
      </c>
      <c r="E315" s="18" t="s">
        <v>374</v>
      </c>
      <c r="F315" s="18" t="s">
        <v>771</v>
      </c>
      <c r="G315" s="22" t="s">
        <v>808</v>
      </c>
      <c r="H315" s="22"/>
      <c r="I315" s="18">
        <v>5</v>
      </c>
      <c r="J315" s="18" t="s">
        <v>774</v>
      </c>
      <c r="O315" s="77" t="str">
        <f t="shared" si="46"/>
        <v>PASS</v>
      </c>
      <c r="P315" s="78"/>
      <c r="Q315" s="23" t="str">
        <f t="shared" si="47"/>
        <v>PASS</v>
      </c>
    </row>
    <row r="316" spans="1:17" ht="16" hidden="1" outlineLevel="1" x14ac:dyDescent="0.2">
      <c r="A316" s="18" t="s">
        <v>1283</v>
      </c>
      <c r="B316" s="39" t="s">
        <v>940</v>
      </c>
      <c r="C316" s="32">
        <v>1</v>
      </c>
      <c r="D316" s="18" t="s">
        <v>807</v>
      </c>
      <c r="E316" s="18" t="s">
        <v>374</v>
      </c>
      <c r="F316" s="18" t="s">
        <v>757</v>
      </c>
      <c r="G316" s="22" t="s">
        <v>808</v>
      </c>
      <c r="H316" s="22"/>
      <c r="I316" s="18">
        <v>4</v>
      </c>
      <c r="J316" s="18" t="s">
        <v>774</v>
      </c>
      <c r="O316" s="77" t="str">
        <f t="shared" si="46"/>
        <v>PASS</v>
      </c>
      <c r="P316" s="78"/>
      <c r="Q316" s="23" t="str">
        <f t="shared" si="47"/>
        <v>PASS</v>
      </c>
    </row>
    <row r="317" spans="1:17" ht="16" hidden="1" outlineLevel="1" x14ac:dyDescent="0.2">
      <c r="A317" s="18" t="s">
        <v>1284</v>
      </c>
      <c r="B317" s="39" t="s">
        <v>942</v>
      </c>
      <c r="C317" s="32">
        <v>1</v>
      </c>
      <c r="D317" s="18" t="s">
        <v>807</v>
      </c>
      <c r="E317" s="18" t="s">
        <v>374</v>
      </c>
      <c r="F317" s="18" t="s">
        <v>771</v>
      </c>
      <c r="G317" s="22" t="s">
        <v>808</v>
      </c>
      <c r="H317" s="22"/>
      <c r="I317" s="18">
        <v>5</v>
      </c>
      <c r="J317" s="18" t="s">
        <v>774</v>
      </c>
      <c r="O317" s="77" t="str">
        <f t="shared" si="46"/>
        <v>PASS</v>
      </c>
      <c r="P317" s="78"/>
      <c r="Q317" s="23" t="str">
        <f t="shared" si="47"/>
        <v>PASS</v>
      </c>
    </row>
    <row r="318" spans="1:17" ht="16" hidden="1" outlineLevel="1" x14ac:dyDescent="0.2">
      <c r="A318" s="18" t="s">
        <v>1285</v>
      </c>
      <c r="B318" s="39" t="s">
        <v>889</v>
      </c>
      <c r="C318" s="32">
        <v>1</v>
      </c>
      <c r="D318" s="18" t="s">
        <v>807</v>
      </c>
      <c r="E318" s="18" t="s">
        <v>374</v>
      </c>
      <c r="F318" s="18" t="s">
        <v>757</v>
      </c>
      <c r="G318" s="22" t="s">
        <v>808</v>
      </c>
      <c r="H318" s="22"/>
      <c r="I318" s="18">
        <v>4</v>
      </c>
      <c r="J318" s="18" t="s">
        <v>774</v>
      </c>
      <c r="O318" s="77" t="str">
        <f t="shared" si="46"/>
        <v>PASS</v>
      </c>
      <c r="P318" s="78"/>
      <c r="Q318" s="23" t="str">
        <f t="shared" si="47"/>
        <v>PASS</v>
      </c>
    </row>
    <row r="319" spans="1:17" ht="16" hidden="1" outlineLevel="1" x14ac:dyDescent="0.2">
      <c r="A319" s="18" t="s">
        <v>1286</v>
      </c>
      <c r="B319" s="39" t="s">
        <v>826</v>
      </c>
      <c r="C319" s="32">
        <v>1</v>
      </c>
      <c r="D319" s="18" t="s">
        <v>807</v>
      </c>
      <c r="E319" s="18" t="s">
        <v>374</v>
      </c>
      <c r="F319" s="18" t="s">
        <v>771</v>
      </c>
      <c r="G319" s="22" t="s">
        <v>808</v>
      </c>
      <c r="H319" s="22"/>
      <c r="I319" s="18">
        <v>5</v>
      </c>
      <c r="J319" s="18" t="s">
        <v>774</v>
      </c>
      <c r="O319" s="77" t="str">
        <f t="shared" si="46"/>
        <v>PASS</v>
      </c>
      <c r="P319" s="78"/>
      <c r="Q319" s="23" t="str">
        <f t="shared" si="47"/>
        <v>PASS</v>
      </c>
    </row>
    <row r="320" spans="1:17" ht="39" x14ac:dyDescent="0.2">
      <c r="A320" s="18" t="str">
        <f>'Part names'!$A$5</f>
        <v>X-142</v>
      </c>
      <c r="B320" s="39" t="str">
        <f>'Part names'!$B$5</f>
        <v>3 Part Union Fittings</v>
      </c>
      <c r="C320" s="32">
        <v>1</v>
      </c>
      <c r="D320" s="48">
        <v>9</v>
      </c>
      <c r="E320" s="48">
        <v>9</v>
      </c>
      <c r="F320" s="18" t="s">
        <v>771</v>
      </c>
      <c r="G320" s="22" t="s">
        <v>772</v>
      </c>
      <c r="H320" s="22" t="s">
        <v>773</v>
      </c>
      <c r="I320" s="18">
        <v>5</v>
      </c>
      <c r="J320" s="18" t="s">
        <v>774</v>
      </c>
      <c r="K320" s="22" t="s">
        <v>1287</v>
      </c>
      <c r="L320" s="22" t="s">
        <v>761</v>
      </c>
      <c r="M320" s="22" t="s">
        <v>776</v>
      </c>
      <c r="N320" s="22" t="s">
        <v>777</v>
      </c>
      <c r="O320" s="77" t="str">
        <f t="shared" ref="O320:O351" si="48">IF(AND(LEN(TRIM($B320&amp;""))&gt;0,ISNUMBER($C320),$C320&gt;0,ISNUMBER($D320),$D320&gt;0,ISNUMBER($E320),$E320&gt;0,ABS($E320-$C320*$D320)&lt;=MAX(1,0.005*ABS($E320)),LEN(TRIM($M320&amp;""))&gt;0,TRIM($M320&amp;"")&lt;&gt;"—",LEN(TRIM($P320&amp;""))=0),"PASS","FAIL — "&amp;IF(LEN(TRIM($P320&amp;""))&gt;0,TRIM($P320&amp;""),"line ≠ qty×unit, a required cell empty, or qty/£ non-positive"))</f>
        <v>PASS</v>
      </c>
      <c r="P320" s="78"/>
      <c r="Q320" s="23" t="str">
        <f t="shared" ref="Q320:Q351" si="49">IF(AND(LEN(TRIM(A320&amp;""))&gt;0,TRIM(A320&amp;"")&lt;&gt;"—",LEN(TRIM(B320&amp;""))&gt;0,TRIM(B320&amp;"")&lt;&gt;"—",LEN(TRIM(C320&amp;""))&gt;0,TRIM(C320&amp;"")&lt;&gt;"—",ISNUMBER(C320),LEN(TRIM(D320&amp;""))&gt;0,TRIM(D320&amp;"")&lt;&gt;"—",ISNUMBER(D320),LEN(TRIM(E320&amp;""))&gt;0,TRIM(E320&amp;"")&lt;&gt;"—",ISNUMBER(E320),LEN(TRIM(F320&amp;""))&gt;0,TRIM(F320&amp;"")&lt;&gt;"—",LEN(TRIM(I320&amp;""))&gt;0,TRIM(I320&amp;"")&lt;&gt;"—",LEN(TRIM(J320&amp;""))&gt;0,TRIM(J320&amp;"")&lt;&gt;"—",LEN(TRIM(O320&amp;""))&gt;0,TRIM(O320&amp;"")&lt;&gt;"—"),"PASS","⚠ FAIL — "&amp;"a required cell is empty/placeholder or wrong type")</f>
        <v>PASS</v>
      </c>
    </row>
    <row r="321" spans="1:17" ht="52" x14ac:dyDescent="0.2">
      <c r="A321" s="18" t="s">
        <v>1288</v>
      </c>
      <c r="B321" s="39" t="s">
        <v>1289</v>
      </c>
      <c r="C321" s="32">
        <v>1</v>
      </c>
      <c r="D321" s="48">
        <v>905</v>
      </c>
      <c r="E321" s="48">
        <v>905</v>
      </c>
      <c r="F321" s="18" t="s">
        <v>1290</v>
      </c>
      <c r="G321" s="22" t="s">
        <v>1291</v>
      </c>
      <c r="H321" s="22" t="s">
        <v>1292</v>
      </c>
      <c r="I321" s="18">
        <v>3</v>
      </c>
      <c r="J321" s="18" t="s">
        <v>1293</v>
      </c>
      <c r="K321" s="22" t="s">
        <v>1289</v>
      </c>
      <c r="L321" s="39" t="s">
        <v>1294</v>
      </c>
      <c r="M321" s="22" t="s">
        <v>1295</v>
      </c>
      <c r="N321" s="39" t="s">
        <v>1296</v>
      </c>
      <c r="O321" s="77" t="str">
        <f t="shared" si="48"/>
        <v>PASS</v>
      </c>
      <c r="P321" s="78"/>
      <c r="Q321" s="23" t="str">
        <f t="shared" si="49"/>
        <v>PASS</v>
      </c>
    </row>
    <row r="322" spans="1:17" ht="52" x14ac:dyDescent="0.2">
      <c r="A322" s="18" t="s">
        <v>1297</v>
      </c>
      <c r="B322" s="39" t="s">
        <v>1298</v>
      </c>
      <c r="C322" s="32">
        <v>1</v>
      </c>
      <c r="D322" s="48">
        <v>911</v>
      </c>
      <c r="E322" s="48">
        <v>911</v>
      </c>
      <c r="F322" s="18" t="s">
        <v>1299</v>
      </c>
      <c r="G322" s="22" t="s">
        <v>1300</v>
      </c>
      <c r="H322" s="22" t="s">
        <v>1301</v>
      </c>
      <c r="I322" s="18">
        <v>3</v>
      </c>
      <c r="J322" s="18" t="s">
        <v>1293</v>
      </c>
      <c r="K322" s="22" t="s">
        <v>1298</v>
      </c>
      <c r="L322" s="39" t="s">
        <v>1294</v>
      </c>
      <c r="M322" s="22" t="s">
        <v>1302</v>
      </c>
      <c r="N322" s="39" t="s">
        <v>1303</v>
      </c>
      <c r="O322" s="77" t="str">
        <f t="shared" si="48"/>
        <v>PASS</v>
      </c>
      <c r="P322" s="78"/>
      <c r="Q322" s="23" t="str">
        <f t="shared" si="49"/>
        <v>PASS</v>
      </c>
    </row>
    <row r="323" spans="1:17" ht="52" x14ac:dyDescent="0.2">
      <c r="A323" s="18" t="s">
        <v>1304</v>
      </c>
      <c r="B323" s="39" t="s">
        <v>1305</v>
      </c>
      <c r="C323" s="32">
        <v>1</v>
      </c>
      <c r="D323" s="48">
        <v>1614</v>
      </c>
      <c r="E323" s="48">
        <v>1614</v>
      </c>
      <c r="F323" s="18" t="s">
        <v>1290</v>
      </c>
      <c r="G323" s="22" t="s">
        <v>1306</v>
      </c>
      <c r="H323" s="22" t="s">
        <v>1307</v>
      </c>
      <c r="I323" s="18">
        <v>3</v>
      </c>
      <c r="J323" s="18" t="s">
        <v>1293</v>
      </c>
      <c r="K323" s="22" t="s">
        <v>1305</v>
      </c>
      <c r="L323" s="39" t="s">
        <v>1294</v>
      </c>
      <c r="M323" s="22" t="s">
        <v>1308</v>
      </c>
      <c r="N323" s="39" t="s">
        <v>1309</v>
      </c>
      <c r="O323" s="77" t="str">
        <f t="shared" si="48"/>
        <v>PASS</v>
      </c>
      <c r="P323" s="78"/>
      <c r="Q323" s="23" t="str">
        <f t="shared" si="49"/>
        <v>PASS</v>
      </c>
    </row>
    <row r="324" spans="1:17" ht="52" x14ac:dyDescent="0.2">
      <c r="A324" s="18" t="s">
        <v>1310</v>
      </c>
      <c r="B324" s="39" t="s">
        <v>1311</v>
      </c>
      <c r="C324" s="32">
        <v>1</v>
      </c>
      <c r="D324" s="48">
        <v>975</v>
      </c>
      <c r="E324" s="48">
        <v>975</v>
      </c>
      <c r="F324" s="18" t="s">
        <v>1299</v>
      </c>
      <c r="G324" s="22" t="s">
        <v>1312</v>
      </c>
      <c r="H324" s="22" t="s">
        <v>1313</v>
      </c>
      <c r="I324" s="18">
        <v>3</v>
      </c>
      <c r="J324" s="18" t="s">
        <v>1293</v>
      </c>
      <c r="K324" s="22" t="s">
        <v>1311</v>
      </c>
      <c r="L324" s="39" t="s">
        <v>1294</v>
      </c>
      <c r="M324" s="22" t="s">
        <v>1314</v>
      </c>
      <c r="N324" s="39" t="s">
        <v>1315</v>
      </c>
      <c r="O324" s="77" t="str">
        <f t="shared" si="48"/>
        <v>PASS</v>
      </c>
      <c r="P324" s="78"/>
      <c r="Q324" s="23" t="str">
        <f t="shared" si="49"/>
        <v>PASS</v>
      </c>
    </row>
    <row r="325" spans="1:17" ht="52" x14ac:dyDescent="0.2">
      <c r="A325" s="18" t="s">
        <v>1316</v>
      </c>
      <c r="B325" s="39" t="s">
        <v>1317</v>
      </c>
      <c r="C325" s="32">
        <v>1</v>
      </c>
      <c r="D325" s="48">
        <v>2232</v>
      </c>
      <c r="E325" s="48">
        <v>2232</v>
      </c>
      <c r="F325" s="18" t="s">
        <v>1290</v>
      </c>
      <c r="G325" s="22" t="s">
        <v>1318</v>
      </c>
      <c r="H325" s="22" t="s">
        <v>1319</v>
      </c>
      <c r="I325" s="18">
        <v>3</v>
      </c>
      <c r="J325" s="18" t="s">
        <v>1293</v>
      </c>
      <c r="K325" s="22" t="s">
        <v>1317</v>
      </c>
      <c r="L325" s="39" t="s">
        <v>1294</v>
      </c>
      <c r="M325" s="22" t="s">
        <v>1320</v>
      </c>
      <c r="N325" s="39" t="s">
        <v>1321</v>
      </c>
      <c r="O325" s="77" t="str">
        <f t="shared" si="48"/>
        <v>PASS</v>
      </c>
      <c r="P325" s="78"/>
      <c r="Q325" s="23" t="str">
        <f t="shared" si="49"/>
        <v>PASS</v>
      </c>
    </row>
    <row r="326" spans="1:17" ht="52" x14ac:dyDescent="0.2">
      <c r="A326" s="18" t="s">
        <v>1322</v>
      </c>
      <c r="B326" s="39" t="s">
        <v>1323</v>
      </c>
      <c r="C326" s="32">
        <v>1</v>
      </c>
      <c r="D326" s="48">
        <v>1443</v>
      </c>
      <c r="E326" s="48">
        <v>1443</v>
      </c>
      <c r="F326" s="18" t="s">
        <v>1299</v>
      </c>
      <c r="G326" s="22" t="s">
        <v>1324</v>
      </c>
      <c r="H326" s="22" t="s">
        <v>1325</v>
      </c>
      <c r="I326" s="18">
        <v>3</v>
      </c>
      <c r="J326" s="18" t="s">
        <v>1293</v>
      </c>
      <c r="K326" s="22" t="s">
        <v>1323</v>
      </c>
      <c r="L326" s="39" t="s">
        <v>1294</v>
      </c>
      <c r="M326" s="22" t="s">
        <v>1326</v>
      </c>
      <c r="N326" s="39" t="s">
        <v>1327</v>
      </c>
      <c r="O326" s="77" t="str">
        <f t="shared" si="48"/>
        <v>PASS</v>
      </c>
      <c r="P326" s="78"/>
      <c r="Q326" s="23" t="str">
        <f t="shared" si="49"/>
        <v>PASS</v>
      </c>
    </row>
    <row r="327" spans="1:17" ht="52" x14ac:dyDescent="0.2">
      <c r="A327" s="18" t="s">
        <v>1328</v>
      </c>
      <c r="B327" s="39" t="s">
        <v>1329</v>
      </c>
      <c r="C327" s="32">
        <v>1</v>
      </c>
      <c r="D327" s="48">
        <v>1403</v>
      </c>
      <c r="E327" s="48">
        <v>1403</v>
      </c>
      <c r="F327" s="18" t="s">
        <v>1290</v>
      </c>
      <c r="G327" s="22" t="s">
        <v>1330</v>
      </c>
      <c r="H327" s="22" t="s">
        <v>1331</v>
      </c>
      <c r="I327" s="18">
        <v>3</v>
      </c>
      <c r="J327" s="18" t="s">
        <v>1293</v>
      </c>
      <c r="K327" s="22" t="s">
        <v>1329</v>
      </c>
      <c r="L327" s="39" t="s">
        <v>1294</v>
      </c>
      <c r="M327" s="22" t="s">
        <v>1332</v>
      </c>
      <c r="N327" s="39" t="s">
        <v>1333</v>
      </c>
      <c r="O327" s="77" t="str">
        <f t="shared" si="48"/>
        <v>PASS</v>
      </c>
      <c r="P327" s="78"/>
      <c r="Q327" s="23" t="str">
        <f t="shared" si="49"/>
        <v>PASS</v>
      </c>
    </row>
    <row r="328" spans="1:17" ht="52" x14ac:dyDescent="0.2">
      <c r="A328" s="18" t="s">
        <v>1334</v>
      </c>
      <c r="B328" s="39" t="s">
        <v>1335</v>
      </c>
      <c r="C328" s="32">
        <v>1</v>
      </c>
      <c r="D328" s="48">
        <v>1014</v>
      </c>
      <c r="E328" s="48">
        <v>1014</v>
      </c>
      <c r="F328" s="18" t="s">
        <v>1299</v>
      </c>
      <c r="G328" s="22" t="s">
        <v>1336</v>
      </c>
      <c r="H328" s="22" t="s">
        <v>1337</v>
      </c>
      <c r="I328" s="18">
        <v>3</v>
      </c>
      <c r="J328" s="18" t="s">
        <v>1293</v>
      </c>
      <c r="K328" s="22" t="s">
        <v>1335</v>
      </c>
      <c r="L328" s="39" t="s">
        <v>1294</v>
      </c>
      <c r="M328" s="22" t="s">
        <v>1338</v>
      </c>
      <c r="N328" s="39" t="s">
        <v>1339</v>
      </c>
      <c r="O328" s="77" t="str">
        <f t="shared" si="48"/>
        <v>PASS</v>
      </c>
      <c r="P328" s="78"/>
      <c r="Q328" s="23" t="str">
        <f t="shared" si="49"/>
        <v>PASS</v>
      </c>
    </row>
    <row r="329" spans="1:17" ht="65" x14ac:dyDescent="0.2">
      <c r="A329" s="18" t="s">
        <v>1340</v>
      </c>
      <c r="B329" s="39" t="s">
        <v>1341</v>
      </c>
      <c r="C329" s="32">
        <v>1</v>
      </c>
      <c r="D329" s="48">
        <v>1559</v>
      </c>
      <c r="E329" s="48">
        <v>1559</v>
      </c>
      <c r="F329" s="18" t="s">
        <v>1290</v>
      </c>
      <c r="G329" s="22" t="s">
        <v>1342</v>
      </c>
      <c r="H329" s="22" t="s">
        <v>1343</v>
      </c>
      <c r="I329" s="18">
        <v>3</v>
      </c>
      <c r="J329" s="18" t="s">
        <v>1293</v>
      </c>
      <c r="K329" s="22" t="s">
        <v>1341</v>
      </c>
      <c r="L329" s="39" t="s">
        <v>1294</v>
      </c>
      <c r="M329" s="22" t="s">
        <v>1344</v>
      </c>
      <c r="N329" s="39" t="s">
        <v>1345</v>
      </c>
      <c r="O329" s="77" t="str">
        <f t="shared" si="48"/>
        <v>PASS</v>
      </c>
      <c r="P329" s="78"/>
      <c r="Q329" s="23" t="str">
        <f t="shared" si="49"/>
        <v>PASS</v>
      </c>
    </row>
    <row r="330" spans="1:17" ht="52" x14ac:dyDescent="0.2">
      <c r="A330" s="18" t="s">
        <v>1346</v>
      </c>
      <c r="B330" s="39" t="s">
        <v>1347</v>
      </c>
      <c r="C330" s="32">
        <v>1</v>
      </c>
      <c r="D330" s="48">
        <v>1243</v>
      </c>
      <c r="E330" s="48">
        <v>1243</v>
      </c>
      <c r="F330" s="18" t="s">
        <v>1299</v>
      </c>
      <c r="G330" s="22" t="s">
        <v>1348</v>
      </c>
      <c r="H330" s="22" t="s">
        <v>1349</v>
      </c>
      <c r="I330" s="18">
        <v>3</v>
      </c>
      <c r="J330" s="18" t="s">
        <v>1293</v>
      </c>
      <c r="K330" s="22" t="s">
        <v>1347</v>
      </c>
      <c r="L330" s="39" t="s">
        <v>1294</v>
      </c>
      <c r="M330" s="22" t="s">
        <v>1350</v>
      </c>
      <c r="N330" s="39" t="s">
        <v>1351</v>
      </c>
      <c r="O330" s="77" t="str">
        <f t="shared" si="48"/>
        <v>PASS</v>
      </c>
      <c r="P330" s="78"/>
      <c r="Q330" s="23" t="str">
        <f t="shared" si="49"/>
        <v>PASS</v>
      </c>
    </row>
    <row r="331" spans="1:17" ht="52" x14ac:dyDescent="0.2">
      <c r="A331" s="18" t="s">
        <v>1352</v>
      </c>
      <c r="B331" s="39" t="s">
        <v>1353</v>
      </c>
      <c r="C331" s="32">
        <v>1</v>
      </c>
      <c r="D331" s="48">
        <v>1176</v>
      </c>
      <c r="E331" s="48">
        <v>1176</v>
      </c>
      <c r="F331" s="18" t="s">
        <v>1299</v>
      </c>
      <c r="G331" s="22" t="s">
        <v>1354</v>
      </c>
      <c r="H331" s="22" t="s">
        <v>1355</v>
      </c>
      <c r="I331" s="18">
        <v>3</v>
      </c>
      <c r="J331" s="18" t="s">
        <v>1293</v>
      </c>
      <c r="K331" s="22" t="s">
        <v>1353</v>
      </c>
      <c r="L331" s="39" t="s">
        <v>1294</v>
      </c>
      <c r="M331" s="22" t="s">
        <v>1356</v>
      </c>
      <c r="N331" s="39" t="s">
        <v>1357</v>
      </c>
      <c r="O331" s="77" t="str">
        <f t="shared" si="48"/>
        <v>PASS</v>
      </c>
      <c r="P331" s="78"/>
      <c r="Q331" s="23" t="str">
        <f t="shared" si="49"/>
        <v>PASS</v>
      </c>
    </row>
    <row r="332" spans="1:17" ht="52" x14ac:dyDescent="0.2">
      <c r="A332" s="18" t="s">
        <v>1358</v>
      </c>
      <c r="B332" s="39" t="s">
        <v>1359</v>
      </c>
      <c r="C332" s="32">
        <v>1</v>
      </c>
      <c r="D332" s="48">
        <v>601</v>
      </c>
      <c r="E332" s="48">
        <v>601</v>
      </c>
      <c r="F332" s="18" t="s">
        <v>1299</v>
      </c>
      <c r="G332" s="22" t="s">
        <v>1360</v>
      </c>
      <c r="H332" s="22" t="s">
        <v>1361</v>
      </c>
      <c r="I332" s="18">
        <v>3</v>
      </c>
      <c r="J332" s="18" t="s">
        <v>1293</v>
      </c>
      <c r="K332" s="22" t="s">
        <v>1359</v>
      </c>
      <c r="L332" s="39" t="s">
        <v>1294</v>
      </c>
      <c r="M332" s="22" t="s">
        <v>1362</v>
      </c>
      <c r="N332" s="39" t="s">
        <v>1363</v>
      </c>
      <c r="O332" s="77" t="str">
        <f t="shared" si="48"/>
        <v>PASS</v>
      </c>
      <c r="P332" s="78"/>
      <c r="Q332" s="23" t="str">
        <f t="shared" si="49"/>
        <v>PASS</v>
      </c>
    </row>
    <row r="333" spans="1:17" ht="65" x14ac:dyDescent="0.2">
      <c r="A333" s="18" t="s">
        <v>1364</v>
      </c>
      <c r="B333" s="39" t="s">
        <v>1365</v>
      </c>
      <c r="C333" s="32">
        <v>1</v>
      </c>
      <c r="D333" s="48">
        <v>984</v>
      </c>
      <c r="E333" s="48">
        <v>984</v>
      </c>
      <c r="F333" s="18" t="s">
        <v>1299</v>
      </c>
      <c r="G333" s="22" t="s">
        <v>1366</v>
      </c>
      <c r="H333" s="22" t="s">
        <v>1367</v>
      </c>
      <c r="I333" s="18">
        <v>3</v>
      </c>
      <c r="J333" s="18" t="s">
        <v>1293</v>
      </c>
      <c r="K333" s="22" t="s">
        <v>1365</v>
      </c>
      <c r="L333" s="39" t="s">
        <v>1294</v>
      </c>
      <c r="M333" s="22" t="s">
        <v>1368</v>
      </c>
      <c r="N333" s="39" t="s">
        <v>1369</v>
      </c>
      <c r="O333" s="77" t="str">
        <f t="shared" si="48"/>
        <v>PASS</v>
      </c>
      <c r="P333" s="78"/>
      <c r="Q333" s="23" t="str">
        <f t="shared" si="49"/>
        <v>PASS</v>
      </c>
    </row>
    <row r="334" spans="1:17" ht="52" x14ac:dyDescent="0.2">
      <c r="A334" s="18" t="s">
        <v>1370</v>
      </c>
      <c r="B334" s="39" t="s">
        <v>1371</v>
      </c>
      <c r="C334" s="32">
        <v>1</v>
      </c>
      <c r="D334" s="48">
        <v>1228</v>
      </c>
      <c r="E334" s="48">
        <v>1228</v>
      </c>
      <c r="F334" s="18" t="s">
        <v>1299</v>
      </c>
      <c r="G334" s="22" t="s">
        <v>1372</v>
      </c>
      <c r="H334" s="22" t="s">
        <v>1373</v>
      </c>
      <c r="I334" s="18">
        <v>3</v>
      </c>
      <c r="J334" s="18" t="s">
        <v>1293</v>
      </c>
      <c r="K334" s="22" t="s">
        <v>1371</v>
      </c>
      <c r="L334" s="39" t="s">
        <v>1294</v>
      </c>
      <c r="M334" s="22" t="s">
        <v>1374</v>
      </c>
      <c r="N334" s="39" t="s">
        <v>1375</v>
      </c>
      <c r="O334" s="77" t="str">
        <f t="shared" si="48"/>
        <v>PASS</v>
      </c>
      <c r="P334" s="78"/>
      <c r="Q334" s="23" t="str">
        <f t="shared" si="49"/>
        <v>PASS</v>
      </c>
    </row>
    <row r="335" spans="1:17" ht="52" x14ac:dyDescent="0.2">
      <c r="A335" s="18" t="s">
        <v>1376</v>
      </c>
      <c r="B335" s="39" t="s">
        <v>1377</v>
      </c>
      <c r="C335" s="32">
        <v>1</v>
      </c>
      <c r="D335" s="48">
        <v>826</v>
      </c>
      <c r="E335" s="48">
        <v>826</v>
      </c>
      <c r="F335" s="18" t="s">
        <v>1299</v>
      </c>
      <c r="G335" s="22" t="s">
        <v>1378</v>
      </c>
      <c r="H335" s="22" t="s">
        <v>1379</v>
      </c>
      <c r="I335" s="18">
        <v>3</v>
      </c>
      <c r="J335" s="18" t="s">
        <v>1293</v>
      </c>
      <c r="K335" s="22" t="s">
        <v>1377</v>
      </c>
      <c r="L335" s="39" t="s">
        <v>1294</v>
      </c>
      <c r="M335" s="22" t="s">
        <v>1380</v>
      </c>
      <c r="N335" s="39" t="s">
        <v>1381</v>
      </c>
      <c r="O335" s="77" t="str">
        <f t="shared" si="48"/>
        <v>PASS</v>
      </c>
      <c r="P335" s="78"/>
      <c r="Q335" s="23" t="str">
        <f t="shared" si="49"/>
        <v>PASS</v>
      </c>
    </row>
    <row r="336" spans="1:17" ht="52" x14ac:dyDescent="0.2">
      <c r="A336" s="18" t="s">
        <v>1382</v>
      </c>
      <c r="B336" s="39" t="s">
        <v>1383</v>
      </c>
      <c r="C336" s="32">
        <v>1</v>
      </c>
      <c r="D336" s="48">
        <v>508</v>
      </c>
      <c r="E336" s="48">
        <v>508</v>
      </c>
      <c r="F336" s="18" t="s">
        <v>1299</v>
      </c>
      <c r="G336" s="22" t="s">
        <v>1384</v>
      </c>
      <c r="H336" s="22" t="s">
        <v>1385</v>
      </c>
      <c r="I336" s="18">
        <v>3</v>
      </c>
      <c r="J336" s="18" t="s">
        <v>1293</v>
      </c>
      <c r="K336" s="22" t="s">
        <v>1383</v>
      </c>
      <c r="L336" s="39" t="s">
        <v>1294</v>
      </c>
      <c r="M336" s="22" t="s">
        <v>1386</v>
      </c>
      <c r="N336" s="39" t="s">
        <v>1387</v>
      </c>
      <c r="O336" s="77" t="str">
        <f t="shared" si="48"/>
        <v>PASS</v>
      </c>
      <c r="P336" s="78"/>
      <c r="Q336" s="23" t="str">
        <f t="shared" si="49"/>
        <v>PASS</v>
      </c>
    </row>
    <row r="337" spans="1:17" ht="65" x14ac:dyDescent="0.2">
      <c r="A337" s="18" t="s">
        <v>1388</v>
      </c>
      <c r="B337" s="39" t="s">
        <v>1389</v>
      </c>
      <c r="C337" s="32">
        <v>1</v>
      </c>
      <c r="D337" s="48">
        <v>1131</v>
      </c>
      <c r="E337" s="48">
        <v>1131</v>
      </c>
      <c r="F337" s="18" t="s">
        <v>1299</v>
      </c>
      <c r="G337" s="22" t="s">
        <v>1390</v>
      </c>
      <c r="H337" s="22" t="s">
        <v>1391</v>
      </c>
      <c r="I337" s="18">
        <v>3</v>
      </c>
      <c r="J337" s="18" t="s">
        <v>1293</v>
      </c>
      <c r="K337" s="22" t="s">
        <v>1389</v>
      </c>
      <c r="L337" s="39" t="s">
        <v>1294</v>
      </c>
      <c r="M337" s="22" t="s">
        <v>1392</v>
      </c>
      <c r="N337" s="39" t="s">
        <v>1393</v>
      </c>
      <c r="O337" s="77" t="str">
        <f t="shared" si="48"/>
        <v>PASS</v>
      </c>
      <c r="P337" s="78"/>
      <c r="Q337" s="23" t="str">
        <f t="shared" si="49"/>
        <v>PASS</v>
      </c>
    </row>
    <row r="338" spans="1:17" ht="52" x14ac:dyDescent="0.2">
      <c r="A338" s="18" t="s">
        <v>1394</v>
      </c>
      <c r="B338" s="39" t="s">
        <v>1395</v>
      </c>
      <c r="C338" s="32">
        <v>1</v>
      </c>
      <c r="D338" s="48">
        <v>352</v>
      </c>
      <c r="E338" s="48">
        <v>352</v>
      </c>
      <c r="F338" s="18" t="s">
        <v>1299</v>
      </c>
      <c r="G338" s="22" t="s">
        <v>1396</v>
      </c>
      <c r="H338" s="22" t="s">
        <v>1397</v>
      </c>
      <c r="I338" s="18">
        <v>3</v>
      </c>
      <c r="J338" s="18" t="s">
        <v>1293</v>
      </c>
      <c r="K338" s="22" t="s">
        <v>1395</v>
      </c>
      <c r="L338" s="39" t="s">
        <v>1294</v>
      </c>
      <c r="M338" s="22" t="s">
        <v>1398</v>
      </c>
      <c r="N338" s="39" t="s">
        <v>1399</v>
      </c>
      <c r="O338" s="77" t="str">
        <f t="shared" si="48"/>
        <v>PASS</v>
      </c>
      <c r="P338" s="78"/>
      <c r="Q338" s="23" t="str">
        <f t="shared" si="49"/>
        <v>PASS</v>
      </c>
    </row>
    <row r="339" spans="1:17" ht="52" x14ac:dyDescent="0.2">
      <c r="A339" s="18" t="s">
        <v>1400</v>
      </c>
      <c r="B339" s="39" t="s">
        <v>1401</v>
      </c>
      <c r="C339" s="32">
        <v>1</v>
      </c>
      <c r="D339" s="48">
        <v>1265</v>
      </c>
      <c r="E339" s="48">
        <v>1265</v>
      </c>
      <c r="F339" s="18" t="s">
        <v>1299</v>
      </c>
      <c r="G339" s="22" t="s">
        <v>1402</v>
      </c>
      <c r="H339" s="22" t="s">
        <v>1403</v>
      </c>
      <c r="I339" s="18">
        <v>3</v>
      </c>
      <c r="J339" s="18" t="s">
        <v>1293</v>
      </c>
      <c r="K339" s="22" t="s">
        <v>1401</v>
      </c>
      <c r="L339" s="39" t="s">
        <v>1294</v>
      </c>
      <c r="M339" s="22" t="s">
        <v>1404</v>
      </c>
      <c r="N339" s="39" t="s">
        <v>1405</v>
      </c>
      <c r="O339" s="77" t="str">
        <f t="shared" si="48"/>
        <v>PASS</v>
      </c>
      <c r="P339" s="78"/>
      <c r="Q339" s="23" t="str">
        <f t="shared" si="49"/>
        <v>PASS</v>
      </c>
    </row>
    <row r="340" spans="1:17" ht="52" x14ac:dyDescent="0.2">
      <c r="A340" s="18" t="s">
        <v>1406</v>
      </c>
      <c r="B340" s="39" t="s">
        <v>1407</v>
      </c>
      <c r="C340" s="32">
        <v>1</v>
      </c>
      <c r="D340" s="48">
        <v>1033</v>
      </c>
      <c r="E340" s="48">
        <v>1033</v>
      </c>
      <c r="F340" s="18" t="s">
        <v>1299</v>
      </c>
      <c r="G340" s="22" t="s">
        <v>1408</v>
      </c>
      <c r="H340" s="22" t="s">
        <v>1409</v>
      </c>
      <c r="I340" s="18">
        <v>3</v>
      </c>
      <c r="J340" s="18" t="s">
        <v>1293</v>
      </c>
      <c r="K340" s="22" t="s">
        <v>1407</v>
      </c>
      <c r="L340" s="39" t="s">
        <v>1294</v>
      </c>
      <c r="M340" s="22" t="s">
        <v>1410</v>
      </c>
      <c r="N340" s="39" t="s">
        <v>1411</v>
      </c>
      <c r="O340" s="77" t="str">
        <f t="shared" si="48"/>
        <v>PASS</v>
      </c>
      <c r="P340" s="78"/>
      <c r="Q340" s="23" t="str">
        <f t="shared" si="49"/>
        <v>PASS</v>
      </c>
    </row>
    <row r="341" spans="1:17" ht="52" x14ac:dyDescent="0.2">
      <c r="A341" s="18" t="s">
        <v>1412</v>
      </c>
      <c r="B341" s="39" t="s">
        <v>1413</v>
      </c>
      <c r="C341" s="32">
        <v>1</v>
      </c>
      <c r="D341" s="48">
        <v>479</v>
      </c>
      <c r="E341" s="48">
        <v>479</v>
      </c>
      <c r="F341" s="18" t="s">
        <v>1299</v>
      </c>
      <c r="G341" s="22" t="s">
        <v>1414</v>
      </c>
      <c r="H341" s="22" t="s">
        <v>1415</v>
      </c>
      <c r="I341" s="18">
        <v>3</v>
      </c>
      <c r="J341" s="18" t="s">
        <v>1293</v>
      </c>
      <c r="K341" s="22" t="s">
        <v>1413</v>
      </c>
      <c r="L341" s="39" t="s">
        <v>1294</v>
      </c>
      <c r="M341" s="22" t="s">
        <v>1416</v>
      </c>
      <c r="N341" s="39" t="s">
        <v>1417</v>
      </c>
      <c r="O341" s="77" t="str">
        <f t="shared" si="48"/>
        <v>PASS</v>
      </c>
      <c r="P341" s="78"/>
      <c r="Q341" s="23" t="str">
        <f t="shared" si="49"/>
        <v>PASS</v>
      </c>
    </row>
    <row r="342" spans="1:17" ht="52" x14ac:dyDescent="0.2">
      <c r="A342" s="18" t="s">
        <v>1418</v>
      </c>
      <c r="B342" s="39" t="s">
        <v>1419</v>
      </c>
      <c r="C342" s="32">
        <v>1</v>
      </c>
      <c r="D342" s="48">
        <v>901</v>
      </c>
      <c r="E342" s="48">
        <v>901</v>
      </c>
      <c r="F342" s="18" t="s">
        <v>1299</v>
      </c>
      <c r="G342" s="22" t="s">
        <v>1420</v>
      </c>
      <c r="H342" s="22" t="s">
        <v>1421</v>
      </c>
      <c r="I342" s="18">
        <v>3</v>
      </c>
      <c r="J342" s="18" t="s">
        <v>1293</v>
      </c>
      <c r="K342" s="22" t="s">
        <v>1419</v>
      </c>
      <c r="L342" s="39" t="s">
        <v>1294</v>
      </c>
      <c r="M342" s="22" t="s">
        <v>1422</v>
      </c>
      <c r="N342" s="39" t="s">
        <v>1423</v>
      </c>
      <c r="O342" s="77" t="str">
        <f t="shared" si="48"/>
        <v>PASS</v>
      </c>
      <c r="P342" s="78"/>
      <c r="Q342" s="23" t="str">
        <f t="shared" si="49"/>
        <v>PASS</v>
      </c>
    </row>
    <row r="343" spans="1:17" ht="52" x14ac:dyDescent="0.2">
      <c r="A343" s="18" t="s">
        <v>1424</v>
      </c>
      <c r="B343" s="39" t="s">
        <v>1425</v>
      </c>
      <c r="C343" s="32">
        <v>1</v>
      </c>
      <c r="D343" s="48">
        <v>1032</v>
      </c>
      <c r="E343" s="48">
        <v>1032</v>
      </c>
      <c r="F343" s="18" t="s">
        <v>1299</v>
      </c>
      <c r="G343" s="22" t="s">
        <v>1426</v>
      </c>
      <c r="H343" s="22" t="s">
        <v>1427</v>
      </c>
      <c r="I343" s="18">
        <v>3</v>
      </c>
      <c r="J343" s="18" t="s">
        <v>1293</v>
      </c>
      <c r="K343" s="22" t="s">
        <v>1425</v>
      </c>
      <c r="L343" s="39" t="s">
        <v>1294</v>
      </c>
      <c r="M343" s="22" t="s">
        <v>1428</v>
      </c>
      <c r="N343" s="39" t="s">
        <v>1429</v>
      </c>
      <c r="O343" s="77" t="str">
        <f t="shared" si="48"/>
        <v>PASS</v>
      </c>
      <c r="P343" s="78"/>
      <c r="Q343" s="23" t="str">
        <f t="shared" si="49"/>
        <v>PASS</v>
      </c>
    </row>
    <row r="344" spans="1:17" ht="52" x14ac:dyDescent="0.2">
      <c r="A344" s="18" t="s">
        <v>1430</v>
      </c>
      <c r="B344" s="39" t="s">
        <v>1431</v>
      </c>
      <c r="C344" s="32">
        <v>1</v>
      </c>
      <c r="D344" s="48">
        <v>1209</v>
      </c>
      <c r="E344" s="48">
        <v>1209</v>
      </c>
      <c r="F344" s="18" t="s">
        <v>1299</v>
      </c>
      <c r="G344" s="22" t="s">
        <v>1432</v>
      </c>
      <c r="H344" s="22" t="s">
        <v>1433</v>
      </c>
      <c r="I344" s="18">
        <v>3</v>
      </c>
      <c r="J344" s="18" t="s">
        <v>1293</v>
      </c>
      <c r="K344" s="22" t="s">
        <v>1431</v>
      </c>
      <c r="L344" s="39" t="s">
        <v>1294</v>
      </c>
      <c r="M344" s="22" t="s">
        <v>1434</v>
      </c>
      <c r="N344" s="39" t="s">
        <v>1435</v>
      </c>
      <c r="O344" s="77" t="str">
        <f t="shared" si="48"/>
        <v>PASS</v>
      </c>
      <c r="P344" s="78"/>
      <c r="Q344" s="23" t="str">
        <f t="shared" si="49"/>
        <v>PASS</v>
      </c>
    </row>
    <row r="345" spans="1:17" ht="52" x14ac:dyDescent="0.2">
      <c r="A345" s="18" t="s">
        <v>1436</v>
      </c>
      <c r="B345" s="39" t="s">
        <v>1437</v>
      </c>
      <c r="C345" s="32">
        <v>1</v>
      </c>
      <c r="D345" s="48">
        <v>1161</v>
      </c>
      <c r="E345" s="48">
        <v>1161</v>
      </c>
      <c r="F345" s="18" t="s">
        <v>1299</v>
      </c>
      <c r="G345" s="22" t="s">
        <v>1438</v>
      </c>
      <c r="H345" s="22" t="s">
        <v>1439</v>
      </c>
      <c r="I345" s="18">
        <v>3</v>
      </c>
      <c r="J345" s="18" t="s">
        <v>1293</v>
      </c>
      <c r="K345" s="22" t="s">
        <v>1437</v>
      </c>
      <c r="L345" s="39" t="s">
        <v>1294</v>
      </c>
      <c r="M345" s="22" t="s">
        <v>1440</v>
      </c>
      <c r="N345" s="39" t="s">
        <v>1441</v>
      </c>
      <c r="O345" s="77" t="str">
        <f t="shared" si="48"/>
        <v>PASS</v>
      </c>
      <c r="P345" s="78"/>
      <c r="Q345" s="23" t="str">
        <f t="shared" si="49"/>
        <v>PASS</v>
      </c>
    </row>
    <row r="346" spans="1:17" ht="52" x14ac:dyDescent="0.2">
      <c r="A346" s="18" t="s">
        <v>1442</v>
      </c>
      <c r="B346" s="39" t="s">
        <v>1443</v>
      </c>
      <c r="C346" s="32">
        <v>1</v>
      </c>
      <c r="D346" s="48">
        <v>398</v>
      </c>
      <c r="E346" s="48">
        <v>398</v>
      </c>
      <c r="F346" s="18" t="s">
        <v>1290</v>
      </c>
      <c r="G346" s="22" t="s">
        <v>1444</v>
      </c>
      <c r="H346" s="22" t="s">
        <v>1445</v>
      </c>
      <c r="I346" s="18">
        <v>3</v>
      </c>
      <c r="J346" s="18" t="s">
        <v>1293</v>
      </c>
      <c r="K346" s="22" t="s">
        <v>1443</v>
      </c>
      <c r="L346" s="39" t="s">
        <v>1294</v>
      </c>
      <c r="M346" s="22" t="s">
        <v>1446</v>
      </c>
      <c r="N346" s="39" t="s">
        <v>1447</v>
      </c>
      <c r="O346" s="77" t="str">
        <f t="shared" si="48"/>
        <v>PASS</v>
      </c>
      <c r="P346" s="78"/>
      <c r="Q346" s="23" t="str">
        <f t="shared" si="49"/>
        <v>PASS</v>
      </c>
    </row>
    <row r="347" spans="1:17" ht="52" x14ac:dyDescent="0.2">
      <c r="A347" s="18" t="s">
        <v>1448</v>
      </c>
      <c r="B347" s="39" t="s">
        <v>1449</v>
      </c>
      <c r="C347" s="32">
        <v>1</v>
      </c>
      <c r="D347" s="48">
        <v>913</v>
      </c>
      <c r="E347" s="48">
        <v>913</v>
      </c>
      <c r="F347" s="18" t="s">
        <v>1299</v>
      </c>
      <c r="G347" s="22" t="s">
        <v>1300</v>
      </c>
      <c r="H347" s="22" t="s">
        <v>1301</v>
      </c>
      <c r="I347" s="18">
        <v>3</v>
      </c>
      <c r="J347" s="18" t="s">
        <v>1293</v>
      </c>
      <c r="K347" s="22" t="s">
        <v>1449</v>
      </c>
      <c r="L347" s="39" t="s">
        <v>1294</v>
      </c>
      <c r="M347" s="22" t="s">
        <v>1302</v>
      </c>
      <c r="N347" s="39" t="s">
        <v>1303</v>
      </c>
      <c r="O347" s="77" t="str">
        <f t="shared" si="48"/>
        <v>PASS</v>
      </c>
      <c r="P347" s="78"/>
      <c r="Q347" s="23" t="str">
        <f t="shared" si="49"/>
        <v>PASS</v>
      </c>
    </row>
    <row r="348" spans="1:17" ht="52" x14ac:dyDescent="0.2">
      <c r="A348" s="18" t="s">
        <v>1450</v>
      </c>
      <c r="B348" s="39" t="s">
        <v>1451</v>
      </c>
      <c r="C348" s="32">
        <v>1</v>
      </c>
      <c r="D348" s="48">
        <v>670</v>
      </c>
      <c r="E348" s="48">
        <v>670</v>
      </c>
      <c r="F348" s="18" t="s">
        <v>1299</v>
      </c>
      <c r="G348" s="22" t="s">
        <v>1452</v>
      </c>
      <c r="H348" s="22" t="s">
        <v>1453</v>
      </c>
      <c r="I348" s="18">
        <v>3</v>
      </c>
      <c r="J348" s="18" t="s">
        <v>1293</v>
      </c>
      <c r="K348" s="22" t="s">
        <v>1451</v>
      </c>
      <c r="L348" s="39" t="s">
        <v>1294</v>
      </c>
      <c r="M348" s="22" t="s">
        <v>1454</v>
      </c>
      <c r="N348" s="39" t="s">
        <v>1455</v>
      </c>
      <c r="O348" s="77" t="str">
        <f t="shared" si="48"/>
        <v>PASS</v>
      </c>
      <c r="P348" s="78"/>
      <c r="Q348" s="23" t="str">
        <f t="shared" si="49"/>
        <v>PASS</v>
      </c>
    </row>
    <row r="349" spans="1:17" ht="52" x14ac:dyDescent="0.2">
      <c r="A349" s="18" t="s">
        <v>1456</v>
      </c>
      <c r="B349" s="39" t="s">
        <v>1457</v>
      </c>
      <c r="C349" s="32">
        <v>1</v>
      </c>
      <c r="D349" s="48">
        <v>1051</v>
      </c>
      <c r="E349" s="48">
        <v>1051</v>
      </c>
      <c r="F349" s="18" t="s">
        <v>1299</v>
      </c>
      <c r="G349" s="22" t="s">
        <v>1458</v>
      </c>
      <c r="H349" s="22" t="s">
        <v>1459</v>
      </c>
      <c r="I349" s="18">
        <v>3</v>
      </c>
      <c r="J349" s="18" t="s">
        <v>1293</v>
      </c>
      <c r="K349" s="22" t="s">
        <v>1457</v>
      </c>
      <c r="L349" s="39" t="s">
        <v>1294</v>
      </c>
      <c r="M349" s="22" t="s">
        <v>1460</v>
      </c>
      <c r="N349" s="39" t="s">
        <v>1461</v>
      </c>
      <c r="O349" s="77" t="str">
        <f t="shared" si="48"/>
        <v>PASS</v>
      </c>
      <c r="P349" s="78"/>
      <c r="Q349" s="23" t="str">
        <f t="shared" si="49"/>
        <v>PASS</v>
      </c>
    </row>
    <row r="350" spans="1:17" ht="52" x14ac:dyDescent="0.2">
      <c r="A350" s="18" t="s">
        <v>1462</v>
      </c>
      <c r="B350" s="39" t="s">
        <v>1463</v>
      </c>
      <c r="C350" s="32">
        <v>1</v>
      </c>
      <c r="D350" s="48">
        <v>358</v>
      </c>
      <c r="E350" s="48">
        <v>358</v>
      </c>
      <c r="F350" s="18" t="s">
        <v>1299</v>
      </c>
      <c r="G350" s="22" t="s">
        <v>1464</v>
      </c>
      <c r="H350" s="22" t="s">
        <v>1465</v>
      </c>
      <c r="I350" s="18">
        <v>3</v>
      </c>
      <c r="J350" s="18" t="s">
        <v>1293</v>
      </c>
      <c r="K350" s="22" t="s">
        <v>1463</v>
      </c>
      <c r="L350" s="39" t="s">
        <v>1294</v>
      </c>
      <c r="M350" s="22" t="s">
        <v>1466</v>
      </c>
      <c r="N350" s="39" t="s">
        <v>1467</v>
      </c>
      <c r="O350" s="77" t="str">
        <f t="shared" si="48"/>
        <v>PASS</v>
      </c>
      <c r="P350" s="78"/>
      <c r="Q350" s="23" t="str">
        <f t="shared" si="49"/>
        <v>PASS</v>
      </c>
    </row>
    <row r="351" spans="1:17" ht="65" x14ac:dyDescent="0.2">
      <c r="A351" s="18" t="s">
        <v>1468</v>
      </c>
      <c r="B351" s="39" t="s">
        <v>1469</v>
      </c>
      <c r="C351" s="32">
        <v>1</v>
      </c>
      <c r="D351" s="48">
        <v>1280</v>
      </c>
      <c r="E351" s="48">
        <v>1280</v>
      </c>
      <c r="F351" s="18" t="s">
        <v>1299</v>
      </c>
      <c r="G351" s="22" t="s">
        <v>1470</v>
      </c>
      <c r="H351" s="22" t="s">
        <v>1471</v>
      </c>
      <c r="I351" s="18">
        <v>3</v>
      </c>
      <c r="J351" s="18" t="s">
        <v>1293</v>
      </c>
      <c r="K351" s="22" t="s">
        <v>1469</v>
      </c>
      <c r="L351" s="39" t="s">
        <v>1294</v>
      </c>
      <c r="M351" s="22" t="s">
        <v>1472</v>
      </c>
      <c r="N351" s="39" t="s">
        <v>1473</v>
      </c>
      <c r="O351" s="77" t="str">
        <f t="shared" si="48"/>
        <v>PASS</v>
      </c>
      <c r="P351" s="78"/>
      <c r="Q351" s="23" t="str">
        <f t="shared" si="49"/>
        <v>PASS</v>
      </c>
    </row>
    <row r="352" spans="1:17" ht="52" x14ac:dyDescent="0.2">
      <c r="A352" s="18" t="s">
        <v>1474</v>
      </c>
      <c r="B352" s="39" t="s">
        <v>1475</v>
      </c>
      <c r="C352" s="32">
        <v>1</v>
      </c>
      <c r="D352" s="48">
        <v>1299</v>
      </c>
      <c r="E352" s="48">
        <v>1299</v>
      </c>
      <c r="F352" s="18" t="s">
        <v>1299</v>
      </c>
      <c r="G352" s="22" t="s">
        <v>1476</v>
      </c>
      <c r="H352" s="22" t="s">
        <v>1477</v>
      </c>
      <c r="I352" s="18">
        <v>3</v>
      </c>
      <c r="J352" s="18" t="s">
        <v>1293</v>
      </c>
      <c r="K352" s="22" t="s">
        <v>1475</v>
      </c>
      <c r="L352" s="39" t="s">
        <v>1294</v>
      </c>
      <c r="M352" s="22" t="s">
        <v>1478</v>
      </c>
      <c r="N352" s="39" t="s">
        <v>1479</v>
      </c>
      <c r="O352" s="77" t="str">
        <f t="shared" ref="O352:O383" si="50">IF(AND(LEN(TRIM($B352&amp;""))&gt;0,ISNUMBER($C352),$C352&gt;0,ISNUMBER($D352),$D352&gt;0,ISNUMBER($E352),$E352&gt;0,ABS($E352-$C352*$D352)&lt;=MAX(1,0.005*ABS($E352)),LEN(TRIM($M352&amp;""))&gt;0,TRIM($M352&amp;"")&lt;&gt;"—",LEN(TRIM($P352&amp;""))=0),"PASS","FAIL — "&amp;IF(LEN(TRIM($P352&amp;""))&gt;0,TRIM($P352&amp;""),"line ≠ qty×unit, a required cell empty, or qty/£ non-positive"))</f>
        <v>PASS</v>
      </c>
      <c r="P352" s="78"/>
      <c r="Q352" s="23" t="str">
        <f t="shared" ref="Q352:Q383" si="51">IF(AND(LEN(TRIM(A352&amp;""))&gt;0,TRIM(A352&amp;"")&lt;&gt;"—",LEN(TRIM(B352&amp;""))&gt;0,TRIM(B352&amp;"")&lt;&gt;"—",LEN(TRIM(C352&amp;""))&gt;0,TRIM(C352&amp;"")&lt;&gt;"—",ISNUMBER(C352),LEN(TRIM(D352&amp;""))&gt;0,TRIM(D352&amp;"")&lt;&gt;"—",ISNUMBER(D352),LEN(TRIM(E352&amp;""))&gt;0,TRIM(E352&amp;"")&lt;&gt;"—",ISNUMBER(E352),LEN(TRIM(F352&amp;""))&gt;0,TRIM(F352&amp;"")&lt;&gt;"—",LEN(TRIM(I352&amp;""))&gt;0,TRIM(I352&amp;"")&lt;&gt;"—",LEN(TRIM(J352&amp;""))&gt;0,TRIM(J352&amp;"")&lt;&gt;"—",LEN(TRIM(O352&amp;""))&gt;0,TRIM(O352&amp;"")&lt;&gt;"—"),"PASS","⚠ FAIL — "&amp;"a required cell is empty/placeholder or wrong type")</f>
        <v>PASS</v>
      </c>
    </row>
    <row r="353" spans="1:17" ht="52" x14ac:dyDescent="0.2">
      <c r="A353" s="18" t="s">
        <v>1480</v>
      </c>
      <c r="B353" s="39" t="s">
        <v>1481</v>
      </c>
      <c r="C353" s="32">
        <v>1</v>
      </c>
      <c r="D353" s="48">
        <v>1158</v>
      </c>
      <c r="E353" s="48">
        <v>1158</v>
      </c>
      <c r="F353" s="18" t="s">
        <v>1299</v>
      </c>
      <c r="G353" s="22" t="s">
        <v>1482</v>
      </c>
      <c r="H353" s="22" t="s">
        <v>1483</v>
      </c>
      <c r="I353" s="18">
        <v>3</v>
      </c>
      <c r="J353" s="18" t="s">
        <v>1293</v>
      </c>
      <c r="K353" s="22" t="s">
        <v>1481</v>
      </c>
      <c r="L353" s="39" t="s">
        <v>1294</v>
      </c>
      <c r="M353" s="22" t="s">
        <v>1484</v>
      </c>
      <c r="N353" s="39" t="s">
        <v>1485</v>
      </c>
      <c r="O353" s="77" t="str">
        <f t="shared" si="50"/>
        <v>PASS</v>
      </c>
      <c r="P353" s="78"/>
      <c r="Q353" s="23" t="str">
        <f t="shared" si="51"/>
        <v>PASS</v>
      </c>
    </row>
    <row r="354" spans="1:17" ht="52" x14ac:dyDescent="0.2">
      <c r="A354" s="18" t="s">
        <v>1486</v>
      </c>
      <c r="B354" s="39" t="s">
        <v>1487</v>
      </c>
      <c r="C354" s="32">
        <v>1</v>
      </c>
      <c r="D354" s="48">
        <v>1493</v>
      </c>
      <c r="E354" s="48">
        <v>1493</v>
      </c>
      <c r="F354" s="18" t="s">
        <v>1299</v>
      </c>
      <c r="G354" s="22" t="s">
        <v>1488</v>
      </c>
      <c r="H354" s="22" t="s">
        <v>1489</v>
      </c>
      <c r="I354" s="18">
        <v>3</v>
      </c>
      <c r="J354" s="18" t="s">
        <v>1293</v>
      </c>
      <c r="K354" s="22" t="s">
        <v>1487</v>
      </c>
      <c r="L354" s="39" t="s">
        <v>1294</v>
      </c>
      <c r="M354" s="22" t="s">
        <v>1490</v>
      </c>
      <c r="N354" s="39" t="s">
        <v>1491</v>
      </c>
      <c r="O354" s="77" t="str">
        <f t="shared" si="50"/>
        <v>PASS</v>
      </c>
      <c r="P354" s="78"/>
      <c r="Q354" s="23" t="str">
        <f t="shared" si="51"/>
        <v>PASS</v>
      </c>
    </row>
    <row r="355" spans="1:17" ht="52" x14ac:dyDescent="0.2">
      <c r="A355" s="18" t="s">
        <v>1492</v>
      </c>
      <c r="B355" s="39" t="s">
        <v>1493</v>
      </c>
      <c r="C355" s="32">
        <v>1</v>
      </c>
      <c r="D355" s="48">
        <v>897</v>
      </c>
      <c r="E355" s="48">
        <v>897</v>
      </c>
      <c r="F355" s="18" t="s">
        <v>1299</v>
      </c>
      <c r="G355" s="22" t="s">
        <v>1494</v>
      </c>
      <c r="H355" s="22" t="s">
        <v>1495</v>
      </c>
      <c r="I355" s="18">
        <v>3</v>
      </c>
      <c r="J355" s="18" t="s">
        <v>1293</v>
      </c>
      <c r="K355" s="22" t="s">
        <v>1493</v>
      </c>
      <c r="L355" s="39" t="s">
        <v>1294</v>
      </c>
      <c r="M355" s="22" t="s">
        <v>1496</v>
      </c>
      <c r="N355" s="39" t="s">
        <v>1497</v>
      </c>
      <c r="O355" s="77" t="str">
        <f t="shared" si="50"/>
        <v>PASS</v>
      </c>
      <c r="P355" s="78"/>
      <c r="Q355" s="23" t="str">
        <f t="shared" si="51"/>
        <v>PASS</v>
      </c>
    </row>
    <row r="356" spans="1:17" ht="52" x14ac:dyDescent="0.2">
      <c r="A356" s="18" t="s">
        <v>1498</v>
      </c>
      <c r="B356" s="39" t="s">
        <v>1499</v>
      </c>
      <c r="C356" s="32">
        <v>1</v>
      </c>
      <c r="D356" s="48">
        <v>1004</v>
      </c>
      <c r="E356" s="48">
        <v>1004</v>
      </c>
      <c r="F356" s="18" t="s">
        <v>1500</v>
      </c>
      <c r="G356" s="22" t="s">
        <v>1501</v>
      </c>
      <c r="H356" s="22" t="s">
        <v>1502</v>
      </c>
      <c r="I356" s="18">
        <v>3</v>
      </c>
      <c r="J356" s="18" t="s">
        <v>1293</v>
      </c>
      <c r="K356" s="22" t="s">
        <v>1499</v>
      </c>
      <c r="L356" s="39" t="s">
        <v>1294</v>
      </c>
      <c r="M356" s="22" t="s">
        <v>1503</v>
      </c>
      <c r="N356" s="39" t="s">
        <v>1504</v>
      </c>
      <c r="O356" s="77" t="str">
        <f t="shared" si="50"/>
        <v>PASS</v>
      </c>
      <c r="P356" s="78"/>
      <c r="Q356" s="23" t="str">
        <f t="shared" si="51"/>
        <v>PASS</v>
      </c>
    </row>
    <row r="357" spans="1:17" ht="52" x14ac:dyDescent="0.2">
      <c r="A357" s="18" t="s">
        <v>1505</v>
      </c>
      <c r="B357" s="39" t="s">
        <v>1506</v>
      </c>
      <c r="C357" s="32">
        <v>1</v>
      </c>
      <c r="D357" s="48">
        <v>875</v>
      </c>
      <c r="E357" s="48">
        <v>875</v>
      </c>
      <c r="F357" s="18" t="s">
        <v>1299</v>
      </c>
      <c r="G357" s="22" t="s">
        <v>1507</v>
      </c>
      <c r="H357" s="22" t="s">
        <v>1508</v>
      </c>
      <c r="I357" s="18">
        <v>3</v>
      </c>
      <c r="J357" s="18" t="s">
        <v>1293</v>
      </c>
      <c r="K357" s="22" t="s">
        <v>1506</v>
      </c>
      <c r="L357" s="39" t="s">
        <v>1294</v>
      </c>
      <c r="M357" s="22" t="s">
        <v>1509</v>
      </c>
      <c r="N357" s="39" t="s">
        <v>1510</v>
      </c>
      <c r="O357" s="77" t="str">
        <f t="shared" si="50"/>
        <v>PASS</v>
      </c>
      <c r="P357" s="78"/>
      <c r="Q357" s="23" t="str">
        <f t="shared" si="51"/>
        <v>PASS</v>
      </c>
    </row>
    <row r="358" spans="1:17" ht="65" x14ac:dyDescent="0.2">
      <c r="A358" s="18" t="s">
        <v>1511</v>
      </c>
      <c r="B358" s="39" t="s">
        <v>1512</v>
      </c>
      <c r="C358" s="32">
        <v>1</v>
      </c>
      <c r="D358" s="48">
        <v>625</v>
      </c>
      <c r="E358" s="48">
        <v>625</v>
      </c>
      <c r="F358" s="18" t="s">
        <v>1290</v>
      </c>
      <c r="G358" s="22" t="s">
        <v>1513</v>
      </c>
      <c r="H358" s="22" t="s">
        <v>1514</v>
      </c>
      <c r="I358" s="18">
        <v>3</v>
      </c>
      <c r="J358" s="18" t="s">
        <v>1293</v>
      </c>
      <c r="K358" s="22" t="s">
        <v>1512</v>
      </c>
      <c r="L358" s="39" t="s">
        <v>1294</v>
      </c>
      <c r="M358" s="22" t="s">
        <v>1515</v>
      </c>
      <c r="N358" s="39" t="s">
        <v>1516</v>
      </c>
      <c r="O358" s="77" t="str">
        <f t="shared" si="50"/>
        <v>PASS</v>
      </c>
      <c r="P358" s="78"/>
      <c r="Q358" s="23" t="str">
        <f t="shared" si="51"/>
        <v>PASS</v>
      </c>
    </row>
    <row r="359" spans="1:17" ht="52" x14ac:dyDescent="0.2">
      <c r="A359" s="18" t="s">
        <v>1517</v>
      </c>
      <c r="B359" s="39" t="s">
        <v>1518</v>
      </c>
      <c r="C359" s="32">
        <v>1</v>
      </c>
      <c r="D359" s="48">
        <v>1384</v>
      </c>
      <c r="E359" s="48">
        <v>1384</v>
      </c>
      <c r="F359" s="18" t="s">
        <v>1299</v>
      </c>
      <c r="G359" s="22" t="s">
        <v>1519</v>
      </c>
      <c r="H359" s="22" t="s">
        <v>1520</v>
      </c>
      <c r="I359" s="18">
        <v>3</v>
      </c>
      <c r="J359" s="18" t="s">
        <v>1293</v>
      </c>
      <c r="K359" s="22" t="s">
        <v>1518</v>
      </c>
      <c r="L359" s="39" t="s">
        <v>1294</v>
      </c>
      <c r="M359" s="22" t="s">
        <v>1521</v>
      </c>
      <c r="N359" s="39" t="s">
        <v>1522</v>
      </c>
      <c r="O359" s="77" t="str">
        <f t="shared" si="50"/>
        <v>PASS</v>
      </c>
      <c r="P359" s="78"/>
      <c r="Q359" s="23" t="str">
        <f t="shared" si="51"/>
        <v>PASS</v>
      </c>
    </row>
    <row r="360" spans="1:17" ht="52" x14ac:dyDescent="0.2">
      <c r="A360" s="18" t="s">
        <v>1523</v>
      </c>
      <c r="B360" s="39" t="s">
        <v>1524</v>
      </c>
      <c r="C360" s="32">
        <v>1</v>
      </c>
      <c r="D360" s="48">
        <v>406</v>
      </c>
      <c r="E360" s="48">
        <v>406</v>
      </c>
      <c r="F360" s="18" t="s">
        <v>1525</v>
      </c>
      <c r="G360" s="22" t="s">
        <v>1526</v>
      </c>
      <c r="H360" s="22" t="s">
        <v>1527</v>
      </c>
      <c r="I360" s="18">
        <v>3</v>
      </c>
      <c r="J360" s="18" t="s">
        <v>1293</v>
      </c>
      <c r="K360" s="22" t="s">
        <v>1524</v>
      </c>
      <c r="L360" s="39" t="s">
        <v>1294</v>
      </c>
      <c r="M360" s="22" t="s">
        <v>1528</v>
      </c>
      <c r="N360" s="39" t="s">
        <v>1529</v>
      </c>
      <c r="O360" s="77" t="str">
        <f t="shared" si="50"/>
        <v>PASS</v>
      </c>
      <c r="P360" s="78"/>
      <c r="Q360" s="23" t="str">
        <f t="shared" si="51"/>
        <v>PASS</v>
      </c>
    </row>
    <row r="361" spans="1:17" ht="52" x14ac:dyDescent="0.2">
      <c r="A361" s="18" t="s">
        <v>1530</v>
      </c>
      <c r="B361" s="39" t="s">
        <v>1531</v>
      </c>
      <c r="C361" s="32">
        <v>1</v>
      </c>
      <c r="D361" s="48">
        <v>1296</v>
      </c>
      <c r="E361" s="48">
        <v>1296</v>
      </c>
      <c r="F361" s="18" t="s">
        <v>1299</v>
      </c>
      <c r="G361" s="22" t="s">
        <v>1476</v>
      </c>
      <c r="H361" s="22" t="s">
        <v>1532</v>
      </c>
      <c r="I361" s="18">
        <v>3</v>
      </c>
      <c r="J361" s="18" t="s">
        <v>1293</v>
      </c>
      <c r="K361" s="22" t="s">
        <v>1531</v>
      </c>
      <c r="L361" s="39" t="s">
        <v>1294</v>
      </c>
      <c r="M361" s="22" t="s">
        <v>1533</v>
      </c>
      <c r="N361" s="39" t="s">
        <v>1479</v>
      </c>
      <c r="O361" s="77" t="str">
        <f t="shared" si="50"/>
        <v>PASS</v>
      </c>
      <c r="P361" s="78"/>
      <c r="Q361" s="23" t="str">
        <f t="shared" si="51"/>
        <v>PASS</v>
      </c>
    </row>
    <row r="362" spans="1:17" ht="52" x14ac:dyDescent="0.2">
      <c r="A362" s="18" t="s">
        <v>1534</v>
      </c>
      <c r="B362" s="39" t="s">
        <v>1535</v>
      </c>
      <c r="C362" s="32">
        <v>1</v>
      </c>
      <c r="D362" s="48">
        <v>41</v>
      </c>
      <c r="E362" s="48">
        <v>41</v>
      </c>
      <c r="F362" s="18" t="s">
        <v>1536</v>
      </c>
      <c r="G362" s="22" t="s">
        <v>1537</v>
      </c>
      <c r="H362" s="22" t="s">
        <v>1538</v>
      </c>
      <c r="I362" s="18">
        <v>3</v>
      </c>
      <c r="J362" s="18" t="s">
        <v>1293</v>
      </c>
      <c r="K362" s="22" t="s">
        <v>1535</v>
      </c>
      <c r="L362" s="39" t="s">
        <v>1539</v>
      </c>
      <c r="M362" s="22" t="s">
        <v>1540</v>
      </c>
      <c r="N362" s="39" t="s">
        <v>1541</v>
      </c>
      <c r="O362" s="77" t="str">
        <f t="shared" si="50"/>
        <v>PASS</v>
      </c>
      <c r="P362" s="78"/>
      <c r="Q362" s="23" t="str">
        <f t="shared" si="51"/>
        <v>PASS</v>
      </c>
    </row>
    <row r="363" spans="1:17" ht="52" x14ac:dyDescent="0.2">
      <c r="A363" s="18" t="s">
        <v>1542</v>
      </c>
      <c r="B363" s="39" t="s">
        <v>1543</v>
      </c>
      <c r="C363" s="32">
        <v>1</v>
      </c>
      <c r="D363" s="48">
        <v>36</v>
      </c>
      <c r="E363" s="48">
        <v>36</v>
      </c>
      <c r="F363" s="18" t="s">
        <v>1536</v>
      </c>
      <c r="G363" s="22" t="s">
        <v>1537</v>
      </c>
      <c r="H363" s="22" t="s">
        <v>1538</v>
      </c>
      <c r="I363" s="18">
        <v>3</v>
      </c>
      <c r="J363" s="18" t="s">
        <v>1293</v>
      </c>
      <c r="K363" s="22" t="s">
        <v>1543</v>
      </c>
      <c r="L363" s="39" t="s">
        <v>1539</v>
      </c>
      <c r="M363" s="22" t="s">
        <v>1540</v>
      </c>
      <c r="N363" s="39" t="s">
        <v>1544</v>
      </c>
      <c r="O363" s="77" t="str">
        <f t="shared" si="50"/>
        <v>PASS</v>
      </c>
      <c r="P363" s="78"/>
      <c r="Q363" s="23" t="str">
        <f t="shared" si="51"/>
        <v>PASS</v>
      </c>
    </row>
    <row r="364" spans="1:17" ht="52" x14ac:dyDescent="0.2">
      <c r="A364" s="18" t="s">
        <v>1545</v>
      </c>
      <c r="B364" s="39" t="s">
        <v>1546</v>
      </c>
      <c r="C364" s="32">
        <v>1</v>
      </c>
      <c r="D364" s="48">
        <v>74</v>
      </c>
      <c r="E364" s="48">
        <v>74</v>
      </c>
      <c r="F364" s="18" t="s">
        <v>1536</v>
      </c>
      <c r="G364" s="22" t="s">
        <v>1537</v>
      </c>
      <c r="H364" s="22" t="s">
        <v>1538</v>
      </c>
      <c r="I364" s="18">
        <v>3</v>
      </c>
      <c r="J364" s="18" t="s">
        <v>1293</v>
      </c>
      <c r="K364" s="22" t="s">
        <v>1546</v>
      </c>
      <c r="L364" s="39" t="s">
        <v>1539</v>
      </c>
      <c r="M364" s="22" t="s">
        <v>1540</v>
      </c>
      <c r="N364" s="39" t="s">
        <v>1547</v>
      </c>
      <c r="O364" s="77" t="str">
        <f t="shared" si="50"/>
        <v>PASS</v>
      </c>
      <c r="P364" s="78"/>
      <c r="Q364" s="23" t="str">
        <f t="shared" si="51"/>
        <v>PASS</v>
      </c>
    </row>
    <row r="365" spans="1:17" ht="52" x14ac:dyDescent="0.2">
      <c r="A365" s="18" t="s">
        <v>1548</v>
      </c>
      <c r="B365" s="39" t="s">
        <v>1549</v>
      </c>
      <c r="C365" s="32">
        <v>1</v>
      </c>
      <c r="D365" s="48">
        <v>28</v>
      </c>
      <c r="E365" s="48">
        <v>28</v>
      </c>
      <c r="F365" s="18" t="s">
        <v>1536</v>
      </c>
      <c r="G365" s="22" t="s">
        <v>1537</v>
      </c>
      <c r="H365" s="22" t="s">
        <v>1538</v>
      </c>
      <c r="I365" s="18">
        <v>3</v>
      </c>
      <c r="J365" s="18" t="s">
        <v>1293</v>
      </c>
      <c r="K365" s="22" t="s">
        <v>1549</v>
      </c>
      <c r="L365" s="39" t="s">
        <v>1539</v>
      </c>
      <c r="M365" s="22" t="s">
        <v>1540</v>
      </c>
      <c r="N365" s="39" t="s">
        <v>1550</v>
      </c>
      <c r="O365" s="77" t="str">
        <f t="shared" si="50"/>
        <v>PASS</v>
      </c>
      <c r="P365" s="78"/>
      <c r="Q365" s="23" t="str">
        <f t="shared" si="51"/>
        <v>PASS</v>
      </c>
    </row>
    <row r="366" spans="1:17" ht="52" x14ac:dyDescent="0.2">
      <c r="A366" s="18" t="s">
        <v>1551</v>
      </c>
      <c r="B366" s="39" t="s">
        <v>1552</v>
      </c>
      <c r="C366" s="32">
        <v>1</v>
      </c>
      <c r="D366" s="48">
        <v>29</v>
      </c>
      <c r="E366" s="48">
        <v>29</v>
      </c>
      <c r="F366" s="18" t="s">
        <v>1536</v>
      </c>
      <c r="G366" s="22" t="s">
        <v>1537</v>
      </c>
      <c r="H366" s="22" t="s">
        <v>1538</v>
      </c>
      <c r="I366" s="18">
        <v>3</v>
      </c>
      <c r="J366" s="18" t="s">
        <v>1293</v>
      </c>
      <c r="K366" s="22" t="s">
        <v>1552</v>
      </c>
      <c r="L366" s="39" t="s">
        <v>1539</v>
      </c>
      <c r="M366" s="22" t="s">
        <v>1540</v>
      </c>
      <c r="N366" s="39" t="s">
        <v>1553</v>
      </c>
      <c r="O366" s="77" t="str">
        <f t="shared" si="50"/>
        <v>PASS</v>
      </c>
      <c r="P366" s="78"/>
      <c r="Q366" s="23" t="str">
        <f t="shared" si="51"/>
        <v>PASS</v>
      </c>
    </row>
    <row r="367" spans="1:17" ht="52" x14ac:dyDescent="0.2">
      <c r="A367" s="18" t="s">
        <v>1554</v>
      </c>
      <c r="B367" s="39" t="s">
        <v>1555</v>
      </c>
      <c r="C367" s="32">
        <v>1</v>
      </c>
      <c r="D367" s="48">
        <v>102</v>
      </c>
      <c r="E367" s="48">
        <v>102</v>
      </c>
      <c r="F367" s="18" t="s">
        <v>1536</v>
      </c>
      <c r="G367" s="22" t="s">
        <v>1537</v>
      </c>
      <c r="H367" s="22" t="s">
        <v>1538</v>
      </c>
      <c r="I367" s="18">
        <v>3</v>
      </c>
      <c r="J367" s="18" t="s">
        <v>1293</v>
      </c>
      <c r="K367" s="22" t="s">
        <v>1555</v>
      </c>
      <c r="L367" s="39" t="s">
        <v>1539</v>
      </c>
      <c r="M367" s="22" t="s">
        <v>1540</v>
      </c>
      <c r="N367" s="39" t="s">
        <v>1556</v>
      </c>
      <c r="O367" s="77" t="str">
        <f t="shared" si="50"/>
        <v>PASS</v>
      </c>
      <c r="P367" s="78"/>
      <c r="Q367" s="23" t="str">
        <f t="shared" si="51"/>
        <v>PASS</v>
      </c>
    </row>
    <row r="368" spans="1:17" ht="52" x14ac:dyDescent="0.2">
      <c r="A368" s="18" t="s">
        <v>1557</v>
      </c>
      <c r="B368" s="39" t="s">
        <v>1558</v>
      </c>
      <c r="C368" s="32">
        <v>1</v>
      </c>
      <c r="D368" s="48">
        <v>38</v>
      </c>
      <c r="E368" s="48">
        <v>38</v>
      </c>
      <c r="F368" s="18" t="s">
        <v>1536</v>
      </c>
      <c r="G368" s="22" t="s">
        <v>1537</v>
      </c>
      <c r="H368" s="22" t="s">
        <v>1538</v>
      </c>
      <c r="I368" s="18">
        <v>3</v>
      </c>
      <c r="J368" s="18" t="s">
        <v>1293</v>
      </c>
      <c r="K368" s="22" t="s">
        <v>1558</v>
      </c>
      <c r="L368" s="39" t="s">
        <v>1539</v>
      </c>
      <c r="M368" s="22" t="s">
        <v>1540</v>
      </c>
      <c r="N368" s="39" t="s">
        <v>1559</v>
      </c>
      <c r="O368" s="77" t="str">
        <f t="shared" si="50"/>
        <v>PASS</v>
      </c>
      <c r="P368" s="78"/>
      <c r="Q368" s="23" t="str">
        <f t="shared" si="51"/>
        <v>PASS</v>
      </c>
    </row>
    <row r="369" spans="1:17" ht="52" x14ac:dyDescent="0.2">
      <c r="A369" s="18" t="s">
        <v>1560</v>
      </c>
      <c r="B369" s="39" t="s">
        <v>1561</v>
      </c>
      <c r="C369" s="32">
        <v>1</v>
      </c>
      <c r="D369" s="48">
        <v>121</v>
      </c>
      <c r="E369" s="48">
        <v>121</v>
      </c>
      <c r="F369" s="18" t="s">
        <v>1536</v>
      </c>
      <c r="G369" s="22" t="s">
        <v>1537</v>
      </c>
      <c r="H369" s="22" t="s">
        <v>1538</v>
      </c>
      <c r="I369" s="18">
        <v>3</v>
      </c>
      <c r="J369" s="18" t="s">
        <v>1293</v>
      </c>
      <c r="K369" s="22" t="s">
        <v>1561</v>
      </c>
      <c r="L369" s="39" t="s">
        <v>1539</v>
      </c>
      <c r="M369" s="22" t="s">
        <v>1540</v>
      </c>
      <c r="N369" s="39" t="s">
        <v>1562</v>
      </c>
      <c r="O369" s="77" t="str">
        <f t="shared" si="50"/>
        <v>PASS</v>
      </c>
      <c r="P369" s="78"/>
      <c r="Q369" s="23" t="str">
        <f t="shared" si="51"/>
        <v>PASS</v>
      </c>
    </row>
    <row r="370" spans="1:17" ht="52" x14ac:dyDescent="0.2">
      <c r="A370" s="18" t="s">
        <v>1563</v>
      </c>
      <c r="B370" s="39" t="s">
        <v>1564</v>
      </c>
      <c r="C370" s="32">
        <v>1</v>
      </c>
      <c r="D370" s="48">
        <v>74</v>
      </c>
      <c r="E370" s="48">
        <v>74</v>
      </c>
      <c r="F370" s="18" t="s">
        <v>1536</v>
      </c>
      <c r="G370" s="22" t="s">
        <v>1537</v>
      </c>
      <c r="H370" s="22" t="s">
        <v>1538</v>
      </c>
      <c r="I370" s="18">
        <v>3</v>
      </c>
      <c r="J370" s="18" t="s">
        <v>1293</v>
      </c>
      <c r="K370" s="22" t="s">
        <v>1564</v>
      </c>
      <c r="L370" s="39" t="s">
        <v>1539</v>
      </c>
      <c r="M370" s="22" t="s">
        <v>1540</v>
      </c>
      <c r="N370" s="39" t="s">
        <v>1547</v>
      </c>
      <c r="O370" s="77" t="str">
        <f t="shared" si="50"/>
        <v>PASS</v>
      </c>
      <c r="P370" s="78"/>
      <c r="Q370" s="23" t="str">
        <f t="shared" si="51"/>
        <v>PASS</v>
      </c>
    </row>
    <row r="371" spans="1:17" ht="52" x14ac:dyDescent="0.2">
      <c r="A371" s="18" t="s">
        <v>1565</v>
      </c>
      <c r="B371" s="39" t="s">
        <v>1566</v>
      </c>
      <c r="C371" s="32">
        <v>1</v>
      </c>
      <c r="D371" s="48">
        <v>91</v>
      </c>
      <c r="E371" s="48">
        <v>91</v>
      </c>
      <c r="F371" s="18" t="s">
        <v>1536</v>
      </c>
      <c r="G371" s="22" t="s">
        <v>1537</v>
      </c>
      <c r="H371" s="22" t="s">
        <v>1538</v>
      </c>
      <c r="I371" s="18">
        <v>3</v>
      </c>
      <c r="J371" s="18" t="s">
        <v>1293</v>
      </c>
      <c r="K371" s="22" t="s">
        <v>1566</v>
      </c>
      <c r="L371" s="39" t="s">
        <v>1539</v>
      </c>
      <c r="M371" s="22" t="s">
        <v>1540</v>
      </c>
      <c r="N371" s="39" t="s">
        <v>1567</v>
      </c>
      <c r="O371" s="77" t="str">
        <f t="shared" si="50"/>
        <v>PASS</v>
      </c>
      <c r="P371" s="78"/>
      <c r="Q371" s="23" t="str">
        <f t="shared" si="51"/>
        <v>PASS</v>
      </c>
    </row>
    <row r="372" spans="1:17" ht="52" x14ac:dyDescent="0.2">
      <c r="A372" s="18" t="s">
        <v>1568</v>
      </c>
      <c r="B372" s="39" t="s">
        <v>1569</v>
      </c>
      <c r="C372" s="32">
        <v>1</v>
      </c>
      <c r="D372" s="48">
        <v>112</v>
      </c>
      <c r="E372" s="48">
        <v>112</v>
      </c>
      <c r="F372" s="18" t="s">
        <v>1536</v>
      </c>
      <c r="G372" s="22" t="s">
        <v>1537</v>
      </c>
      <c r="H372" s="22" t="s">
        <v>1538</v>
      </c>
      <c r="I372" s="18">
        <v>3</v>
      </c>
      <c r="J372" s="18" t="s">
        <v>1293</v>
      </c>
      <c r="K372" s="22" t="s">
        <v>1569</v>
      </c>
      <c r="L372" s="39" t="s">
        <v>1539</v>
      </c>
      <c r="M372" s="22" t="s">
        <v>1540</v>
      </c>
      <c r="N372" s="39" t="s">
        <v>1570</v>
      </c>
      <c r="O372" s="77" t="str">
        <f t="shared" si="50"/>
        <v>PASS</v>
      </c>
      <c r="P372" s="78"/>
      <c r="Q372" s="23" t="str">
        <f t="shared" si="51"/>
        <v>PASS</v>
      </c>
    </row>
    <row r="373" spans="1:17" ht="52" x14ac:dyDescent="0.2">
      <c r="A373" s="18" t="s">
        <v>1571</v>
      </c>
      <c r="B373" s="39" t="s">
        <v>1572</v>
      </c>
      <c r="C373" s="32">
        <v>1</v>
      </c>
      <c r="D373" s="48">
        <v>125</v>
      </c>
      <c r="E373" s="48">
        <v>125</v>
      </c>
      <c r="F373" s="18" t="s">
        <v>1536</v>
      </c>
      <c r="G373" s="22" t="s">
        <v>1537</v>
      </c>
      <c r="H373" s="22" t="s">
        <v>1538</v>
      </c>
      <c r="I373" s="18">
        <v>3</v>
      </c>
      <c r="J373" s="18" t="s">
        <v>1293</v>
      </c>
      <c r="K373" s="22" t="s">
        <v>1572</v>
      </c>
      <c r="L373" s="39" t="s">
        <v>1539</v>
      </c>
      <c r="M373" s="22" t="s">
        <v>1540</v>
      </c>
      <c r="N373" s="39" t="s">
        <v>1573</v>
      </c>
      <c r="O373" s="77" t="str">
        <f t="shared" si="50"/>
        <v>PASS</v>
      </c>
      <c r="P373" s="78"/>
      <c r="Q373" s="23" t="str">
        <f t="shared" si="51"/>
        <v>PASS</v>
      </c>
    </row>
    <row r="374" spans="1:17" ht="52" x14ac:dyDescent="0.2">
      <c r="A374" s="18" t="s">
        <v>1574</v>
      </c>
      <c r="B374" s="39" t="s">
        <v>1575</v>
      </c>
      <c r="C374" s="32">
        <v>1</v>
      </c>
      <c r="D374" s="48">
        <v>129</v>
      </c>
      <c r="E374" s="48">
        <v>129</v>
      </c>
      <c r="F374" s="18" t="s">
        <v>1536</v>
      </c>
      <c r="G374" s="22" t="s">
        <v>1537</v>
      </c>
      <c r="H374" s="22" t="s">
        <v>1538</v>
      </c>
      <c r="I374" s="18">
        <v>3</v>
      </c>
      <c r="J374" s="18" t="s">
        <v>1293</v>
      </c>
      <c r="K374" s="22" t="s">
        <v>1575</v>
      </c>
      <c r="L374" s="39" t="s">
        <v>1539</v>
      </c>
      <c r="M374" s="22" t="s">
        <v>1540</v>
      </c>
      <c r="N374" s="39" t="s">
        <v>1576</v>
      </c>
      <c r="O374" s="77" t="str">
        <f t="shared" si="50"/>
        <v>PASS</v>
      </c>
      <c r="P374" s="78"/>
      <c r="Q374" s="23" t="str">
        <f t="shared" si="51"/>
        <v>PASS</v>
      </c>
    </row>
    <row r="375" spans="1:17" ht="52" x14ac:dyDescent="0.2">
      <c r="A375" s="18" t="s">
        <v>1577</v>
      </c>
      <c r="B375" s="39" t="s">
        <v>1578</v>
      </c>
      <c r="C375" s="32">
        <v>1</v>
      </c>
      <c r="D375" s="48">
        <v>86</v>
      </c>
      <c r="E375" s="48">
        <v>86</v>
      </c>
      <c r="F375" s="18" t="s">
        <v>1536</v>
      </c>
      <c r="G375" s="22" t="s">
        <v>1537</v>
      </c>
      <c r="H375" s="22" t="s">
        <v>1538</v>
      </c>
      <c r="I375" s="18">
        <v>3</v>
      </c>
      <c r="J375" s="18" t="s">
        <v>1293</v>
      </c>
      <c r="K375" s="22" t="s">
        <v>1578</v>
      </c>
      <c r="L375" s="39" t="s">
        <v>1539</v>
      </c>
      <c r="M375" s="22" t="s">
        <v>1540</v>
      </c>
      <c r="N375" s="39" t="s">
        <v>1579</v>
      </c>
      <c r="O375" s="77" t="str">
        <f t="shared" si="50"/>
        <v>PASS</v>
      </c>
      <c r="P375" s="78"/>
      <c r="Q375" s="23" t="str">
        <f t="shared" si="51"/>
        <v>PASS</v>
      </c>
    </row>
    <row r="376" spans="1:17" ht="52" x14ac:dyDescent="0.2">
      <c r="A376" s="18" t="s">
        <v>1580</v>
      </c>
      <c r="B376" s="39" t="s">
        <v>1581</v>
      </c>
      <c r="C376" s="32">
        <v>1</v>
      </c>
      <c r="D376" s="48">
        <v>77</v>
      </c>
      <c r="E376" s="48">
        <v>77</v>
      </c>
      <c r="F376" s="18" t="s">
        <v>1536</v>
      </c>
      <c r="G376" s="22" t="s">
        <v>1537</v>
      </c>
      <c r="H376" s="22" t="s">
        <v>1538</v>
      </c>
      <c r="I376" s="18">
        <v>3</v>
      </c>
      <c r="J376" s="18" t="s">
        <v>1293</v>
      </c>
      <c r="K376" s="22" t="s">
        <v>1581</v>
      </c>
      <c r="L376" s="39" t="s">
        <v>1539</v>
      </c>
      <c r="M376" s="22" t="s">
        <v>1540</v>
      </c>
      <c r="N376" s="39" t="s">
        <v>1582</v>
      </c>
      <c r="O376" s="77" t="str">
        <f t="shared" si="50"/>
        <v>PASS</v>
      </c>
      <c r="P376" s="78"/>
      <c r="Q376" s="23" t="str">
        <f t="shared" si="51"/>
        <v>PASS</v>
      </c>
    </row>
    <row r="377" spans="1:17" ht="52" x14ac:dyDescent="0.2">
      <c r="A377" s="18" t="s">
        <v>1583</v>
      </c>
      <c r="B377" s="39" t="s">
        <v>1584</v>
      </c>
      <c r="C377" s="32">
        <v>1</v>
      </c>
      <c r="D377" s="48">
        <v>920</v>
      </c>
      <c r="E377" s="48">
        <v>920</v>
      </c>
      <c r="F377" s="18" t="s">
        <v>1299</v>
      </c>
      <c r="G377" s="22" t="s">
        <v>1585</v>
      </c>
      <c r="H377" s="22" t="s">
        <v>1586</v>
      </c>
      <c r="I377" s="18">
        <v>3</v>
      </c>
      <c r="J377" s="18" t="s">
        <v>1293</v>
      </c>
      <c r="K377" s="22" t="s">
        <v>1584</v>
      </c>
      <c r="L377" s="39" t="s">
        <v>1294</v>
      </c>
      <c r="M377" s="22" t="s">
        <v>1587</v>
      </c>
      <c r="N377" s="39" t="s">
        <v>1588</v>
      </c>
      <c r="O377" s="77" t="str">
        <f t="shared" si="50"/>
        <v>PASS</v>
      </c>
      <c r="P377" s="78"/>
      <c r="Q377" s="23" t="str">
        <f t="shared" si="51"/>
        <v>PASS</v>
      </c>
    </row>
    <row r="378" spans="1:17" ht="52" x14ac:dyDescent="0.2">
      <c r="A378" s="18" t="s">
        <v>1589</v>
      </c>
      <c r="B378" s="39" t="s">
        <v>1590</v>
      </c>
      <c r="C378" s="32">
        <v>1</v>
      </c>
      <c r="D378" s="48">
        <v>3550</v>
      </c>
      <c r="E378" s="48">
        <v>3550</v>
      </c>
      <c r="F378" s="18" t="s">
        <v>1290</v>
      </c>
      <c r="G378" s="22" t="s">
        <v>1591</v>
      </c>
      <c r="H378" s="22" t="s">
        <v>1592</v>
      </c>
      <c r="I378" s="18">
        <v>3</v>
      </c>
      <c r="J378" s="18" t="s">
        <v>1293</v>
      </c>
      <c r="K378" s="22" t="s">
        <v>1590</v>
      </c>
      <c r="L378" s="39" t="s">
        <v>1294</v>
      </c>
      <c r="M378" s="22" t="s">
        <v>1593</v>
      </c>
      <c r="N378" s="39" t="s">
        <v>1594</v>
      </c>
      <c r="O378" s="77" t="str">
        <f t="shared" si="50"/>
        <v>PASS</v>
      </c>
      <c r="P378" s="78"/>
      <c r="Q378" s="23" t="str">
        <f t="shared" si="51"/>
        <v>PASS</v>
      </c>
    </row>
    <row r="379" spans="1:17" ht="52" x14ac:dyDescent="0.2">
      <c r="A379" s="18" t="s">
        <v>1595</v>
      </c>
      <c r="B379" s="39" t="s">
        <v>1596</v>
      </c>
      <c r="C379" s="32">
        <v>1</v>
      </c>
      <c r="D379" s="48">
        <v>1872</v>
      </c>
      <c r="E379" s="48">
        <v>1872</v>
      </c>
      <c r="F379" s="18" t="s">
        <v>1290</v>
      </c>
      <c r="G379" s="22" t="s">
        <v>1597</v>
      </c>
      <c r="H379" s="22" t="s">
        <v>1598</v>
      </c>
      <c r="I379" s="18">
        <v>3</v>
      </c>
      <c r="J379" s="18" t="s">
        <v>1293</v>
      </c>
      <c r="K379" s="22" t="s">
        <v>1596</v>
      </c>
      <c r="L379" s="39" t="s">
        <v>1294</v>
      </c>
      <c r="M379" s="22" t="s">
        <v>1599</v>
      </c>
      <c r="N379" s="39" t="s">
        <v>1600</v>
      </c>
      <c r="O379" s="77" t="str">
        <f t="shared" si="50"/>
        <v>PASS</v>
      </c>
      <c r="P379" s="78"/>
      <c r="Q379" s="23" t="str">
        <f t="shared" si="51"/>
        <v>PASS</v>
      </c>
    </row>
    <row r="380" spans="1:17" ht="52" x14ac:dyDescent="0.2">
      <c r="A380" s="18" t="s">
        <v>1601</v>
      </c>
      <c r="B380" s="39" t="s">
        <v>1602</v>
      </c>
      <c r="C380" s="32">
        <v>1</v>
      </c>
      <c r="D380" s="48">
        <v>1308</v>
      </c>
      <c r="E380" s="48">
        <v>1308</v>
      </c>
      <c r="F380" s="18" t="s">
        <v>1299</v>
      </c>
      <c r="G380" s="22" t="s">
        <v>1603</v>
      </c>
      <c r="H380" s="22" t="s">
        <v>1604</v>
      </c>
      <c r="I380" s="18">
        <v>3</v>
      </c>
      <c r="J380" s="18" t="s">
        <v>1293</v>
      </c>
      <c r="K380" s="22" t="s">
        <v>1602</v>
      </c>
      <c r="L380" s="39" t="s">
        <v>1294</v>
      </c>
      <c r="M380" s="22" t="s">
        <v>1605</v>
      </c>
      <c r="N380" s="39" t="s">
        <v>1606</v>
      </c>
      <c r="O380" s="77" t="str">
        <f t="shared" si="50"/>
        <v>PASS</v>
      </c>
      <c r="P380" s="78"/>
      <c r="Q380" s="23" t="str">
        <f t="shared" si="51"/>
        <v>PASS</v>
      </c>
    </row>
    <row r="381" spans="1:17" ht="52" x14ac:dyDescent="0.2">
      <c r="A381" s="18" t="s">
        <v>1607</v>
      </c>
      <c r="B381" s="39" t="s">
        <v>1608</v>
      </c>
      <c r="C381" s="32">
        <v>1</v>
      </c>
      <c r="D381" s="48">
        <v>1344</v>
      </c>
      <c r="E381" s="48">
        <v>1344</v>
      </c>
      <c r="F381" s="18" t="s">
        <v>1299</v>
      </c>
      <c r="G381" s="22" t="s">
        <v>1609</v>
      </c>
      <c r="H381" s="22" t="s">
        <v>1610</v>
      </c>
      <c r="I381" s="18">
        <v>3</v>
      </c>
      <c r="J381" s="18" t="s">
        <v>1293</v>
      </c>
      <c r="K381" s="22" t="s">
        <v>1608</v>
      </c>
      <c r="L381" s="39" t="s">
        <v>1294</v>
      </c>
      <c r="M381" s="22" t="s">
        <v>1611</v>
      </c>
      <c r="N381" s="39" t="s">
        <v>1612</v>
      </c>
      <c r="O381" s="77" t="str">
        <f t="shared" si="50"/>
        <v>PASS</v>
      </c>
      <c r="P381" s="78"/>
      <c r="Q381" s="23" t="str">
        <f t="shared" si="51"/>
        <v>PASS</v>
      </c>
    </row>
    <row r="382" spans="1:17" ht="52" x14ac:dyDescent="0.2">
      <c r="A382" s="18" t="s">
        <v>1613</v>
      </c>
      <c r="B382" s="39" t="s">
        <v>1614</v>
      </c>
      <c r="C382" s="32">
        <v>1</v>
      </c>
      <c r="D382" s="48">
        <v>596</v>
      </c>
      <c r="E382" s="48">
        <v>596</v>
      </c>
      <c r="F382" s="18" t="s">
        <v>1299</v>
      </c>
      <c r="G382" s="22" t="s">
        <v>1615</v>
      </c>
      <c r="H382" s="22" t="s">
        <v>1616</v>
      </c>
      <c r="I382" s="18">
        <v>3</v>
      </c>
      <c r="J382" s="18" t="s">
        <v>1293</v>
      </c>
      <c r="K382" s="22" t="s">
        <v>1614</v>
      </c>
      <c r="L382" s="39" t="s">
        <v>1294</v>
      </c>
      <c r="M382" s="22" t="s">
        <v>1617</v>
      </c>
      <c r="N382" s="39" t="s">
        <v>1618</v>
      </c>
      <c r="O382" s="77" t="str">
        <f t="shared" si="50"/>
        <v>PASS</v>
      </c>
      <c r="P382" s="78"/>
      <c r="Q382" s="23" t="str">
        <f t="shared" si="51"/>
        <v>PASS</v>
      </c>
    </row>
    <row r="383" spans="1:17" ht="52" x14ac:dyDescent="0.2">
      <c r="A383" s="18" t="s">
        <v>1619</v>
      </c>
      <c r="B383" s="39" t="s">
        <v>1620</v>
      </c>
      <c r="C383" s="32">
        <v>1</v>
      </c>
      <c r="D383" s="48">
        <v>35</v>
      </c>
      <c r="E383" s="48">
        <v>35</v>
      </c>
      <c r="F383" s="18" t="s">
        <v>1536</v>
      </c>
      <c r="G383" s="22" t="s">
        <v>1537</v>
      </c>
      <c r="H383" s="22" t="s">
        <v>1538</v>
      </c>
      <c r="I383" s="18">
        <v>3</v>
      </c>
      <c r="J383" s="18" t="s">
        <v>1293</v>
      </c>
      <c r="K383" s="22" t="s">
        <v>1620</v>
      </c>
      <c r="L383" s="39" t="s">
        <v>1539</v>
      </c>
      <c r="M383" s="22" t="s">
        <v>1540</v>
      </c>
      <c r="N383" s="39" t="s">
        <v>1621</v>
      </c>
      <c r="O383" s="77" t="str">
        <f t="shared" si="50"/>
        <v>PASS</v>
      </c>
      <c r="P383" s="78"/>
      <c r="Q383" s="23" t="str">
        <f t="shared" si="51"/>
        <v>PASS</v>
      </c>
    </row>
    <row r="384" spans="1:17" ht="52" x14ac:dyDescent="0.2">
      <c r="A384" s="18" t="s">
        <v>1622</v>
      </c>
      <c r="B384" s="39" t="s">
        <v>1623</v>
      </c>
      <c r="C384" s="32">
        <v>1</v>
      </c>
      <c r="D384" s="48">
        <v>21</v>
      </c>
      <c r="E384" s="48">
        <v>21</v>
      </c>
      <c r="F384" s="18" t="s">
        <v>1536</v>
      </c>
      <c r="G384" s="22" t="s">
        <v>1537</v>
      </c>
      <c r="H384" s="22" t="s">
        <v>1538</v>
      </c>
      <c r="I384" s="18">
        <v>3</v>
      </c>
      <c r="J384" s="18" t="s">
        <v>1293</v>
      </c>
      <c r="K384" s="22" t="s">
        <v>1623</v>
      </c>
      <c r="L384" s="39" t="s">
        <v>1539</v>
      </c>
      <c r="M384" s="22" t="s">
        <v>1540</v>
      </c>
      <c r="N384" s="39" t="s">
        <v>1624</v>
      </c>
      <c r="O384" s="77" t="str">
        <f t="shared" ref="O384:O402" si="52">IF(AND(LEN(TRIM($B384&amp;""))&gt;0,ISNUMBER($C384),$C384&gt;0,ISNUMBER($D384),$D384&gt;0,ISNUMBER($E384),$E384&gt;0,ABS($E384-$C384*$D384)&lt;=MAX(1,0.005*ABS($E384)),LEN(TRIM($M384&amp;""))&gt;0,TRIM($M384&amp;"")&lt;&gt;"—",LEN(TRIM($P384&amp;""))=0),"PASS","FAIL — "&amp;IF(LEN(TRIM($P384&amp;""))&gt;0,TRIM($P384&amp;""),"line ≠ qty×unit, a required cell empty, or qty/£ non-positive"))</f>
        <v>PASS</v>
      </c>
      <c r="P384" s="78"/>
      <c r="Q384" s="23" t="str">
        <f t="shared" ref="Q384:Q391" si="53">IF(AND(LEN(TRIM(A384&amp;""))&gt;0,TRIM(A384&amp;"")&lt;&gt;"—",LEN(TRIM(B384&amp;""))&gt;0,TRIM(B384&amp;"")&lt;&gt;"—",LEN(TRIM(C384&amp;""))&gt;0,TRIM(C384&amp;"")&lt;&gt;"—",ISNUMBER(C384),LEN(TRIM(D384&amp;""))&gt;0,TRIM(D384&amp;"")&lt;&gt;"—",ISNUMBER(D384),LEN(TRIM(E384&amp;""))&gt;0,TRIM(E384&amp;"")&lt;&gt;"—",ISNUMBER(E384),LEN(TRIM(F384&amp;""))&gt;0,TRIM(F384&amp;"")&lt;&gt;"—",LEN(TRIM(I384&amp;""))&gt;0,TRIM(I384&amp;"")&lt;&gt;"—",LEN(TRIM(J384&amp;""))&gt;0,TRIM(J384&amp;"")&lt;&gt;"—",LEN(TRIM(O384&amp;""))&gt;0,TRIM(O384&amp;"")&lt;&gt;"—"),"PASS","⚠ FAIL — "&amp;"a required cell is empty/placeholder or wrong type")</f>
        <v>PASS</v>
      </c>
    </row>
    <row r="385" spans="1:17" ht="52" x14ac:dyDescent="0.2">
      <c r="A385" s="18" t="s">
        <v>1625</v>
      </c>
      <c r="B385" s="39" t="s">
        <v>1626</v>
      </c>
      <c r="C385" s="32">
        <v>1</v>
      </c>
      <c r="D385" s="48">
        <v>35</v>
      </c>
      <c r="E385" s="48">
        <v>35</v>
      </c>
      <c r="F385" s="18" t="s">
        <v>1536</v>
      </c>
      <c r="G385" s="22" t="s">
        <v>1537</v>
      </c>
      <c r="H385" s="22" t="s">
        <v>1538</v>
      </c>
      <c r="I385" s="18">
        <v>3</v>
      </c>
      <c r="J385" s="18" t="s">
        <v>1293</v>
      </c>
      <c r="K385" s="22" t="s">
        <v>1626</v>
      </c>
      <c r="L385" s="39" t="s">
        <v>1539</v>
      </c>
      <c r="M385" s="22" t="s">
        <v>1540</v>
      </c>
      <c r="N385" s="39" t="s">
        <v>1621</v>
      </c>
      <c r="O385" s="77" t="str">
        <f t="shared" si="52"/>
        <v>PASS</v>
      </c>
      <c r="P385" s="78"/>
      <c r="Q385" s="23" t="str">
        <f t="shared" si="53"/>
        <v>PASS</v>
      </c>
    </row>
    <row r="386" spans="1:17" ht="52" x14ac:dyDescent="0.2">
      <c r="A386" s="18" t="s">
        <v>1627</v>
      </c>
      <c r="B386" s="39" t="s">
        <v>1628</v>
      </c>
      <c r="C386" s="32">
        <v>1</v>
      </c>
      <c r="D386" s="48">
        <v>19</v>
      </c>
      <c r="E386" s="48">
        <v>19</v>
      </c>
      <c r="F386" s="18" t="s">
        <v>1536</v>
      </c>
      <c r="G386" s="22" t="s">
        <v>1537</v>
      </c>
      <c r="H386" s="22" t="s">
        <v>1538</v>
      </c>
      <c r="I386" s="18">
        <v>3</v>
      </c>
      <c r="J386" s="18" t="s">
        <v>1293</v>
      </c>
      <c r="K386" s="22" t="s">
        <v>1628</v>
      </c>
      <c r="L386" s="39" t="s">
        <v>1539</v>
      </c>
      <c r="M386" s="22" t="s">
        <v>1540</v>
      </c>
      <c r="N386" s="39" t="s">
        <v>1629</v>
      </c>
      <c r="O386" s="77" t="str">
        <f t="shared" si="52"/>
        <v>PASS</v>
      </c>
      <c r="P386" s="78"/>
      <c r="Q386" s="23" t="str">
        <f t="shared" si="53"/>
        <v>PASS</v>
      </c>
    </row>
    <row r="387" spans="1:17" ht="52" x14ac:dyDescent="0.2">
      <c r="A387" s="18" t="s">
        <v>1630</v>
      </c>
      <c r="B387" s="39" t="s">
        <v>1631</v>
      </c>
      <c r="C387" s="32">
        <v>1</v>
      </c>
      <c r="D387" s="48">
        <v>34</v>
      </c>
      <c r="E387" s="48">
        <v>34</v>
      </c>
      <c r="F387" s="18" t="s">
        <v>1536</v>
      </c>
      <c r="G387" s="22" t="s">
        <v>1537</v>
      </c>
      <c r="H387" s="22" t="s">
        <v>1538</v>
      </c>
      <c r="I387" s="18">
        <v>3</v>
      </c>
      <c r="J387" s="18" t="s">
        <v>1293</v>
      </c>
      <c r="K387" s="22" t="s">
        <v>1631</v>
      </c>
      <c r="L387" s="39" t="s">
        <v>1539</v>
      </c>
      <c r="M387" s="22" t="s">
        <v>1540</v>
      </c>
      <c r="N387" s="39" t="s">
        <v>1621</v>
      </c>
      <c r="O387" s="77" t="str">
        <f t="shared" si="52"/>
        <v>PASS</v>
      </c>
      <c r="P387" s="78"/>
      <c r="Q387" s="23" t="str">
        <f t="shared" si="53"/>
        <v>PASS</v>
      </c>
    </row>
    <row r="388" spans="1:17" ht="52" x14ac:dyDescent="0.2">
      <c r="A388" s="18" t="s">
        <v>1632</v>
      </c>
      <c r="B388" s="39" t="s">
        <v>1633</v>
      </c>
      <c r="C388" s="32">
        <v>1</v>
      </c>
      <c r="D388" s="48">
        <v>34</v>
      </c>
      <c r="E388" s="48">
        <v>34</v>
      </c>
      <c r="F388" s="18" t="s">
        <v>1536</v>
      </c>
      <c r="G388" s="22" t="s">
        <v>1537</v>
      </c>
      <c r="H388" s="22" t="s">
        <v>1538</v>
      </c>
      <c r="I388" s="18">
        <v>3</v>
      </c>
      <c r="J388" s="18" t="s">
        <v>1293</v>
      </c>
      <c r="K388" s="22" t="s">
        <v>1633</v>
      </c>
      <c r="L388" s="39" t="s">
        <v>1539</v>
      </c>
      <c r="M388" s="22" t="s">
        <v>1540</v>
      </c>
      <c r="N388" s="39" t="s">
        <v>1621</v>
      </c>
      <c r="O388" s="77" t="str">
        <f t="shared" si="52"/>
        <v>PASS</v>
      </c>
      <c r="P388" s="78"/>
      <c r="Q388" s="23" t="str">
        <f t="shared" si="53"/>
        <v>PASS</v>
      </c>
    </row>
    <row r="389" spans="1:17" ht="52" x14ac:dyDescent="0.2">
      <c r="A389" s="18" t="s">
        <v>1634</v>
      </c>
      <c r="B389" s="39" t="s">
        <v>1635</v>
      </c>
      <c r="C389" s="32">
        <v>1</v>
      </c>
      <c r="D389" s="48">
        <v>112</v>
      </c>
      <c r="E389" s="48">
        <v>112</v>
      </c>
      <c r="F389" s="18" t="s">
        <v>1536</v>
      </c>
      <c r="G389" s="22" t="s">
        <v>1537</v>
      </c>
      <c r="H389" s="22" t="s">
        <v>1538</v>
      </c>
      <c r="I389" s="18">
        <v>3</v>
      </c>
      <c r="J389" s="18" t="s">
        <v>1293</v>
      </c>
      <c r="K389" s="22" t="s">
        <v>1635</v>
      </c>
      <c r="L389" s="39" t="s">
        <v>1539</v>
      </c>
      <c r="M389" s="22" t="s">
        <v>1540</v>
      </c>
      <c r="N389" s="39" t="s">
        <v>1570</v>
      </c>
      <c r="O389" s="77" t="str">
        <f t="shared" si="52"/>
        <v>PASS</v>
      </c>
      <c r="P389" s="78"/>
      <c r="Q389" s="23" t="str">
        <f t="shared" si="53"/>
        <v>PASS</v>
      </c>
    </row>
    <row r="390" spans="1:17" ht="52" x14ac:dyDescent="0.2">
      <c r="A390" s="18" t="s">
        <v>1636</v>
      </c>
      <c r="B390" s="39" t="s">
        <v>1637</v>
      </c>
      <c r="C390" s="32">
        <v>1</v>
      </c>
      <c r="D390" s="48">
        <v>100</v>
      </c>
      <c r="E390" s="48">
        <v>100</v>
      </c>
      <c r="F390" s="18" t="s">
        <v>1536</v>
      </c>
      <c r="G390" s="22" t="s">
        <v>1537</v>
      </c>
      <c r="H390" s="22" t="s">
        <v>1538</v>
      </c>
      <c r="I390" s="18">
        <v>3</v>
      </c>
      <c r="J390" s="18" t="s">
        <v>1293</v>
      </c>
      <c r="K390" s="22" t="s">
        <v>1637</v>
      </c>
      <c r="L390" s="39" t="s">
        <v>1539</v>
      </c>
      <c r="M390" s="22" t="s">
        <v>1540</v>
      </c>
      <c r="N390" s="39" t="s">
        <v>1638</v>
      </c>
      <c r="O390" s="77" t="str">
        <f t="shared" si="52"/>
        <v>PASS</v>
      </c>
      <c r="P390" s="78"/>
      <c r="Q390" s="23" t="str">
        <f t="shared" si="53"/>
        <v>PASS</v>
      </c>
    </row>
    <row r="391" spans="1:17" ht="52" x14ac:dyDescent="0.2">
      <c r="A391" s="18" t="s">
        <v>1639</v>
      </c>
      <c r="B391" s="39" t="s">
        <v>1640</v>
      </c>
      <c r="C391" s="32">
        <v>1</v>
      </c>
      <c r="D391" s="48">
        <v>36</v>
      </c>
      <c r="E391" s="48">
        <v>36</v>
      </c>
      <c r="F391" s="18" t="s">
        <v>1536</v>
      </c>
      <c r="G391" s="22" t="s">
        <v>1537</v>
      </c>
      <c r="H391" s="22" t="s">
        <v>1538</v>
      </c>
      <c r="I391" s="18">
        <v>3</v>
      </c>
      <c r="J391" s="18" t="s">
        <v>1293</v>
      </c>
      <c r="K391" s="22" t="s">
        <v>1640</v>
      </c>
      <c r="L391" s="39" t="s">
        <v>1539</v>
      </c>
      <c r="M391" s="22" t="s">
        <v>1540</v>
      </c>
      <c r="N391" s="39" t="s">
        <v>1641</v>
      </c>
      <c r="O391" s="77" t="str">
        <f t="shared" si="52"/>
        <v>PASS</v>
      </c>
      <c r="P391" s="78"/>
      <c r="Q391" s="23" t="str">
        <f t="shared" si="53"/>
        <v>PASS</v>
      </c>
    </row>
    <row r="392" spans="1:17" ht="182" x14ac:dyDescent="0.2">
      <c r="A392" s="18" t="str">
        <f>'Part names'!$A$89</f>
        <v>X-143</v>
      </c>
      <c r="B392" s="39" t="str">
        <f>'Part names'!$B$89 &amp; "  · DN125 PVC-U · 214 m"</f>
        <v>Zoned distribution — department delivery mains  · DN125 PVC-U · 214 m</v>
      </c>
      <c r="C392" s="32">
        <v>214</v>
      </c>
      <c r="D392" s="48">
        <v>20.8</v>
      </c>
      <c r="E392" s="48">
        <v>4451</v>
      </c>
      <c r="F392" s="18" t="s">
        <v>773</v>
      </c>
      <c r="G392" s="22" t="s">
        <v>1642</v>
      </c>
      <c r="H392" s="22" t="s">
        <v>1643</v>
      </c>
      <c r="I392" s="18"/>
      <c r="J392" s="18"/>
      <c r="K392" s="22" t="s">
        <v>1644</v>
      </c>
      <c r="L392" s="39" t="s">
        <v>1645</v>
      </c>
      <c r="M392" s="22" t="s">
        <v>1646</v>
      </c>
      <c r="N392" s="39" t="s">
        <v>1647</v>
      </c>
      <c r="O392" s="77" t="str">
        <f t="shared" si="52"/>
        <v>PASS</v>
      </c>
      <c r="P392" s="78"/>
      <c r="Q392" s="37" t="str">
        <f t="shared" ref="Q392:Q402" si="54">IF(AND(LEN(TRIM(A392&amp;""))&gt;0,TRIM(A392&amp;"")&lt;&gt;"—",LEN(TRIM(B392&amp;""))&gt;0,TRIM(B392&amp;"")&lt;&gt;"—",LEN(TRIM(C392&amp;""))&gt;0,TRIM(C392&amp;"")&lt;&gt;"—",ISNUMBER(C392),LEN(TRIM(D392&amp;""))&gt;0,TRIM(D392&amp;"")&lt;&gt;"—",ISNUMBER(D392),LEN(TRIM(E392&amp;""))&gt;0,TRIM(E392&amp;"")&lt;&gt;"—",ISNUMBER(E392),LEN(TRIM(F392&amp;""))&gt;0,TRIM(F392&amp;"")&lt;&gt;"—",LEN(TRIM(I392&amp;""))&gt;0,TRIM(I392&amp;"")&lt;&gt;"—",LEN(TRIM(J392&amp;""))&gt;0,TRIM(J392&amp;"")&lt;&gt;"—",LEN(TRIM(O392&amp;""))&gt;0,TRIM(O392&amp;"")&lt;&gt;"—"),"PASS","⚠ FAIL — "&amp;"'Est class' empty; 'Confidence' empty")</f>
        <v>⚠ FAIL — 'Est class' empty; 'Confidence' empty</v>
      </c>
    </row>
    <row r="393" spans="1:17" ht="169" x14ac:dyDescent="0.2">
      <c r="A393" s="18" t="s">
        <v>1648</v>
      </c>
      <c r="B393" s="39" t="str">
        <f>'Part names'!$B$89 &amp; "  · DN125 PVC-U · 280 m"</f>
        <v>Zoned distribution — department delivery mains  · DN125 PVC-U · 280 m</v>
      </c>
      <c r="C393" s="32">
        <v>280</v>
      </c>
      <c r="D393" s="48">
        <v>20.8</v>
      </c>
      <c r="E393" s="48">
        <v>5824</v>
      </c>
      <c r="F393" s="18" t="s">
        <v>773</v>
      </c>
      <c r="G393" s="22" t="s">
        <v>1649</v>
      </c>
      <c r="H393" s="22" t="s">
        <v>1650</v>
      </c>
      <c r="I393" s="18"/>
      <c r="J393" s="18"/>
      <c r="K393" s="22" t="s">
        <v>1651</v>
      </c>
      <c r="L393" s="39" t="s">
        <v>1645</v>
      </c>
      <c r="M393" s="22" t="s">
        <v>1652</v>
      </c>
      <c r="N393" s="39" t="s">
        <v>1653</v>
      </c>
      <c r="O393" s="77" t="str">
        <f t="shared" si="52"/>
        <v>PASS</v>
      </c>
      <c r="P393" s="78"/>
      <c r="Q393" s="37" t="str">
        <f t="shared" si="54"/>
        <v>⚠ FAIL — 'Est class' empty; 'Confidence' empty</v>
      </c>
    </row>
    <row r="394" spans="1:17" ht="182" x14ac:dyDescent="0.2">
      <c r="A394" s="18" t="s">
        <v>1654</v>
      </c>
      <c r="B394" s="39" t="str">
        <f>'Part names'!$B$89 &amp; "  · DN75 PVC-U · 8,280 m"</f>
        <v>Zoned distribution — department delivery mains  · DN75 PVC-U · 8,280 m</v>
      </c>
      <c r="C394" s="32">
        <v>8280</v>
      </c>
      <c r="D394" s="48">
        <v>13.2</v>
      </c>
      <c r="E394" s="48">
        <v>109296</v>
      </c>
      <c r="F394" s="18" t="s">
        <v>773</v>
      </c>
      <c r="G394" s="22" t="s">
        <v>1655</v>
      </c>
      <c r="H394" s="22" t="s">
        <v>1656</v>
      </c>
      <c r="I394" s="18"/>
      <c r="J394" s="18"/>
      <c r="K394" s="22" t="s">
        <v>1657</v>
      </c>
      <c r="L394" s="39" t="s">
        <v>1645</v>
      </c>
      <c r="M394" s="22" t="s">
        <v>1658</v>
      </c>
      <c r="N394" s="39" t="s">
        <v>1659</v>
      </c>
      <c r="O394" s="77" t="str">
        <f t="shared" si="52"/>
        <v>PASS</v>
      </c>
      <c r="P394" s="78"/>
      <c r="Q394" s="37" t="str">
        <f t="shared" si="54"/>
        <v>⚠ FAIL — 'Est class' empty; 'Confidence' empty</v>
      </c>
    </row>
    <row r="395" spans="1:17" ht="182" x14ac:dyDescent="0.2">
      <c r="A395" s="18" t="s">
        <v>1660</v>
      </c>
      <c r="B395" s="39" t="str">
        <f>'Part names'!$B$89 &amp; "  · DN110 PVC-U · 4,200 m"</f>
        <v>Zoned distribution — department delivery mains  · DN110 PVC-U · 4,200 m</v>
      </c>
      <c r="C395" s="32">
        <v>4200</v>
      </c>
      <c r="D395" s="48">
        <v>20.8</v>
      </c>
      <c r="E395" s="48">
        <v>87360</v>
      </c>
      <c r="F395" s="18" t="s">
        <v>773</v>
      </c>
      <c r="G395" s="22" t="s">
        <v>1661</v>
      </c>
      <c r="H395" s="22" t="s">
        <v>1662</v>
      </c>
      <c r="I395" s="18"/>
      <c r="J395" s="18"/>
      <c r="K395" s="22" t="s">
        <v>1663</v>
      </c>
      <c r="L395" s="39" t="s">
        <v>1645</v>
      </c>
      <c r="M395" s="22" t="s">
        <v>1664</v>
      </c>
      <c r="N395" s="39" t="s">
        <v>1665</v>
      </c>
      <c r="O395" s="77" t="str">
        <f t="shared" si="52"/>
        <v>PASS</v>
      </c>
      <c r="P395" s="78"/>
      <c r="Q395" s="37" t="str">
        <f t="shared" si="54"/>
        <v>⚠ FAIL — 'Est class' empty; 'Confidence' empty</v>
      </c>
    </row>
    <row r="396" spans="1:17" ht="169" x14ac:dyDescent="0.2">
      <c r="A396" s="18" t="s">
        <v>1666</v>
      </c>
      <c r="B396" s="39" t="str">
        <f>'Part names'!$B$89 &amp; "  · DN110 PVC-U · 1,656 m"</f>
        <v>Zoned distribution — department delivery mains  · DN110 PVC-U · 1,656 m</v>
      </c>
      <c r="C396" s="32">
        <v>1656</v>
      </c>
      <c r="D396" s="48">
        <v>20.8</v>
      </c>
      <c r="E396" s="48">
        <v>34445</v>
      </c>
      <c r="F396" s="18" t="s">
        <v>773</v>
      </c>
      <c r="G396" s="22" t="s">
        <v>1667</v>
      </c>
      <c r="H396" s="22" t="s">
        <v>1668</v>
      </c>
      <c r="I396" s="18"/>
      <c r="J396" s="18"/>
      <c r="K396" s="22" t="s">
        <v>1669</v>
      </c>
      <c r="L396" s="39" t="s">
        <v>1645</v>
      </c>
      <c r="M396" s="22" t="s">
        <v>1670</v>
      </c>
      <c r="N396" s="39" t="s">
        <v>1671</v>
      </c>
      <c r="O396" s="77" t="str">
        <f t="shared" si="52"/>
        <v>PASS</v>
      </c>
      <c r="P396" s="78"/>
      <c r="Q396" s="37" t="str">
        <f t="shared" si="54"/>
        <v>⚠ FAIL — 'Est class' empty; 'Confidence' empty</v>
      </c>
    </row>
    <row r="397" spans="1:17" ht="169" x14ac:dyDescent="0.2">
      <c r="A397" s="18" t="s">
        <v>1672</v>
      </c>
      <c r="B397" s="39" t="str">
        <f>'Part names'!$B$89 &amp; "  · DN160 PVC-U · 214 m"</f>
        <v>Zoned distribution — department delivery mains  · DN160 PVC-U · 214 m</v>
      </c>
      <c r="C397" s="32">
        <v>214</v>
      </c>
      <c r="D397" s="48">
        <v>35.200000000000003</v>
      </c>
      <c r="E397" s="48">
        <v>7533</v>
      </c>
      <c r="F397" s="18" t="s">
        <v>773</v>
      </c>
      <c r="G397" s="22" t="s">
        <v>1673</v>
      </c>
      <c r="H397" s="22" t="s">
        <v>1674</v>
      </c>
      <c r="I397" s="18"/>
      <c r="J397" s="18"/>
      <c r="K397" s="22" t="s">
        <v>1675</v>
      </c>
      <c r="L397" s="39" t="s">
        <v>1645</v>
      </c>
      <c r="M397" s="22" t="s">
        <v>1676</v>
      </c>
      <c r="N397" s="39" t="s">
        <v>1677</v>
      </c>
      <c r="O397" s="77" t="str">
        <f t="shared" si="52"/>
        <v>PASS</v>
      </c>
      <c r="P397" s="78"/>
      <c r="Q397" s="37" t="str">
        <f t="shared" si="54"/>
        <v>⚠ FAIL — 'Est class' empty; 'Confidence' empty</v>
      </c>
    </row>
    <row r="398" spans="1:17" ht="169" x14ac:dyDescent="0.2">
      <c r="A398" s="18" t="str">
        <f>'Part names'!$A$39</f>
        <v>X-149</v>
      </c>
      <c r="B398" s="39" t="str">
        <f>'Part names'!$B$39 &amp; "  · DN90 PVC-U · 428 m"</f>
        <v>Hand watering — ring main to both departments  · DN90 PVC-U · 428 m</v>
      </c>
      <c r="C398" s="32">
        <v>428</v>
      </c>
      <c r="D398" s="48">
        <v>16.399999999999999</v>
      </c>
      <c r="E398" s="48">
        <v>7019</v>
      </c>
      <c r="F398" s="18" t="s">
        <v>773</v>
      </c>
      <c r="G398" s="22" t="s">
        <v>1678</v>
      </c>
      <c r="H398" s="22" t="s">
        <v>1679</v>
      </c>
      <c r="I398" s="18"/>
      <c r="J398" s="18"/>
      <c r="K398" s="22" t="s">
        <v>1680</v>
      </c>
      <c r="L398" s="39" t="s">
        <v>1645</v>
      </c>
      <c r="M398" s="22" t="s">
        <v>1681</v>
      </c>
      <c r="N398" s="39" t="s">
        <v>1682</v>
      </c>
      <c r="O398" s="77" t="str">
        <f t="shared" si="52"/>
        <v>PASS</v>
      </c>
      <c r="P398" s="78"/>
      <c r="Q398" s="37" t="str">
        <f t="shared" si="54"/>
        <v>⚠ FAIL — 'Est class' empty; 'Confidence' empty</v>
      </c>
    </row>
    <row r="399" spans="1:17" ht="65" x14ac:dyDescent="0.2">
      <c r="A399" s="18" t="s">
        <v>1683</v>
      </c>
      <c r="B399" s="39" t="str">
        <f>'Part names'!$B$89 &amp; "  · 6,000 off"</f>
        <v>Zoned distribution — department delivery mains  · 6,000 off</v>
      </c>
      <c r="C399" s="32">
        <v>6000</v>
      </c>
      <c r="D399" s="48">
        <v>6</v>
      </c>
      <c r="E399" s="48">
        <v>36000</v>
      </c>
      <c r="F399" s="18" t="s">
        <v>773</v>
      </c>
      <c r="G399" s="22" t="s">
        <v>1684</v>
      </c>
      <c r="H399" s="22" t="s">
        <v>773</v>
      </c>
      <c r="I399" s="18"/>
      <c r="J399" s="18"/>
      <c r="K399" s="22" t="s">
        <v>1685</v>
      </c>
      <c r="L399" s="39" t="s">
        <v>1645</v>
      </c>
      <c r="M399" s="22" t="s">
        <v>1686</v>
      </c>
      <c r="N399" s="39" t="s">
        <v>1687</v>
      </c>
      <c r="O399" s="77" t="str">
        <f t="shared" si="52"/>
        <v>PASS</v>
      </c>
      <c r="P399" s="78"/>
      <c r="Q399" s="37" t="str">
        <f t="shared" si="54"/>
        <v>⚠ FAIL — 'Est class' empty; 'Confidence' empty</v>
      </c>
    </row>
    <row r="400" spans="1:17" ht="52" x14ac:dyDescent="0.2">
      <c r="A400" s="18" t="s">
        <v>1688</v>
      </c>
      <c r="B400" s="39" t="str">
        <f>'Part names'!$B$89 &amp; "  · 3,000 off"</f>
        <v>Zoned distribution — department delivery mains  · 3,000 off</v>
      </c>
      <c r="C400" s="32">
        <v>3000</v>
      </c>
      <c r="D400" s="48">
        <v>9</v>
      </c>
      <c r="E400" s="48">
        <v>27000</v>
      </c>
      <c r="F400" s="18" t="s">
        <v>773</v>
      </c>
      <c r="G400" s="22" t="s">
        <v>1684</v>
      </c>
      <c r="H400" s="22" t="s">
        <v>773</v>
      </c>
      <c r="I400" s="18"/>
      <c r="J400" s="18"/>
      <c r="K400" s="22" t="s">
        <v>1689</v>
      </c>
      <c r="L400" s="39" t="s">
        <v>1645</v>
      </c>
      <c r="M400" s="22" t="s">
        <v>1690</v>
      </c>
      <c r="N400" s="39" t="s">
        <v>1691</v>
      </c>
      <c r="O400" s="77" t="str">
        <f t="shared" si="52"/>
        <v>PASS</v>
      </c>
      <c r="P400" s="78"/>
      <c r="Q400" s="37" t="str">
        <f t="shared" si="54"/>
        <v>⚠ FAIL — 'Est class' empty; 'Confidence' empty</v>
      </c>
    </row>
    <row r="401" spans="1:17" ht="91" x14ac:dyDescent="0.2">
      <c r="A401" s="18" t="s">
        <v>1692</v>
      </c>
      <c r="B401" s="39" t="str">
        <f>'Part names'!$B$89 &amp; "  · 200 off"</f>
        <v>Zoned distribution — department delivery mains  · 200 off</v>
      </c>
      <c r="C401" s="32">
        <v>200</v>
      </c>
      <c r="D401" s="48">
        <v>40</v>
      </c>
      <c r="E401" s="48">
        <v>8000</v>
      </c>
      <c r="F401" s="18" t="s">
        <v>773</v>
      </c>
      <c r="G401" s="22" t="s">
        <v>1684</v>
      </c>
      <c r="H401" s="22" t="s">
        <v>773</v>
      </c>
      <c r="I401" s="18"/>
      <c r="J401" s="18"/>
      <c r="K401" s="22" t="s">
        <v>1693</v>
      </c>
      <c r="L401" s="39" t="s">
        <v>1645</v>
      </c>
      <c r="M401" s="22" t="s">
        <v>1694</v>
      </c>
      <c r="N401" s="39" t="s">
        <v>1695</v>
      </c>
      <c r="O401" s="77" t="str">
        <f t="shared" si="52"/>
        <v>PASS</v>
      </c>
      <c r="P401" s="78"/>
      <c r="Q401" s="37" t="str">
        <f t="shared" si="54"/>
        <v>⚠ FAIL — 'Est class' empty; 'Confidence' empty</v>
      </c>
    </row>
    <row r="402" spans="1:17" ht="117" x14ac:dyDescent="0.2">
      <c r="A402" s="18" t="s">
        <v>1696</v>
      </c>
      <c r="B402" s="39" t="str">
        <f>'Part names'!$B$39 &amp; "  · 44 off"</f>
        <v>Hand watering — ring main to both departments  · 44 off</v>
      </c>
      <c r="C402" s="32">
        <v>44</v>
      </c>
      <c r="D402" s="48">
        <v>45</v>
      </c>
      <c r="E402" s="48">
        <v>1980</v>
      </c>
      <c r="F402" s="18" t="s">
        <v>773</v>
      </c>
      <c r="G402" s="22" t="s">
        <v>1684</v>
      </c>
      <c r="H402" s="22" t="s">
        <v>1697</v>
      </c>
      <c r="I402" s="18"/>
      <c r="J402" s="18"/>
      <c r="K402" s="22" t="s">
        <v>1698</v>
      </c>
      <c r="L402" s="39" t="s">
        <v>1645</v>
      </c>
      <c r="M402" s="22" t="s">
        <v>1699</v>
      </c>
      <c r="N402" s="39" t="s">
        <v>1700</v>
      </c>
      <c r="O402" s="77" t="str">
        <f t="shared" si="52"/>
        <v>PASS</v>
      </c>
      <c r="P402" s="78"/>
      <c r="Q402" s="37" t="str">
        <f t="shared" si="54"/>
        <v>⚠ FAIL — 'Est class' empty; 'Confidence' empty</v>
      </c>
    </row>
    <row r="403" spans="1:17" x14ac:dyDescent="0.2">
      <c r="A403" s="24" t="s">
        <v>1701</v>
      </c>
      <c r="E403" s="51">
        <f>SUM(E5:E402)</f>
        <v>815837</v>
      </c>
    </row>
    <row r="405" spans="1:17" x14ac:dyDescent="0.2">
      <c r="A405" s="6" t="s">
        <v>1702</v>
      </c>
      <c r="B405" s="6"/>
      <c r="C405" s="6"/>
      <c r="D405" s="6"/>
      <c r="E405" s="6"/>
      <c r="F405" s="6"/>
      <c r="G405" s="6"/>
      <c r="H405" s="6"/>
      <c r="I405" s="6"/>
      <c r="J405" s="6"/>
      <c r="K405" s="6"/>
      <c r="L405" s="6"/>
      <c r="M405" s="6"/>
      <c r="N405" s="6"/>
    </row>
    <row r="406" spans="1:17" ht="16" x14ac:dyDescent="0.2">
      <c r="A406" s="16" t="s">
        <v>1703</v>
      </c>
      <c r="B406" s="16" t="s">
        <v>1704</v>
      </c>
      <c r="C406" s="16" t="s">
        <v>1705</v>
      </c>
      <c r="D406" s="16" t="s">
        <v>1706</v>
      </c>
      <c r="E406" s="16"/>
      <c r="F406" s="16"/>
      <c r="G406" s="16"/>
      <c r="H406" s="16"/>
      <c r="I406" s="16"/>
      <c r="J406" s="16"/>
      <c r="K406" s="16"/>
      <c r="L406" s="16"/>
      <c r="M406" s="16"/>
      <c r="N406" s="16"/>
      <c r="O406" s="17" t="s">
        <v>20</v>
      </c>
    </row>
    <row r="407" spans="1:17" x14ac:dyDescent="0.2">
      <c r="A407" s="18" t="s">
        <v>1707</v>
      </c>
      <c r="B407" s="18">
        <v>27</v>
      </c>
      <c r="C407" s="18">
        <v>27</v>
      </c>
      <c r="D407" s="80">
        <v>100</v>
      </c>
      <c r="O407" s="23" t="str">
        <f t="shared" ref="O407:O413" si="55">IF(AND(LEN(TRIM(A407&amp;""))&gt;0,TRIM(A407&amp;"")&lt;&gt;"—",LEN(TRIM(B407&amp;""))&gt;0,TRIM(B407&amp;"")&lt;&gt;"—",ISNUMBER(B407),LEN(TRIM(C407&amp;""))&gt;0,TRIM(C407&amp;"")&lt;&gt;"—",ISNUMBER(C407),LEN(TRIM(D407&amp;""))&gt;0,TRIM(D407&amp;"")&lt;&gt;"—"),"PASS","⚠ FAIL — "&amp;"a required cell is empty/placeholder or wrong type")</f>
        <v>PASS</v>
      </c>
    </row>
    <row r="408" spans="1:17" x14ac:dyDescent="0.2">
      <c r="A408" s="18" t="s">
        <v>1708</v>
      </c>
      <c r="B408" s="18">
        <v>27</v>
      </c>
      <c r="C408" s="18">
        <v>27</v>
      </c>
      <c r="D408" s="80">
        <v>100</v>
      </c>
      <c r="O408" s="23" t="str">
        <f t="shared" si="55"/>
        <v>PASS</v>
      </c>
    </row>
    <row r="409" spans="1:17" x14ac:dyDescent="0.2">
      <c r="A409" s="18" t="s">
        <v>1709</v>
      </c>
      <c r="B409" s="18">
        <v>39</v>
      </c>
      <c r="C409" s="18">
        <v>36</v>
      </c>
      <c r="D409" s="80">
        <v>92.3</v>
      </c>
      <c r="O409" s="23" t="str">
        <f t="shared" si="55"/>
        <v>PASS</v>
      </c>
    </row>
    <row r="410" spans="1:17" x14ac:dyDescent="0.2">
      <c r="A410" s="18" t="s">
        <v>1710</v>
      </c>
      <c r="B410" s="18">
        <v>13</v>
      </c>
      <c r="C410" s="18">
        <v>13</v>
      </c>
      <c r="D410" s="80">
        <v>100</v>
      </c>
      <c r="O410" s="23" t="str">
        <f t="shared" si="55"/>
        <v>PASS</v>
      </c>
    </row>
    <row r="411" spans="1:17" x14ac:dyDescent="0.2">
      <c r="A411" s="18" t="s">
        <v>1711</v>
      </c>
      <c r="B411" s="18">
        <v>23</v>
      </c>
      <c r="C411" s="18">
        <v>19</v>
      </c>
      <c r="D411" s="81">
        <v>82.6</v>
      </c>
      <c r="O411" s="23" t="str">
        <f t="shared" si="55"/>
        <v>PASS</v>
      </c>
    </row>
    <row r="412" spans="1:17" x14ac:dyDescent="0.2">
      <c r="A412" s="18" t="s">
        <v>1712</v>
      </c>
      <c r="B412" s="18">
        <v>18</v>
      </c>
      <c r="C412" s="18">
        <v>18</v>
      </c>
      <c r="D412" s="80">
        <v>100</v>
      </c>
      <c r="O412" s="23" t="str">
        <f t="shared" si="55"/>
        <v>PASS</v>
      </c>
    </row>
    <row r="413" spans="1:17" x14ac:dyDescent="0.2">
      <c r="A413" s="18" t="s">
        <v>1713</v>
      </c>
      <c r="B413" s="18">
        <v>21</v>
      </c>
      <c r="C413" s="18">
        <v>20</v>
      </c>
      <c r="D413" s="80">
        <v>95.2</v>
      </c>
      <c r="O413" s="23" t="str">
        <f t="shared" si="55"/>
        <v>PASS</v>
      </c>
    </row>
    <row r="415" spans="1:17" x14ac:dyDescent="0.2">
      <c r="A415" s="24" t="s">
        <v>1714</v>
      </c>
      <c r="E415" s="50">
        <v>815837</v>
      </c>
      <c r="F415" s="17" t="s">
        <v>1715</v>
      </c>
    </row>
  </sheetData>
  <autoFilter ref="A4:O402" xr:uid="{00000000-0009-0000-0000-000008000000}"/>
  <mergeCells count="4">
    <mergeCell ref="A1:O1"/>
    <mergeCell ref="A2:O2"/>
    <mergeCell ref="A3:O3"/>
    <mergeCell ref="A405:N405"/>
  </mergeCells>
  <conditionalFormatting sqref="O5:O402">
    <cfRule type="cellIs" dxfId="23" priority="2" operator="equal">
      <formula>"PASS"</formula>
    </cfRule>
  </conditionalFormatting>
  <hyperlinks>
    <hyperlink ref="P1" location="'Contents'!A1" display="↑ Contents" xr:uid="{00000000-0004-0000-0800-000000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5597"/>
  </sheetPr>
  <dimension ref="A1:H91"/>
  <sheetViews>
    <sheetView zoomScaleNormal="100" workbookViewId="0">
      <pane ySplit="3" topLeftCell="A4" activePane="bottomLeft" state="frozen"/>
      <selection pane="bottomLeft" sqref="A1:C1"/>
    </sheetView>
  </sheetViews>
  <sheetFormatPr baseColWidth="10" defaultColWidth="8.6640625" defaultRowHeight="15" x14ac:dyDescent="0.2"/>
  <cols>
    <col min="1" max="1" width="80" customWidth="1"/>
    <col min="2" max="2" width="4" customWidth="1"/>
    <col min="3" max="3" width="46" customWidth="1"/>
    <col min="4" max="4" width="13" customWidth="1"/>
    <col min="5" max="5" width="17" customWidth="1"/>
    <col min="6" max="6" width="14" customWidth="1"/>
    <col min="7" max="7" width="62" customWidth="1"/>
  </cols>
  <sheetData>
    <row r="1" spans="1:4" ht="25.5" customHeight="1" x14ac:dyDescent="0.2">
      <c r="A1" s="12" t="s">
        <v>1716</v>
      </c>
      <c r="B1" s="12"/>
      <c r="C1" s="12"/>
      <c r="D1" s="30" t="s">
        <v>140</v>
      </c>
    </row>
    <row r="2" spans="1:4" ht="30" customHeight="1" x14ac:dyDescent="0.2">
      <c r="A2" s="11" t="str">
        <f>"⬤ TAB QUALITY "&amp;IF(ISNUMBER('Quality &amp; Audit'!$B$34),IF('Quality &amp; Audit'!$B$34=INT('Quality &amp; Audit'!$B$34),TEXT('Quality &amp; Audit'!$B$34,"0"),TEXT('Quality &amp; Audit'!$B$34,"0.0")),"—")&amp;"/10 · "&amp;IF(ISNUMBER('Quality &amp; Audit'!$B$34),IF('Quality &amp; Audit'!$B$34&gt;=8,"PASS","FAIL"),"UNSCORED")&amp;" (target ≥8, live from the Quality &amp; Audit score cell)"&amp;" · client-offer reconciliation (live section mapping) — client-offer reconciliation sections consistent (incl. decision-covered) 6/6; every live section rendered as a recon…"&amp;" · full audit: Quality &amp; Audit tab"</f>
        <v>⬤ TAB QUALITY 10/10 · PASS (target ≥8, live from the Quality &amp; Audit score cell) · client-offer reconciliation (live section mapping) — client-offer reconciliation sections consistent (incl. decision-covered) 6/6; every live section rendered as a recon… · full audit: Quality &amp; Audit tab</v>
      </c>
      <c r="B2" s="11"/>
      <c r="C2" s="11"/>
    </row>
    <row r="3" spans="1:4" ht="27.75" customHeight="1" x14ac:dyDescent="0.2">
      <c r="A3" s="10" t="s">
        <v>1717</v>
      </c>
      <c r="B3" s="10"/>
      <c r="C3" s="10"/>
    </row>
    <row r="4" spans="1:4" x14ac:dyDescent="0.2">
      <c r="A4" s="15" t="s">
        <v>1718</v>
      </c>
      <c r="C4" s="15" t="s">
        <v>1719</v>
      </c>
    </row>
    <row r="5" spans="1:4" ht="14.25" customHeight="1" x14ac:dyDescent="0.2">
      <c r="A5" s="57" t="s">
        <v>1720</v>
      </c>
      <c r="C5" s="24" t="s">
        <v>1721</v>
      </c>
    </row>
    <row r="6" spans="1:4" ht="43.5" customHeight="1" x14ac:dyDescent="0.2">
      <c r="A6" s="57" t="s">
        <v>1722</v>
      </c>
      <c r="C6" s="14" t="s">
        <v>1723</v>
      </c>
    </row>
    <row r="7" spans="1:4" ht="43.5" customHeight="1" x14ac:dyDescent="0.2">
      <c r="A7" s="57" t="s">
        <v>1724</v>
      </c>
    </row>
    <row r="8" spans="1:4" ht="14.25" customHeight="1" x14ac:dyDescent="0.2">
      <c r="A8" s="57" t="s">
        <v>1725</v>
      </c>
      <c r="C8" s="24" t="s">
        <v>1726</v>
      </c>
    </row>
    <row r="9" spans="1:4" ht="14.25" customHeight="1" x14ac:dyDescent="0.2">
      <c r="A9" s="57" t="s">
        <v>1727</v>
      </c>
      <c r="C9" s="14" t="s">
        <v>1728</v>
      </c>
    </row>
    <row r="10" spans="1:4" ht="115.5" customHeight="1" x14ac:dyDescent="0.2">
      <c r="A10" s="57" t="s">
        <v>1729</v>
      </c>
    </row>
    <row r="11" spans="1:4" ht="28.5" customHeight="1" x14ac:dyDescent="0.2">
      <c r="A11" s="57" t="s">
        <v>1730</v>
      </c>
      <c r="C11" s="24" t="s">
        <v>1731</v>
      </c>
    </row>
    <row r="12" spans="1:4" ht="28.5" customHeight="1" x14ac:dyDescent="0.2">
      <c r="A12" s="57" t="s">
        <v>1732</v>
      </c>
      <c r="C12" s="14" t="s">
        <v>1733</v>
      </c>
    </row>
    <row r="13" spans="1:4" ht="87" customHeight="1" x14ac:dyDescent="0.2">
      <c r="A13" s="57" t="s">
        <v>1734</v>
      </c>
    </row>
    <row r="14" spans="1:4" ht="28.5" customHeight="1" x14ac:dyDescent="0.2">
      <c r="A14" s="57" t="s">
        <v>1735</v>
      </c>
      <c r="C14" s="24" t="s">
        <v>1736</v>
      </c>
    </row>
    <row r="15" spans="1:4" ht="14.25" customHeight="1" x14ac:dyDescent="0.2">
      <c r="A15" s="57" t="s">
        <v>1737</v>
      </c>
      <c r="C15" s="14" t="s">
        <v>1738</v>
      </c>
    </row>
    <row r="16" spans="1:4" ht="14.25" customHeight="1" x14ac:dyDescent="0.2">
      <c r="A16" s="57" t="s">
        <v>1739</v>
      </c>
      <c r="C16" s="14" t="s">
        <v>1740</v>
      </c>
    </row>
    <row r="17" spans="1:3" ht="14.25" customHeight="1" x14ac:dyDescent="0.2">
      <c r="A17" s="57" t="s">
        <v>1741</v>
      </c>
      <c r="C17" s="14" t="s">
        <v>1742</v>
      </c>
    </row>
    <row r="18" spans="1:3" ht="28.5" customHeight="1" x14ac:dyDescent="0.2">
      <c r="A18" s="57" t="s">
        <v>1743</v>
      </c>
      <c r="C18" s="14" t="s">
        <v>1744</v>
      </c>
    </row>
    <row r="19" spans="1:3" ht="14.25" customHeight="1" x14ac:dyDescent="0.2">
      <c r="A19" s="57" t="s">
        <v>1745</v>
      </c>
      <c r="C19" s="14" t="s">
        <v>1746</v>
      </c>
    </row>
    <row r="20" spans="1:3" ht="14.25" customHeight="1" x14ac:dyDescent="0.2">
      <c r="A20" s="57" t="s">
        <v>1747</v>
      </c>
      <c r="C20" s="14" t="s">
        <v>1748</v>
      </c>
    </row>
    <row r="21" spans="1:3" ht="14.25" customHeight="1" x14ac:dyDescent="0.2">
      <c r="A21" s="57" t="s">
        <v>1749</v>
      </c>
      <c r="C21" s="14" t="s">
        <v>1750</v>
      </c>
    </row>
    <row r="22" spans="1:3" ht="14.25" customHeight="1" x14ac:dyDescent="0.2">
      <c r="A22" s="57" t="s">
        <v>1751</v>
      </c>
      <c r="C22" s="14" t="s">
        <v>1752</v>
      </c>
    </row>
    <row r="23" spans="1:3" ht="14.25" customHeight="1" x14ac:dyDescent="0.2">
      <c r="A23" s="57" t="s">
        <v>1753</v>
      </c>
      <c r="C23" s="14" t="s">
        <v>1754</v>
      </c>
    </row>
    <row r="24" spans="1:3" ht="14.25" customHeight="1" x14ac:dyDescent="0.2">
      <c r="A24" s="57" t="s">
        <v>1755</v>
      </c>
      <c r="C24" s="14" t="s">
        <v>1756</v>
      </c>
    </row>
    <row r="25" spans="1:3" ht="14.25" customHeight="1" x14ac:dyDescent="0.2">
      <c r="A25" s="57" t="s">
        <v>1757</v>
      </c>
      <c r="C25" s="14" t="s">
        <v>1758</v>
      </c>
    </row>
    <row r="26" spans="1:3" ht="14.25" customHeight="1" x14ac:dyDescent="0.2">
      <c r="A26" s="57" t="s">
        <v>1759</v>
      </c>
      <c r="C26" s="14" t="s">
        <v>1760</v>
      </c>
    </row>
    <row r="27" spans="1:3" ht="14.25" customHeight="1" x14ac:dyDescent="0.2">
      <c r="A27" s="57" t="s">
        <v>1761</v>
      </c>
      <c r="C27" s="14" t="s">
        <v>1762</v>
      </c>
    </row>
    <row r="28" spans="1:3" ht="14.25" customHeight="1" x14ac:dyDescent="0.2">
      <c r="A28" s="57" t="s">
        <v>1763</v>
      </c>
      <c r="C28" s="14" t="s">
        <v>1764</v>
      </c>
    </row>
    <row r="29" spans="1:3" ht="28.5" customHeight="1" x14ac:dyDescent="0.2">
      <c r="A29" s="57" t="s">
        <v>1765</v>
      </c>
    </row>
    <row r="30" spans="1:3" ht="14.25" customHeight="1" x14ac:dyDescent="0.2">
      <c r="A30" s="57" t="s">
        <v>1766</v>
      </c>
      <c r="C30" s="24" t="s">
        <v>1767</v>
      </c>
    </row>
    <row r="31" spans="1:3" ht="14.25" customHeight="1" x14ac:dyDescent="0.2">
      <c r="A31" s="57" t="s">
        <v>1768</v>
      </c>
      <c r="C31" s="14" t="s">
        <v>1769</v>
      </c>
    </row>
    <row r="32" spans="1:3" ht="14.25" customHeight="1" x14ac:dyDescent="0.2">
      <c r="A32" s="57" t="s">
        <v>1770</v>
      </c>
      <c r="C32" s="14" t="s">
        <v>1771</v>
      </c>
    </row>
    <row r="33" spans="1:3" ht="14.25" customHeight="1" x14ac:dyDescent="0.2">
      <c r="A33" s="57" t="s">
        <v>1772</v>
      </c>
      <c r="C33" s="14" t="s">
        <v>1773</v>
      </c>
    </row>
    <row r="34" spans="1:3" ht="28.5" customHeight="1" x14ac:dyDescent="0.2">
      <c r="A34" s="57" t="s">
        <v>1774</v>
      </c>
      <c r="C34" s="14" t="s">
        <v>1775</v>
      </c>
    </row>
    <row r="35" spans="1:3" ht="43.5" customHeight="1" x14ac:dyDescent="0.2">
      <c r="A35" s="57" t="s">
        <v>1776</v>
      </c>
    </row>
    <row r="36" spans="1:3" ht="43.5" customHeight="1" x14ac:dyDescent="0.2">
      <c r="A36" s="57" t="s">
        <v>1777</v>
      </c>
      <c r="C36" s="24" t="s">
        <v>1778</v>
      </c>
    </row>
    <row r="37" spans="1:3" ht="87" customHeight="1" x14ac:dyDescent="0.2">
      <c r="A37" s="57" t="s">
        <v>1779</v>
      </c>
      <c r="C37" s="14" t="s">
        <v>1780</v>
      </c>
    </row>
    <row r="38" spans="1:3" ht="43.5" customHeight="1" x14ac:dyDescent="0.2">
      <c r="A38" s="57" t="s">
        <v>1781</v>
      </c>
    </row>
    <row r="39" spans="1:3" ht="57.75" customHeight="1" x14ac:dyDescent="0.2">
      <c r="A39" s="57" t="s">
        <v>1782</v>
      </c>
    </row>
    <row r="40" spans="1:3" ht="115.5" customHeight="1" x14ac:dyDescent="0.2">
      <c r="A40" s="57" t="s">
        <v>1783</v>
      </c>
    </row>
    <row r="41" spans="1:3" ht="14.25" customHeight="1" x14ac:dyDescent="0.2">
      <c r="A41" s="57" t="s">
        <v>1784</v>
      </c>
    </row>
    <row r="42" spans="1:3" ht="28.5" customHeight="1" x14ac:dyDescent="0.2">
      <c r="A42" s="57" t="s">
        <v>1785</v>
      </c>
    </row>
    <row r="43" spans="1:3" ht="28.5" customHeight="1" x14ac:dyDescent="0.2">
      <c r="A43" s="57" t="s">
        <v>1786</v>
      </c>
    </row>
    <row r="44" spans="1:3" ht="28.5" customHeight="1" x14ac:dyDescent="0.2">
      <c r="A44" s="57" t="s">
        <v>1787</v>
      </c>
    </row>
    <row r="45" spans="1:3" ht="28.5" customHeight="1" x14ac:dyDescent="0.2">
      <c r="A45" s="57" t="s">
        <v>1788</v>
      </c>
    </row>
    <row r="46" spans="1:3" ht="28.5" customHeight="1" x14ac:dyDescent="0.2">
      <c r="A46" s="57" t="s">
        <v>1789</v>
      </c>
    </row>
    <row r="47" spans="1:3" ht="43.5" customHeight="1" x14ac:dyDescent="0.2">
      <c r="A47" s="57" t="s">
        <v>1790</v>
      </c>
    </row>
    <row r="48" spans="1:3" ht="14.25" customHeight="1" x14ac:dyDescent="0.2">
      <c r="A48" s="57" t="s">
        <v>1791</v>
      </c>
    </row>
    <row r="49" spans="1:1" ht="28.5" customHeight="1" x14ac:dyDescent="0.2">
      <c r="A49" s="57" t="s">
        <v>1792</v>
      </c>
    </row>
    <row r="50" spans="1:1" ht="43.5" customHeight="1" x14ac:dyDescent="0.2">
      <c r="A50" s="57" t="s">
        <v>1793</v>
      </c>
    </row>
    <row r="51" spans="1:1" ht="14.25" customHeight="1" x14ac:dyDescent="0.2">
      <c r="A51" s="57" t="s">
        <v>1794</v>
      </c>
    </row>
    <row r="52" spans="1:1" ht="14.25" customHeight="1" x14ac:dyDescent="0.2">
      <c r="A52" s="57" t="s">
        <v>1795</v>
      </c>
    </row>
    <row r="53" spans="1:1" ht="14.25" customHeight="1" x14ac:dyDescent="0.2">
      <c r="A53" s="57" t="s">
        <v>1796</v>
      </c>
    </row>
    <row r="54" spans="1:1" ht="28.5" customHeight="1" x14ac:dyDescent="0.2">
      <c r="A54" s="57" t="s">
        <v>1797</v>
      </c>
    </row>
    <row r="55" spans="1:1" ht="28.5" customHeight="1" x14ac:dyDescent="0.2">
      <c r="A55" s="57" t="s">
        <v>1798</v>
      </c>
    </row>
    <row r="56" spans="1:1" ht="28.5" customHeight="1" x14ac:dyDescent="0.2">
      <c r="A56" s="57" t="s">
        <v>1799</v>
      </c>
    </row>
    <row r="57" spans="1:1" ht="14.25" customHeight="1" x14ac:dyDescent="0.2">
      <c r="A57" s="57" t="s">
        <v>1800</v>
      </c>
    </row>
    <row r="58" spans="1:1" ht="14.25" customHeight="1" x14ac:dyDescent="0.2">
      <c r="A58" s="57" t="s">
        <v>1801</v>
      </c>
    </row>
    <row r="59" spans="1:1" ht="14.25" customHeight="1" x14ac:dyDescent="0.2">
      <c r="A59" s="57" t="s">
        <v>1802</v>
      </c>
    </row>
    <row r="60" spans="1:1" ht="43.5" customHeight="1" x14ac:dyDescent="0.2">
      <c r="A60" s="57" t="s">
        <v>1803</v>
      </c>
    </row>
    <row r="61" spans="1:1" ht="14.25" customHeight="1" x14ac:dyDescent="0.2">
      <c r="A61" s="57" t="s">
        <v>1804</v>
      </c>
    </row>
    <row r="62" spans="1:1" ht="14.25" customHeight="1" x14ac:dyDescent="0.2">
      <c r="A62" s="57" t="s">
        <v>1805</v>
      </c>
    </row>
    <row r="63" spans="1:1" ht="14.25" customHeight="1" x14ac:dyDescent="0.2">
      <c r="A63" s="57" t="s">
        <v>1806</v>
      </c>
    </row>
    <row r="64" spans="1:1" ht="43.5" customHeight="1" x14ac:dyDescent="0.2">
      <c r="A64" s="57" t="s">
        <v>1807</v>
      </c>
    </row>
    <row r="65" spans="1:1" ht="14.25" customHeight="1" x14ac:dyDescent="0.2">
      <c r="A65" s="57" t="s">
        <v>1808</v>
      </c>
    </row>
    <row r="66" spans="1:1" ht="28.5" customHeight="1" x14ac:dyDescent="0.2">
      <c r="A66" s="57" t="s">
        <v>1809</v>
      </c>
    </row>
    <row r="67" spans="1:1" ht="43.5" customHeight="1" x14ac:dyDescent="0.2">
      <c r="A67" s="57" t="s">
        <v>1810</v>
      </c>
    </row>
    <row r="68" spans="1:1" ht="28.5" customHeight="1" x14ac:dyDescent="0.2">
      <c r="A68" s="57" t="s">
        <v>1811</v>
      </c>
    </row>
    <row r="69" spans="1:1" ht="28.5" customHeight="1" x14ac:dyDescent="0.2">
      <c r="A69" s="57" t="s">
        <v>1812</v>
      </c>
    </row>
    <row r="70" spans="1:1" ht="14.25" customHeight="1" x14ac:dyDescent="0.2">
      <c r="A70" s="57" t="s">
        <v>1813</v>
      </c>
    </row>
    <row r="71" spans="1:1" ht="14.25" customHeight="1" x14ac:dyDescent="0.2">
      <c r="A71" s="57" t="s">
        <v>1814</v>
      </c>
    </row>
    <row r="72" spans="1:1" ht="14.25" customHeight="1" x14ac:dyDescent="0.2">
      <c r="A72" s="57" t="s">
        <v>1815</v>
      </c>
    </row>
    <row r="73" spans="1:1" ht="14.25" customHeight="1" x14ac:dyDescent="0.2">
      <c r="A73" s="57" t="s">
        <v>1816</v>
      </c>
    </row>
    <row r="74" spans="1:1" ht="14.25" customHeight="1" x14ac:dyDescent="0.2">
      <c r="A74" s="57" t="s">
        <v>1817</v>
      </c>
    </row>
    <row r="75" spans="1:1" ht="14.25" customHeight="1" x14ac:dyDescent="0.2">
      <c r="A75" s="57" t="s">
        <v>1818</v>
      </c>
    </row>
    <row r="76" spans="1:1" ht="14.25" customHeight="1" x14ac:dyDescent="0.2">
      <c r="A76" s="57" t="s">
        <v>1819</v>
      </c>
    </row>
    <row r="77" spans="1:1" ht="28.5" customHeight="1" x14ac:dyDescent="0.2">
      <c r="A77" s="57" t="s">
        <v>1820</v>
      </c>
    </row>
    <row r="78" spans="1:1" ht="101.25" customHeight="1" x14ac:dyDescent="0.2">
      <c r="A78" s="57" t="s">
        <v>1821</v>
      </c>
    </row>
    <row r="81" spans="1:8" x14ac:dyDescent="0.2">
      <c r="A81" s="6" t="s">
        <v>1822</v>
      </c>
      <c r="B81" s="6"/>
      <c r="C81" s="6"/>
      <c r="D81" s="6"/>
      <c r="E81" s="6"/>
      <c r="F81" s="6"/>
      <c r="G81" s="6"/>
    </row>
    <row r="82" spans="1:8" ht="108" customHeight="1" x14ac:dyDescent="0.2">
      <c r="A82" s="134" t="s">
        <v>1823</v>
      </c>
      <c r="B82" s="134"/>
      <c r="C82" s="134"/>
      <c r="D82" s="134"/>
      <c r="E82" s="134"/>
      <c r="F82" s="134"/>
      <c r="G82" s="134"/>
    </row>
    <row r="83" spans="1:8" ht="48" x14ac:dyDescent="0.2">
      <c r="A83" s="16" t="s">
        <v>1824</v>
      </c>
      <c r="B83" s="16"/>
      <c r="C83" s="16" t="s">
        <v>1825</v>
      </c>
      <c r="D83" s="16" t="s">
        <v>1826</v>
      </c>
      <c r="E83" s="16" t="s">
        <v>1827</v>
      </c>
      <c r="F83" s="16" t="s">
        <v>1828</v>
      </c>
      <c r="G83" s="16" t="s">
        <v>1829</v>
      </c>
      <c r="H83" s="17" t="s">
        <v>20</v>
      </c>
    </row>
    <row r="84" spans="1:8" ht="101.25" customHeight="1" x14ac:dyDescent="0.2">
      <c r="A84" s="24" t="s">
        <v>1830</v>
      </c>
      <c r="C84" s="50">
        <v>85000</v>
      </c>
      <c r="D84" s="50">
        <v>102880</v>
      </c>
      <c r="E84" s="50">
        <v>174896</v>
      </c>
      <c r="F84" s="50">
        <v>89896</v>
      </c>
      <c r="G84" s="82" t="s">
        <v>1831</v>
      </c>
      <c r="H84" s="23" t="str">
        <f t="shared" ref="H84:H89" si="0">IF(AND(LEN(TRIM(A84&amp;""))&gt;0,TRIM(A84&amp;"")&lt;&gt;"—",LEN(TRIM(C84&amp;""))&gt;0,TRIM(C84&amp;"")&lt;&gt;"—",LEN(TRIM(G84&amp;""))&gt;0,TRIM(G84&amp;"")&lt;&gt;"—"),"PASS","⚠ FAIL — "&amp;"a required cell is empty/placeholder or wrong type")</f>
        <v>PASS</v>
      </c>
    </row>
    <row r="85" spans="1:8" ht="101.25" customHeight="1" x14ac:dyDescent="0.2">
      <c r="A85" s="24" t="s">
        <v>1832</v>
      </c>
      <c r="C85" s="50">
        <v>31000</v>
      </c>
      <c r="D85" s="50">
        <v>45349</v>
      </c>
      <c r="E85" s="50">
        <v>77093</v>
      </c>
      <c r="F85" s="50">
        <v>46093</v>
      </c>
      <c r="G85" s="82" t="s">
        <v>1833</v>
      </c>
      <c r="H85" s="23" t="str">
        <f t="shared" si="0"/>
        <v>PASS</v>
      </c>
    </row>
    <row r="86" spans="1:8" ht="57.75" customHeight="1" x14ac:dyDescent="0.2">
      <c r="A86" s="24" t="s">
        <v>1834</v>
      </c>
      <c r="C86" s="50">
        <v>92000</v>
      </c>
      <c r="D86" s="50">
        <v>41024</v>
      </c>
      <c r="E86" s="50">
        <v>69741</v>
      </c>
      <c r="F86" s="50">
        <v>-22259</v>
      </c>
      <c r="G86" s="14" t="s">
        <v>1835</v>
      </c>
      <c r="H86" s="23" t="str">
        <f t="shared" si="0"/>
        <v>PASS</v>
      </c>
    </row>
    <row r="87" spans="1:8" ht="57.75" customHeight="1" x14ac:dyDescent="0.2">
      <c r="A87" s="24" t="s">
        <v>1836</v>
      </c>
      <c r="C87" s="50">
        <v>895000</v>
      </c>
      <c r="D87" s="50">
        <v>438702</v>
      </c>
      <c r="E87" s="50">
        <v>745793</v>
      </c>
      <c r="F87" s="50">
        <v>-149207</v>
      </c>
      <c r="G87" s="14" t="s">
        <v>1837</v>
      </c>
      <c r="H87" s="23" t="str">
        <f t="shared" si="0"/>
        <v>PASS</v>
      </c>
    </row>
    <row r="88" spans="1:8" ht="43.5" customHeight="1" x14ac:dyDescent="0.2">
      <c r="A88" s="24" t="s">
        <v>1838</v>
      </c>
      <c r="C88" s="50">
        <v>24000</v>
      </c>
      <c r="D88" s="50">
        <v>11499</v>
      </c>
      <c r="E88" s="50">
        <v>19548</v>
      </c>
      <c r="F88" s="50">
        <v>-4452</v>
      </c>
      <c r="G88" s="14" t="s">
        <v>1839</v>
      </c>
      <c r="H88" s="23" t="str">
        <f t="shared" si="0"/>
        <v>PASS</v>
      </c>
    </row>
    <row r="89" spans="1:8" ht="101.25" customHeight="1" x14ac:dyDescent="0.2">
      <c r="A89" s="24" t="s">
        <v>1840</v>
      </c>
      <c r="C89" s="50">
        <v>128000</v>
      </c>
      <c r="D89" s="50">
        <v>140533</v>
      </c>
      <c r="E89" s="50">
        <v>238906</v>
      </c>
      <c r="F89" s="50">
        <v>110906</v>
      </c>
      <c r="G89" s="82" t="s">
        <v>1841</v>
      </c>
      <c r="H89" s="23" t="str">
        <f t="shared" si="0"/>
        <v>PASS</v>
      </c>
    </row>
    <row r="90" spans="1:8" ht="72" customHeight="1" x14ac:dyDescent="0.2">
      <c r="A90" s="17" t="s">
        <v>1842</v>
      </c>
      <c r="D90" s="50">
        <v>35850</v>
      </c>
      <c r="G90" s="14" t="s">
        <v>1843</v>
      </c>
      <c r="H90" s="23" t="str">
        <f>IF(AND(LEN(TRIM(A90&amp;""))&gt;0,TRIM(A90&amp;"")&lt;&gt;"—",LEN(TRIM(G90&amp;""))&gt;0,TRIM(G90&amp;"")&lt;&gt;"—"),"PASS","⚠ FAIL — "&amp;"a required cell is empty/placeholder or wrong type")</f>
        <v>PASS</v>
      </c>
    </row>
    <row r="91" spans="1:8" x14ac:dyDescent="0.2">
      <c r="A91" s="54" t="s">
        <v>1844</v>
      </c>
      <c r="C91" s="83">
        <v>1250000</v>
      </c>
      <c r="D91" s="83">
        <v>815837</v>
      </c>
      <c r="E91" s="83">
        <v>1360613</v>
      </c>
      <c r="F91" s="83">
        <v>110613</v>
      </c>
      <c r="G91" s="17" t="s">
        <v>1845</v>
      </c>
    </row>
  </sheetData>
  <mergeCells count="5">
    <mergeCell ref="A1:C1"/>
    <mergeCell ref="A2:C2"/>
    <mergeCell ref="A3:C3"/>
    <mergeCell ref="A81:G81"/>
    <mergeCell ref="A82:G82"/>
  </mergeCells>
  <hyperlinks>
    <hyperlink ref="D1" location="'Contents'!A1" display="↑ Contents" xr:uid="{00000000-0004-0000-0900-000000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597"/>
  </sheetPr>
  <dimension ref="A1:G37"/>
  <sheetViews>
    <sheetView zoomScaleNormal="100" workbookViewId="0">
      <pane ySplit="4" topLeftCell="A5" activePane="bottomLeft" state="frozen"/>
      <selection pane="bottomLeft" sqref="A1:F1"/>
    </sheetView>
  </sheetViews>
  <sheetFormatPr baseColWidth="10" defaultColWidth="8.6640625" defaultRowHeight="15" x14ac:dyDescent="0.2"/>
  <cols>
    <col min="1" max="1" width="24" customWidth="1"/>
    <col min="2" max="2" width="52" customWidth="1"/>
    <col min="3" max="3" width="22" customWidth="1"/>
    <col min="4" max="4" width="10" customWidth="1"/>
    <col min="5" max="5" width="66" customWidth="1"/>
    <col min="6" max="6" width="30" customWidth="1"/>
    <col min="7" max="7" width="13" customWidth="1"/>
  </cols>
  <sheetData>
    <row r="1" spans="1:7" ht="25.5" customHeight="1" x14ac:dyDescent="0.2">
      <c r="A1" s="12" t="s">
        <v>1846</v>
      </c>
      <c r="B1" s="12"/>
      <c r="C1" s="12"/>
      <c r="D1" s="12"/>
      <c r="E1" s="12"/>
      <c r="F1" s="12"/>
      <c r="G1" s="30" t="s">
        <v>140</v>
      </c>
    </row>
    <row r="2" spans="1:7" ht="30" customHeight="1" x14ac:dyDescent="0.2">
      <c r="A2" s="11" t="str">
        <f>"⬤ TAB QUALITY "&amp;IF(ISNUMBER('Quality &amp; Audit'!$B$48),IF('Quality &amp; Audit'!$B$48=INT('Quality &amp; Audit'!$B$48),TEXT('Quality &amp; Audit'!$B$48,"0"),TEXT('Quality &amp; Audit'!$B$48,"0.0")),"—")&amp;"/10 · "&amp;IF(ISNUMBER('Quality &amp; Audit'!$B$48),IF('Quality &amp; Audit'!$B$48&gt;=8,"PASS","FAIL"),"UNSCORED")&amp;" (target ≥8, live from the Quality &amp; Audit score cell)"&amp;" · arithmetic: 10 × min(sourced 26/26, unit-or-ratio 26/26, cross-ref resolves 3/3); content checks: design-basis completeness arithmetic — basis rows carrying a value + a …"&amp;" · full audit: Quality &amp; Audit tab"</f>
        <v>⬤ TAB QUALITY 10/10 · PASS (target ≥8, live from the Quality &amp; Audit score cell) · arithmetic: 10 × min(sourced 26/26, unit-or-ratio 26/26, cross-ref resolves 3/3); content checks: design-basis completeness arithmetic — basis rows carrying a value + a … · full audit: Quality &amp; Audit tab</v>
      </c>
      <c r="B2" s="11"/>
      <c r="C2" s="11"/>
      <c r="D2" s="11"/>
      <c r="E2" s="11"/>
      <c r="F2" s="11"/>
    </row>
    <row r="3" spans="1:7" ht="54" customHeight="1" x14ac:dyDescent="0.2">
      <c r="A3" s="10" t="s">
        <v>1847</v>
      </c>
      <c r="B3" s="10"/>
      <c r="C3" s="10"/>
      <c r="D3" s="10"/>
      <c r="E3" s="10"/>
      <c r="F3" s="10"/>
    </row>
    <row r="4" spans="1:7" ht="16" x14ac:dyDescent="0.2">
      <c r="A4" s="16" t="s">
        <v>1848</v>
      </c>
      <c r="B4" s="16" t="s">
        <v>597</v>
      </c>
      <c r="C4" s="16" t="s">
        <v>144</v>
      </c>
      <c r="D4" s="16" t="s">
        <v>15</v>
      </c>
      <c r="E4" s="16" t="s">
        <v>1849</v>
      </c>
      <c r="F4" s="16" t="s">
        <v>1850</v>
      </c>
      <c r="G4" s="17" t="s">
        <v>20</v>
      </c>
    </row>
    <row r="5" spans="1:7" x14ac:dyDescent="0.2">
      <c r="A5" s="6" t="s">
        <v>1851</v>
      </c>
      <c r="B5" s="6"/>
      <c r="C5" s="6"/>
      <c r="D5" s="6"/>
      <c r="E5" s="6"/>
      <c r="F5" s="6"/>
    </row>
    <row r="6" spans="1:7" ht="27" customHeight="1" x14ac:dyDescent="0.2">
      <c r="A6" s="17" t="s">
        <v>1851</v>
      </c>
      <c r="B6" s="39" t="s">
        <v>1852</v>
      </c>
      <c r="C6" s="84">
        <v>1.5</v>
      </c>
      <c r="D6" s="18" t="s">
        <v>1853</v>
      </c>
      <c r="E6" s="22" t="s">
        <v>1854</v>
      </c>
      <c r="F6" s="39" t="str">
        <f t="shared" ref="F6:F12" si="0">"n/a (static value — not a cross-reference)"</f>
        <v>n/a (static value — not a cross-reference)</v>
      </c>
      <c r="G6" s="23" t="str">
        <f t="shared" ref="G6:G12" si="1">IF(AND(LEN(TRIM(A6&amp;""))&gt;0,TRIM(A6&amp;"")&lt;&gt;"—",LEN(TRIM(B6&amp;""))&gt;0,TRIM(B6&amp;"")&lt;&gt;"—",LEN(TRIM(C6&amp;""))&gt;0,TRIM(C6&amp;"")&lt;&gt;"—",LEN(TRIM(E6&amp;""))&gt;0,TRIM(E6&amp;"")&lt;&gt;"—",LEN(TRIM(F6&amp;""))&gt;0,TRIM(F6&amp;"")&lt;&gt;"—"),"PASS","⚠ FAIL — "&amp;"a required cell is empty/placeholder or wrong type")</f>
        <v>PASS</v>
      </c>
    </row>
    <row r="7" spans="1:7" ht="32" x14ac:dyDescent="0.2">
      <c r="A7" s="17" t="s">
        <v>1851</v>
      </c>
      <c r="B7" s="39" t="s">
        <v>1855</v>
      </c>
      <c r="C7" s="84">
        <v>18</v>
      </c>
      <c r="D7" s="18" t="s">
        <v>1853</v>
      </c>
      <c r="E7" s="22" t="s">
        <v>1856</v>
      </c>
      <c r="F7" s="39" t="str">
        <f t="shared" si="0"/>
        <v>n/a (static value — not a cross-reference)</v>
      </c>
      <c r="G7" s="23" t="str">
        <f t="shared" si="1"/>
        <v>PASS</v>
      </c>
    </row>
    <row r="8" spans="1:7" ht="32" x14ac:dyDescent="0.2">
      <c r="A8" s="17" t="s">
        <v>1851</v>
      </c>
      <c r="B8" s="39" t="s">
        <v>1857</v>
      </c>
      <c r="C8" s="84">
        <v>30</v>
      </c>
      <c r="D8" s="18" t="s">
        <v>1853</v>
      </c>
      <c r="E8" s="22" t="s">
        <v>1858</v>
      </c>
      <c r="F8" s="39" t="str">
        <f t="shared" si="0"/>
        <v>n/a (static value — not a cross-reference)</v>
      </c>
      <c r="G8" s="23" t="str">
        <f t="shared" si="1"/>
        <v>PASS</v>
      </c>
    </row>
    <row r="9" spans="1:7" ht="27" customHeight="1" x14ac:dyDescent="0.2">
      <c r="A9" s="17" t="s">
        <v>1851</v>
      </c>
      <c r="B9" s="39" t="s">
        <v>1859</v>
      </c>
      <c r="C9" s="84">
        <v>3</v>
      </c>
      <c r="D9" s="18" t="s">
        <v>1853</v>
      </c>
      <c r="E9" s="22" t="s">
        <v>1860</v>
      </c>
      <c r="F9" s="39" t="str">
        <f t="shared" si="0"/>
        <v>n/a (static value — not a cross-reference)</v>
      </c>
      <c r="G9" s="23" t="str">
        <f t="shared" si="1"/>
        <v>PASS</v>
      </c>
    </row>
    <row r="10" spans="1:7" ht="27" customHeight="1" x14ac:dyDescent="0.2">
      <c r="A10" s="17" t="s">
        <v>1851</v>
      </c>
      <c r="B10" s="39" t="s">
        <v>1861</v>
      </c>
      <c r="C10" s="84">
        <v>30</v>
      </c>
      <c r="D10" s="18" t="s">
        <v>1853</v>
      </c>
      <c r="E10" s="22" t="s">
        <v>1862</v>
      </c>
      <c r="F10" s="39" t="str">
        <f t="shared" si="0"/>
        <v>n/a (static value — not a cross-reference)</v>
      </c>
      <c r="G10" s="23" t="str">
        <f t="shared" si="1"/>
        <v>PASS</v>
      </c>
    </row>
    <row r="11" spans="1:7" ht="32" x14ac:dyDescent="0.2">
      <c r="A11" s="17" t="s">
        <v>1851</v>
      </c>
      <c r="B11" s="39" t="s">
        <v>1863</v>
      </c>
      <c r="C11" s="84">
        <v>45</v>
      </c>
      <c r="D11" s="18" t="s">
        <v>1853</v>
      </c>
      <c r="E11" s="22" t="s">
        <v>1864</v>
      </c>
      <c r="F11" s="39" t="str">
        <f t="shared" si="0"/>
        <v>n/a (static value — not a cross-reference)</v>
      </c>
      <c r="G11" s="23" t="str">
        <f t="shared" si="1"/>
        <v>PASS</v>
      </c>
    </row>
    <row r="12" spans="1:7" ht="27" customHeight="1" x14ac:dyDescent="0.2">
      <c r="A12" s="17" t="s">
        <v>1851</v>
      </c>
      <c r="B12" s="39" t="s">
        <v>1865</v>
      </c>
      <c r="C12" s="18" t="s">
        <v>1866</v>
      </c>
      <c r="D12" s="18" t="s">
        <v>1867</v>
      </c>
      <c r="E12" s="22" t="s">
        <v>1868</v>
      </c>
      <c r="F12" s="39" t="str">
        <f t="shared" si="0"/>
        <v>n/a (static value — not a cross-reference)</v>
      </c>
      <c r="G12" s="23" t="str">
        <f t="shared" si="1"/>
        <v>PASS</v>
      </c>
    </row>
    <row r="13" spans="1:7" x14ac:dyDescent="0.2">
      <c r="A13" s="6" t="s">
        <v>108</v>
      </c>
      <c r="B13" s="6"/>
      <c r="C13" s="6"/>
      <c r="D13" s="6"/>
      <c r="E13" s="6"/>
      <c r="F13" s="6"/>
    </row>
    <row r="14" spans="1:7" ht="27" customHeight="1" x14ac:dyDescent="0.2">
      <c r="A14" s="17" t="s">
        <v>108</v>
      </c>
      <c r="B14" s="39" t="s">
        <v>1869</v>
      </c>
      <c r="C14" s="84">
        <v>6</v>
      </c>
      <c r="D14" s="18" t="s">
        <v>1853</v>
      </c>
      <c r="E14" s="22" t="s">
        <v>1870</v>
      </c>
      <c r="F14" s="39" t="str">
        <f>"n/a (static value — not a cross-reference)"</f>
        <v>n/a (static value — not a cross-reference)</v>
      </c>
      <c r="G14" s="23" t="str">
        <f>IF(AND(LEN(TRIM(A14&amp;""))&gt;0,TRIM(A14&amp;"")&lt;&gt;"—",LEN(TRIM(B14&amp;""))&gt;0,TRIM(B14&amp;"")&lt;&gt;"—",LEN(TRIM(C14&amp;""))&gt;0,TRIM(C14&amp;"")&lt;&gt;"—",LEN(TRIM(E14&amp;""))&gt;0,TRIM(E14&amp;"")&lt;&gt;"—",LEN(TRIM(F14&amp;""))&gt;0,TRIM(F14&amp;"")&lt;&gt;"—"),"PASS","⚠ FAIL — "&amp;"a required cell is empty/placeholder or wrong type")</f>
        <v>PASS</v>
      </c>
    </row>
    <row r="15" spans="1:7" ht="32" x14ac:dyDescent="0.2">
      <c r="A15" s="17" t="s">
        <v>108</v>
      </c>
      <c r="B15" s="39" t="s">
        <v>1871</v>
      </c>
      <c r="C15" s="84">
        <v>9</v>
      </c>
      <c r="D15" s="18" t="s">
        <v>1853</v>
      </c>
      <c r="E15" s="22" t="s">
        <v>1872</v>
      </c>
      <c r="F15" s="39" t="str">
        <f>"n/a (static value — not a cross-reference)"</f>
        <v>n/a (static value — not a cross-reference)</v>
      </c>
      <c r="G15" s="23" t="str">
        <f>IF(AND(LEN(TRIM(A15&amp;""))&gt;0,TRIM(A15&amp;"")&lt;&gt;"—",LEN(TRIM(B15&amp;""))&gt;0,TRIM(B15&amp;"")&lt;&gt;"—",LEN(TRIM(C15&amp;""))&gt;0,TRIM(C15&amp;"")&lt;&gt;"—",LEN(TRIM(E15&amp;""))&gt;0,TRIM(E15&amp;"")&lt;&gt;"—",LEN(TRIM(F15&amp;""))&gt;0,TRIM(F15&amp;"")&lt;&gt;"—"),"PASS","⚠ FAIL — "&amp;"a required cell is empty/placeholder or wrong type")</f>
        <v>PASS</v>
      </c>
    </row>
    <row r="16" spans="1:7" x14ac:dyDescent="0.2">
      <c r="A16" s="6" t="s">
        <v>110</v>
      </c>
      <c r="B16" s="6"/>
      <c r="C16" s="6"/>
      <c r="D16" s="6"/>
      <c r="E16" s="6"/>
      <c r="F16" s="6"/>
    </row>
    <row r="17" spans="1:7" ht="27" customHeight="1" x14ac:dyDescent="0.2">
      <c r="A17" s="17" t="s">
        <v>110</v>
      </c>
      <c r="B17" s="39" t="s">
        <v>1873</v>
      </c>
      <c r="C17" s="18" t="s">
        <v>1874</v>
      </c>
      <c r="D17" s="18"/>
      <c r="E17" s="22" t="s">
        <v>1875</v>
      </c>
      <c r="F17" s="39" t="str">
        <f>"n/a (static value — not a cross-reference)"</f>
        <v>n/a (static value — not a cross-reference)</v>
      </c>
      <c r="G17" s="23" t="str">
        <f>IF(AND(LEN(TRIM(A17&amp;""))&gt;0,TRIM(A17&amp;"")&lt;&gt;"—",LEN(TRIM(B17&amp;""))&gt;0,TRIM(B17&amp;"")&lt;&gt;"—",LEN(TRIM(C17&amp;""))&gt;0,TRIM(C17&amp;"")&lt;&gt;"—",LEN(TRIM(E17&amp;""))&gt;0,TRIM(E17&amp;"")&lt;&gt;"—",LEN(TRIM(F17&amp;""))&gt;0,TRIM(F17&amp;"")&lt;&gt;"—"),"PASS","⚠ FAIL — "&amp;"a required cell is empty/placeholder or wrong type")</f>
        <v>PASS</v>
      </c>
    </row>
    <row r="18" spans="1:7" ht="27" customHeight="1" x14ac:dyDescent="0.2">
      <c r="A18" s="17" t="s">
        <v>110</v>
      </c>
      <c r="B18" s="39" t="s">
        <v>1876</v>
      </c>
      <c r="C18" s="18" t="s">
        <v>1877</v>
      </c>
      <c r="D18" s="18" t="s">
        <v>1878</v>
      </c>
      <c r="E18" s="22" t="s">
        <v>1879</v>
      </c>
      <c r="F18" s="39" t="str">
        <f>"n/a (static value — not a cross-reference)"</f>
        <v>n/a (static value — not a cross-reference)</v>
      </c>
      <c r="G18" s="23" t="str">
        <f>IF(AND(LEN(TRIM(A18&amp;""))&gt;0,TRIM(A18&amp;"")&lt;&gt;"—",LEN(TRIM(B18&amp;""))&gt;0,TRIM(B18&amp;"")&lt;&gt;"—",LEN(TRIM(C18&amp;""))&gt;0,TRIM(C18&amp;"")&lt;&gt;"—",LEN(TRIM(E18&amp;""))&gt;0,TRIM(E18&amp;"")&lt;&gt;"—",LEN(TRIM(F18&amp;""))&gt;0,TRIM(F18&amp;"")&lt;&gt;"—"),"PASS","⚠ FAIL — "&amp;"a required cell is empty/placeholder or wrong type")</f>
        <v>PASS</v>
      </c>
    </row>
    <row r="19" spans="1:7" ht="32" x14ac:dyDescent="0.2">
      <c r="A19" s="17" t="s">
        <v>110</v>
      </c>
      <c r="B19" s="39" t="s">
        <v>1880</v>
      </c>
      <c r="C19" s="18" t="s">
        <v>1881</v>
      </c>
      <c r="D19" s="18"/>
      <c r="E19" s="22" t="s">
        <v>1882</v>
      </c>
      <c r="F19" s="39" t="str">
        <f>"n/a (static value — not a cross-reference)"</f>
        <v>n/a (static value — not a cross-reference)</v>
      </c>
      <c r="G19" s="23" t="str">
        <f>IF(AND(LEN(TRIM(A19&amp;""))&gt;0,TRIM(A19&amp;"")&lt;&gt;"—",LEN(TRIM(B19&amp;""))&gt;0,TRIM(B19&amp;"")&lt;&gt;"—",LEN(TRIM(C19&amp;""))&gt;0,TRIM(C19&amp;"")&lt;&gt;"—",LEN(TRIM(E19&amp;""))&gt;0,TRIM(E19&amp;"")&lt;&gt;"—",LEN(TRIM(F19&amp;""))&gt;0,TRIM(F19&amp;"")&lt;&gt;"—"),"PASS","⚠ FAIL — "&amp;"a required cell is empty/placeholder or wrong type")</f>
        <v>PASS</v>
      </c>
    </row>
    <row r="20" spans="1:7" ht="32" x14ac:dyDescent="0.2">
      <c r="A20" s="17" t="s">
        <v>110</v>
      </c>
      <c r="B20" s="39" t="s">
        <v>1883</v>
      </c>
      <c r="C20" s="84">
        <v>0.95</v>
      </c>
      <c r="D20" s="18"/>
      <c r="E20" s="22" t="s">
        <v>1884</v>
      </c>
      <c r="F20" s="39" t="str">
        <f>"n/a (static value — not a cross-reference)"</f>
        <v>n/a (static value — not a cross-reference)</v>
      </c>
      <c r="G20" s="23" t="str">
        <f>IF(AND(LEN(TRIM(A20&amp;""))&gt;0,TRIM(A20&amp;"")&lt;&gt;"—",LEN(TRIM(B20&amp;""))&gt;0,TRIM(B20&amp;"")&lt;&gt;"—",LEN(TRIM(C20&amp;""))&gt;0,TRIM(C20&amp;"")&lt;&gt;"—",LEN(TRIM(E20&amp;""))&gt;0,TRIM(E20&amp;"")&lt;&gt;"—",LEN(TRIM(F20&amp;""))&gt;0,TRIM(F20&amp;"")&lt;&gt;"—"),"PASS","⚠ FAIL — "&amp;"a required cell is empty/placeholder or wrong type")</f>
        <v>PASS</v>
      </c>
    </row>
    <row r="21" spans="1:7" ht="27" customHeight="1" x14ac:dyDescent="0.2">
      <c r="A21" s="17" t="s">
        <v>110</v>
      </c>
      <c r="B21" s="39" t="s">
        <v>1885</v>
      </c>
      <c r="C21" s="84">
        <v>2500</v>
      </c>
      <c r="D21" s="18" t="s">
        <v>1886</v>
      </c>
      <c r="E21" s="22" t="s">
        <v>1887</v>
      </c>
      <c r="F21" s="39" t="str">
        <f>"n/a (static value — not a cross-reference)"</f>
        <v>n/a (static value — not a cross-reference)</v>
      </c>
      <c r="G21" s="23" t="str">
        <f>IF(AND(LEN(TRIM(A21&amp;""))&gt;0,TRIM(A21&amp;"")&lt;&gt;"—",LEN(TRIM(B21&amp;""))&gt;0,TRIM(B21&amp;"")&lt;&gt;"—",LEN(TRIM(C21&amp;""))&gt;0,TRIM(C21&amp;"")&lt;&gt;"—",LEN(TRIM(E21&amp;""))&gt;0,TRIM(E21&amp;"")&lt;&gt;"—",LEN(TRIM(F21&amp;""))&gt;0,TRIM(F21&amp;"")&lt;&gt;"—"),"PASS","⚠ FAIL — "&amp;"a required cell is empty/placeholder or wrong type")</f>
        <v>PASS</v>
      </c>
    </row>
    <row r="22" spans="1:7" x14ac:dyDescent="0.2">
      <c r="A22" s="6" t="s">
        <v>98</v>
      </c>
      <c r="B22" s="6"/>
      <c r="C22" s="6"/>
      <c r="D22" s="6"/>
      <c r="E22" s="6"/>
      <c r="F22" s="6"/>
    </row>
    <row r="23" spans="1:7" ht="27" customHeight="1" x14ac:dyDescent="0.2">
      <c r="A23" s="17" t="s">
        <v>98</v>
      </c>
      <c r="B23" s="39" t="s">
        <v>1888</v>
      </c>
      <c r="C23" s="84">
        <v>2.5</v>
      </c>
      <c r="D23" s="18" t="s">
        <v>1889</v>
      </c>
      <c r="E23" s="22" t="s">
        <v>1890</v>
      </c>
      <c r="F23" s="39" t="str">
        <f>"n/a (static value — not a cross-reference)"</f>
        <v>n/a (static value — not a cross-reference)</v>
      </c>
      <c r="G23" s="23" t="str">
        <f>IF(AND(LEN(TRIM(A23&amp;""))&gt;0,TRIM(A23&amp;"")&lt;&gt;"—",LEN(TRIM(B23&amp;""))&gt;0,TRIM(B23&amp;"")&lt;&gt;"—",LEN(TRIM(C23&amp;""))&gt;0,TRIM(C23&amp;"")&lt;&gt;"—",LEN(TRIM(E23&amp;""))&gt;0,TRIM(E23&amp;"")&lt;&gt;"—",LEN(TRIM(F23&amp;""))&gt;0,TRIM(F23&amp;"")&lt;&gt;"—"),"PASS","⚠ FAIL — "&amp;"a required cell is empty/placeholder or wrong type")</f>
        <v>PASS</v>
      </c>
    </row>
    <row r="24" spans="1:7" x14ac:dyDescent="0.2">
      <c r="A24" s="6" t="s">
        <v>1891</v>
      </c>
      <c r="B24" s="6"/>
      <c r="C24" s="6"/>
      <c r="D24" s="6"/>
      <c r="E24" s="6"/>
      <c r="F24" s="6"/>
    </row>
    <row r="25" spans="1:7" ht="27" customHeight="1" x14ac:dyDescent="0.2">
      <c r="A25" s="17" t="s">
        <v>1891</v>
      </c>
      <c r="B25" s="39" t="s">
        <v>1892</v>
      </c>
      <c r="C25" s="84">
        <v>90</v>
      </c>
      <c r="D25" s="18" t="s">
        <v>1893</v>
      </c>
      <c r="E25" s="22" t="s">
        <v>1894</v>
      </c>
      <c r="F25" s="39" t="str">
        <f t="shared" ref="F25:F31" si="2">"n/a (static value — not a cross-reference)"</f>
        <v>n/a (static value — not a cross-reference)</v>
      </c>
      <c r="G25" s="23" t="str">
        <f t="shared" ref="G25:G31" si="3">IF(AND(LEN(TRIM(A25&amp;""))&gt;0,TRIM(A25&amp;"")&lt;&gt;"—",LEN(TRIM(B25&amp;""))&gt;0,TRIM(B25&amp;"")&lt;&gt;"—",LEN(TRIM(C25&amp;""))&gt;0,TRIM(C25&amp;"")&lt;&gt;"—",LEN(TRIM(E25&amp;""))&gt;0,TRIM(E25&amp;"")&lt;&gt;"—",LEN(TRIM(F25&amp;""))&gt;0,TRIM(F25&amp;"")&lt;&gt;"—"),"PASS","⚠ FAIL — "&amp;"a required cell is empty/placeholder or wrong type")</f>
        <v>PASS</v>
      </c>
    </row>
    <row r="26" spans="1:7" ht="27" customHeight="1" x14ac:dyDescent="0.2">
      <c r="A26" s="17" t="s">
        <v>1891</v>
      </c>
      <c r="B26" s="39" t="s">
        <v>1895</v>
      </c>
      <c r="C26" s="84">
        <v>90</v>
      </c>
      <c r="D26" s="18" t="s">
        <v>22</v>
      </c>
      <c r="E26" s="22" t="s">
        <v>1896</v>
      </c>
      <c r="F26" s="39" t="str">
        <f t="shared" si="2"/>
        <v>n/a (static value — not a cross-reference)</v>
      </c>
      <c r="G26" s="23" t="str">
        <f t="shared" si="3"/>
        <v>PASS</v>
      </c>
    </row>
    <row r="27" spans="1:7" ht="27" customHeight="1" x14ac:dyDescent="0.2">
      <c r="A27" s="17" t="s">
        <v>1891</v>
      </c>
      <c r="B27" s="39" t="s">
        <v>1897</v>
      </c>
      <c r="C27" s="84">
        <v>90</v>
      </c>
      <c r="D27" s="18" t="s">
        <v>1893</v>
      </c>
      <c r="E27" s="22" t="s">
        <v>1898</v>
      </c>
      <c r="F27" s="39" t="str">
        <f t="shared" si="2"/>
        <v>n/a (static value — not a cross-reference)</v>
      </c>
      <c r="G27" s="23" t="str">
        <f t="shared" si="3"/>
        <v>PASS</v>
      </c>
    </row>
    <row r="28" spans="1:7" ht="27" customHeight="1" x14ac:dyDescent="0.2">
      <c r="A28" s="17" t="s">
        <v>1891</v>
      </c>
      <c r="B28" s="39" t="s">
        <v>1899</v>
      </c>
      <c r="C28" s="84">
        <v>90</v>
      </c>
      <c r="D28" s="18" t="s">
        <v>22</v>
      </c>
      <c r="E28" s="22" t="s">
        <v>1900</v>
      </c>
      <c r="F28" s="39" t="str">
        <f t="shared" si="2"/>
        <v>n/a (static value — not a cross-reference)</v>
      </c>
      <c r="G28" s="23" t="str">
        <f t="shared" si="3"/>
        <v>PASS</v>
      </c>
    </row>
    <row r="29" spans="1:7" ht="27" customHeight="1" x14ac:dyDescent="0.2">
      <c r="A29" s="17" t="s">
        <v>1891</v>
      </c>
      <c r="B29" s="39" t="s">
        <v>1901</v>
      </c>
      <c r="C29" s="84">
        <v>90</v>
      </c>
      <c r="D29" s="18" t="s">
        <v>1893</v>
      </c>
      <c r="E29" s="22" t="s">
        <v>1902</v>
      </c>
      <c r="F29" s="39" t="str">
        <f t="shared" si="2"/>
        <v>n/a (static value — not a cross-reference)</v>
      </c>
      <c r="G29" s="23" t="str">
        <f t="shared" si="3"/>
        <v>PASS</v>
      </c>
    </row>
    <row r="30" spans="1:7" ht="27" customHeight="1" x14ac:dyDescent="0.2">
      <c r="A30" s="17" t="s">
        <v>1891</v>
      </c>
      <c r="B30" s="39" t="s">
        <v>1903</v>
      </c>
      <c r="C30" s="84">
        <v>75</v>
      </c>
      <c r="D30" s="18" t="s">
        <v>1904</v>
      </c>
      <c r="E30" s="22" t="s">
        <v>1905</v>
      </c>
      <c r="F30" s="39" t="str">
        <f t="shared" si="2"/>
        <v>n/a (static value — not a cross-reference)</v>
      </c>
      <c r="G30" s="23" t="str">
        <f t="shared" si="3"/>
        <v>PASS</v>
      </c>
    </row>
    <row r="31" spans="1:7" ht="27" customHeight="1" x14ac:dyDescent="0.2">
      <c r="A31" s="17" t="s">
        <v>1891</v>
      </c>
      <c r="B31" s="39" t="s">
        <v>1906</v>
      </c>
      <c r="C31" s="84">
        <v>53</v>
      </c>
      <c r="D31" s="18" t="s">
        <v>1907</v>
      </c>
      <c r="E31" s="22" t="s">
        <v>1908</v>
      </c>
      <c r="F31" s="39" t="str">
        <f t="shared" si="2"/>
        <v>n/a (static value — not a cross-reference)</v>
      </c>
      <c r="G31" s="23" t="str">
        <f t="shared" si="3"/>
        <v>PASS</v>
      </c>
    </row>
    <row r="32" spans="1:7" x14ac:dyDescent="0.2">
      <c r="A32" s="6" t="s">
        <v>1909</v>
      </c>
      <c r="B32" s="6"/>
      <c r="C32" s="6"/>
      <c r="D32" s="6"/>
      <c r="E32" s="6"/>
      <c r="F32" s="6"/>
    </row>
    <row r="33" spans="1:7" ht="27" customHeight="1" x14ac:dyDescent="0.2">
      <c r="A33" s="17" t="s">
        <v>1909</v>
      </c>
      <c r="B33" s="39" t="s">
        <v>1910</v>
      </c>
      <c r="C33" s="84">
        <v>1000</v>
      </c>
      <c r="D33" s="18" t="s">
        <v>1911</v>
      </c>
      <c r="E33" s="22" t="s">
        <v>1912</v>
      </c>
      <c r="F33" s="39" t="str">
        <f>"n/a (static value — not a cross-reference)"</f>
        <v>n/a (static value — not a cross-reference)</v>
      </c>
      <c r="G33" s="23" t="str">
        <f>IF(AND(LEN(TRIM(A33&amp;""))&gt;0,TRIM(A33&amp;"")&lt;&gt;"—",LEN(TRIM(B33&amp;""))&gt;0,TRIM(B33&amp;"")&lt;&gt;"—",LEN(TRIM(C33&amp;""))&gt;0,TRIM(C33&amp;"")&lt;&gt;"—",LEN(TRIM(E33&amp;""))&gt;0,TRIM(E33&amp;"")&lt;&gt;"—",LEN(TRIM(F33&amp;""))&gt;0,TRIM(F33&amp;"")&lt;&gt;"—"),"PASS","⚠ FAIL — "&amp;"a required cell is empty/placeholder or wrong type")</f>
        <v>PASS</v>
      </c>
    </row>
    <row r="34" spans="1:7" x14ac:dyDescent="0.2">
      <c r="A34" s="6" t="s">
        <v>1913</v>
      </c>
      <c r="B34" s="6"/>
      <c r="C34" s="6"/>
      <c r="D34" s="6"/>
      <c r="E34" s="6"/>
      <c r="F34" s="6"/>
    </row>
    <row r="35" spans="1:7" ht="27" customHeight="1" x14ac:dyDescent="0.2">
      <c r="A35" s="17" t="s">
        <v>1913</v>
      </c>
      <c r="B35" s="39" t="s">
        <v>1914</v>
      </c>
      <c r="C35" s="36">
        <f>'Inputs &amp; Assumptions'!$B$14</f>
        <v>0.25</v>
      </c>
      <c r="D35" s="18"/>
      <c r="E35" s="22" t="s">
        <v>1915</v>
      </c>
      <c r="F35" s="39" t="str">
        <f>IF(ISBLANK(C35),"✗ target cell empty — cross-ref broken","✓ live — resolves to "&amp;TEXT(C35,"General"))</f>
        <v>✓ live — resolves to 0.25</v>
      </c>
      <c r="G35" s="23" t="str">
        <f>IF(AND(LEN(TRIM(A35&amp;""))&gt;0,TRIM(A35&amp;"")&lt;&gt;"—",LEN(TRIM(B35&amp;""))&gt;0,TRIM(B35&amp;"")&lt;&gt;"—",LEN(TRIM(C35&amp;""))&gt;0,TRIM(C35&amp;"")&lt;&gt;"—",LEN(TRIM(E35&amp;""))&gt;0,TRIM(E35&amp;"")&lt;&gt;"—",LEN(TRIM(F35&amp;""))&gt;0,TRIM(F35&amp;"")&lt;&gt;"—"),"PASS","⚠ FAIL — "&amp;"a required cell is empty/placeholder or wrong type")</f>
        <v>PASS</v>
      </c>
    </row>
    <row r="36" spans="1:7" ht="27" customHeight="1" x14ac:dyDescent="0.2">
      <c r="A36" s="17" t="s">
        <v>1913</v>
      </c>
      <c r="B36" s="39" t="s">
        <v>1916</v>
      </c>
      <c r="C36" s="36">
        <f>'Inputs &amp; Assumptions'!$B$11</f>
        <v>0.65</v>
      </c>
      <c r="D36" s="18"/>
      <c r="E36" s="22" t="s">
        <v>1917</v>
      </c>
      <c r="F36" s="39" t="str">
        <f>IF(ISBLANK(C36),"✗ target cell empty — cross-ref broken","✓ live — resolves to "&amp;TEXT(C36,"General"))</f>
        <v>✓ live — resolves to 0.65</v>
      </c>
      <c r="G36" s="23" t="str">
        <f>IF(AND(LEN(TRIM(A36&amp;""))&gt;0,TRIM(A36&amp;"")&lt;&gt;"—",LEN(TRIM(B36&amp;""))&gt;0,TRIM(B36&amp;"")&lt;&gt;"—",LEN(TRIM(C36&amp;""))&gt;0,TRIM(C36&amp;"")&lt;&gt;"—",LEN(TRIM(E36&amp;""))&gt;0,TRIM(E36&amp;"")&lt;&gt;"—",LEN(TRIM(F36&amp;""))&gt;0,TRIM(F36&amp;"")&lt;&gt;"—"),"PASS","⚠ FAIL — "&amp;"a required cell is empty/placeholder or wrong type")</f>
        <v>PASS</v>
      </c>
    </row>
    <row r="37" spans="1:7" ht="27" customHeight="1" x14ac:dyDescent="0.2">
      <c r="A37" s="17" t="s">
        <v>1913</v>
      </c>
      <c r="B37" s="39" t="s">
        <v>1918</v>
      </c>
      <c r="C37" s="85">
        <f>'Inputs &amp; Assumptions'!$B$12</f>
        <v>8000</v>
      </c>
      <c r="D37" s="18" t="s">
        <v>198</v>
      </c>
      <c r="E37" s="22" t="s">
        <v>1919</v>
      </c>
      <c r="F37" s="39" t="str">
        <f>IF(ISBLANK(C37),"✗ target cell empty — cross-ref broken","✓ live — resolves to "&amp;TEXT(C37,"General"))</f>
        <v>✓ live — resolves to 8000</v>
      </c>
      <c r="G37" s="23" t="str">
        <f>IF(AND(LEN(TRIM(A37&amp;""))&gt;0,TRIM(A37&amp;"")&lt;&gt;"—",LEN(TRIM(B37&amp;""))&gt;0,TRIM(B37&amp;"")&lt;&gt;"—",LEN(TRIM(C37&amp;""))&gt;0,TRIM(C37&amp;"")&lt;&gt;"—",LEN(TRIM(E37&amp;""))&gt;0,TRIM(E37&amp;"")&lt;&gt;"—",LEN(TRIM(F37&amp;""))&gt;0,TRIM(F37&amp;"")&lt;&gt;"—"),"PASS","⚠ FAIL — "&amp;"a required cell is empty/placeholder or wrong type")</f>
        <v>PASS</v>
      </c>
    </row>
  </sheetData>
  <mergeCells count="10">
    <mergeCell ref="A16:F16"/>
    <mergeCell ref="A22:F22"/>
    <mergeCell ref="A24:F24"/>
    <mergeCell ref="A32:F32"/>
    <mergeCell ref="A34:F34"/>
    <mergeCell ref="A1:F1"/>
    <mergeCell ref="A2:F2"/>
    <mergeCell ref="A3:F3"/>
    <mergeCell ref="A5:F5"/>
    <mergeCell ref="A13:F13"/>
  </mergeCells>
  <conditionalFormatting sqref="F5:F37">
    <cfRule type="cellIs" dxfId="22" priority="2" operator="equal">
      <formula>"PASS"</formula>
    </cfRule>
  </conditionalFormatting>
  <hyperlinks>
    <hyperlink ref="G1" location="'Contents'!A1" display="↑ Contents" xr:uid="{00000000-0004-0000-0A00-000000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P8"/>
  <sheetViews>
    <sheetView zoomScaleNormal="100" workbookViewId="0">
      <selection sqref="A1:N1"/>
    </sheetView>
  </sheetViews>
  <sheetFormatPr baseColWidth="10" defaultColWidth="8.6640625" defaultRowHeight="15" x14ac:dyDescent="0.2"/>
  <cols>
    <col min="1" max="1" width="13" customWidth="1"/>
    <col min="2" max="2" width="30" customWidth="1"/>
    <col min="3" max="3" width="5" customWidth="1"/>
    <col min="4" max="4" width="11" customWidth="1"/>
    <col min="5" max="5" width="8" customWidth="1"/>
    <col min="6" max="6" width="7" customWidth="1"/>
    <col min="7" max="7" width="13" customWidth="1"/>
    <col min="8" max="8" width="36" customWidth="1"/>
    <col min="9" max="10" width="26" customWidth="1"/>
    <col min="11" max="11" width="28" customWidth="1"/>
    <col min="15" max="15" width="13" customWidth="1"/>
  </cols>
  <sheetData>
    <row r="1" spans="1:16" ht="25.5" customHeight="1" x14ac:dyDescent="0.2">
      <c r="A1" s="12" t="s">
        <v>1920</v>
      </c>
      <c r="B1" s="12"/>
      <c r="C1" s="12"/>
      <c r="D1" s="12"/>
      <c r="E1" s="12"/>
      <c r="F1" s="12"/>
      <c r="G1" s="12"/>
      <c r="H1" s="12"/>
      <c r="I1" s="12"/>
      <c r="J1" s="12"/>
      <c r="K1" s="12"/>
      <c r="L1" s="12"/>
      <c r="M1" s="12"/>
      <c r="N1" s="12"/>
      <c r="O1" s="30" t="s">
        <v>140</v>
      </c>
    </row>
    <row r="2" spans="1:16" ht="30" customHeight="1" x14ac:dyDescent="0.2">
      <c r="A2" s="11" t="str">
        <f>"⬤ TAB QUALITY "&amp;IF(ISNUMBER('Quality &amp; Audit'!$B$57),IF('Quality &amp; Audit'!$B$57=INT('Quality &amp; Audit'!$B$57),TEXT('Quality &amp; Audit'!$B$57,"0"),TEXT('Quality &amp; Audit'!$B$57,"0.0")),"—")&amp;"/10 · "&amp;IF(ISNUMBER('Quality &amp; Audit'!$B$57),IF('Quality &amp; Audit'!$B$57&gt;=8,"PASS","FAIL"),"UNSCORED")&amp;" (target ≥8, live from the Quality &amp; Audit score cell)"&amp;" · drawing-register integrity: every registered A1 print PDF exists on disk + ISO 3098 2.5 mm lettering bar — registered drawings with their print set present 4/4; cell com…"&amp;" · full audit: Quality &amp; Audit tab"</f>
        <v>⬤ TAB QUALITY 9.6/10 · PASS (target ≥8, live from the Quality &amp; Audit score cell) · drawing-register integrity: every registered A1 print PDF exists on disk + ISO 3098 2.5 mm lettering bar — registered drawings with their print set present 4/4; cell com… · full audit: Quality &amp; Audit tab</v>
      </c>
      <c r="B2" s="11"/>
      <c r="C2" s="11"/>
      <c r="D2" s="11"/>
      <c r="E2" s="11"/>
      <c r="F2" s="11"/>
      <c r="G2" s="11"/>
      <c r="H2" s="11"/>
      <c r="I2" s="11"/>
      <c r="J2" s="11"/>
      <c r="K2" s="11"/>
      <c r="L2" s="11"/>
      <c r="M2" s="11"/>
      <c r="N2" s="11"/>
    </row>
    <row r="3" spans="1:16" ht="54" customHeight="1" x14ac:dyDescent="0.2">
      <c r="A3" s="10" t="s">
        <v>1921</v>
      </c>
      <c r="B3" s="10"/>
      <c r="C3" s="10"/>
      <c r="D3" s="10"/>
      <c r="E3" s="10"/>
      <c r="F3" s="10"/>
      <c r="G3" s="10"/>
      <c r="H3" s="10"/>
      <c r="I3" s="10"/>
      <c r="J3" s="10"/>
      <c r="K3" s="10"/>
      <c r="L3" s="10"/>
      <c r="M3" s="10"/>
      <c r="N3" s="10"/>
    </row>
    <row r="4" spans="1:16" ht="24" x14ac:dyDescent="0.2">
      <c r="A4" s="16" t="s">
        <v>1922</v>
      </c>
      <c r="B4" s="16" t="s">
        <v>1923</v>
      </c>
      <c r="C4" s="16" t="s">
        <v>1924</v>
      </c>
      <c r="D4" s="16" t="s">
        <v>1925</v>
      </c>
      <c r="E4" s="16" t="s">
        <v>1926</v>
      </c>
      <c r="F4" s="16" t="s">
        <v>1927</v>
      </c>
      <c r="G4" s="16" t="s">
        <v>1928</v>
      </c>
      <c r="H4" s="16" t="s">
        <v>1929</v>
      </c>
      <c r="I4" s="16" t="s">
        <v>1930</v>
      </c>
      <c r="J4" s="16" t="s">
        <v>1931</v>
      </c>
      <c r="K4" s="16" t="s">
        <v>1932</v>
      </c>
      <c r="L4" s="76" t="s">
        <v>1933</v>
      </c>
      <c r="M4" s="76" t="s">
        <v>1934</v>
      </c>
      <c r="N4" s="76" t="s">
        <v>1935</v>
      </c>
      <c r="O4" s="76" t="s">
        <v>1936</v>
      </c>
      <c r="P4" s="17" t="s">
        <v>20</v>
      </c>
    </row>
    <row r="5" spans="1:16" ht="16" x14ac:dyDescent="0.2">
      <c r="A5" s="18" t="s">
        <v>1937</v>
      </c>
      <c r="B5" s="39" t="s">
        <v>1938</v>
      </c>
      <c r="C5" s="18" t="s">
        <v>1939</v>
      </c>
      <c r="D5" s="18" t="s">
        <v>1940</v>
      </c>
      <c r="E5" s="18" t="s">
        <v>1941</v>
      </c>
      <c r="F5" s="86">
        <v>1</v>
      </c>
      <c r="G5" s="18" t="s">
        <v>1942</v>
      </c>
      <c r="H5" s="22" t="s">
        <v>1943</v>
      </c>
      <c r="I5" s="29" t="s">
        <v>106</v>
      </c>
      <c r="J5" s="77" t="str">
        <f>IF(LEN(TRIM($M5&amp;""))&gt;0,"✗ MISSING on disk: "&amp;$M5,IF($L5&gt;0,"✓ "&amp;$L5&amp;" sheet PDF(s) on disk","✗ no sheet PDF found on disk"))</f>
        <v>✓ 1 sheet PDF(s) on disk</v>
      </c>
      <c r="K5" s="39" t="str">
        <f>IF(ISBLANK($O5),"— no gate scorecard for this drawing",IF($O5=1,"✓ G1-G9 all pass","✗ FAIL: "&amp;IF(LEN(TRIM($N5&amp;""))&gt;0,$N5,"see drawing-gates.json")))</f>
        <v>✓ G1-G9 all pass</v>
      </c>
      <c r="L5" s="87">
        <v>1</v>
      </c>
      <c r="M5" s="78"/>
      <c r="N5" s="78"/>
      <c r="O5" s="87">
        <v>1</v>
      </c>
      <c r="P5" s="23" t="str">
        <f>IF(AND(LEN(TRIM(A5&amp;""))&gt;0,TRIM(A5&amp;"")&lt;&gt;"—",LEN(TRIM(B5&amp;""))&gt;0,TRIM(B5&amp;"")&lt;&gt;"—",LEN(TRIM(C5&amp;""))&gt;0,TRIM(C5&amp;"")&lt;&gt;"—",LEN(TRIM(D5&amp;""))&gt;0,TRIM(D5&amp;"")&lt;&gt;"—",LEN(TRIM(H5&amp;""))&gt;0,TRIM(H5&amp;"")&lt;&gt;"—",LEN(TRIM(J5&amp;""))&gt;0,TRIM(J5&amp;"")&lt;&gt;"—",LEN(TRIM(K5&amp;""))&gt;0,TRIM(K5&amp;"")&lt;&gt;"—"),"PASS","⚠ FAIL — "&amp;"a required cell is empty/placeholder or wrong type")</f>
        <v>PASS</v>
      </c>
    </row>
    <row r="6" spans="1:16" ht="174" customHeight="1" x14ac:dyDescent="0.2">
      <c r="A6" s="18" t="s">
        <v>1944</v>
      </c>
      <c r="B6" s="39" t="s">
        <v>1945</v>
      </c>
      <c r="C6" s="18" t="s">
        <v>1939</v>
      </c>
      <c r="D6" s="18" t="s">
        <v>1940</v>
      </c>
      <c r="E6" s="18" t="s">
        <v>1946</v>
      </c>
      <c r="F6" s="86">
        <v>12</v>
      </c>
      <c r="G6" s="18" t="s">
        <v>1947</v>
      </c>
      <c r="H6" s="22" t="s">
        <v>1948</v>
      </c>
      <c r="I6" s="29" t="s">
        <v>102</v>
      </c>
      <c r="J6" s="77" t="str">
        <f>IF(LEN(TRIM($M6&amp;""))&gt;0,"✗ MISSING on disk: "&amp;$M6,IF($L6&gt;0,"✓ "&amp;$L6&amp;" sheet PDF(s) on disk","✗ no sheet PDF found on disk"))</f>
        <v>✓ 12 sheet PDF(s) on disk</v>
      </c>
      <c r="K6" s="39" t="str">
        <f>IF(ISBLANK($O6),"— no gate scorecard for this drawing",IF($O6=1,"✓ G1-G9 all pass","✗ FAIL: "&amp;IF(LEN(TRIM($N6&amp;""))&gt;0,$N6,"see drawing-gates.json")))</f>
        <v>✓ G1-G9 all pass</v>
      </c>
      <c r="L6" s="87">
        <v>12</v>
      </c>
      <c r="M6" s="78"/>
      <c r="N6" s="78"/>
      <c r="O6" s="87">
        <v>1</v>
      </c>
      <c r="P6" s="23" t="str">
        <f>IF(AND(LEN(TRIM(A6&amp;""))&gt;0,TRIM(A6&amp;"")&lt;&gt;"—",LEN(TRIM(B6&amp;""))&gt;0,TRIM(B6&amp;"")&lt;&gt;"—",LEN(TRIM(C6&amp;""))&gt;0,TRIM(C6&amp;"")&lt;&gt;"—",LEN(TRIM(D6&amp;""))&gt;0,TRIM(D6&amp;"")&lt;&gt;"—",LEN(TRIM(H6&amp;""))&gt;0,TRIM(H6&amp;"")&lt;&gt;"—",LEN(TRIM(J6&amp;""))&gt;0,TRIM(J6&amp;"")&lt;&gt;"—",LEN(TRIM(K6&amp;""))&gt;0,TRIM(K6&amp;"")&lt;&gt;"—"),"PASS","⚠ FAIL — "&amp;"a required cell is empty/placeholder or wrong type")</f>
        <v>PASS</v>
      </c>
    </row>
    <row r="7" spans="1:16" ht="87" customHeight="1" x14ac:dyDescent="0.2">
      <c r="A7" s="18" t="s">
        <v>1949</v>
      </c>
      <c r="B7" s="39" t="s">
        <v>1950</v>
      </c>
      <c r="C7" s="18" t="s">
        <v>1939</v>
      </c>
      <c r="D7" s="18" t="s">
        <v>1940</v>
      </c>
      <c r="E7" s="18" t="s">
        <v>1946</v>
      </c>
      <c r="F7" s="86">
        <v>6</v>
      </c>
      <c r="G7" s="18" t="s">
        <v>1951</v>
      </c>
      <c r="H7" s="22" t="s">
        <v>1952</v>
      </c>
      <c r="I7" s="29" t="s">
        <v>100</v>
      </c>
      <c r="J7" s="77" t="str">
        <f>IF(LEN(TRIM($M7&amp;""))&gt;0,"✗ MISSING on disk: "&amp;$M7,IF($L7&gt;0,"✓ "&amp;$L7&amp;" sheet PDF(s) on disk","✗ no sheet PDF found on disk"))</f>
        <v>✓ 6 sheet PDF(s) on disk</v>
      </c>
      <c r="K7" s="39" t="str">
        <f>IF(ISBLANK($O7),"— no gate scorecard for this drawing",IF($O7=1,"✓ G1-G9 all pass","✗ FAIL: "&amp;IF(LEN(TRIM($N7&amp;""))&gt;0,$N7,"see drawing-gates.json")))</f>
        <v>✓ G1-G9 all pass</v>
      </c>
      <c r="L7" s="87">
        <v>6</v>
      </c>
      <c r="M7" s="78"/>
      <c r="N7" s="78"/>
      <c r="O7" s="87">
        <v>1</v>
      </c>
      <c r="P7" s="23" t="str">
        <f>IF(AND(LEN(TRIM(A7&amp;""))&gt;0,TRIM(A7&amp;"")&lt;&gt;"—",LEN(TRIM(B7&amp;""))&gt;0,TRIM(B7&amp;"")&lt;&gt;"—",LEN(TRIM(C7&amp;""))&gt;0,TRIM(C7&amp;"")&lt;&gt;"—",LEN(TRIM(D7&amp;""))&gt;0,TRIM(D7&amp;"")&lt;&gt;"—",LEN(TRIM(H7&amp;""))&gt;0,TRIM(H7&amp;"")&lt;&gt;"—",LEN(TRIM(J7&amp;""))&gt;0,TRIM(J7&amp;"")&lt;&gt;"—",LEN(TRIM(K7&amp;""))&gt;0,TRIM(K7&amp;"")&lt;&gt;"—"),"PASS","⚠ FAIL — "&amp;"a required cell is empty/placeholder or wrong type")</f>
        <v>PASS</v>
      </c>
    </row>
    <row r="8" spans="1:16" ht="16" x14ac:dyDescent="0.2">
      <c r="A8" s="18" t="s">
        <v>1953</v>
      </c>
      <c r="B8" s="39" t="s">
        <v>1954</v>
      </c>
      <c r="C8" s="18" t="s">
        <v>1939</v>
      </c>
      <c r="D8" s="18" t="s">
        <v>1940</v>
      </c>
      <c r="E8" s="18" t="s">
        <v>1946</v>
      </c>
      <c r="F8" s="86">
        <v>1</v>
      </c>
      <c r="G8" s="18" t="s">
        <v>1955</v>
      </c>
      <c r="H8" s="22" t="s">
        <v>1956</v>
      </c>
      <c r="I8" s="29" t="s">
        <v>110</v>
      </c>
      <c r="J8" s="77" t="str">
        <f>IF(LEN(TRIM($M8&amp;""))&gt;0,"✗ MISSING on disk: "&amp;$M8,IF($L8&gt;0,"✓ "&amp;$L8&amp;" sheet PDF(s) on disk","✗ no sheet PDF found on disk"))</f>
        <v>✓ 1 sheet PDF(s) on disk</v>
      </c>
      <c r="L8" s="87">
        <v>1</v>
      </c>
      <c r="M8" s="78"/>
      <c r="O8" s="87">
        <v>0</v>
      </c>
      <c r="P8" s="37" t="str">
        <f>IF(AND(LEN(TRIM(A8&amp;""))&gt;0,TRIM(A8&amp;"")&lt;&gt;"—",LEN(TRIM(B8&amp;""))&gt;0,TRIM(B8&amp;"")&lt;&gt;"—",LEN(TRIM(C8&amp;""))&gt;0,TRIM(C8&amp;"")&lt;&gt;"—",LEN(TRIM(D8&amp;""))&gt;0,TRIM(D8&amp;"")&lt;&gt;"—",LEN(TRIM(H8&amp;""))&gt;0,TRIM(H8&amp;"")&lt;&gt;"—",LEN(TRIM(J8&amp;""))&gt;0,TRIM(J8&amp;"")&lt;&gt;"—",LEN(TRIM(K8&amp;""))&gt;0,TRIM(K8&amp;"")&lt;&gt;"—"),"PASS","⚠ FAIL — "&amp;"'Gates (G1-G9)' empty")</f>
        <v>⚠ FAIL — 'Gates (G1-G9)' empty</v>
      </c>
    </row>
  </sheetData>
  <mergeCells count="3">
    <mergeCell ref="A1:N1"/>
    <mergeCell ref="A2:N2"/>
    <mergeCell ref="A3:N3"/>
  </mergeCells>
  <hyperlinks>
    <hyperlink ref="O1" location="'Contents'!A1" display="↑ Contents" xr:uid="{00000000-0004-0000-0B00-000000000000}"/>
    <hyperlink ref="I5" location="'GA — General Arrangement'!A1" display="GA — General Arrangement" xr:uid="{00000000-0004-0000-0B00-000001000000}"/>
    <hyperlink ref="I6" location="'P&amp;ID'!A1" display="P&amp;ID" xr:uid="{00000000-0004-0000-0B00-000002000000}"/>
    <hyperlink ref="I7" location="'BFD — Block Flow'!A1" display="BFD — Block Flow" xr:uid="{00000000-0004-0000-0B00-000003000000}"/>
    <hyperlink ref="I8" location="'Electrical'!A1" display="Electrical" xr:uid="{00000000-0004-0000-0B00-000004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H5"/>
  <sheetViews>
    <sheetView zoomScale="150" zoomScaleNormal="100" workbookViewId="0">
      <selection activeCell="H3" sqref="H3"/>
    </sheetView>
  </sheetViews>
  <sheetFormatPr baseColWidth="10" defaultColWidth="8.6640625" defaultRowHeight="15" x14ac:dyDescent="0.2"/>
  <cols>
    <col min="7" max="7" width="13" customWidth="1"/>
  </cols>
  <sheetData>
    <row r="1" spans="1:8" ht="25.5" customHeight="1" x14ac:dyDescent="0.2">
      <c r="A1" s="12" t="s">
        <v>100</v>
      </c>
      <c r="B1" s="12"/>
      <c r="C1" s="12"/>
      <c r="D1" s="12"/>
      <c r="E1" s="12"/>
      <c r="F1" s="12"/>
      <c r="G1" s="30" t="s">
        <v>140</v>
      </c>
    </row>
    <row r="2" spans="1:8" ht="30" customHeight="1" x14ac:dyDescent="0.2">
      <c r="A2" s="11" t="str">
        <f>"⬤ TAB QUALITY "&amp;IF(ISNUMBER('Quality &amp; Audit'!$B$55),IF('Quality &amp; Audit'!$B$55=INT('Quality &amp; Audit'!$B$55),TEXT('Quality &amp; Audit'!$B$55,"0"),TEXT('Quality &amp; Audit'!$B$55,"0.0")),"—")&amp;"/10 · "&amp;IF(ISNUMBER('Quality &amp; Audit'!$B$55),IF('Quality &amp; Audit'!$B$55&gt;=8,"PASS","FAIL"),"UNSCORED")&amp;" (target ≥8, live from the Quality &amp; Audit score cell)"&amp;" · block-flow part-coverage arithmetic (parts_ledger) — drawing part coverage (block-flow-diagram) 18/18 · score = min over checks of 10 × passed/checked"&amp;" · full audit: Quality &amp; Audit tab"</f>
        <v>⬤ TAB QUALITY 10/10 · PASS (target ≥8, live from the Quality &amp; Audit score cell) · block-flow part-coverage arithmetic (parts_ledger) — drawing part coverage (block-flow-diagram) 18/18 · score = min over checks of 10 × passed/checked · full audit: Quality &amp; Audit tab</v>
      </c>
      <c r="B2" s="11"/>
      <c r="C2" s="11"/>
      <c r="D2" s="11"/>
      <c r="E2" s="11"/>
      <c r="F2" s="11"/>
    </row>
    <row r="3" spans="1:8" ht="27.75" customHeight="1" x14ac:dyDescent="0.2">
      <c r="A3" s="10" t="s">
        <v>1957</v>
      </c>
      <c r="B3" s="10"/>
      <c r="C3" s="10"/>
      <c r="D3" s="10"/>
      <c r="E3" s="10"/>
      <c r="F3" s="10"/>
      <c r="H3" s="145" t="s">
        <v>4567</v>
      </c>
    </row>
    <row r="5" spans="1:8" ht="30" customHeight="1" x14ac:dyDescent="0.2">
      <c r="A5" s="135" t="s">
        <v>1958</v>
      </c>
      <c r="B5" s="135"/>
      <c r="C5" s="135"/>
      <c r="D5" s="135"/>
      <c r="E5" s="135"/>
      <c r="F5" s="135"/>
    </row>
  </sheetData>
  <mergeCells count="4">
    <mergeCell ref="A1:F1"/>
    <mergeCell ref="A2:F2"/>
    <mergeCell ref="A3:F3"/>
    <mergeCell ref="A5:F5"/>
  </mergeCells>
  <hyperlinks>
    <hyperlink ref="G1" location="'Contents'!A1" display="↑ Contents" xr:uid="{00000000-0004-0000-0C00-000000000000}"/>
  </hyperlinks>
  <pageMargins left="0.75" right="0.75" top="1" bottom="1"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O6"/>
  <sheetViews>
    <sheetView topLeftCell="A2" zoomScale="75" zoomScaleNormal="100" workbookViewId="0">
      <selection activeCell="U5" sqref="U5"/>
    </sheetView>
  </sheetViews>
  <sheetFormatPr baseColWidth="10" defaultColWidth="8.6640625" defaultRowHeight="15" x14ac:dyDescent="0.2"/>
  <cols>
    <col min="7" max="7" width="13" customWidth="1"/>
  </cols>
  <sheetData>
    <row r="1" spans="1:15" ht="25.5" customHeight="1" x14ac:dyDescent="0.2">
      <c r="A1" s="12" t="s">
        <v>102</v>
      </c>
      <c r="B1" s="12"/>
      <c r="C1" s="12"/>
      <c r="D1" s="12"/>
      <c r="E1" s="12"/>
      <c r="F1" s="12"/>
      <c r="G1" s="30" t="s">
        <v>140</v>
      </c>
    </row>
    <row r="2" spans="1:15" ht="30" customHeight="1" x14ac:dyDescent="0.2">
      <c r="A2" s="11" t="str">
        <f>"⬤ TAB QUALITY "&amp;IF(ISNUMBER('Quality &amp; Audit'!$B$54),IF('Quality &amp; Audit'!$B$54=INT('Quality &amp; Audit'!$B$54),TEXT('Quality &amp; Audit'!$B$54,"0"),TEXT('Quality &amp; Audit'!$B$54,"0.0")),"—")&amp;"/10 · "&amp;IF(ISNUMBER('Quality &amp; Audit'!$B$54),IF('Quality &amp; Audit'!$B$54&gt;=8,"PASS","FAIL"),"UNSCORED")&amp;" (target ≥8, live from the Quality &amp; Audit score cell)"&amp;" · P&amp;ID part-coverage arithmetic (parts_ledger ✓/✗ vs the BoM) — drawing part coverage (pid) 36/39 · score = min over checks of 10 × passed/checked"&amp;" · full audit: Quality &amp; Audit tab"</f>
        <v>⬤ TAB QUALITY 9/10 · PASS (target ≥8, live from the Quality &amp; Audit score cell) · P&amp;ID part-coverage arithmetic (parts_ledger ✓/✗ vs the BoM) — drawing part coverage (pid) 36/39 · score = min over checks of 10 × passed/checked · full audit: Quality &amp; Audit tab</v>
      </c>
      <c r="B2" s="11"/>
      <c r="C2" s="11"/>
      <c r="D2" s="11"/>
      <c r="E2" s="11"/>
      <c r="F2" s="11"/>
    </row>
    <row r="3" spans="1:15" ht="27.75" customHeight="1" x14ac:dyDescent="0.2">
      <c r="A3" s="10" t="s">
        <v>1959</v>
      </c>
      <c r="B3" s="10"/>
      <c r="C3" s="10"/>
      <c r="D3" s="10"/>
      <c r="E3" s="10"/>
      <c r="F3" s="10"/>
    </row>
    <row r="4" spans="1:15" x14ac:dyDescent="0.2">
      <c r="H4" s="145" t="s">
        <v>4568</v>
      </c>
      <c r="I4" s="145"/>
      <c r="J4" s="145"/>
      <c r="K4" s="145"/>
      <c r="L4" s="145"/>
      <c r="M4" s="145"/>
      <c r="N4" s="145"/>
      <c r="O4" s="145"/>
    </row>
    <row r="5" spans="1:15" ht="146" customHeight="1" x14ac:dyDescent="0.2">
      <c r="A5" s="135" t="s">
        <v>1960</v>
      </c>
      <c r="B5" s="135"/>
      <c r="C5" s="135"/>
      <c r="D5" s="135"/>
      <c r="E5" s="135"/>
      <c r="F5" s="135"/>
      <c r="H5" s="146" t="s">
        <v>4569</v>
      </c>
      <c r="I5" s="146"/>
      <c r="J5" s="146"/>
      <c r="K5" s="146"/>
      <c r="L5" s="146"/>
      <c r="M5" s="146"/>
      <c r="N5" s="146"/>
      <c r="O5" s="146"/>
    </row>
    <row r="6" spans="1:15" ht="94" customHeight="1" x14ac:dyDescent="0.2"/>
  </sheetData>
  <mergeCells count="5">
    <mergeCell ref="A1:F1"/>
    <mergeCell ref="A2:F2"/>
    <mergeCell ref="A3:F3"/>
    <mergeCell ref="A5:F5"/>
    <mergeCell ref="H5:O5"/>
  </mergeCells>
  <hyperlinks>
    <hyperlink ref="G1" location="'Contents'!A1" display="↑ Contents" xr:uid="{00000000-0004-0000-0D00-000000000000}"/>
  </hyperlinks>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48235"/>
  </sheetPr>
  <dimension ref="A1:J62"/>
  <sheetViews>
    <sheetView zoomScaleNormal="100" workbookViewId="0">
      <pane ySplit="3" topLeftCell="A13" activePane="bottomLeft" state="frozen"/>
      <selection pane="bottomLeft" sqref="A1:I1"/>
    </sheetView>
  </sheetViews>
  <sheetFormatPr baseColWidth="10" defaultColWidth="8.6640625" defaultRowHeight="15" x14ac:dyDescent="0.2"/>
  <cols>
    <col min="1" max="1" width="16" customWidth="1"/>
    <col min="2" max="2" width="14" customWidth="1"/>
    <col min="3" max="4" width="54" customWidth="1"/>
    <col min="5" max="9" width="14" customWidth="1"/>
    <col min="10" max="10" width="13" customWidth="1"/>
  </cols>
  <sheetData>
    <row r="1" spans="1:10" ht="25.5" customHeight="1" x14ac:dyDescent="0.2">
      <c r="A1" s="12" t="s">
        <v>104</v>
      </c>
      <c r="B1" s="12"/>
      <c r="C1" s="12"/>
      <c r="D1" s="12"/>
      <c r="E1" s="12"/>
      <c r="F1" s="12"/>
      <c r="G1" s="12"/>
      <c r="H1" s="12"/>
      <c r="I1" s="12"/>
      <c r="J1" s="30" t="s">
        <v>140</v>
      </c>
    </row>
    <row r="2" spans="1:10" ht="30" customHeight="1" x14ac:dyDescent="0.2">
      <c r="A2" s="11" t="str">
        <f>"⬤ TAB QUALITY "&amp;IF(ISNUMBER('Quality &amp; Audit'!$B$44),IF('Quality &amp; Audit'!$B$44=INT('Quality &amp; Audit'!$B$44),TEXT('Quality &amp; Audit'!$B$44,"0"),TEXT('Quality &amp; Audit'!$B$44,"0.0")),"—")&amp;"/10 · "&amp;IF(ISNUMBER('Quality &amp; Audit'!$B$44),IF('Quality &amp; Audit'!$B$44&gt;=8,"PASS","FAIL"),"UNSCORED")&amp;" (target ≥8, live from the Quality &amp; Audit score cell)"&amp;" · schedule column contract (per-cell completeness + type over every schedule row, from the drawings/*.md source) + cross-schedule item-count reconciliation vs the BoM — cr…"&amp;" · full audit: Quality &amp; Audit tab"</f>
        <v>⬤ TAB QUALITY 9.6/10 · PASS (target ≥8, live from the Quality &amp; Audit score cell) · schedule column contract (per-cell completeness + type over every schedule row, from the drawings/*.md source) + cross-schedule item-count reconciliation vs the BoM — cr… · full audit: Quality &amp; Audit tab</v>
      </c>
      <c r="B2" s="11"/>
      <c r="C2" s="11"/>
      <c r="D2" s="11"/>
      <c r="E2" s="11"/>
      <c r="F2" s="11"/>
      <c r="G2" s="11"/>
      <c r="H2" s="11"/>
      <c r="I2" s="11"/>
    </row>
    <row r="3" spans="1:10" ht="40.5" customHeight="1" x14ac:dyDescent="0.2">
      <c r="A3" s="10" t="s">
        <v>1961</v>
      </c>
      <c r="B3" s="10"/>
      <c r="C3" s="10"/>
      <c r="D3" s="10"/>
      <c r="E3" s="10"/>
      <c r="F3" s="10"/>
      <c r="G3" s="10"/>
      <c r="H3" s="10"/>
      <c r="I3" s="10"/>
    </row>
    <row r="4" spans="1:10" x14ac:dyDescent="0.2">
      <c r="A4" s="6" t="s">
        <v>1962</v>
      </c>
      <c r="B4" s="6"/>
      <c r="C4" s="6"/>
      <c r="D4" s="6"/>
      <c r="E4" s="6"/>
      <c r="F4" s="6"/>
      <c r="G4" s="6"/>
      <c r="H4" s="6"/>
      <c r="I4" s="6"/>
    </row>
    <row r="5" spans="1:10" ht="57.75" customHeight="1" x14ac:dyDescent="0.2">
      <c r="A5" s="88" t="s">
        <v>1963</v>
      </c>
      <c r="B5" s="8" t="s">
        <v>1964</v>
      </c>
      <c r="C5" s="8"/>
      <c r="D5" s="8"/>
      <c r="E5" s="8"/>
      <c r="F5" s="8"/>
      <c r="G5" s="8"/>
      <c r="H5" s="8"/>
      <c r="I5" s="8"/>
    </row>
    <row r="7" spans="1:10" x14ac:dyDescent="0.2">
      <c r="A7" s="6" t="s">
        <v>1965</v>
      </c>
      <c r="B7" s="6"/>
      <c r="C7" s="6"/>
      <c r="D7" s="6"/>
      <c r="E7" s="6"/>
      <c r="F7" s="6"/>
      <c r="G7" s="6"/>
      <c r="H7" s="6"/>
    </row>
    <row r="8" spans="1:10" ht="16" x14ac:dyDescent="0.2">
      <c r="A8" s="16" t="s">
        <v>304</v>
      </c>
      <c r="B8" s="16" t="s">
        <v>1966</v>
      </c>
      <c r="C8" s="16" t="s">
        <v>1967</v>
      </c>
      <c r="D8" s="16" t="s">
        <v>1968</v>
      </c>
      <c r="E8" s="16" t="s">
        <v>1969</v>
      </c>
      <c r="F8" s="16" t="s">
        <v>1970</v>
      </c>
      <c r="G8" s="16" t="s">
        <v>1971</v>
      </c>
      <c r="H8" s="16" t="s">
        <v>102</v>
      </c>
      <c r="I8" s="17" t="s">
        <v>20</v>
      </c>
    </row>
    <row r="9" spans="1:10" ht="32" x14ac:dyDescent="0.2">
      <c r="A9" s="39" t="s">
        <v>1972</v>
      </c>
      <c r="B9" s="39" t="s">
        <v>1973</v>
      </c>
      <c r="C9" s="39" t="s">
        <v>1974</v>
      </c>
      <c r="D9" s="39" t="s">
        <v>1975</v>
      </c>
      <c r="E9" s="39" t="s">
        <v>1976</v>
      </c>
      <c r="F9" s="39" t="s">
        <v>1977</v>
      </c>
      <c r="G9" s="39" t="s">
        <v>1978</v>
      </c>
      <c r="H9" s="39" t="s">
        <v>1979</v>
      </c>
      <c r="I9" s="23" t="str">
        <f t="shared" ref="I9:I25" si="0">IF(AND(LEN(TRIM(A9&amp;""))&gt;0,TRIM(A9&amp;"")&lt;&gt;"—",LEN(TRIM(B9&amp;""))&gt;0,TRIM(B9&amp;"")&lt;&gt;"—",LEN(TRIM(C9&amp;""))&gt;0,TRIM(C9&amp;"")&lt;&gt;"—",LEN(TRIM(D9&amp;""))&gt;0,TRIM(D9&amp;"")&lt;&gt;"—",LEN(TRIM(E9&amp;""))&gt;0,TRIM(E9&amp;"")&lt;&gt;"—",LEN(TRIM(F9&amp;""))&gt;0,TRIM(F9&amp;"")&lt;&gt;"—",LEN(TRIM(G9&amp;""))&gt;0,TRIM(G9&amp;"")&lt;&gt;"—",LEN(TRIM(H9&amp;""))&gt;0,TRIM(H9&amp;"")&lt;&gt;"—"),"PASS","⚠ FAIL — "&amp;"a required cell is empty/placeholder or wrong type")</f>
        <v>PASS</v>
      </c>
    </row>
    <row r="10" spans="1:10" ht="87" customHeight="1" x14ac:dyDescent="0.2">
      <c r="A10" s="39" t="s">
        <v>1980</v>
      </c>
      <c r="B10" s="39" t="s">
        <v>1981</v>
      </c>
      <c r="C10" s="39" t="s">
        <v>1982</v>
      </c>
      <c r="D10" s="39" t="str">
        <f>'Part names'!$A$75</f>
        <v>V-106</v>
      </c>
      <c r="E10" s="39" t="s">
        <v>1983</v>
      </c>
      <c r="F10" s="39" t="s">
        <v>1984</v>
      </c>
      <c r="G10" s="39" t="s">
        <v>1985</v>
      </c>
      <c r="H10" s="39" t="s">
        <v>1979</v>
      </c>
      <c r="I10" s="23" t="str">
        <f t="shared" si="0"/>
        <v>PASS</v>
      </c>
    </row>
    <row r="11" spans="1:10" ht="43.5" customHeight="1" x14ac:dyDescent="0.2">
      <c r="A11" s="39" t="s">
        <v>1986</v>
      </c>
      <c r="B11" s="39" t="s">
        <v>1987</v>
      </c>
      <c r="C11" s="39" t="s">
        <v>1988</v>
      </c>
      <c r="D11" s="39" t="s">
        <v>1989</v>
      </c>
      <c r="E11" s="39" t="s">
        <v>1983</v>
      </c>
      <c r="F11" s="39" t="s">
        <v>1990</v>
      </c>
      <c r="G11" s="39" t="s">
        <v>1991</v>
      </c>
      <c r="H11" s="39" t="s">
        <v>1979</v>
      </c>
      <c r="I11" s="23" t="str">
        <f t="shared" si="0"/>
        <v>PASS</v>
      </c>
    </row>
    <row r="12" spans="1:10" ht="87" customHeight="1" x14ac:dyDescent="0.2">
      <c r="A12" s="39" t="s">
        <v>1992</v>
      </c>
      <c r="B12" s="39" t="s">
        <v>1987</v>
      </c>
      <c r="C12" s="39" t="s">
        <v>1993</v>
      </c>
      <c r="D12" s="39" t="s">
        <v>1994</v>
      </c>
      <c r="E12" s="39" t="s">
        <v>1995</v>
      </c>
      <c r="F12" s="39" t="s">
        <v>1990</v>
      </c>
      <c r="G12" s="39" t="s">
        <v>1991</v>
      </c>
      <c r="H12" s="39" t="s">
        <v>1979</v>
      </c>
      <c r="I12" s="23" t="str">
        <f t="shared" si="0"/>
        <v>PASS</v>
      </c>
    </row>
    <row r="13" spans="1:10" ht="87" customHeight="1" x14ac:dyDescent="0.2">
      <c r="A13" s="39" t="s">
        <v>1996</v>
      </c>
      <c r="B13" s="39" t="s">
        <v>1997</v>
      </c>
      <c r="C13" s="39" t="s">
        <v>1998</v>
      </c>
      <c r="D13" s="39" t="s">
        <v>1999</v>
      </c>
      <c r="E13" s="39" t="s">
        <v>1995</v>
      </c>
      <c r="F13" s="39" t="s">
        <v>2000</v>
      </c>
      <c r="G13" s="39" t="s">
        <v>2001</v>
      </c>
      <c r="H13" s="39" t="s">
        <v>1979</v>
      </c>
      <c r="I13" s="23" t="str">
        <f t="shared" si="0"/>
        <v>PASS</v>
      </c>
    </row>
    <row r="14" spans="1:10" ht="72" customHeight="1" x14ac:dyDescent="0.2">
      <c r="A14" s="39" t="s">
        <v>2002</v>
      </c>
      <c r="B14" s="39" t="s">
        <v>1987</v>
      </c>
      <c r="C14" s="39" t="s">
        <v>1988</v>
      </c>
      <c r="D14" s="39" t="s">
        <v>2003</v>
      </c>
      <c r="E14" s="39" t="s">
        <v>2004</v>
      </c>
      <c r="F14" s="39" t="s">
        <v>1990</v>
      </c>
      <c r="G14" s="39" t="s">
        <v>1991</v>
      </c>
      <c r="H14" s="39" t="s">
        <v>1979</v>
      </c>
      <c r="I14" s="23" t="str">
        <f t="shared" si="0"/>
        <v>PASS</v>
      </c>
    </row>
    <row r="15" spans="1:10" ht="43.5" customHeight="1" x14ac:dyDescent="0.2">
      <c r="A15" s="39" t="s">
        <v>2005</v>
      </c>
      <c r="B15" s="39" t="s">
        <v>1987</v>
      </c>
      <c r="C15" s="39" t="s">
        <v>1993</v>
      </c>
      <c r="D15" s="39" t="s">
        <v>2006</v>
      </c>
      <c r="E15" s="39" t="s">
        <v>2007</v>
      </c>
      <c r="F15" s="39" t="s">
        <v>1990</v>
      </c>
      <c r="G15" s="39" t="s">
        <v>1991</v>
      </c>
      <c r="H15" s="39" t="s">
        <v>1979</v>
      </c>
      <c r="I15" s="23" t="str">
        <f t="shared" si="0"/>
        <v>PASS</v>
      </c>
    </row>
    <row r="16" spans="1:10" ht="28.5" customHeight="1" x14ac:dyDescent="0.2">
      <c r="A16" s="39" t="s">
        <v>2008</v>
      </c>
      <c r="B16" s="39" t="s">
        <v>1997</v>
      </c>
      <c r="C16" s="39" t="s">
        <v>1998</v>
      </c>
      <c r="D16" s="39" t="s">
        <v>2009</v>
      </c>
      <c r="E16" s="39" t="s">
        <v>2007</v>
      </c>
      <c r="F16" s="39" t="s">
        <v>2000</v>
      </c>
      <c r="G16" s="39" t="s">
        <v>2001</v>
      </c>
      <c r="H16" s="39" t="s">
        <v>1979</v>
      </c>
      <c r="I16" s="23" t="str">
        <f t="shared" si="0"/>
        <v>PASS</v>
      </c>
    </row>
    <row r="17" spans="1:9" ht="43.5" customHeight="1" x14ac:dyDescent="0.2">
      <c r="A17" s="39" t="s">
        <v>2010</v>
      </c>
      <c r="B17" s="39" t="s">
        <v>1987</v>
      </c>
      <c r="C17" s="39" t="s">
        <v>1988</v>
      </c>
      <c r="D17" s="39" t="s">
        <v>1975</v>
      </c>
      <c r="E17" s="39" t="s">
        <v>1976</v>
      </c>
      <c r="F17" s="39" t="s">
        <v>1990</v>
      </c>
      <c r="G17" s="39" t="s">
        <v>1991</v>
      </c>
      <c r="H17" s="39" t="s">
        <v>1979</v>
      </c>
      <c r="I17" s="23" t="str">
        <f t="shared" si="0"/>
        <v>PASS</v>
      </c>
    </row>
    <row r="18" spans="1:9" ht="43.5" customHeight="1" x14ac:dyDescent="0.2">
      <c r="A18" s="39" t="s">
        <v>2011</v>
      </c>
      <c r="B18" s="39" t="s">
        <v>1987</v>
      </c>
      <c r="C18" s="39" t="s">
        <v>1993</v>
      </c>
      <c r="D18" s="39" t="s">
        <v>1975</v>
      </c>
      <c r="E18" s="39" t="s">
        <v>1976</v>
      </c>
      <c r="F18" s="39" t="s">
        <v>1990</v>
      </c>
      <c r="G18" s="39" t="s">
        <v>1991</v>
      </c>
      <c r="H18" s="39" t="s">
        <v>1979</v>
      </c>
      <c r="I18" s="23" t="str">
        <f t="shared" si="0"/>
        <v>PASS</v>
      </c>
    </row>
    <row r="19" spans="1:9" ht="28.5" customHeight="1" x14ac:dyDescent="0.2">
      <c r="A19" s="39" t="s">
        <v>2012</v>
      </c>
      <c r="B19" s="39" t="s">
        <v>1997</v>
      </c>
      <c r="C19" s="39" t="s">
        <v>1998</v>
      </c>
      <c r="D19" s="39" t="s">
        <v>1975</v>
      </c>
      <c r="E19" s="39" t="s">
        <v>1976</v>
      </c>
      <c r="F19" s="39" t="s">
        <v>2000</v>
      </c>
      <c r="G19" s="39" t="s">
        <v>2001</v>
      </c>
      <c r="H19" s="39" t="s">
        <v>1979</v>
      </c>
      <c r="I19" s="23" t="str">
        <f t="shared" si="0"/>
        <v>PASS</v>
      </c>
    </row>
    <row r="20" spans="1:9" ht="72" customHeight="1" x14ac:dyDescent="0.2">
      <c r="A20" s="39" t="s">
        <v>2013</v>
      </c>
      <c r="B20" s="39" t="s">
        <v>1987</v>
      </c>
      <c r="C20" s="39" t="s">
        <v>1988</v>
      </c>
      <c r="D20" s="39" t="s">
        <v>2014</v>
      </c>
      <c r="E20" s="39" t="s">
        <v>2015</v>
      </c>
      <c r="F20" s="39" t="s">
        <v>1990</v>
      </c>
      <c r="G20" s="39" t="s">
        <v>1991</v>
      </c>
      <c r="H20" s="39" t="s">
        <v>1979</v>
      </c>
      <c r="I20" s="23" t="str">
        <f t="shared" si="0"/>
        <v>PASS</v>
      </c>
    </row>
    <row r="21" spans="1:9" ht="72" customHeight="1" x14ac:dyDescent="0.2">
      <c r="A21" s="39" t="s">
        <v>2016</v>
      </c>
      <c r="B21" s="39" t="s">
        <v>1987</v>
      </c>
      <c r="C21" s="39" t="s">
        <v>1993</v>
      </c>
      <c r="D21" s="39" t="s">
        <v>2017</v>
      </c>
      <c r="E21" s="39" t="s">
        <v>2018</v>
      </c>
      <c r="F21" s="39" t="s">
        <v>1990</v>
      </c>
      <c r="G21" s="39" t="s">
        <v>1991</v>
      </c>
      <c r="H21" s="39" t="s">
        <v>1979</v>
      </c>
      <c r="I21" s="23" t="str">
        <f t="shared" si="0"/>
        <v>PASS</v>
      </c>
    </row>
    <row r="22" spans="1:9" ht="72" customHeight="1" x14ac:dyDescent="0.2">
      <c r="A22" s="39" t="s">
        <v>2019</v>
      </c>
      <c r="B22" s="39" t="s">
        <v>1997</v>
      </c>
      <c r="C22" s="39" t="s">
        <v>1998</v>
      </c>
      <c r="D22" s="39" t="s">
        <v>2020</v>
      </c>
      <c r="E22" s="39" t="s">
        <v>2018</v>
      </c>
      <c r="F22" s="39" t="s">
        <v>2000</v>
      </c>
      <c r="G22" s="39" t="s">
        <v>2001</v>
      </c>
      <c r="H22" s="39" t="s">
        <v>1979</v>
      </c>
      <c r="I22" s="23" t="str">
        <f t="shared" si="0"/>
        <v>PASS</v>
      </c>
    </row>
    <row r="23" spans="1:9" ht="87" customHeight="1" x14ac:dyDescent="0.2">
      <c r="A23" s="39" t="s">
        <v>2021</v>
      </c>
      <c r="B23" s="39" t="s">
        <v>1987</v>
      </c>
      <c r="C23" s="39" t="s">
        <v>1988</v>
      </c>
      <c r="D23" s="39" t="s">
        <v>2022</v>
      </c>
      <c r="E23" s="39" t="s">
        <v>2023</v>
      </c>
      <c r="F23" s="39" t="s">
        <v>1990</v>
      </c>
      <c r="G23" s="39" t="s">
        <v>1991</v>
      </c>
      <c r="H23" s="39" t="s">
        <v>1979</v>
      </c>
      <c r="I23" s="23" t="str">
        <f t="shared" si="0"/>
        <v>PASS</v>
      </c>
    </row>
    <row r="24" spans="1:9" ht="43.5" customHeight="1" x14ac:dyDescent="0.2">
      <c r="A24" s="39" t="s">
        <v>2024</v>
      </c>
      <c r="B24" s="39" t="s">
        <v>1987</v>
      </c>
      <c r="C24" s="39" t="s">
        <v>1993</v>
      </c>
      <c r="D24" s="39" t="s">
        <v>2025</v>
      </c>
      <c r="E24" s="39" t="s">
        <v>2026</v>
      </c>
      <c r="F24" s="39" t="s">
        <v>1990</v>
      </c>
      <c r="G24" s="39" t="s">
        <v>1991</v>
      </c>
      <c r="H24" s="39" t="s">
        <v>1979</v>
      </c>
      <c r="I24" s="23" t="str">
        <f t="shared" si="0"/>
        <v>PASS</v>
      </c>
    </row>
    <row r="25" spans="1:9" ht="87" customHeight="1" x14ac:dyDescent="0.2">
      <c r="A25" s="39" t="s">
        <v>2027</v>
      </c>
      <c r="B25" s="39" t="s">
        <v>1997</v>
      </c>
      <c r="C25" s="39" t="s">
        <v>1998</v>
      </c>
      <c r="D25" s="39" t="s">
        <v>2028</v>
      </c>
      <c r="E25" s="39" t="s">
        <v>2023</v>
      </c>
      <c r="F25" s="39" t="s">
        <v>2000</v>
      </c>
      <c r="G25" s="39" t="s">
        <v>2001</v>
      </c>
      <c r="H25" s="39" t="s">
        <v>1979</v>
      </c>
      <c r="I25" s="23" t="str">
        <f t="shared" si="0"/>
        <v>PASS</v>
      </c>
    </row>
    <row r="26" spans="1:9" ht="28.5" customHeight="1" x14ac:dyDescent="0.2">
      <c r="A26" s="39" t="s">
        <v>2029</v>
      </c>
      <c r="B26" s="39" t="s">
        <v>2030</v>
      </c>
      <c r="C26" s="39" t="str">
        <f>'Part names'!$B$76</f>
        <v>Solenoid Valve</v>
      </c>
      <c r="D26" s="39" t="s">
        <v>2031</v>
      </c>
      <c r="E26" s="39" t="s">
        <v>374</v>
      </c>
      <c r="F26" s="39" t="s">
        <v>2032</v>
      </c>
      <c r="G26" s="39" t="s">
        <v>1978</v>
      </c>
      <c r="H26" s="39" t="s">
        <v>1979</v>
      </c>
      <c r="I26" s="37" t="str">
        <f>IF(AND(LEN(TRIM(A26&amp;""))&gt;0,TRIM(A26&amp;"")&lt;&gt;"—",LEN(TRIM(B26&amp;""))&gt;0,TRIM(B26&amp;"")&lt;&gt;"—",LEN(TRIM(C26&amp;""))&gt;0,TRIM(C26&amp;"")&lt;&gt;"—",LEN(TRIM(D26&amp;""))&gt;0,TRIM(D26&amp;"")&lt;&gt;"—",LEN(TRIM(E26&amp;""))&gt;0,TRIM(E26&amp;"")&lt;&gt;"—",TRIM(E26&amp;"")&lt;&gt;"—",LEN(TRIM(F26&amp;""))&gt;0,TRIM(F26&amp;"")&lt;&gt;"—",LEN(TRIM(G26&amp;""))&gt;0,TRIM(G26&amp;"")&lt;&gt;"—",LEN(TRIM(H26&amp;""))&gt;0,TRIM(H26&amp;"")&lt;&gt;"—"),"PASS","⚠ FAIL — "&amp;"'Size' placeholder '—'")</f>
        <v>⚠ FAIL — 'Size' placeholder '—'</v>
      </c>
    </row>
    <row r="27" spans="1:9" ht="28.5" customHeight="1" x14ac:dyDescent="0.2">
      <c r="A27" s="39" t="s">
        <v>2033</v>
      </c>
      <c r="B27" s="39" t="s">
        <v>2034</v>
      </c>
      <c r="C27" s="39" t="str">
        <f>'Part names'!$B$64</f>
        <v>Pneumatic Actuated Valves</v>
      </c>
      <c r="D27" s="39" t="s">
        <v>2035</v>
      </c>
      <c r="E27" s="39" t="s">
        <v>2036</v>
      </c>
      <c r="F27" s="39" t="s">
        <v>2032</v>
      </c>
      <c r="G27" s="39" t="s">
        <v>1978</v>
      </c>
      <c r="H27" s="39" t="s">
        <v>1979</v>
      </c>
      <c r="I27" s="23" t="str">
        <f t="shared" ref="I27:I32" si="1">IF(AND(LEN(TRIM(A27&amp;""))&gt;0,TRIM(A27&amp;"")&lt;&gt;"—",LEN(TRIM(B27&amp;""))&gt;0,TRIM(B27&amp;"")&lt;&gt;"—",LEN(TRIM(C27&amp;""))&gt;0,TRIM(C27&amp;"")&lt;&gt;"—",LEN(TRIM(D27&amp;""))&gt;0,TRIM(D27&amp;"")&lt;&gt;"—",LEN(TRIM(E27&amp;""))&gt;0,TRIM(E27&amp;"")&lt;&gt;"—",LEN(TRIM(F27&amp;""))&gt;0,TRIM(F27&amp;"")&lt;&gt;"—",LEN(TRIM(G27&amp;""))&gt;0,TRIM(G27&amp;"")&lt;&gt;"—",LEN(TRIM(H27&amp;""))&gt;0,TRIM(H27&amp;"")&lt;&gt;"—"),"PASS","⚠ FAIL — "&amp;"a required cell is empty/placeholder or wrong type")</f>
        <v>PASS</v>
      </c>
    </row>
    <row r="28" spans="1:9" ht="32" x14ac:dyDescent="0.2">
      <c r="A28" s="39" t="s">
        <v>2037</v>
      </c>
      <c r="B28" s="39" t="s">
        <v>1973</v>
      </c>
      <c r="C28" s="39" t="str">
        <f>'Part names'!$B$32</f>
        <v>Flow Control Valves</v>
      </c>
      <c r="D28" s="39" t="s">
        <v>1975</v>
      </c>
      <c r="E28" s="39" t="s">
        <v>1976</v>
      </c>
      <c r="F28" s="39" t="s">
        <v>1977</v>
      </c>
      <c r="G28" s="39" t="s">
        <v>1978</v>
      </c>
      <c r="H28" s="39" t="s">
        <v>1979</v>
      </c>
      <c r="I28" s="23" t="str">
        <f t="shared" si="1"/>
        <v>PASS</v>
      </c>
    </row>
    <row r="29" spans="1:9" ht="43.5" customHeight="1" x14ac:dyDescent="0.2">
      <c r="A29" s="39" t="str">
        <f>'Part names'!$A$44</f>
        <v>FCV-201–202</v>
      </c>
      <c r="B29" s="39" t="s">
        <v>1973</v>
      </c>
      <c r="C29" s="39" t="s">
        <v>2038</v>
      </c>
      <c r="D29" s="39" t="s">
        <v>1975</v>
      </c>
      <c r="E29" s="39" t="s">
        <v>1976</v>
      </c>
      <c r="F29" s="39" t="s">
        <v>1977</v>
      </c>
      <c r="G29" s="39" t="s">
        <v>1978</v>
      </c>
      <c r="H29" s="39" t="s">
        <v>1979</v>
      </c>
      <c r="I29" s="23" t="str">
        <f t="shared" si="1"/>
        <v>PASS</v>
      </c>
    </row>
    <row r="30" spans="1:9" ht="28.5" customHeight="1" x14ac:dyDescent="0.2">
      <c r="A30" s="39" t="s">
        <v>2039</v>
      </c>
      <c r="B30" s="39" t="s">
        <v>2030</v>
      </c>
      <c r="C30" s="39" t="str">
        <f>'Part names'!$B$76</f>
        <v>Solenoid Valve</v>
      </c>
      <c r="D30" s="39" t="s">
        <v>2040</v>
      </c>
      <c r="E30" s="39" t="s">
        <v>2036</v>
      </c>
      <c r="F30" s="39" t="s">
        <v>2032</v>
      </c>
      <c r="G30" s="39" t="s">
        <v>1978</v>
      </c>
      <c r="H30" s="39" t="s">
        <v>1979</v>
      </c>
      <c r="I30" s="23" t="str">
        <f t="shared" si="1"/>
        <v>PASS</v>
      </c>
    </row>
    <row r="31" spans="1:9" ht="32" x14ac:dyDescent="0.2">
      <c r="A31" s="39" t="s">
        <v>2041</v>
      </c>
      <c r="B31" s="39" t="s">
        <v>1973</v>
      </c>
      <c r="C31" s="39" t="str">
        <f>'Part names'!$B$65</f>
        <v>Pneumatic Control Valve</v>
      </c>
      <c r="D31" s="39" t="s">
        <v>2042</v>
      </c>
      <c r="E31" s="39" t="s">
        <v>2036</v>
      </c>
      <c r="F31" s="39" t="s">
        <v>1977</v>
      </c>
      <c r="G31" s="39" t="s">
        <v>1978</v>
      </c>
      <c r="H31" s="39" t="s">
        <v>1979</v>
      </c>
      <c r="I31" s="23" t="str">
        <f t="shared" si="1"/>
        <v>PASS</v>
      </c>
    </row>
    <row r="32" spans="1:9" ht="87" customHeight="1" x14ac:dyDescent="0.2">
      <c r="A32" s="39" t="s">
        <v>2043</v>
      </c>
      <c r="B32" s="39" t="s">
        <v>1981</v>
      </c>
      <c r="C32" s="39" t="str">
        <f>'Part names'!$B$67</f>
        <v>Pressure Relief Valve</v>
      </c>
      <c r="D32" s="39" t="str">
        <f>'Part names'!$A$75</f>
        <v>V-106</v>
      </c>
      <c r="E32" s="39" t="s">
        <v>1983</v>
      </c>
      <c r="F32" s="39" t="s">
        <v>1984</v>
      </c>
      <c r="G32" s="39" t="s">
        <v>1985</v>
      </c>
      <c r="H32" s="39" t="s">
        <v>1979</v>
      </c>
      <c r="I32" s="23" t="str">
        <f t="shared" si="1"/>
        <v>PASS</v>
      </c>
    </row>
    <row r="34" spans="1:10" x14ac:dyDescent="0.2">
      <c r="A34" s="6" t="s">
        <v>2044</v>
      </c>
      <c r="B34" s="6"/>
      <c r="C34" s="6"/>
      <c r="D34" s="6"/>
      <c r="E34" s="6"/>
      <c r="F34" s="6"/>
      <c r="G34" s="6"/>
      <c r="H34" s="6"/>
      <c r="I34" s="6"/>
    </row>
    <row r="35" spans="1:10" ht="16" x14ac:dyDescent="0.2">
      <c r="A35" s="16" t="s">
        <v>304</v>
      </c>
      <c r="B35" s="16" t="s">
        <v>2045</v>
      </c>
      <c r="C35" s="16" t="s">
        <v>1967</v>
      </c>
      <c r="D35" s="16" t="s">
        <v>2046</v>
      </c>
      <c r="E35" s="16" t="s">
        <v>1966</v>
      </c>
      <c r="F35" s="16" t="s">
        <v>2047</v>
      </c>
      <c r="G35" s="16" t="s">
        <v>2048</v>
      </c>
      <c r="H35" s="16" t="s">
        <v>2049</v>
      </c>
      <c r="I35" s="16" t="s">
        <v>2050</v>
      </c>
      <c r="J35" s="17" t="s">
        <v>20</v>
      </c>
    </row>
    <row r="36" spans="1:10" ht="28.5" customHeight="1" x14ac:dyDescent="0.2">
      <c r="A36" s="39" t="s">
        <v>2051</v>
      </c>
      <c r="B36" s="39" t="s">
        <v>2052</v>
      </c>
      <c r="C36" s="39" t="s">
        <v>2053</v>
      </c>
      <c r="D36" s="39" t="s">
        <v>2054</v>
      </c>
      <c r="E36" s="39" t="s">
        <v>2055</v>
      </c>
      <c r="F36" s="39" t="s">
        <v>2056</v>
      </c>
      <c r="G36" s="39" t="s">
        <v>374</v>
      </c>
      <c r="H36" s="39" t="s">
        <v>2057</v>
      </c>
      <c r="I36" s="39" t="s">
        <v>1979</v>
      </c>
      <c r="J36" s="37" t="str">
        <f t="shared" ref="J36:J47" si="2">IF(AND(LEN(TRIM(A36&amp;""))&gt;0,TRIM(A36&amp;"")&lt;&gt;"—",LEN(TRIM(B36&amp;""))&gt;0,TRIM(B36&amp;"")&lt;&gt;"—",LEN(TRIM(C36&amp;""))&gt;0,TRIM(C36&amp;"")&lt;&gt;"—",LEN(TRIM(D36&amp;""))&gt;0,TRIM(D36&amp;"")&lt;&gt;"—",LEN(TRIM(E36&amp;""))&gt;0,TRIM(E36&amp;"")&lt;&gt;"—",LEN(TRIM(F36&amp;""))&gt;0,TRIM(F36&amp;"")&lt;&gt;"—",LEN(TRIM(G36&amp;""))&gt;0,TRIM(G36&amp;"")&lt;&gt;"—",TRIM(G36&amp;"")&lt;&gt;"—",LEN(TRIM(H36&amp;""))&gt;0,TRIM(H36&amp;"")&lt;&gt;"—",LEN(TRIM(I36&amp;""))&gt;0,TRIM(I36&amp;"")&lt;&gt;"—"),"PASS","⚠ FAIL — "&amp;"'Range' placeholder '—'")</f>
        <v>⚠ FAIL — 'Range' placeholder '—'</v>
      </c>
    </row>
    <row r="37" spans="1:10" ht="28.5" customHeight="1" x14ac:dyDescent="0.2">
      <c r="A37" s="39" t="s">
        <v>2058</v>
      </c>
      <c r="B37" s="39" t="s">
        <v>2052</v>
      </c>
      <c r="C37" s="39" t="s">
        <v>2053</v>
      </c>
      <c r="D37" s="39" t="s">
        <v>2054</v>
      </c>
      <c r="E37" s="39" t="s">
        <v>2055</v>
      </c>
      <c r="F37" s="39" t="str">
        <f>'Part names'!$A$85</f>
        <v>Z-102</v>
      </c>
      <c r="G37" s="39" t="s">
        <v>374</v>
      </c>
      <c r="H37" s="39" t="s">
        <v>2057</v>
      </c>
      <c r="I37" s="39" t="s">
        <v>1979</v>
      </c>
      <c r="J37" s="37" t="str">
        <f t="shared" si="2"/>
        <v>⚠ FAIL — 'Range' placeholder '—'</v>
      </c>
    </row>
    <row r="38" spans="1:10" ht="28.5" customHeight="1" x14ac:dyDescent="0.2">
      <c r="A38" s="39" t="s">
        <v>2059</v>
      </c>
      <c r="B38" s="39" t="s">
        <v>2052</v>
      </c>
      <c r="C38" s="39" t="s">
        <v>2060</v>
      </c>
      <c r="D38" s="39" t="s">
        <v>2054</v>
      </c>
      <c r="E38" s="39" t="s">
        <v>2055</v>
      </c>
      <c r="F38" s="39" t="s">
        <v>2061</v>
      </c>
      <c r="G38" s="39" t="s">
        <v>374</v>
      </c>
      <c r="H38" s="39" t="s">
        <v>2057</v>
      </c>
      <c r="I38" s="39" t="s">
        <v>1979</v>
      </c>
      <c r="J38" s="37" t="str">
        <f t="shared" si="2"/>
        <v>⚠ FAIL — 'Range' placeholder '—'</v>
      </c>
    </row>
    <row r="39" spans="1:10" ht="28.5" customHeight="1" x14ac:dyDescent="0.2">
      <c r="A39" s="39" t="s">
        <v>2062</v>
      </c>
      <c r="B39" s="39" t="s">
        <v>2052</v>
      </c>
      <c r="C39" s="39" t="s">
        <v>2060</v>
      </c>
      <c r="D39" s="39" t="s">
        <v>2054</v>
      </c>
      <c r="E39" s="39" t="s">
        <v>2055</v>
      </c>
      <c r="F39" s="39" t="str">
        <f>'Part names'!$A$71</f>
        <v>P-101</v>
      </c>
      <c r="G39" s="39" t="s">
        <v>374</v>
      </c>
      <c r="H39" s="39" t="s">
        <v>2057</v>
      </c>
      <c r="I39" s="39" t="s">
        <v>1979</v>
      </c>
      <c r="J39" s="37" t="str">
        <f t="shared" si="2"/>
        <v>⚠ FAIL — 'Range' placeholder '—'</v>
      </c>
    </row>
    <row r="40" spans="1:10" ht="28.5" customHeight="1" x14ac:dyDescent="0.2">
      <c r="A40" s="39" t="s">
        <v>2063</v>
      </c>
      <c r="B40" s="39" t="s">
        <v>2052</v>
      </c>
      <c r="C40" s="39" t="s">
        <v>2053</v>
      </c>
      <c r="D40" s="39" t="s">
        <v>2054</v>
      </c>
      <c r="E40" s="39" t="s">
        <v>2055</v>
      </c>
      <c r="F40" s="39" t="str">
        <f>'Part names'!$A$36</f>
        <v>V-103</v>
      </c>
      <c r="G40" s="39" t="s">
        <v>374</v>
      </c>
      <c r="H40" s="39" t="s">
        <v>2057</v>
      </c>
      <c r="I40" s="39" t="s">
        <v>1979</v>
      </c>
      <c r="J40" s="37" t="str">
        <f t="shared" si="2"/>
        <v>⚠ FAIL — 'Range' placeholder '—'</v>
      </c>
    </row>
    <row r="41" spans="1:10" ht="28.5" customHeight="1" x14ac:dyDescent="0.2">
      <c r="A41" s="39" t="s">
        <v>2064</v>
      </c>
      <c r="B41" s="39" t="s">
        <v>2052</v>
      </c>
      <c r="C41" s="39" t="s">
        <v>2060</v>
      </c>
      <c r="D41" s="39" t="s">
        <v>2054</v>
      </c>
      <c r="E41" s="39" t="s">
        <v>2055</v>
      </c>
      <c r="F41" s="39" t="str">
        <f>'Part names'!$A$71</f>
        <v>P-101</v>
      </c>
      <c r="G41" s="39" t="s">
        <v>374</v>
      </c>
      <c r="H41" s="39" t="s">
        <v>2057</v>
      </c>
      <c r="I41" s="39" t="s">
        <v>1979</v>
      </c>
      <c r="J41" s="37" t="str">
        <f t="shared" si="2"/>
        <v>⚠ FAIL — 'Range' placeholder '—'</v>
      </c>
    </row>
    <row r="42" spans="1:10" ht="28.5" customHeight="1" x14ac:dyDescent="0.2">
      <c r="A42" s="39" t="s">
        <v>2065</v>
      </c>
      <c r="B42" s="39" t="s">
        <v>2052</v>
      </c>
      <c r="C42" s="39" t="s">
        <v>2053</v>
      </c>
      <c r="D42" s="39" t="s">
        <v>2054</v>
      </c>
      <c r="E42" s="39" t="s">
        <v>2055</v>
      </c>
      <c r="F42" s="39" t="str">
        <f>'Part names'!$A$71</f>
        <v>P-101</v>
      </c>
      <c r="G42" s="39" t="s">
        <v>374</v>
      </c>
      <c r="H42" s="39" t="s">
        <v>2057</v>
      </c>
      <c r="I42" s="39" t="s">
        <v>1979</v>
      </c>
      <c r="J42" s="37" t="str">
        <f t="shared" si="2"/>
        <v>⚠ FAIL — 'Range' placeholder '—'</v>
      </c>
    </row>
    <row r="43" spans="1:10" ht="28.5" customHeight="1" x14ac:dyDescent="0.2">
      <c r="A43" s="39" t="s">
        <v>2066</v>
      </c>
      <c r="B43" s="39" t="s">
        <v>2052</v>
      </c>
      <c r="C43" s="39" t="s">
        <v>2060</v>
      </c>
      <c r="D43" s="39" t="s">
        <v>2054</v>
      </c>
      <c r="E43" s="39" t="s">
        <v>2055</v>
      </c>
      <c r="F43" s="39" t="str">
        <f>'Part names'!$A$71</f>
        <v>P-101</v>
      </c>
      <c r="G43" s="39" t="s">
        <v>374</v>
      </c>
      <c r="H43" s="39" t="s">
        <v>2057</v>
      </c>
      <c r="I43" s="39" t="s">
        <v>1979</v>
      </c>
      <c r="J43" s="37" t="str">
        <f t="shared" si="2"/>
        <v>⚠ FAIL — 'Range' placeholder '—'</v>
      </c>
    </row>
    <row r="44" spans="1:10" ht="28.5" customHeight="1" x14ac:dyDescent="0.2">
      <c r="A44" s="39" t="s">
        <v>2067</v>
      </c>
      <c r="B44" s="39" t="s">
        <v>2052</v>
      </c>
      <c r="C44" s="39" t="s">
        <v>2053</v>
      </c>
      <c r="D44" s="39" t="s">
        <v>2054</v>
      </c>
      <c r="E44" s="39" t="s">
        <v>2055</v>
      </c>
      <c r="F44" s="39" t="str">
        <f>'Part names'!$A$71</f>
        <v>P-101</v>
      </c>
      <c r="G44" s="39" t="s">
        <v>374</v>
      </c>
      <c r="H44" s="39" t="s">
        <v>2057</v>
      </c>
      <c r="I44" s="39" t="s">
        <v>1979</v>
      </c>
      <c r="J44" s="37" t="str">
        <f t="shared" si="2"/>
        <v>⚠ FAIL — 'Range' placeholder '—'</v>
      </c>
    </row>
    <row r="45" spans="1:10" ht="28.5" customHeight="1" x14ac:dyDescent="0.2">
      <c r="A45" s="39" t="s">
        <v>2068</v>
      </c>
      <c r="B45" s="39" t="s">
        <v>2052</v>
      </c>
      <c r="C45" s="39" t="s">
        <v>2053</v>
      </c>
      <c r="D45" s="39" t="s">
        <v>2054</v>
      </c>
      <c r="E45" s="39" t="s">
        <v>2055</v>
      </c>
      <c r="F45" s="39" t="s">
        <v>2056</v>
      </c>
      <c r="G45" s="39" t="s">
        <v>374</v>
      </c>
      <c r="H45" s="39" t="s">
        <v>2057</v>
      </c>
      <c r="I45" s="39" t="s">
        <v>1979</v>
      </c>
      <c r="J45" s="37" t="str">
        <f t="shared" si="2"/>
        <v>⚠ FAIL — 'Range' placeholder '—'</v>
      </c>
    </row>
    <row r="46" spans="1:10" ht="28.5" customHeight="1" x14ac:dyDescent="0.2">
      <c r="A46" s="39" t="s">
        <v>2069</v>
      </c>
      <c r="B46" s="39" t="s">
        <v>2052</v>
      </c>
      <c r="C46" s="39" t="s">
        <v>2053</v>
      </c>
      <c r="D46" s="39" t="s">
        <v>2054</v>
      </c>
      <c r="E46" s="39" t="s">
        <v>2055</v>
      </c>
      <c r="F46" s="39" t="s">
        <v>2070</v>
      </c>
      <c r="G46" s="39" t="s">
        <v>374</v>
      </c>
      <c r="H46" s="39" t="s">
        <v>2057</v>
      </c>
      <c r="I46" s="39" t="s">
        <v>1979</v>
      </c>
      <c r="J46" s="37" t="str">
        <f t="shared" si="2"/>
        <v>⚠ FAIL — 'Range' placeholder '—'</v>
      </c>
    </row>
    <row r="47" spans="1:10" ht="28.5" customHeight="1" x14ac:dyDescent="0.2">
      <c r="A47" s="39" t="s">
        <v>2071</v>
      </c>
      <c r="B47" s="39" t="s">
        <v>2072</v>
      </c>
      <c r="C47" s="39" t="str">
        <f>'Part names'!$B$33</f>
        <v>Flow Meter</v>
      </c>
      <c r="D47" s="39" t="s">
        <v>2073</v>
      </c>
      <c r="E47" s="39" t="s">
        <v>2074</v>
      </c>
      <c r="F47" s="39" t="s">
        <v>2075</v>
      </c>
      <c r="G47" s="39" t="s">
        <v>374</v>
      </c>
      <c r="H47" s="39" t="s">
        <v>2057</v>
      </c>
      <c r="I47" s="39" t="s">
        <v>1979</v>
      </c>
      <c r="J47" s="37" t="str">
        <f t="shared" si="2"/>
        <v>⚠ FAIL — 'Range' placeholder '—'</v>
      </c>
    </row>
    <row r="48" spans="1:10" ht="28.5" customHeight="1" x14ac:dyDescent="0.2">
      <c r="A48" s="39" t="s">
        <v>2076</v>
      </c>
      <c r="B48" s="39" t="s">
        <v>2077</v>
      </c>
      <c r="C48" s="39" t="str">
        <f>'Part names'!$B$62</f>
        <v>Ph Sensor</v>
      </c>
      <c r="D48" s="39" t="s">
        <v>2078</v>
      </c>
      <c r="E48" s="39" t="s">
        <v>2079</v>
      </c>
      <c r="F48" s="39" t="s">
        <v>2080</v>
      </c>
      <c r="G48" s="39" t="s">
        <v>2081</v>
      </c>
      <c r="H48" s="39" t="s">
        <v>2057</v>
      </c>
      <c r="I48" s="39" t="s">
        <v>1979</v>
      </c>
      <c r="J48" s="23" t="str">
        <f t="shared" ref="J48:J54" si="3">IF(AND(LEN(TRIM(A48&amp;""))&gt;0,TRIM(A48&amp;"")&lt;&gt;"—",LEN(TRIM(B48&amp;""))&gt;0,TRIM(B48&amp;"")&lt;&gt;"—",LEN(TRIM(C48&amp;""))&gt;0,TRIM(C48&amp;"")&lt;&gt;"—",LEN(TRIM(D48&amp;""))&gt;0,TRIM(D48&amp;"")&lt;&gt;"—",LEN(TRIM(E48&amp;""))&gt;0,TRIM(E48&amp;"")&lt;&gt;"—",LEN(TRIM(F48&amp;""))&gt;0,TRIM(F48&amp;"")&lt;&gt;"—",LEN(TRIM(G48&amp;""))&gt;0,TRIM(G48&amp;"")&lt;&gt;"—",LEN(TRIM(H48&amp;""))&gt;0,TRIM(H48&amp;"")&lt;&gt;"—",LEN(TRIM(I48&amp;""))&gt;0,TRIM(I48&amp;"")&lt;&gt;"—"),"PASS","⚠ FAIL — "&amp;"a required cell is empty/placeholder or wrong type")</f>
        <v>PASS</v>
      </c>
    </row>
    <row r="49" spans="1:10" ht="28.5" customHeight="1" x14ac:dyDescent="0.2">
      <c r="A49" s="39" t="s">
        <v>2082</v>
      </c>
      <c r="B49" s="39" t="s">
        <v>2083</v>
      </c>
      <c r="C49" s="39" t="str">
        <f>'Part names'!$B$56</f>
        <v>Orp Sensor</v>
      </c>
      <c r="D49" s="39" t="s">
        <v>2084</v>
      </c>
      <c r="E49" s="39" t="s">
        <v>2085</v>
      </c>
      <c r="F49" s="39" t="s">
        <v>2080</v>
      </c>
      <c r="G49" s="39" t="s">
        <v>2086</v>
      </c>
      <c r="H49" s="39" t="s">
        <v>2057</v>
      </c>
      <c r="I49" s="39" t="s">
        <v>1979</v>
      </c>
      <c r="J49" s="23" t="str">
        <f t="shared" si="3"/>
        <v>PASS</v>
      </c>
    </row>
    <row r="50" spans="1:10" ht="43.5" customHeight="1" x14ac:dyDescent="0.2">
      <c r="A50" s="39" t="s">
        <v>2087</v>
      </c>
      <c r="B50" s="39" t="s">
        <v>2088</v>
      </c>
      <c r="C50" s="39" t="str">
        <f>'Part names'!$B$47</f>
        <v>Level Transmitter</v>
      </c>
      <c r="D50" s="39" t="s">
        <v>2089</v>
      </c>
      <c r="E50" s="39" t="s">
        <v>2090</v>
      </c>
      <c r="F50" s="39" t="s">
        <v>2091</v>
      </c>
      <c r="G50" s="39" t="s">
        <v>2092</v>
      </c>
      <c r="H50" s="39" t="s">
        <v>2057</v>
      </c>
      <c r="I50" s="39" t="s">
        <v>1979</v>
      </c>
      <c r="J50" s="23" t="str">
        <f t="shared" si="3"/>
        <v>PASS</v>
      </c>
    </row>
    <row r="51" spans="1:10" ht="28.5" customHeight="1" x14ac:dyDescent="0.2">
      <c r="A51" s="39" t="s">
        <v>1200</v>
      </c>
      <c r="B51" s="39" t="s">
        <v>2088</v>
      </c>
      <c r="C51" s="39" t="str">
        <f>'Part names'!$B$47</f>
        <v>Level Transmitter</v>
      </c>
      <c r="D51" s="39" t="s">
        <v>2089</v>
      </c>
      <c r="E51" s="39" t="s">
        <v>2090</v>
      </c>
      <c r="F51" s="39" t="str">
        <f>'Part names'!$A$70</f>
        <v>Z-101</v>
      </c>
      <c r="G51" s="39" t="s">
        <v>2093</v>
      </c>
      <c r="H51" s="39" t="s">
        <v>2057</v>
      </c>
      <c r="I51" s="39" t="s">
        <v>1979</v>
      </c>
      <c r="J51" s="23" t="str">
        <f t="shared" si="3"/>
        <v>PASS</v>
      </c>
    </row>
    <row r="52" spans="1:10" ht="43.5" customHeight="1" x14ac:dyDescent="0.2">
      <c r="A52" s="39" t="s">
        <v>2094</v>
      </c>
      <c r="B52" s="39" t="s">
        <v>2088</v>
      </c>
      <c r="C52" s="39" t="str">
        <f>'Part names'!$B$47</f>
        <v>Level Transmitter</v>
      </c>
      <c r="D52" s="39" t="s">
        <v>2089</v>
      </c>
      <c r="E52" s="39" t="s">
        <v>2090</v>
      </c>
      <c r="F52" s="39" t="s">
        <v>2095</v>
      </c>
      <c r="G52" s="39" t="s">
        <v>2096</v>
      </c>
      <c r="H52" s="39" t="s">
        <v>2057</v>
      </c>
      <c r="I52" s="39" t="s">
        <v>1979</v>
      </c>
      <c r="J52" s="23" t="str">
        <f t="shared" si="3"/>
        <v>PASS</v>
      </c>
    </row>
    <row r="53" spans="1:10" ht="28.5" customHeight="1" x14ac:dyDescent="0.2">
      <c r="A53" s="39" t="str">
        <f>'Part names'!$A$61</f>
        <v>AT-201</v>
      </c>
      <c r="B53" s="39" t="s">
        <v>2077</v>
      </c>
      <c r="C53" s="39" t="str">
        <f>'Part names'!$B$61</f>
        <v>pH Analyser</v>
      </c>
      <c r="D53" s="39" t="s">
        <v>2078</v>
      </c>
      <c r="E53" s="39" t="s">
        <v>2097</v>
      </c>
      <c r="F53" s="39" t="str">
        <f>'Part names'!$A$22</f>
        <v>TK-114</v>
      </c>
      <c r="G53" s="39" t="s">
        <v>2081</v>
      </c>
      <c r="H53" s="39" t="s">
        <v>2057</v>
      </c>
      <c r="I53" s="39" t="s">
        <v>1979</v>
      </c>
      <c r="J53" s="23" t="str">
        <f t="shared" si="3"/>
        <v>PASS</v>
      </c>
    </row>
    <row r="54" spans="1:10" ht="28.5" customHeight="1" x14ac:dyDescent="0.2">
      <c r="A54" s="39" t="s">
        <v>2098</v>
      </c>
      <c r="B54" s="39" t="s">
        <v>2052</v>
      </c>
      <c r="C54" s="39" t="str">
        <f>'Part names'!$B$68</f>
        <v>Pressure Transmitter</v>
      </c>
      <c r="D54" s="39" t="s">
        <v>2054</v>
      </c>
      <c r="E54" s="39" t="s">
        <v>2099</v>
      </c>
      <c r="F54" s="39" t="s">
        <v>2100</v>
      </c>
      <c r="G54" s="39" t="s">
        <v>2101</v>
      </c>
      <c r="H54" s="39" t="s">
        <v>2057</v>
      </c>
      <c r="I54" s="39" t="s">
        <v>1979</v>
      </c>
      <c r="J54" s="23" t="str">
        <f t="shared" si="3"/>
        <v>PASS</v>
      </c>
    </row>
    <row r="55" spans="1:10" ht="28.5" customHeight="1" x14ac:dyDescent="0.2">
      <c r="A55" s="39" t="s">
        <v>2102</v>
      </c>
      <c r="B55" s="39" t="s">
        <v>2103</v>
      </c>
      <c r="C55" s="39" t="str">
        <f>'Part names'!$B$74</f>
        <v>Silica Analyzer</v>
      </c>
      <c r="D55" s="39" t="s">
        <v>2104</v>
      </c>
      <c r="E55" s="39" t="s">
        <v>2105</v>
      </c>
      <c r="F55" s="39" t="s">
        <v>2080</v>
      </c>
      <c r="G55" s="39" t="s">
        <v>374</v>
      </c>
      <c r="H55" s="39" t="s">
        <v>2057</v>
      </c>
      <c r="I55" s="39" t="s">
        <v>1979</v>
      </c>
      <c r="J55" s="37" t="str">
        <f>IF(AND(LEN(TRIM(A55&amp;""))&gt;0,TRIM(A55&amp;"")&lt;&gt;"—",LEN(TRIM(B55&amp;""))&gt;0,TRIM(B55&amp;"")&lt;&gt;"—",LEN(TRIM(C55&amp;""))&gt;0,TRIM(C55&amp;"")&lt;&gt;"—",LEN(TRIM(D55&amp;""))&gt;0,TRIM(D55&amp;"")&lt;&gt;"—",LEN(TRIM(E55&amp;""))&gt;0,TRIM(E55&amp;"")&lt;&gt;"—",LEN(TRIM(F55&amp;""))&gt;0,TRIM(F55&amp;"")&lt;&gt;"—",LEN(TRIM(G55&amp;""))&gt;0,TRIM(G55&amp;"")&lt;&gt;"—",TRIM(G55&amp;"")&lt;&gt;"—",LEN(TRIM(H55&amp;""))&gt;0,TRIM(H55&amp;"")&lt;&gt;"—",LEN(TRIM(I55&amp;""))&gt;0,TRIM(I55&amp;"")&lt;&gt;"—"),"PASS","⚠ FAIL — "&amp;"'Range' placeholder '—'")</f>
        <v>⚠ FAIL — 'Range' placeholder '—'</v>
      </c>
    </row>
    <row r="56" spans="1:10" ht="28.5" customHeight="1" x14ac:dyDescent="0.2">
      <c r="A56" s="39" t="s">
        <v>2106</v>
      </c>
      <c r="B56" s="39" t="s">
        <v>2072</v>
      </c>
      <c r="C56" s="39" t="str">
        <f>'Part names'!$B$33</f>
        <v>Flow Meter</v>
      </c>
      <c r="D56" s="39" t="s">
        <v>2073</v>
      </c>
      <c r="E56" s="39" t="s">
        <v>2074</v>
      </c>
      <c r="F56" s="39" t="s">
        <v>2075</v>
      </c>
      <c r="G56" s="39" t="s">
        <v>374</v>
      </c>
      <c r="H56" s="39" t="s">
        <v>2057</v>
      </c>
      <c r="I56" s="39" t="s">
        <v>1979</v>
      </c>
      <c r="J56" s="37" t="str">
        <f>IF(AND(LEN(TRIM(A56&amp;""))&gt;0,TRIM(A56&amp;"")&lt;&gt;"—",LEN(TRIM(B56&amp;""))&gt;0,TRIM(B56&amp;"")&lt;&gt;"—",LEN(TRIM(C56&amp;""))&gt;0,TRIM(C56&amp;"")&lt;&gt;"—",LEN(TRIM(D56&amp;""))&gt;0,TRIM(D56&amp;"")&lt;&gt;"—",LEN(TRIM(E56&amp;""))&gt;0,TRIM(E56&amp;"")&lt;&gt;"—",LEN(TRIM(F56&amp;""))&gt;0,TRIM(F56&amp;"")&lt;&gt;"—",LEN(TRIM(G56&amp;""))&gt;0,TRIM(G56&amp;"")&lt;&gt;"—",TRIM(G56&amp;"")&lt;&gt;"—",LEN(TRIM(H56&amp;""))&gt;0,TRIM(H56&amp;"")&lt;&gt;"—",LEN(TRIM(I56&amp;""))&gt;0,TRIM(I56&amp;"")&lt;&gt;"—"),"PASS","⚠ FAIL — "&amp;"'Range' placeholder '—'")</f>
        <v>⚠ FAIL — 'Range' placeholder '—'</v>
      </c>
    </row>
    <row r="57" spans="1:10" ht="28.5" customHeight="1" x14ac:dyDescent="0.2">
      <c r="A57" s="39" t="s">
        <v>2107</v>
      </c>
      <c r="B57" s="39" t="s">
        <v>2052</v>
      </c>
      <c r="C57" s="39" t="s">
        <v>2053</v>
      </c>
      <c r="D57" s="39" t="s">
        <v>2054</v>
      </c>
      <c r="E57" s="39" t="s">
        <v>2055</v>
      </c>
      <c r="F57" s="39" t="s">
        <v>2056</v>
      </c>
      <c r="G57" s="39" t="s">
        <v>374</v>
      </c>
      <c r="H57" s="39" t="s">
        <v>2057</v>
      </c>
      <c r="I57" s="39" t="s">
        <v>1979</v>
      </c>
      <c r="J57" s="37" t="str">
        <f>IF(AND(LEN(TRIM(A57&amp;""))&gt;0,TRIM(A57&amp;"")&lt;&gt;"—",LEN(TRIM(B57&amp;""))&gt;0,TRIM(B57&amp;"")&lt;&gt;"—",LEN(TRIM(C57&amp;""))&gt;0,TRIM(C57&amp;"")&lt;&gt;"—",LEN(TRIM(D57&amp;""))&gt;0,TRIM(D57&amp;"")&lt;&gt;"—",LEN(TRIM(E57&amp;""))&gt;0,TRIM(E57&amp;"")&lt;&gt;"—",LEN(TRIM(F57&amp;""))&gt;0,TRIM(F57&amp;"")&lt;&gt;"—",LEN(TRIM(G57&amp;""))&gt;0,TRIM(G57&amp;"")&lt;&gt;"—",TRIM(G57&amp;"")&lt;&gt;"—",LEN(TRIM(H57&amp;""))&gt;0,TRIM(H57&amp;"")&lt;&gt;"—",LEN(TRIM(I57&amp;""))&gt;0,TRIM(I57&amp;"")&lt;&gt;"—"),"PASS","⚠ FAIL — "&amp;"'Range' placeholder '—'")</f>
        <v>⚠ FAIL — 'Range' placeholder '—'</v>
      </c>
    </row>
    <row r="59" spans="1:10" x14ac:dyDescent="0.2">
      <c r="A59" s="6" t="s">
        <v>2108</v>
      </c>
      <c r="B59" s="6"/>
      <c r="C59" s="6"/>
      <c r="D59" s="6"/>
      <c r="E59" s="6"/>
      <c r="F59" s="6"/>
      <c r="G59" s="6"/>
      <c r="H59" s="6"/>
      <c r="I59" s="6"/>
    </row>
    <row r="60" spans="1:10" ht="32" x14ac:dyDescent="0.2">
      <c r="A60" s="16" t="s">
        <v>2109</v>
      </c>
      <c r="B60" s="16" t="s">
        <v>2110</v>
      </c>
      <c r="C60" s="16" t="s">
        <v>755</v>
      </c>
      <c r="D60" s="76" t="s">
        <v>2111</v>
      </c>
      <c r="E60" s="76" t="s">
        <v>2112</v>
      </c>
      <c r="F60" s="16"/>
      <c r="G60" s="16"/>
      <c r="H60" s="16"/>
      <c r="I60" s="16"/>
      <c r="J60" s="17" t="s">
        <v>20</v>
      </c>
    </row>
    <row r="61" spans="1:10" ht="48" x14ac:dyDescent="0.2">
      <c r="A61" s="18" t="s">
        <v>2113</v>
      </c>
      <c r="B61" s="39" t="str">
        <f>"schedule "&amp;'Audit data'!$D$57&amp;" vs BoM "&amp;'Audit data'!$D$58&amp;" (±20% band)"</f>
        <v>schedule 231 vs BoM 233 (±20% band)</v>
      </c>
      <c r="C61" s="18" t="str">
        <f>IF(AND(ISNUMBER('Audit data'!$D$57),ISNUMBER('Audit data'!$D$58),'Audit data'!$D$58&gt;0,ABS('Audit data'!$D$57-'Audit data'!$D$58)&lt;=0.2*'Audit data'!$D$58),"PASS","FAIL — "&amp;"schedule "&amp;'Audit data'!$D$57&amp;" vs BoM "&amp;'Audit data'!$D$58&amp;" — diverges &gt;20%")</f>
        <v>PASS</v>
      </c>
      <c r="D61" s="87">
        <v>231</v>
      </c>
      <c r="E61" s="87">
        <v>233</v>
      </c>
      <c r="J61" s="23" t="str">
        <f>IF(AND(LEN(TRIM(A61&amp;""))&gt;0,TRIM(A61&amp;"")&lt;&gt;"—",LEN(TRIM(B61&amp;""))&gt;0,TRIM(B61&amp;"")&lt;&gt;"—",LEN(TRIM(C61&amp;""))&gt;0,TRIM(C61&amp;"")&lt;&gt;"—",LEN(TRIM(D61&amp;""))&gt;0,TRIM(D61&amp;"")&lt;&gt;"—",ISNUMBER(D61),LEN(TRIM(E61&amp;""))&gt;0,TRIM(E61&amp;"")&lt;&gt;"—",ISNUMBER(E61)),"PASS","⚠ FAIL — "&amp;"a required cell is empty/placeholder or wrong type")</f>
        <v>PASS</v>
      </c>
    </row>
    <row r="62" spans="1:10" ht="48" x14ac:dyDescent="0.2">
      <c r="A62" s="18" t="s">
        <v>2114</v>
      </c>
      <c r="B62" s="39" t="str">
        <f>"schedule "&amp;'Audit data'!$D$59&amp;" vs BoM "&amp;'Audit data'!$D$60&amp;" (±20% band)"</f>
        <v>schedule 55 vs BoM 52 (±20% band)</v>
      </c>
      <c r="C62" s="18" t="str">
        <f>IF(AND(ISNUMBER('Audit data'!$D$59),ISNUMBER('Audit data'!$D$60),'Audit data'!$D$60&gt;0,ABS('Audit data'!$D$59-'Audit data'!$D$60)&lt;=0.2*'Audit data'!$D$60),"PASS","FAIL — "&amp;"schedule "&amp;'Audit data'!$D$59&amp;" vs BoM "&amp;'Audit data'!$D$60&amp;" — diverges &gt;20%")</f>
        <v>PASS</v>
      </c>
      <c r="D62" s="87">
        <v>55</v>
      </c>
      <c r="E62" s="87">
        <v>52</v>
      </c>
      <c r="J62" s="23" t="str">
        <f>IF(AND(LEN(TRIM(A62&amp;""))&gt;0,TRIM(A62&amp;"")&lt;&gt;"—",LEN(TRIM(B62&amp;""))&gt;0,TRIM(B62&amp;"")&lt;&gt;"—",LEN(TRIM(C62&amp;""))&gt;0,TRIM(C62&amp;"")&lt;&gt;"—",LEN(TRIM(D62&amp;""))&gt;0,TRIM(D62&amp;"")&lt;&gt;"—",ISNUMBER(D62),LEN(TRIM(E62&amp;""))&gt;0,TRIM(E62&amp;"")&lt;&gt;"—",ISNUMBER(E62)),"PASS","⚠ FAIL — "&amp;"a required cell is empty/placeholder or wrong type")</f>
        <v>PASS</v>
      </c>
    </row>
  </sheetData>
  <autoFilter ref="A35:I57" xr:uid="{00000000-0009-0000-0000-00000E000000}"/>
  <mergeCells count="8">
    <mergeCell ref="A7:H7"/>
    <mergeCell ref="A34:I34"/>
    <mergeCell ref="A59:I59"/>
    <mergeCell ref="A1:I1"/>
    <mergeCell ref="A2:I2"/>
    <mergeCell ref="A3:I3"/>
    <mergeCell ref="A4:I4"/>
    <mergeCell ref="B5:I5"/>
  </mergeCells>
  <conditionalFormatting sqref="C61:C62">
    <cfRule type="cellIs" dxfId="21" priority="2" operator="equal">
      <formula>"PASS"</formula>
    </cfRule>
  </conditionalFormatting>
  <hyperlinks>
    <hyperlink ref="J1" location="'Contents'!A1" display="↑ Contents" xr:uid="{00000000-0004-0000-0E00-000000000000}"/>
    <hyperlink ref="A5" location="'Line &amp; velocity'!A1" display="→ Line &amp; velocity" xr:uid="{00000000-0004-0000-0E00-000001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48235"/>
  </sheetPr>
  <dimension ref="A1:U5"/>
  <sheetViews>
    <sheetView topLeftCell="A4" zoomScaleNormal="100" workbookViewId="0">
      <selection activeCell="I2" sqref="I2:U2"/>
    </sheetView>
  </sheetViews>
  <sheetFormatPr baseColWidth="10" defaultColWidth="8.6640625" defaultRowHeight="15" x14ac:dyDescent="0.2"/>
  <cols>
    <col min="7" max="7" width="13" customWidth="1"/>
  </cols>
  <sheetData>
    <row r="1" spans="1:21" ht="25.5" customHeight="1" x14ac:dyDescent="0.2">
      <c r="A1" s="12" t="s">
        <v>106</v>
      </c>
      <c r="B1" s="12"/>
      <c r="C1" s="12"/>
      <c r="D1" s="12"/>
      <c r="E1" s="12"/>
      <c r="F1" s="12"/>
      <c r="G1" s="30" t="s">
        <v>140</v>
      </c>
    </row>
    <row r="2" spans="1:21" ht="62" customHeight="1" x14ac:dyDescent="0.2">
      <c r="A2" s="11" t="str">
        <f>"⬤ TAB QUALITY "&amp;IF(ISNUMBER('Quality &amp; Audit'!$B$53),IF('Quality &amp; Audit'!$B$53=INT('Quality &amp; Audit'!$B$53),TEXT('Quality &amp; Audit'!$B$53,"0"),TEXT('Quality &amp; Audit'!$B$53,"0.0")),"—")&amp;"/10 · "&amp;IF(ISNUMBER('Quality &amp; Audit'!$B$53),IF('Quality &amp; Audit'!$B$53&gt;=8,"PASS","FAIL"),"UNSCORED")&amp;" (target ≥8, live from the Quality &amp; Audit score cell)"&amp;" · GA mechanism: parts-ledger coverage × default-size litter × layout-divergence × typed-shape checks — drawing part coverage (general-arrangement) 27/27 · score = min over…"&amp;" · full audit: Quality &amp; Audit tab"</f>
        <v>⬤ TAB QUALITY 10/10 · PASS (target ≥8, live from the Quality &amp; Audit score cell) · GA mechanism: parts-ledger coverage × default-size litter × layout-divergence × typed-shape checks — drawing part coverage (general-arrangement) 27/27 · score = min over… · full audit: Quality &amp; Audit tab</v>
      </c>
      <c r="B2" s="11"/>
      <c r="C2" s="11"/>
      <c r="D2" s="11"/>
      <c r="E2" s="11"/>
      <c r="F2" s="11"/>
      <c r="I2" s="146" t="s">
        <v>4570</v>
      </c>
      <c r="J2" s="146"/>
      <c r="K2" s="146"/>
      <c r="L2" s="146"/>
      <c r="M2" s="146"/>
      <c r="N2" s="146"/>
      <c r="O2" s="146"/>
      <c r="P2" s="146"/>
      <c r="Q2" s="146"/>
      <c r="R2" s="146"/>
      <c r="S2" s="146"/>
      <c r="T2" s="146"/>
      <c r="U2" s="146"/>
    </row>
    <row r="3" spans="1:21" ht="27.75" customHeight="1" x14ac:dyDescent="0.2">
      <c r="A3" s="10" t="s">
        <v>2115</v>
      </c>
      <c r="B3" s="10"/>
      <c r="C3" s="10"/>
      <c r="D3" s="10"/>
      <c r="E3" s="10"/>
      <c r="F3" s="10"/>
    </row>
    <row r="5" spans="1:21" ht="30" customHeight="1" x14ac:dyDescent="0.2">
      <c r="A5" s="135" t="s">
        <v>2116</v>
      </c>
      <c r="B5" s="135"/>
      <c r="C5" s="135"/>
      <c r="D5" s="135"/>
      <c r="E5" s="135"/>
      <c r="F5" s="135"/>
    </row>
  </sheetData>
  <mergeCells count="5">
    <mergeCell ref="A1:F1"/>
    <mergeCell ref="A2:F2"/>
    <mergeCell ref="A3:F3"/>
    <mergeCell ref="A5:F5"/>
    <mergeCell ref="I2:U2"/>
  </mergeCells>
  <hyperlinks>
    <hyperlink ref="G1" location="'Contents'!A1" display="↑ Contents" xr:uid="{00000000-0004-0000-0F00-000000000000}"/>
  </hyperlink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48235"/>
  </sheetPr>
  <dimension ref="A1:J5"/>
  <sheetViews>
    <sheetView zoomScaleNormal="100" workbookViewId="0">
      <selection activeCell="J3" sqref="J3"/>
    </sheetView>
  </sheetViews>
  <sheetFormatPr baseColWidth="10" defaultColWidth="8.6640625" defaultRowHeight="15" x14ac:dyDescent="0.2"/>
  <cols>
    <col min="7" max="7" width="13" customWidth="1"/>
  </cols>
  <sheetData>
    <row r="1" spans="1:10" ht="25.5" customHeight="1" x14ac:dyDescent="0.2">
      <c r="A1" s="12" t="s">
        <v>108</v>
      </c>
      <c r="B1" s="12"/>
      <c r="C1" s="12"/>
      <c r="D1" s="12"/>
      <c r="E1" s="12"/>
      <c r="F1" s="12"/>
      <c r="G1" s="30" t="s">
        <v>140</v>
      </c>
    </row>
    <row r="2" spans="1:10" ht="30" customHeight="1" x14ac:dyDescent="0.2">
      <c r="A2" s="11" t="str">
        <f>"⬤ OUT OF SCOPE FOR THIS ARCHETYPE — VERIFIED, NOT SCORED"&amp;" · HVAC duty-scoped check: contract duty signal → drawing coverage; no duty → honest out-of-scope disclosure (capped 8) — confirmed no HVAC/ventilation/cooling contract dut…"&amp;" · full audit: Quality &amp; Audit tab"</f>
        <v>⬤ OUT OF SCOPE FOR THIS ARCHETYPE — VERIFIED, NOT SCORED · HVAC duty-scoped check: contract duty signal → drawing coverage; no duty → honest out-of-scope disclosure (capped 8) — confirmed no HVAC/ventilation/cooling contract dut… · full audit: Quality &amp; Audit tab</v>
      </c>
      <c r="B2" s="11"/>
      <c r="C2" s="11"/>
      <c r="D2" s="11"/>
      <c r="E2" s="11"/>
      <c r="F2" s="11"/>
      <c r="J2" s="145" t="s">
        <v>4572</v>
      </c>
    </row>
    <row r="3" spans="1:10" ht="27.75" customHeight="1" x14ac:dyDescent="0.2">
      <c r="A3" s="10" t="s">
        <v>2117</v>
      </c>
      <c r="B3" s="10"/>
      <c r="C3" s="10"/>
      <c r="D3" s="10"/>
      <c r="E3" s="10"/>
      <c r="F3" s="10"/>
    </row>
    <row r="5" spans="1:10" ht="30" customHeight="1" x14ac:dyDescent="0.2">
      <c r="A5" s="135" t="s">
        <v>2118</v>
      </c>
      <c r="B5" s="135"/>
      <c r="C5" s="135"/>
      <c r="D5" s="135"/>
      <c r="E5" s="135"/>
      <c r="F5" s="135"/>
    </row>
  </sheetData>
  <mergeCells count="4">
    <mergeCell ref="A1:F1"/>
    <mergeCell ref="A2:F2"/>
    <mergeCell ref="A3:F3"/>
    <mergeCell ref="A5:F5"/>
  </mergeCells>
  <hyperlinks>
    <hyperlink ref="G1" location="'Contents'!A1" display="↑ Contents" xr:uid="{00000000-0004-0000-1000-000000000000}"/>
  </hyperlink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48235"/>
  </sheetPr>
  <dimension ref="A1:Q105"/>
  <sheetViews>
    <sheetView zoomScaleNormal="100" workbookViewId="0">
      <selection activeCell="L10" sqref="L10:P10"/>
    </sheetView>
  </sheetViews>
  <sheetFormatPr baseColWidth="10" defaultColWidth="8.6640625" defaultRowHeight="15" x14ac:dyDescent="0.2"/>
  <cols>
    <col min="1" max="1" width="14" customWidth="1"/>
    <col min="2" max="2" width="40" customWidth="1"/>
    <col min="3" max="3" width="8" customWidth="1"/>
    <col min="4" max="4" width="18" customWidth="1"/>
    <col min="5" max="5" width="12" customWidth="1"/>
    <col min="6" max="7" width="22" customWidth="1"/>
    <col min="8" max="8" width="12" customWidth="1"/>
    <col min="9" max="9" width="10" customWidth="1"/>
    <col min="10" max="10" width="8" customWidth="1"/>
    <col min="11" max="11" width="52" customWidth="1"/>
    <col min="12" max="12" width="13" customWidth="1"/>
  </cols>
  <sheetData>
    <row r="1" spans="1:16" ht="25.5" customHeight="1" x14ac:dyDescent="0.2">
      <c r="A1" s="12" t="s">
        <v>2119</v>
      </c>
      <c r="B1" s="12"/>
      <c r="C1" s="12"/>
      <c r="D1" s="12"/>
      <c r="E1" s="12"/>
      <c r="F1" s="12"/>
      <c r="G1" s="12"/>
      <c r="H1" s="12"/>
      <c r="I1" s="12"/>
      <c r="J1" s="12"/>
      <c r="K1" s="12"/>
      <c r="L1" s="30" t="s">
        <v>140</v>
      </c>
    </row>
    <row r="2" spans="1:16" ht="30" customHeight="1" x14ac:dyDescent="0.2">
      <c r="A2" s="11" t="str">
        <f>"⬤ TAB QUALITY "&amp;IF(ISNUMBER('Quality &amp; Audit'!$B$47),IF('Quality &amp; Audit'!$B$47=INT('Quality &amp; Audit'!$B$47),TEXT('Quality &amp; Audit'!$B$47,"0"),TEXT('Quality &amp; Audit'!$B$47,"0.0")),"—")&amp;"/10 · "&amp;IF(ISNUMBER('Quality &amp; Audit'!$B$47),IF('Quality &amp; Audit'!$B$47&gt;=8,"PASS","FAIL"),"UNSCORED")&amp;" (target ≥8, live from the Quality &amp; Audit score cell)"&amp;" · column-contract arithmetic: 10 × 21/22 rows passing; content checks: panel-schedule column contract + single-line drawing coverage — cell completeness+type contract 179/…"&amp;" · full audit: Quality &amp; Audit tab"</f>
        <v>⬤ TAB QUALITY 9.5/10 · PASS (target ≥8, live from the Quality &amp; Audit score cell) · column-contract arithmetic: 10 × 21/22 rows passing; content checks: panel-schedule column contract + single-line drawing coverage — cell completeness+type contract 179/… · full audit: Quality &amp; Audit tab</v>
      </c>
      <c r="B2" s="11"/>
      <c r="C2" s="11"/>
      <c r="D2" s="11"/>
      <c r="E2" s="11"/>
      <c r="F2" s="11"/>
      <c r="G2" s="11"/>
      <c r="H2" s="11"/>
      <c r="I2" s="11"/>
      <c r="J2" s="11"/>
      <c r="K2" s="11"/>
    </row>
    <row r="3" spans="1:16" ht="66.75" customHeight="1" x14ac:dyDescent="0.2">
      <c r="A3" s="10" t="s">
        <v>2120</v>
      </c>
      <c r="B3" s="10"/>
      <c r="C3" s="10"/>
      <c r="D3" s="10"/>
      <c r="E3" s="10"/>
      <c r="F3" s="10"/>
      <c r="G3" s="10"/>
      <c r="H3" s="10"/>
      <c r="I3" s="10"/>
      <c r="J3" s="10"/>
      <c r="K3" s="10"/>
    </row>
    <row r="5" spans="1:16" ht="30" customHeight="1" x14ac:dyDescent="0.2">
      <c r="A5" s="135" t="s">
        <v>2121</v>
      </c>
      <c r="B5" s="135"/>
      <c r="C5" s="135"/>
      <c r="D5" s="135"/>
      <c r="E5" s="135"/>
      <c r="F5" s="135"/>
      <c r="G5" s="135"/>
      <c r="H5" s="135"/>
      <c r="I5" s="135"/>
      <c r="J5" s="135"/>
      <c r="K5" s="135"/>
    </row>
    <row r="10" spans="1:16" ht="78" customHeight="1" x14ac:dyDescent="0.2">
      <c r="L10" s="146" t="s">
        <v>4571</v>
      </c>
      <c r="M10" s="146"/>
      <c r="N10" s="146"/>
      <c r="O10" s="146"/>
      <c r="P10" s="146"/>
    </row>
    <row r="47" spans="1:11" ht="42" customHeight="1" x14ac:dyDescent="0.2">
      <c r="A47" s="8" t="s">
        <v>2122</v>
      </c>
      <c r="B47" s="8"/>
      <c r="C47" s="8"/>
      <c r="D47" s="8"/>
      <c r="E47" s="8"/>
      <c r="F47" s="8"/>
      <c r="G47" s="8"/>
      <c r="H47" s="8"/>
      <c r="I47" s="8"/>
      <c r="J47" s="8"/>
      <c r="K47" s="8"/>
    </row>
    <row r="49" spans="1:17" ht="28.5" customHeight="1" x14ac:dyDescent="0.2">
      <c r="A49" s="130" t="s">
        <v>2123</v>
      </c>
      <c r="B49" s="130"/>
      <c r="C49" s="130"/>
      <c r="D49" s="130"/>
      <c r="E49" s="130"/>
      <c r="F49" s="130"/>
      <c r="G49" s="130"/>
      <c r="H49" s="130"/>
      <c r="I49" s="130"/>
      <c r="J49" s="130"/>
      <c r="K49" s="130"/>
    </row>
    <row r="50" spans="1:17" ht="57.75" customHeight="1" x14ac:dyDescent="0.2">
      <c r="A50" s="130" t="s">
        <v>2124</v>
      </c>
      <c r="B50" s="130"/>
      <c r="C50" s="130"/>
      <c r="D50" s="130"/>
      <c r="E50" s="130"/>
      <c r="F50" s="130"/>
      <c r="G50" s="130"/>
      <c r="H50" s="130"/>
      <c r="I50" s="130"/>
      <c r="J50" s="130"/>
      <c r="K50" s="130"/>
    </row>
    <row r="52" spans="1:17" x14ac:dyDescent="0.2">
      <c r="A52" s="6" t="s">
        <v>2125</v>
      </c>
      <c r="B52" s="6"/>
    </row>
    <row r="53" spans="1:17" ht="16" x14ac:dyDescent="0.2">
      <c r="A53" s="16" t="s">
        <v>2126</v>
      </c>
      <c r="B53" s="16" t="s">
        <v>144</v>
      </c>
      <c r="C53" s="17" t="s">
        <v>20</v>
      </c>
    </row>
    <row r="54" spans="1:17" ht="28.5" customHeight="1" x14ac:dyDescent="0.2">
      <c r="A54" s="39" t="s">
        <v>2127</v>
      </c>
      <c r="B54" s="39" t="str">
        <f>'Part names'!$B$53</f>
        <v>Motor Control Center</v>
      </c>
      <c r="C54" s="23" t="str">
        <f t="shared" ref="C54:C59" si="0">IF(AND(LEN(TRIM(A54&amp;""))&gt;0,TRIM(A54&amp;"")&lt;&gt;"—",LEN(TRIM(B54&amp;""))&gt;0,TRIM(B54&amp;"")&lt;&gt;"—"),"PASS","⚠ FAIL — "&amp;"a required cell is empty/placeholder or wrong type")</f>
        <v>PASS</v>
      </c>
    </row>
    <row r="55" spans="1:17" ht="16" x14ac:dyDescent="0.2">
      <c r="A55" s="39" t="s">
        <v>2128</v>
      </c>
      <c r="B55" s="39" t="s">
        <v>2129</v>
      </c>
      <c r="C55" s="23" t="str">
        <f t="shared" si="0"/>
        <v>PASS</v>
      </c>
    </row>
    <row r="56" spans="1:17" ht="28.5" customHeight="1" x14ac:dyDescent="0.2">
      <c r="A56" s="39" t="s">
        <v>2130</v>
      </c>
      <c r="B56" s="39" t="s">
        <v>2131</v>
      </c>
      <c r="C56" s="23" t="str">
        <f t="shared" si="0"/>
        <v>PASS</v>
      </c>
    </row>
    <row r="57" spans="1:17" ht="16" x14ac:dyDescent="0.2">
      <c r="A57" s="39" t="s">
        <v>2132</v>
      </c>
      <c r="B57" s="39" t="s">
        <v>2133</v>
      </c>
      <c r="C57" s="23" t="str">
        <f t="shared" si="0"/>
        <v>PASS</v>
      </c>
    </row>
    <row r="58" spans="1:17" ht="16" x14ac:dyDescent="0.2">
      <c r="A58" s="39" t="s">
        <v>2134</v>
      </c>
      <c r="B58" s="39" t="s">
        <v>2135</v>
      </c>
      <c r="C58" s="23" t="str">
        <f t="shared" si="0"/>
        <v>PASS</v>
      </c>
    </row>
    <row r="59" spans="1:17" ht="28.5" customHeight="1" x14ac:dyDescent="0.2">
      <c r="A59" s="39" t="s">
        <v>2136</v>
      </c>
      <c r="B59" s="39" t="s">
        <v>2137</v>
      </c>
      <c r="C59" s="23" t="str">
        <f t="shared" si="0"/>
        <v>PASS</v>
      </c>
    </row>
    <row r="60" spans="1:17" ht="28.5" customHeight="1" x14ac:dyDescent="0.2">
      <c r="A60" s="39" t="s">
        <v>2138</v>
      </c>
      <c r="B60" s="39" t="s">
        <v>2139</v>
      </c>
    </row>
    <row r="61" spans="1:17" ht="28.5" customHeight="1" x14ac:dyDescent="0.2">
      <c r="A61" s="39" t="s">
        <v>2140</v>
      </c>
      <c r="B61" s="39" t="s">
        <v>2141</v>
      </c>
      <c r="C61" s="23" t="str">
        <f>IF(AND(LEN(TRIM(A61&amp;""))&gt;0,TRIM(A61&amp;"")&lt;&gt;"—",LEN(TRIM(B61&amp;""))&gt;0,TRIM(B61&amp;"")&lt;&gt;"—"),"PASS","⚠ FAIL — "&amp;"a required cell is empty/placeholder or wrong type")</f>
        <v>PASS</v>
      </c>
    </row>
    <row r="63" spans="1:17" x14ac:dyDescent="0.2">
      <c r="A63" s="6" t="s">
        <v>2125</v>
      </c>
      <c r="B63" s="6"/>
      <c r="C63" s="6"/>
      <c r="D63" s="6"/>
      <c r="E63" s="6"/>
      <c r="F63" s="6"/>
      <c r="G63" s="6"/>
      <c r="H63" s="6"/>
      <c r="I63" s="6"/>
      <c r="J63" s="6"/>
    </row>
    <row r="64" spans="1:17" ht="16" x14ac:dyDescent="0.2">
      <c r="A64" s="16" t="s">
        <v>2142</v>
      </c>
      <c r="B64" s="16" t="s">
        <v>2143</v>
      </c>
      <c r="C64" s="16" t="s">
        <v>2144</v>
      </c>
      <c r="D64" s="16" t="s">
        <v>2145</v>
      </c>
      <c r="E64" s="16" t="s">
        <v>2146</v>
      </c>
      <c r="F64" s="16" t="s">
        <v>2147</v>
      </c>
      <c r="G64" s="16" t="s">
        <v>2148</v>
      </c>
      <c r="H64" s="16" t="s">
        <v>2149</v>
      </c>
      <c r="I64" s="16" t="s">
        <v>2150</v>
      </c>
      <c r="J64" s="16" t="s">
        <v>2151</v>
      </c>
      <c r="K64" s="89" t="s">
        <v>755</v>
      </c>
      <c r="L64" s="90" t="s">
        <v>2152</v>
      </c>
      <c r="M64" s="90" t="s">
        <v>2153</v>
      </c>
      <c r="N64" s="90" t="s">
        <v>756</v>
      </c>
      <c r="O64" s="90" t="s">
        <v>2154</v>
      </c>
      <c r="P64" s="90" t="s">
        <v>2155</v>
      </c>
      <c r="Q64" s="17" t="s">
        <v>20</v>
      </c>
    </row>
    <row r="65" spans="1:17" ht="16" x14ac:dyDescent="0.2">
      <c r="A65" s="39" t="s">
        <v>2156</v>
      </c>
      <c r="B65" s="39" t="str">
        <f>'Part names'!$B$6</f>
        <v>3 Phase Power Input</v>
      </c>
      <c r="C65" s="39">
        <v>1</v>
      </c>
      <c r="D65" s="39">
        <v>0.6</v>
      </c>
      <c r="E65" s="39">
        <v>1.1000000000000001</v>
      </c>
      <c r="F65" s="39" t="s">
        <v>2157</v>
      </c>
      <c r="G65" s="39" t="s">
        <v>2158</v>
      </c>
      <c r="H65" s="39">
        <v>5.7</v>
      </c>
      <c r="I65" s="39">
        <v>4.1000000000000002E-2</v>
      </c>
      <c r="J65" s="77" t="str">
        <f>IF(ISNUMBER(I65),IF(I65&lt;='Audit data'!$D$63,"✓","✗"),"✗")</f>
        <v>✓</v>
      </c>
      <c r="K65" s="77" t="str">
        <f>IF(AND(LEN(TRIM($A65&amp;""))&gt;0,LEN(TRIM(D65&amp;""))&gt;0,ISNUMBER(D65),D65&gt;0,ISNUMBER(E65),E65&gt;0,IF(AND(ISNUMBER(D65),ISNUMBER(E65),E65&gt;0),AND((D65*1000)/('Audit data'!$D$65*'Audit data'!$D$64*E65)&gt;=0.6,(D65*1000)/('Audit data'!$D$65*'Audit data'!$D$64*E65)&lt;=1.05),FALSE()),IF(AND(ISNUMBER(L65),ISNUMBER(E65)),L65&gt;=E65,FALSE()),ISNUMBER(SEARCH("mm",G65&amp;"")),IF(AND(ISNUMBER(M65),ISNUMBER(L65)),L65&lt;=M65,TRUE()),ISNUMBER(H65),H65&gt;0,J65="✓",LEN(TRIM(N65&amp;""))=0),"PASS","FAIL — "&amp;IF(LEN(TRIM(N65&amp;""))&gt;0,TRIM(N65&amp;""),"a circuit cell is missing/non-numeric, I inconsistent with kW at the board voltage, device/cable rating out of order, o…"))</f>
        <v>PASS</v>
      </c>
      <c r="L65" s="87">
        <v>6</v>
      </c>
      <c r="M65" s="87">
        <v>20</v>
      </c>
      <c r="N65" s="78"/>
      <c r="Q65" s="23" t="str">
        <f>IF(AND(LEN(TRIM(A65&amp;""))&gt;0,TRIM(A65&amp;"")&lt;&gt;"—",LEN(TRIM(B65&amp;""))&gt;0,TRIM(B65&amp;"")&lt;&gt;"—",LEN(TRIM(D65&amp;""))&gt;0,TRIM(D65&amp;"")&lt;&gt;"—",ISNUMBER(D65),LEN(TRIM(E65&amp;""))&gt;0,TRIM(E65&amp;"")&lt;&gt;"—",ISNUMBER(E65),LEN(TRIM(F65&amp;""))&gt;0,TRIM(F65&amp;"")&lt;&gt;"—",LEN(TRIM(G65&amp;""))&gt;0,TRIM(G65&amp;"")&lt;&gt;"—",LEN(TRIM(I65&amp;""))&gt;0,TRIM(I65&amp;"")&lt;&gt;"—",LEN(TRIM(J65&amp;""))&gt;0,TRIM(J65&amp;"")&lt;&gt;"—"),"PASS","⚠ FAIL — "&amp;"a required cell is empty/placeholder or wrong type")</f>
        <v>PASS</v>
      </c>
    </row>
    <row r="66" spans="1:17" ht="16" x14ac:dyDescent="0.2">
      <c r="A66" s="39" t="s">
        <v>2159</v>
      </c>
      <c r="B66" s="39" t="str">
        <f>'Part names'!$B$87</f>
        <v>Uv Disinfection</v>
      </c>
      <c r="C66" s="39">
        <v>1</v>
      </c>
      <c r="D66" s="39">
        <v>4</v>
      </c>
      <c r="E66" s="39">
        <v>7.5</v>
      </c>
      <c r="F66" s="39" t="s">
        <v>2160</v>
      </c>
      <c r="G66" s="39" t="s">
        <v>2158</v>
      </c>
      <c r="H66" s="39">
        <v>30.1</v>
      </c>
      <c r="I66" s="39">
        <v>1.4650000000000001</v>
      </c>
      <c r="J66" s="77" t="str">
        <f>IF(ISNUMBER(I66),IF(I66&lt;='Audit data'!$D$63,"✓","✗"),"✗")</f>
        <v>✓</v>
      </c>
      <c r="K66" s="77" t="str">
        <f>IF(AND(LEN(TRIM($A66&amp;""))&gt;0,LEN(TRIM(D66&amp;""))&gt;0,ISNUMBER(D66),D66&gt;0,ISNUMBER(E66),E66&gt;0,IF(AND(ISNUMBER(D66),ISNUMBER(E66),E66&gt;0),AND((D66*1000)/('Audit data'!$D$65*'Audit data'!$D$64*E66)&gt;=0.6,(D66*1000)/('Audit data'!$D$65*'Audit data'!$D$64*E66)&lt;=1.05),FALSE()),IF(AND(ISNUMBER(L66),ISNUMBER(E66)),L66&gt;=E66,FALSE()),ISNUMBER(SEARCH("mm",G66&amp;"")),IF(AND(ISNUMBER(M66),ISNUMBER(L66)),L66&lt;=M66,TRUE()),ISNUMBER(H66),H66&gt;0,J66="✓",LEN(TRIM(N66&amp;""))=0),"PASS","FAIL — "&amp;IF(LEN(TRIM(N66&amp;""))&gt;0,TRIM(N66&amp;""),"a circuit cell is missing/non-numeric, I inconsistent with kW at the board voltage, device/cable rating out of order, o…"))</f>
        <v>PASS</v>
      </c>
      <c r="L66" s="87">
        <v>10</v>
      </c>
      <c r="M66" s="87">
        <v>20</v>
      </c>
      <c r="N66" s="78"/>
      <c r="Q66" s="23" t="str">
        <f>IF(AND(LEN(TRIM(A66&amp;""))&gt;0,TRIM(A66&amp;"")&lt;&gt;"—",LEN(TRIM(B66&amp;""))&gt;0,TRIM(B66&amp;"")&lt;&gt;"—",LEN(TRIM(D66&amp;""))&gt;0,TRIM(D66&amp;"")&lt;&gt;"—",ISNUMBER(D66),LEN(TRIM(E66&amp;""))&gt;0,TRIM(E66&amp;"")&lt;&gt;"—",ISNUMBER(E66),LEN(TRIM(F66&amp;""))&gt;0,TRIM(F66&amp;"")&lt;&gt;"—",LEN(TRIM(G66&amp;""))&gt;0,TRIM(G66&amp;"")&lt;&gt;"—",LEN(TRIM(I66&amp;""))&gt;0,TRIM(I66&amp;"")&lt;&gt;"—",LEN(TRIM(J66&amp;""))&gt;0,TRIM(J66&amp;"")&lt;&gt;"—"),"PASS","⚠ FAIL — "&amp;"a required cell is empty/placeholder or wrong type")</f>
        <v>PASS</v>
      </c>
    </row>
    <row r="67" spans="1:17" ht="16" x14ac:dyDescent="0.2">
      <c r="A67" s="39" t="s">
        <v>2161</v>
      </c>
      <c r="B67" s="39" t="str">
        <f>'Part names'!$B$30</f>
        <v>Fertigation Dosing Pump</v>
      </c>
      <c r="C67" s="39">
        <v>2</v>
      </c>
      <c r="D67" s="39" t="s">
        <v>2162</v>
      </c>
      <c r="E67" s="39">
        <v>15.1</v>
      </c>
      <c r="F67" s="39" t="s">
        <v>2163</v>
      </c>
      <c r="G67" s="39" t="s">
        <v>2158</v>
      </c>
      <c r="H67" s="39">
        <v>8.6999999999999993</v>
      </c>
      <c r="I67" s="39">
        <v>0.85</v>
      </c>
      <c r="J67" s="77" t="str">
        <f>IF(ISNUMBER(I67),IF(I67&lt;='Audit data'!$D$63,"✓","✗"),"✗")</f>
        <v>✓</v>
      </c>
      <c r="K67" s="77" t="str">
        <f>IF(AND(LEN(TRIM($A67&amp;""))&gt;0,LEN(TRIM(D67&amp;""))&gt;0,ISNUMBER(O67),O67&gt;0,ISNUMBER(E67),E67&gt;0,IF(AND(ISNUMBER(O67),ISNUMBER(E67),E67&gt;0),AND((O67*1000)/('Audit data'!$D$65*'Audit data'!$D$64*E67)&gt;=0.6,(O67*1000)/('Audit data'!$D$65*'Audit data'!$D$64*E67)&lt;=1.05),FALSE()),IF(AND(ISNUMBER(L67),ISNUMBER(E67)),L67&gt;=E67,FALSE()),ISNUMBER(SEARCH("mm",G67&amp;"")),IF(AND(ISNUMBER(M67),ISNUMBER(L67)),L67&lt;=M67,TRUE()),ISNUMBER(H67),H67&gt;0,J67="✓",LEN(TRIM(N67&amp;""))=0),"PASS","FAIL — "&amp;IF(LEN(TRIM(N67&amp;""))&gt;0,TRIM(N67&amp;""),"a circuit cell is missing/non-numeric, I inconsistent with kW at the board voltage, device/cable rating out of order, o…"))</f>
        <v>PASS</v>
      </c>
      <c r="L67" s="87">
        <v>16</v>
      </c>
      <c r="M67" s="87">
        <v>20</v>
      </c>
      <c r="N67" s="78"/>
      <c r="O67" s="87">
        <v>7.5</v>
      </c>
      <c r="Q67" s="23" t="str">
        <f>IF(AND(LEN(TRIM(A67&amp;""))&gt;0,TRIM(A67&amp;"")&lt;&gt;"—",LEN(TRIM(B67&amp;""))&gt;0,TRIM(B67&amp;"")&lt;&gt;"—",LEN(TRIM(D67&amp;""))&gt;0,TRIM(D67&amp;"")&lt;&gt;"—",LEN(TRIM(E67&amp;""))&gt;0,TRIM(E67&amp;"")&lt;&gt;"—",ISNUMBER(E67),LEN(TRIM(F67&amp;""))&gt;0,TRIM(F67&amp;"")&lt;&gt;"—",LEN(TRIM(G67&amp;""))&gt;0,TRIM(G67&amp;"")&lt;&gt;"—",LEN(TRIM(I67&amp;""))&gt;0,TRIM(I67&amp;"")&lt;&gt;"—",LEN(TRIM(J67&amp;""))&gt;0,TRIM(J67&amp;"")&lt;&gt;"—"),"PASS","⚠ FAIL — "&amp;"a required cell is empty/placeholder or wrong type")</f>
        <v>PASS</v>
      </c>
    </row>
    <row r="68" spans="1:17" ht="16" x14ac:dyDescent="0.2">
      <c r="A68" s="39" t="s">
        <v>2164</v>
      </c>
      <c r="B68" s="39" t="str">
        <f>'Part names'!$B$38</f>
        <v>Hand Watering Pump</v>
      </c>
      <c r="C68" s="39">
        <v>1</v>
      </c>
      <c r="D68" s="39">
        <v>2.8</v>
      </c>
      <c r="E68" s="39">
        <v>5.3</v>
      </c>
      <c r="F68" s="39" t="s">
        <v>2157</v>
      </c>
      <c r="G68" s="39" t="s">
        <v>2158</v>
      </c>
      <c r="H68" s="39">
        <v>36.5</v>
      </c>
      <c r="I68" s="39">
        <v>1.2549999999999999</v>
      </c>
      <c r="J68" s="77" t="str">
        <f>IF(ISNUMBER(I68),IF(I68&lt;='Audit data'!$D$63,"✓","✗"),"✗")</f>
        <v>✓</v>
      </c>
      <c r="K68" s="77" t="str">
        <f>IF(AND(LEN(TRIM($A68&amp;""))&gt;0,LEN(TRIM(D68&amp;""))&gt;0,ISNUMBER(D68),D68&gt;0,ISNUMBER(E68),E68&gt;0,IF(AND(ISNUMBER(D68),ISNUMBER(E68),E68&gt;0),AND((D68*1000)/('Audit data'!$D$65*'Audit data'!$D$64*E68)&gt;=0.6,(D68*1000)/('Audit data'!$D$65*'Audit data'!$D$64*E68)&lt;=1.05),FALSE()),IF(AND(ISNUMBER(L68),ISNUMBER(E68)),L68&gt;=E68,FALSE()),ISNUMBER(SEARCH("mm",G68&amp;"")),IF(AND(ISNUMBER(M68),ISNUMBER(L68)),L68&lt;=M68,TRUE()),ISNUMBER(H68),H68&gt;0,J68="✓",LEN(TRIM(N68&amp;""))=0),"PASS","FAIL — "&amp;IF(LEN(TRIM(N68&amp;""))&gt;0,TRIM(N68&amp;""),"a circuit cell is missing/non-numeric, I inconsistent with kW at the board voltage, device/cable rating out of order, o…"))</f>
        <v>PASS</v>
      </c>
      <c r="L68" s="87">
        <v>6</v>
      </c>
      <c r="M68" s="87">
        <v>20</v>
      </c>
      <c r="N68" s="78"/>
      <c r="Q68" s="23" t="str">
        <f>IF(AND(LEN(TRIM(A68&amp;""))&gt;0,TRIM(A68&amp;"")&lt;&gt;"—",LEN(TRIM(B68&amp;""))&gt;0,TRIM(B68&amp;"")&lt;&gt;"—",LEN(TRIM(D68&amp;""))&gt;0,TRIM(D68&amp;"")&lt;&gt;"—",ISNUMBER(D68),LEN(TRIM(E68&amp;""))&gt;0,TRIM(E68&amp;"")&lt;&gt;"—",ISNUMBER(E68),LEN(TRIM(F68&amp;""))&gt;0,TRIM(F68&amp;"")&lt;&gt;"—",LEN(TRIM(G68&amp;""))&gt;0,TRIM(G68&amp;"")&lt;&gt;"—",LEN(TRIM(I68&amp;""))&gt;0,TRIM(I68&amp;"")&lt;&gt;"—",LEN(TRIM(J68&amp;""))&gt;0,TRIM(J68&amp;"")&lt;&gt;"—"),"PASS","⚠ FAIL — "&amp;"a required cell is empty/placeholder or wrong type")</f>
        <v>PASS</v>
      </c>
    </row>
    <row r="69" spans="1:17" ht="16" x14ac:dyDescent="0.2">
      <c r="A69" s="39" t="s">
        <v>2165</v>
      </c>
      <c r="B69" s="39" t="str">
        <f>'Part names'!$B$23</f>
        <v>Drain Transfer Pump</v>
      </c>
      <c r="C69" s="39">
        <v>2</v>
      </c>
      <c r="D69" s="39" t="s">
        <v>2166</v>
      </c>
      <c r="E69" s="39">
        <v>3.8</v>
      </c>
      <c r="F69" s="39" t="s">
        <v>2157</v>
      </c>
      <c r="G69" s="39" t="s">
        <v>2158</v>
      </c>
      <c r="H69" s="39">
        <v>20.7</v>
      </c>
      <c r="I69" s="39">
        <v>0.51200000000000001</v>
      </c>
      <c r="J69" s="77" t="str">
        <f>IF(ISNUMBER(I69),IF(I69&lt;='Audit data'!$D$63,"✓","✗"),"✗")</f>
        <v>✓</v>
      </c>
      <c r="K69" s="77" t="str">
        <f>IF(AND(LEN(TRIM($A69&amp;""))&gt;0,LEN(TRIM(D69&amp;""))&gt;0,ISNUMBER(O69),O69&gt;0,ISNUMBER(E69),E69&gt;0,IF(AND(ISNUMBER(O69),ISNUMBER(E69),E69&gt;0),AND((O69*1000)/('Audit data'!$D$65*'Audit data'!$D$64*E69)&gt;=0.6,(O69*1000)/('Audit data'!$D$65*'Audit data'!$D$64*E69)&lt;=1.05),FALSE()),IF(AND(ISNUMBER(L69),ISNUMBER(E69)),L69&gt;=E69,FALSE()),ISNUMBER(SEARCH("mm",G69&amp;"")),IF(AND(ISNUMBER(M69),ISNUMBER(L69)),L69&lt;=M69,TRUE()),ISNUMBER(H69),H69&gt;0,J69="✓",LEN(TRIM(N69&amp;""))=0),"PASS","FAIL — "&amp;IF(LEN(TRIM(N69&amp;""))&gt;0,TRIM(N69&amp;""),"a circuit cell is missing/non-numeric, I inconsistent with kW at the board voltage, device/cable rating out of order, o…"))</f>
        <v>PASS</v>
      </c>
      <c r="L69" s="87">
        <v>6</v>
      </c>
      <c r="M69" s="87">
        <v>20</v>
      </c>
      <c r="N69" s="78"/>
      <c r="O69" s="87">
        <v>1.92</v>
      </c>
      <c r="Q69" s="23" t="str">
        <f>IF(AND(LEN(TRIM(A69&amp;""))&gt;0,TRIM(A69&amp;"")&lt;&gt;"—",LEN(TRIM(B69&amp;""))&gt;0,TRIM(B69&amp;"")&lt;&gt;"—",LEN(TRIM(D69&amp;""))&gt;0,TRIM(D69&amp;"")&lt;&gt;"—",LEN(TRIM(E69&amp;""))&gt;0,TRIM(E69&amp;"")&lt;&gt;"—",ISNUMBER(E69),LEN(TRIM(F69&amp;""))&gt;0,TRIM(F69&amp;"")&lt;&gt;"—",LEN(TRIM(G69&amp;""))&gt;0,TRIM(G69&amp;"")&lt;&gt;"—",LEN(TRIM(I69&amp;""))&gt;0,TRIM(I69&amp;"")&lt;&gt;"—",LEN(TRIM(J69&amp;""))&gt;0,TRIM(J69&amp;"")&lt;&gt;"—"),"PASS","⚠ FAIL — "&amp;"a required cell is empty/placeholder or wrong type")</f>
        <v>PASS</v>
      </c>
    </row>
    <row r="70" spans="1:17" ht="16" x14ac:dyDescent="0.2">
      <c r="A70" s="39" t="s">
        <v>2167</v>
      </c>
      <c r="B70" s="39" t="str">
        <f>'Part names'!$B$12</f>
        <v>Cloth Filter</v>
      </c>
      <c r="C70" s="39">
        <v>2</v>
      </c>
      <c r="D70" s="39" t="s">
        <v>2168</v>
      </c>
      <c r="E70" s="39">
        <v>1.1000000000000001</v>
      </c>
      <c r="F70" s="39" t="s">
        <v>2157</v>
      </c>
      <c r="G70" s="39" t="s">
        <v>2158</v>
      </c>
      <c r="H70" s="39">
        <v>26.2</v>
      </c>
      <c r="I70" s="39">
        <v>0.187</v>
      </c>
      <c r="J70" s="77" t="str">
        <f>IF(ISNUMBER(I70),IF(I70&lt;='Audit data'!$D$63,"✓","✗"),"✗")</f>
        <v>✓</v>
      </c>
      <c r="K70" s="77" t="str">
        <f>IF(AND(LEN(TRIM($A70&amp;""))&gt;0,LEN(TRIM(D70&amp;""))&gt;0,ISNUMBER(O70),O70&gt;0,ISNUMBER(E70),E70&gt;0,IF(AND(ISNUMBER(O70),ISNUMBER(E70),E70&gt;0),AND((O70*1000)/('Audit data'!$D$65*'Audit data'!$D$64*E70)&gt;=0.6,(O70*1000)/('Audit data'!$D$65*'Audit data'!$D$64*E70)&lt;=1.05),FALSE()),IF(AND(ISNUMBER(L70),ISNUMBER(E70)),L70&gt;=E70,FALSE()),ISNUMBER(SEARCH("mm",G70&amp;"")),IF(AND(ISNUMBER(M70),ISNUMBER(L70)),L70&lt;=M70,TRUE()),ISNUMBER(H70),H70&gt;0,J70="✓",LEN(TRIM(N70&amp;""))=0),"PASS","FAIL — "&amp;IF(LEN(TRIM(N70&amp;""))&gt;0,TRIM(N70&amp;""),"a circuit cell is missing/non-numeric, I inconsistent with kW at the board voltage, device/cable rating out of order, o…"))</f>
        <v>PASS</v>
      </c>
      <c r="L70" s="87">
        <v>6</v>
      </c>
      <c r="M70" s="87">
        <v>20</v>
      </c>
      <c r="N70" s="78"/>
      <c r="O70" s="87">
        <v>0.6</v>
      </c>
      <c r="Q70" s="23" t="str">
        <f>IF(AND(LEN(TRIM(A70&amp;""))&gt;0,TRIM(A70&amp;"")&lt;&gt;"—",LEN(TRIM(B70&amp;""))&gt;0,TRIM(B70&amp;"")&lt;&gt;"—",LEN(TRIM(D70&amp;""))&gt;0,TRIM(D70&amp;"")&lt;&gt;"—",LEN(TRIM(E70&amp;""))&gt;0,TRIM(E70&amp;"")&lt;&gt;"—",ISNUMBER(E70),LEN(TRIM(F70&amp;""))&gt;0,TRIM(F70&amp;"")&lt;&gt;"—",LEN(TRIM(G70&amp;""))&gt;0,TRIM(G70&amp;"")&lt;&gt;"—",LEN(TRIM(I70&amp;""))&gt;0,TRIM(I70&amp;"")&lt;&gt;"—",LEN(TRIM(J70&amp;""))&gt;0,TRIM(J70&amp;"")&lt;&gt;"—"),"PASS","⚠ FAIL — "&amp;"a required cell is empty/placeholder or wrong type")</f>
        <v>PASS</v>
      </c>
    </row>
    <row r="71" spans="1:17" ht="16" x14ac:dyDescent="0.2">
      <c r="A71" s="39" t="s">
        <v>2169</v>
      </c>
      <c r="B71" s="39" t="s">
        <v>2170</v>
      </c>
      <c r="C71" s="39">
        <v>1</v>
      </c>
      <c r="D71" s="39">
        <v>9.65</v>
      </c>
      <c r="E71" s="39">
        <v>18.2</v>
      </c>
      <c r="F71" s="39" t="s">
        <v>2171</v>
      </c>
      <c r="G71" s="39" t="s">
        <v>2158</v>
      </c>
      <c r="H71" s="39">
        <v>33.200000000000003</v>
      </c>
      <c r="I71" s="39">
        <v>3.931</v>
      </c>
      <c r="J71" s="77" t="str">
        <f>IF(ISNUMBER(I71),IF(I71&lt;='Audit data'!$D$63,"✓","✗"),"✗")</f>
        <v>✓</v>
      </c>
      <c r="K71" s="77" t="str">
        <f>IF(AND(LEN(TRIM($A71&amp;""))&gt;0,LEN(TRIM(D71&amp;""))&gt;0,ISNUMBER(D71),D71&gt;0,ISNUMBER(E71),E71&gt;0,IF(AND(ISNUMBER(D71),ISNUMBER(E71),E71&gt;0),AND((D71*1000)/('Audit data'!$D$65*'Audit data'!$D$64*E71)&gt;=0.6,(D71*1000)/('Audit data'!$D$65*'Audit data'!$D$64*E71)&lt;=1.05),FALSE()),IF(AND(ISNUMBER(L71),ISNUMBER(E71)),L71&gt;=E71,FALSE()),ISNUMBER(SEARCH("mm",G71&amp;"")),IF(AND(ISNUMBER(M71),ISNUMBER(L71)),L71&lt;=M71,TRUE()),ISNUMBER(H71),H71&gt;0,J71="✓",LEN(TRIM(N71&amp;""))=0),"PASS","FAIL — "&amp;IF(LEN(TRIM(N71&amp;""))&gt;0,TRIM(N71&amp;""),"a circuit cell is missing/non-numeric, I inconsistent with kW at the board voltage, device/cable rating out of order, o…"))</f>
        <v>PASS</v>
      </c>
      <c r="L71" s="87">
        <v>20</v>
      </c>
      <c r="M71" s="87">
        <v>20</v>
      </c>
      <c r="N71" s="78"/>
      <c r="Q71" s="23" t="str">
        <f t="shared" ref="Q71:Q80" si="1">IF(AND(LEN(TRIM(A71&amp;""))&gt;0,TRIM(A71&amp;"")&lt;&gt;"—",LEN(TRIM(B71&amp;""))&gt;0,TRIM(B71&amp;"")&lt;&gt;"—",LEN(TRIM(D71&amp;""))&gt;0,TRIM(D71&amp;"")&lt;&gt;"—",ISNUMBER(D71),LEN(TRIM(E71&amp;""))&gt;0,TRIM(E71&amp;"")&lt;&gt;"—",ISNUMBER(E71),LEN(TRIM(F71&amp;""))&gt;0,TRIM(F71&amp;"")&lt;&gt;"—",LEN(TRIM(G71&amp;""))&gt;0,TRIM(G71&amp;"")&lt;&gt;"—",LEN(TRIM(I71&amp;""))&gt;0,TRIM(I71&amp;"")&lt;&gt;"—",LEN(TRIM(J71&amp;""))&gt;0,TRIM(J71&amp;"")&lt;&gt;"—"),"PASS","⚠ FAIL — "&amp;"a required cell is empty/placeholder or wrong type")</f>
        <v>PASS</v>
      </c>
    </row>
    <row r="72" spans="1:17" ht="16" x14ac:dyDescent="0.2">
      <c r="A72" s="39" t="s">
        <v>2172</v>
      </c>
      <c r="B72" s="39" t="str">
        <f>'Part names'!$B$71</f>
        <v>Ro High Pressure Pump</v>
      </c>
      <c r="C72" s="39">
        <v>1</v>
      </c>
      <c r="D72" s="39">
        <v>4.2</v>
      </c>
      <c r="E72" s="39">
        <v>7.9</v>
      </c>
      <c r="F72" s="39" t="s">
        <v>2160</v>
      </c>
      <c r="G72" s="39" t="s">
        <v>2158</v>
      </c>
      <c r="H72" s="39">
        <v>37.6</v>
      </c>
      <c r="I72" s="39">
        <v>1.931</v>
      </c>
      <c r="J72" s="77" t="str">
        <f>IF(ISNUMBER(I72),IF(I72&lt;='Audit data'!$D$63,"✓","✗"),"✗")</f>
        <v>✓</v>
      </c>
      <c r="K72" s="77" t="str">
        <f>IF(AND(LEN(TRIM($A72&amp;""))&gt;0,LEN(TRIM(D72&amp;""))&gt;0,ISNUMBER(D72),D72&gt;0,ISNUMBER(E72),E72&gt;0,IF(AND(ISNUMBER(D72),ISNUMBER(E72),E72&gt;0),AND((D72*1000)/('Audit data'!$D$65*'Audit data'!$D$64*E72)&gt;=0.6,(D72*1000)/('Audit data'!$D$65*'Audit data'!$D$64*E72)&lt;=1.05),FALSE()),IF(AND(ISNUMBER(L72),ISNUMBER(E72)),L72&gt;=E72,FALSE()),ISNUMBER(SEARCH("mm",G72&amp;"")),IF(AND(ISNUMBER(M72),ISNUMBER(L72)),L72&lt;=M72,TRUE()),ISNUMBER(H72),H72&gt;0,J72="✓",LEN(TRIM(N72&amp;""))=0),"PASS","FAIL — "&amp;IF(LEN(TRIM(N72&amp;""))&gt;0,TRIM(N72&amp;""),"a circuit cell is missing/non-numeric, I inconsistent with kW at the board voltage, device/cable rating out of order, o…"))</f>
        <v>PASS</v>
      </c>
      <c r="L72" s="87">
        <v>10</v>
      </c>
      <c r="M72" s="87">
        <v>20</v>
      </c>
      <c r="N72" s="78"/>
      <c r="Q72" s="23" t="str">
        <f t="shared" si="1"/>
        <v>PASS</v>
      </c>
    </row>
    <row r="73" spans="1:17" ht="16" x14ac:dyDescent="0.2">
      <c r="A73" s="39" t="s">
        <v>2173</v>
      </c>
      <c r="B73" s="39" t="str">
        <f>'Part names'!$B$35</f>
        <v>Gac Filter</v>
      </c>
      <c r="C73" s="39">
        <v>1</v>
      </c>
      <c r="D73" s="39">
        <v>0.6</v>
      </c>
      <c r="E73" s="39">
        <v>1.1000000000000001</v>
      </c>
      <c r="F73" s="39" t="s">
        <v>2157</v>
      </c>
      <c r="G73" s="39" t="s">
        <v>2158</v>
      </c>
      <c r="H73" s="39">
        <v>38.9</v>
      </c>
      <c r="I73" s="39">
        <v>0.27800000000000002</v>
      </c>
      <c r="J73" s="77" t="str">
        <f>IF(ISNUMBER(I73),IF(I73&lt;='Audit data'!$D$63,"✓","✗"),"✗")</f>
        <v>✓</v>
      </c>
      <c r="K73" s="77" t="str">
        <f>IF(AND(LEN(TRIM($A73&amp;""))&gt;0,LEN(TRIM(D73&amp;""))&gt;0,ISNUMBER(D73),D73&gt;0,ISNUMBER(E73),E73&gt;0,IF(AND(ISNUMBER(D73),ISNUMBER(E73),E73&gt;0),AND((D73*1000)/('Audit data'!$D$65*'Audit data'!$D$64*E73)&gt;=0.6,(D73*1000)/('Audit data'!$D$65*'Audit data'!$D$64*E73)&lt;=1.05),FALSE()),IF(AND(ISNUMBER(L73),ISNUMBER(E73)),L73&gt;=E73,FALSE()),ISNUMBER(SEARCH("mm",G73&amp;"")),IF(AND(ISNUMBER(M73),ISNUMBER(L73)),L73&lt;=M73,TRUE()),ISNUMBER(H73),H73&gt;0,J73="✓",LEN(TRIM(N73&amp;""))=0),"PASS","FAIL — "&amp;IF(LEN(TRIM(N73&amp;""))&gt;0,TRIM(N73&amp;""),"a circuit cell is missing/non-numeric, I inconsistent with kW at the board voltage, device/cable rating out of order, o…"))</f>
        <v>PASS</v>
      </c>
      <c r="L73" s="87">
        <v>6</v>
      </c>
      <c r="M73" s="87">
        <v>20</v>
      </c>
      <c r="N73" s="78"/>
      <c r="Q73" s="23" t="str">
        <f t="shared" si="1"/>
        <v>PASS</v>
      </c>
    </row>
    <row r="74" spans="1:17" ht="16" x14ac:dyDescent="0.2">
      <c r="A74" s="39" t="s">
        <v>2174</v>
      </c>
      <c r="B74" s="39" t="str">
        <f>'Part names'!$B$60</f>
        <v>Permeate Outlet</v>
      </c>
      <c r="C74" s="39">
        <v>1</v>
      </c>
      <c r="D74" s="39">
        <v>0.6</v>
      </c>
      <c r="E74" s="39">
        <v>1.1000000000000001</v>
      </c>
      <c r="F74" s="39" t="s">
        <v>2157</v>
      </c>
      <c r="G74" s="39" t="s">
        <v>2158</v>
      </c>
      <c r="H74" s="39">
        <v>24.5</v>
      </c>
      <c r="I74" s="39">
        <v>0.17499999999999999</v>
      </c>
      <c r="J74" s="77" t="str">
        <f>IF(ISNUMBER(I74),IF(I74&lt;='Audit data'!$D$63,"✓","✗"),"✗")</f>
        <v>✓</v>
      </c>
      <c r="K74" s="77" t="str">
        <f>IF(AND(LEN(TRIM($A74&amp;""))&gt;0,LEN(TRIM(D74&amp;""))&gt;0,ISNUMBER(D74),D74&gt;0,ISNUMBER(E74),E74&gt;0,IF(AND(ISNUMBER(D74),ISNUMBER(E74),E74&gt;0),AND((D74*1000)/('Audit data'!$D$65*'Audit data'!$D$64*E74)&gt;=0.6,(D74*1000)/('Audit data'!$D$65*'Audit data'!$D$64*E74)&lt;=1.05),FALSE()),IF(AND(ISNUMBER(L74),ISNUMBER(E74)),L74&gt;=E74,FALSE()),ISNUMBER(SEARCH("mm",G74&amp;"")),IF(AND(ISNUMBER(M74),ISNUMBER(L74)),L74&lt;=M74,TRUE()),ISNUMBER(H74),H74&gt;0,J74="✓",LEN(TRIM(N74&amp;""))=0),"PASS","FAIL — "&amp;IF(LEN(TRIM(N74&amp;""))&gt;0,TRIM(N74&amp;""),"a circuit cell is missing/non-numeric, I inconsistent with kW at the board voltage, device/cable rating out of order, o…"))</f>
        <v>PASS</v>
      </c>
      <c r="L74" s="87">
        <v>6</v>
      </c>
      <c r="M74" s="87">
        <v>20</v>
      </c>
      <c r="N74" s="78"/>
      <c r="Q74" s="23" t="str">
        <f t="shared" si="1"/>
        <v>PASS</v>
      </c>
    </row>
    <row r="75" spans="1:17" ht="16" x14ac:dyDescent="0.2">
      <c r="A75" s="39" t="s">
        <v>2175</v>
      </c>
      <c r="B75" s="39" t="str">
        <f>'Part names'!$B$14</f>
        <v>Concentrate Outlet</v>
      </c>
      <c r="C75" s="39">
        <v>1</v>
      </c>
      <c r="D75" s="39">
        <v>0.6</v>
      </c>
      <c r="E75" s="39">
        <v>1.1000000000000001</v>
      </c>
      <c r="F75" s="39" t="s">
        <v>2157</v>
      </c>
      <c r="G75" s="39" t="s">
        <v>2158</v>
      </c>
      <c r="H75" s="39">
        <v>21.5</v>
      </c>
      <c r="I75" s="39">
        <v>0.154</v>
      </c>
      <c r="J75" s="77" t="str">
        <f>IF(ISNUMBER(I75),IF(I75&lt;='Audit data'!$D$63,"✓","✗"),"✗")</f>
        <v>✓</v>
      </c>
      <c r="K75" s="77" t="str">
        <f>IF(AND(LEN(TRIM($A75&amp;""))&gt;0,LEN(TRIM(D75&amp;""))&gt;0,ISNUMBER(D75),D75&gt;0,ISNUMBER(E75),E75&gt;0,IF(AND(ISNUMBER(D75),ISNUMBER(E75),E75&gt;0),AND((D75*1000)/('Audit data'!$D$65*'Audit data'!$D$64*E75)&gt;=0.6,(D75*1000)/('Audit data'!$D$65*'Audit data'!$D$64*E75)&lt;=1.05),FALSE()),IF(AND(ISNUMBER(L75),ISNUMBER(E75)),L75&gt;=E75,FALSE()),ISNUMBER(SEARCH("mm",G75&amp;"")),IF(AND(ISNUMBER(M75),ISNUMBER(L75)),L75&lt;=M75,TRUE()),ISNUMBER(H75),H75&gt;0,J75="✓",LEN(TRIM(N75&amp;""))=0),"PASS","FAIL — "&amp;IF(LEN(TRIM(N75&amp;""))&gt;0,TRIM(N75&amp;""),"a circuit cell is missing/non-numeric, I inconsistent with kW at the board voltage, device/cable rating out of order, o…"))</f>
        <v>PASS</v>
      </c>
      <c r="L75" s="87">
        <v>6</v>
      </c>
      <c r="M75" s="87">
        <v>20</v>
      </c>
      <c r="N75" s="78"/>
      <c r="Q75" s="23" t="str">
        <f t="shared" si="1"/>
        <v>PASS</v>
      </c>
    </row>
    <row r="76" spans="1:17" ht="16" x14ac:dyDescent="0.2">
      <c r="A76" s="39" t="s">
        <v>2176</v>
      </c>
      <c r="B76" s="39" t="str">
        <f>'Part names'!$B$26</f>
        <v>Electrical Control Panel</v>
      </c>
      <c r="C76" s="39">
        <v>1</v>
      </c>
      <c r="D76" s="39">
        <v>0.2</v>
      </c>
      <c r="E76" s="39">
        <v>0.4</v>
      </c>
      <c r="F76" s="39" t="s">
        <v>2157</v>
      </c>
      <c r="G76" s="39" t="s">
        <v>2158</v>
      </c>
      <c r="H76" s="39">
        <v>7.5</v>
      </c>
      <c r="I76" s="39">
        <v>0.02</v>
      </c>
      <c r="J76" s="77" t="str">
        <f>IF(ISNUMBER(I76),IF(I76&lt;='Audit data'!$D$63,"✓","✗"),"✗")</f>
        <v>✓</v>
      </c>
      <c r="K76" s="77" t="str">
        <f>IF(AND(LEN(TRIM($A76&amp;""))&gt;0,LEN(TRIM(D76&amp;""))&gt;0,ISNUMBER(D76),D76&gt;0,ISNUMBER(E76),E76&gt;0,IF(AND(ISNUMBER(D76),ISNUMBER(E76),E76&gt;0),AND((D76*1000)/('Audit data'!$D$65*'Audit data'!$D$64*E76)&gt;=0.6,(D76*1000)/('Audit data'!$D$65*'Audit data'!$D$64*E76)&lt;=1.05),FALSE()),IF(AND(ISNUMBER(L76),ISNUMBER(E76)),L76&gt;=E76,FALSE()),ISNUMBER(SEARCH("mm",G76&amp;"")),IF(AND(ISNUMBER(M76),ISNUMBER(L76)),L76&lt;=M76,TRUE()),ISNUMBER(H76),H76&gt;0,J76="✓",LEN(TRIM(N76&amp;""))=0),"PASS","FAIL — "&amp;IF(LEN(TRIM(N76&amp;""))&gt;0,TRIM(N76&amp;""),"a circuit cell is missing/non-numeric, I inconsistent with kW at the board voltage, device/cable rating out of order, o…"))</f>
        <v>PASS</v>
      </c>
      <c r="L76" s="87">
        <v>6</v>
      </c>
      <c r="M76" s="87">
        <v>20</v>
      </c>
      <c r="N76" s="78"/>
      <c r="Q76" s="23" t="str">
        <f t="shared" si="1"/>
        <v>PASS</v>
      </c>
    </row>
    <row r="77" spans="1:17" ht="16" x14ac:dyDescent="0.2">
      <c r="A77" s="39" t="s">
        <v>2177</v>
      </c>
      <c r="B77" s="39" t="str">
        <f>'Part names'!$B$16</f>
        <v>Control + Instrument UPS</v>
      </c>
      <c r="C77" s="39">
        <v>1</v>
      </c>
      <c r="D77" s="39">
        <v>0.5</v>
      </c>
      <c r="E77" s="39">
        <v>0.9</v>
      </c>
      <c r="F77" s="39" t="s">
        <v>2157</v>
      </c>
      <c r="G77" s="39" t="s">
        <v>2158</v>
      </c>
      <c r="H77" s="39">
        <v>7.7</v>
      </c>
      <c r="I77" s="39">
        <v>4.4999999999999998E-2</v>
      </c>
      <c r="J77" s="77" t="str">
        <f>IF(ISNUMBER(I77),IF(I77&lt;='Audit data'!$D$63,"✓","✗"),"✗")</f>
        <v>✓</v>
      </c>
      <c r="K77" s="77" t="str">
        <f>IF(AND(LEN(TRIM($A77&amp;""))&gt;0,LEN(TRIM(D77&amp;""))&gt;0,ISNUMBER(D77),D77&gt;0,ISNUMBER(E77),E77&gt;0,IF(AND(ISNUMBER(D77),ISNUMBER(E77),E77&gt;0),AND((D77*1000)/('Audit data'!$D$65*'Audit data'!$D$64*E77)&gt;=0.6,(D77*1000)/('Audit data'!$D$65*'Audit data'!$D$64*E77)&lt;=1.05),FALSE()),IF(AND(ISNUMBER(L77),ISNUMBER(E77)),L77&gt;=E77,FALSE()),ISNUMBER(SEARCH("mm",G77&amp;"")),IF(AND(ISNUMBER(M77),ISNUMBER(L77)),L77&lt;=M77,TRUE()),ISNUMBER(H77),H77&gt;0,J77="✓",LEN(TRIM(N77&amp;""))=0),"PASS","FAIL — "&amp;IF(LEN(TRIM(N77&amp;""))&gt;0,TRIM(N77&amp;""),"a circuit cell is missing/non-numeric, I inconsistent with kW at the board voltage, device/cable rating out of order, o…"))</f>
        <v>PASS</v>
      </c>
      <c r="L77" s="87">
        <v>6</v>
      </c>
      <c r="M77" s="87">
        <v>20</v>
      </c>
      <c r="N77" s="78"/>
      <c r="Q77" s="23" t="str">
        <f t="shared" si="1"/>
        <v>PASS</v>
      </c>
    </row>
    <row r="78" spans="1:17" ht="16" x14ac:dyDescent="0.2">
      <c r="A78" s="39" t="s">
        <v>2178</v>
      </c>
      <c r="B78" s="39" t="str">
        <f>'Part names'!$B$73</f>
        <v>SCADA / Plant Control System</v>
      </c>
      <c r="C78" s="39">
        <v>1</v>
      </c>
      <c r="D78" s="39">
        <v>0.5</v>
      </c>
      <c r="E78" s="39">
        <v>0.9</v>
      </c>
      <c r="F78" s="39" t="s">
        <v>2157</v>
      </c>
      <c r="G78" s="39" t="s">
        <v>2158</v>
      </c>
      <c r="H78" s="39">
        <v>7.4</v>
      </c>
      <c r="I78" s="39">
        <v>4.2999999999999997E-2</v>
      </c>
      <c r="J78" s="77" t="str">
        <f>IF(ISNUMBER(I78),IF(I78&lt;='Audit data'!$D$63,"✓","✗"),"✗")</f>
        <v>✓</v>
      </c>
      <c r="K78" s="77" t="str">
        <f>IF(AND(LEN(TRIM($A78&amp;""))&gt;0,LEN(TRIM(D78&amp;""))&gt;0,ISNUMBER(D78),D78&gt;0,ISNUMBER(E78),E78&gt;0,IF(AND(ISNUMBER(D78),ISNUMBER(E78),E78&gt;0),AND((D78*1000)/('Audit data'!$D$65*'Audit data'!$D$64*E78)&gt;=0.6,(D78*1000)/('Audit data'!$D$65*'Audit data'!$D$64*E78)&lt;=1.05),FALSE()),IF(AND(ISNUMBER(L78),ISNUMBER(E78)),L78&gt;=E78,FALSE()),ISNUMBER(SEARCH("mm",G78&amp;"")),IF(AND(ISNUMBER(M78),ISNUMBER(L78)),L78&lt;=M78,TRUE()),ISNUMBER(H78),H78&gt;0,J78="✓",LEN(TRIM(N78&amp;""))=0),"PASS","FAIL — "&amp;IF(LEN(TRIM(N78&amp;""))&gt;0,TRIM(N78&amp;""),"a circuit cell is missing/non-numeric, I inconsistent with kW at the board voltage, device/cable rating out of order, o…"))</f>
        <v>PASS</v>
      </c>
      <c r="L78" s="87">
        <v>6</v>
      </c>
      <c r="M78" s="87">
        <v>20</v>
      </c>
      <c r="N78" s="78"/>
      <c r="Q78" s="23" t="str">
        <f t="shared" si="1"/>
        <v>PASS</v>
      </c>
    </row>
    <row r="79" spans="1:17" ht="16" x14ac:dyDescent="0.2">
      <c r="A79" s="39" t="s">
        <v>2179</v>
      </c>
      <c r="B79" s="39" t="str">
        <f>'Part names'!$B$25</f>
        <v>Electrical Control Cabinet</v>
      </c>
      <c r="C79" s="39">
        <v>1</v>
      </c>
      <c r="D79" s="39">
        <v>0.2</v>
      </c>
      <c r="E79" s="39">
        <v>0.4</v>
      </c>
      <c r="F79" s="39" t="s">
        <v>2157</v>
      </c>
      <c r="G79" s="39" t="s">
        <v>2158</v>
      </c>
      <c r="H79" s="39">
        <v>33.200000000000003</v>
      </c>
      <c r="I79" s="39">
        <v>8.5999999999999993E-2</v>
      </c>
      <c r="J79" s="77" t="str">
        <f>IF(ISNUMBER(I79),IF(I79&lt;='Audit data'!$D$63,"✓","✗"),"✗")</f>
        <v>✓</v>
      </c>
      <c r="K79" s="77" t="str">
        <f>IF(AND(LEN(TRIM($A79&amp;""))&gt;0,LEN(TRIM(D79&amp;""))&gt;0,ISNUMBER(D79),D79&gt;0,ISNUMBER(E79),E79&gt;0,IF(AND(ISNUMBER(D79),ISNUMBER(E79),E79&gt;0),AND((D79*1000)/('Audit data'!$D$65*'Audit data'!$D$64*E79)&gt;=0.6,(D79*1000)/('Audit data'!$D$65*'Audit data'!$D$64*E79)&lt;=1.05),FALSE()),IF(AND(ISNUMBER(L79),ISNUMBER(E79)),L79&gt;=E79,FALSE()),ISNUMBER(SEARCH("mm",G79&amp;"")),IF(AND(ISNUMBER(M79),ISNUMBER(L79)),L79&lt;=M79,TRUE()),ISNUMBER(H79),H79&gt;0,J79="✓",LEN(TRIM(N79&amp;""))=0),"PASS","FAIL — "&amp;IF(LEN(TRIM(N79&amp;""))&gt;0,TRIM(N79&amp;""),"a circuit cell is missing/non-numeric, I inconsistent with kW at the board voltage, device/cable rating out of order, o…"))</f>
        <v>PASS</v>
      </c>
      <c r="L79" s="87">
        <v>6</v>
      </c>
      <c r="M79" s="87">
        <v>20</v>
      </c>
      <c r="N79" s="78"/>
      <c r="Q79" s="23" t="str">
        <f t="shared" si="1"/>
        <v>PASS</v>
      </c>
    </row>
    <row r="80" spans="1:17" ht="28.5" customHeight="1" x14ac:dyDescent="0.2">
      <c r="A80" s="39" t="s">
        <v>2180</v>
      </c>
      <c r="B80" s="39" t="s">
        <v>2181</v>
      </c>
      <c r="C80" s="39">
        <v>1</v>
      </c>
      <c r="D80" s="39">
        <v>0.2</v>
      </c>
      <c r="E80" s="39">
        <v>0.4</v>
      </c>
      <c r="F80" s="39" t="s">
        <v>2157</v>
      </c>
      <c r="G80" s="39" t="s">
        <v>2158</v>
      </c>
      <c r="H80" s="39">
        <v>8</v>
      </c>
      <c r="I80" s="39">
        <v>2.1000000000000001E-2</v>
      </c>
      <c r="J80" s="77" t="str">
        <f>IF(ISNUMBER(I80),IF(I80&lt;='Audit data'!$D$63,"✓","✗"),"✗")</f>
        <v>✓</v>
      </c>
      <c r="K80" s="77" t="str">
        <f>IF(AND(LEN(TRIM($A80&amp;""))&gt;0,LEN(TRIM(D80&amp;""))&gt;0,ISNUMBER(D80),D80&gt;0,ISNUMBER(E80),E80&gt;0,IF(AND(ISNUMBER(D80),ISNUMBER(E80),E80&gt;0),AND((D80*1000)/('Audit data'!$D$65*'Audit data'!$D$64*E80)&gt;=0.6,(D80*1000)/('Audit data'!$D$65*'Audit data'!$D$64*E80)&lt;=1.05),FALSE()),IF(AND(ISNUMBER(L80),ISNUMBER(E80)),L80&gt;=E80,FALSE()),ISNUMBER(SEARCH("mm",G80&amp;"")),IF(AND(ISNUMBER(M80),ISNUMBER(L80)),L80&lt;=M80,TRUE()),ISNUMBER(H80),H80&gt;0,J80="✓",LEN(TRIM(N80&amp;""))=0),"PASS","FAIL — "&amp;IF(LEN(TRIM(N80&amp;""))&gt;0,TRIM(N80&amp;""),"a circuit cell is missing/non-numeric, I inconsistent with kW at the board voltage, device/cable rating out of order, o…"))</f>
        <v>PASS</v>
      </c>
      <c r="L80" s="87">
        <v>6</v>
      </c>
      <c r="M80" s="87">
        <v>20</v>
      </c>
      <c r="N80" s="78"/>
      <c r="Q80" s="23" t="str">
        <f t="shared" si="1"/>
        <v>PASS</v>
      </c>
    </row>
    <row r="81" spans="1:17" ht="16" x14ac:dyDescent="0.2">
      <c r="A81" s="39"/>
      <c r="B81" s="39" t="s">
        <v>2182</v>
      </c>
      <c r="C81" s="39"/>
      <c r="D81" s="39" t="s">
        <v>2139</v>
      </c>
      <c r="E81" s="39" t="s">
        <v>2141</v>
      </c>
      <c r="F81" s="39"/>
      <c r="G81" s="39"/>
      <c r="H81" s="39"/>
      <c r="I81" s="39"/>
      <c r="J81" s="39"/>
    </row>
    <row r="83" spans="1:17" x14ac:dyDescent="0.2">
      <c r="A83" s="6" t="s">
        <v>327</v>
      </c>
      <c r="B83" s="6"/>
    </row>
    <row r="84" spans="1:17" ht="16" x14ac:dyDescent="0.2">
      <c r="A84" s="16" t="s">
        <v>2126</v>
      </c>
      <c r="B84" s="16" t="s">
        <v>144</v>
      </c>
      <c r="C84" s="17" t="s">
        <v>20</v>
      </c>
    </row>
    <row r="85" spans="1:17" ht="28.5" customHeight="1" x14ac:dyDescent="0.2">
      <c r="A85" s="39" t="s">
        <v>2127</v>
      </c>
      <c r="B85" s="39" t="str">
        <f>'Part names'!$B$50</f>
        <v>Main Switchboard</v>
      </c>
      <c r="C85" s="23" t="str">
        <f t="shared" ref="C85:C90" si="2">IF(AND(LEN(TRIM(A85&amp;""))&gt;0,TRIM(A85&amp;"")&lt;&gt;"—",LEN(TRIM(B85&amp;""))&gt;0,TRIM(B85&amp;"")&lt;&gt;"—"),"PASS","⚠ FAIL — "&amp;"a required cell is empty/placeholder or wrong type")</f>
        <v>PASS</v>
      </c>
    </row>
    <row r="86" spans="1:17" ht="16" x14ac:dyDescent="0.2">
      <c r="A86" s="39" t="s">
        <v>2128</v>
      </c>
      <c r="B86" s="39" t="s">
        <v>2183</v>
      </c>
      <c r="C86" s="23" t="str">
        <f t="shared" si="2"/>
        <v>PASS</v>
      </c>
    </row>
    <row r="87" spans="1:17" ht="28.5" customHeight="1" x14ac:dyDescent="0.2">
      <c r="A87" s="39" t="s">
        <v>2130</v>
      </c>
      <c r="B87" s="39" t="s">
        <v>2184</v>
      </c>
      <c r="C87" s="23" t="str">
        <f t="shared" si="2"/>
        <v>PASS</v>
      </c>
    </row>
    <row r="88" spans="1:17" ht="16" x14ac:dyDescent="0.2">
      <c r="A88" s="39" t="s">
        <v>2132</v>
      </c>
      <c r="B88" s="39" t="s">
        <v>2133</v>
      </c>
      <c r="C88" s="23" t="str">
        <f t="shared" si="2"/>
        <v>PASS</v>
      </c>
    </row>
    <row r="89" spans="1:17" ht="16" x14ac:dyDescent="0.2">
      <c r="A89" s="39" t="s">
        <v>2134</v>
      </c>
      <c r="B89" s="39" t="s">
        <v>2185</v>
      </c>
      <c r="C89" s="23" t="str">
        <f t="shared" si="2"/>
        <v>PASS</v>
      </c>
    </row>
    <row r="90" spans="1:17" ht="28.5" customHeight="1" x14ac:dyDescent="0.2">
      <c r="A90" s="39" t="s">
        <v>2136</v>
      </c>
      <c r="B90" s="39" t="s">
        <v>2186</v>
      </c>
      <c r="C90" s="23" t="str">
        <f t="shared" si="2"/>
        <v>PASS</v>
      </c>
    </row>
    <row r="91" spans="1:17" ht="28.5" customHeight="1" x14ac:dyDescent="0.2">
      <c r="A91" s="39" t="s">
        <v>2138</v>
      </c>
      <c r="B91" s="39" t="s">
        <v>2187</v>
      </c>
    </row>
    <row r="92" spans="1:17" ht="28.5" customHeight="1" x14ac:dyDescent="0.2">
      <c r="A92" s="39" t="s">
        <v>2140</v>
      </c>
      <c r="B92" s="39" t="s">
        <v>2188</v>
      </c>
      <c r="C92" s="23" t="str">
        <f>IF(AND(LEN(TRIM(A92&amp;""))&gt;0,TRIM(A92&amp;"")&lt;&gt;"—",LEN(TRIM(B92&amp;""))&gt;0,TRIM(B92&amp;"")&lt;&gt;"—"),"PASS","⚠ FAIL — "&amp;"a required cell is empty/placeholder or wrong type")</f>
        <v>PASS</v>
      </c>
    </row>
    <row r="94" spans="1:17" x14ac:dyDescent="0.2">
      <c r="A94" s="6" t="s">
        <v>327</v>
      </c>
      <c r="B94" s="6"/>
      <c r="C94" s="6"/>
      <c r="D94" s="6"/>
      <c r="E94" s="6"/>
      <c r="F94" s="6"/>
      <c r="G94" s="6"/>
      <c r="H94" s="6"/>
      <c r="I94" s="6"/>
      <c r="J94" s="6"/>
    </row>
    <row r="95" spans="1:17" ht="16" x14ac:dyDescent="0.2">
      <c r="A95" s="16" t="s">
        <v>2142</v>
      </c>
      <c r="B95" s="16" t="s">
        <v>2143</v>
      </c>
      <c r="C95" s="16" t="s">
        <v>2144</v>
      </c>
      <c r="D95" s="16" t="s">
        <v>2145</v>
      </c>
      <c r="E95" s="16" t="s">
        <v>2146</v>
      </c>
      <c r="F95" s="16" t="s">
        <v>2147</v>
      </c>
      <c r="G95" s="16" t="s">
        <v>2148</v>
      </c>
      <c r="H95" s="16" t="s">
        <v>2149</v>
      </c>
      <c r="I95" s="16" t="s">
        <v>2150</v>
      </c>
      <c r="J95" s="16" t="s">
        <v>2151</v>
      </c>
      <c r="K95" s="89" t="s">
        <v>755</v>
      </c>
      <c r="L95" s="90" t="s">
        <v>2152</v>
      </c>
      <c r="M95" s="90" t="s">
        <v>2153</v>
      </c>
      <c r="N95" s="90" t="s">
        <v>756</v>
      </c>
      <c r="O95" s="90" t="s">
        <v>2154</v>
      </c>
      <c r="P95" s="90" t="s">
        <v>2155</v>
      </c>
      <c r="Q95" s="17" t="s">
        <v>20</v>
      </c>
    </row>
    <row r="96" spans="1:17" ht="16" x14ac:dyDescent="0.2">
      <c r="A96" s="39" t="s">
        <v>2156</v>
      </c>
      <c r="B96" s="39" t="str">
        <f>'Part names'!$B$53</f>
        <v>Motor Control Center</v>
      </c>
      <c r="C96" s="39">
        <v>1</v>
      </c>
      <c r="D96" s="39">
        <v>9.6999999999999993</v>
      </c>
      <c r="E96" s="39">
        <v>18.3</v>
      </c>
      <c r="F96" s="39" t="s">
        <v>2171</v>
      </c>
      <c r="G96" s="39" t="s">
        <v>2158</v>
      </c>
      <c r="H96" s="39">
        <v>5.4</v>
      </c>
      <c r="I96" s="39">
        <v>0.64500000000000002</v>
      </c>
      <c r="J96" s="77" t="str">
        <f>IF(ISNUMBER(I96),IF(I96&lt;='Audit data'!$D$63,"✓","✗"),"✗")</f>
        <v>✓</v>
      </c>
      <c r="K96" s="77" t="str">
        <f>IF(AND(LEN(TRIM($A96&amp;""))&gt;0,LEN(TRIM(D96&amp;""))&gt;0,ISNUMBER(D96),D96&gt;0,ISNUMBER(E96),E96&gt;0,IF(AND(ISNUMBER(D96),ISNUMBER(E96),E96&gt;0),AND((D96*1000)/('Audit data'!$D$67*'Audit data'!$D$66*E96)&gt;=0.6,(D96*1000)/('Audit data'!$D$67*'Audit data'!$D$66*E96)&lt;=1.05),FALSE()),IF(AND(ISNUMBER(L96),ISNUMBER(E96)),L96&gt;=E96,FALSE()),ISNUMBER(SEARCH("mm",G96&amp;"")),IF(AND(ISNUMBER(M96),ISNUMBER(L96)),L96&lt;=M96,TRUE()),ISNUMBER(H96),H96&gt;0,J96="✓",LEN(TRIM(N96&amp;""))=0),"PASS","FAIL — "&amp;IF(LEN(TRIM(N96&amp;""))&gt;0,TRIM(N96&amp;""),"a circuit cell is missing/non-numeric, I inconsistent with kW at the board voltage, device/cable rating out of order, o…"))</f>
        <v>PASS</v>
      </c>
      <c r="L96" s="87">
        <v>20</v>
      </c>
      <c r="M96" s="87">
        <v>20</v>
      </c>
      <c r="N96" s="78"/>
      <c r="Q96" s="23" t="str">
        <f>IF(AND(LEN(TRIM(A96&amp;""))&gt;0,TRIM(A96&amp;"")&lt;&gt;"—",LEN(TRIM(B96&amp;""))&gt;0,TRIM(B96&amp;"")&lt;&gt;"—",LEN(TRIM(D96&amp;""))&gt;0,TRIM(D96&amp;"")&lt;&gt;"—",ISNUMBER(D96),LEN(TRIM(E96&amp;""))&gt;0,TRIM(E96&amp;"")&lt;&gt;"—",ISNUMBER(E96),LEN(TRIM(F96&amp;""))&gt;0,TRIM(F96&amp;"")&lt;&gt;"—",LEN(TRIM(G96&amp;""))&gt;0,TRIM(G96&amp;"")&lt;&gt;"—",LEN(TRIM(I96&amp;""))&gt;0,TRIM(I96&amp;"")&lt;&gt;"—",LEN(TRIM(J96&amp;""))&gt;0,TRIM(J96&amp;"")&lt;&gt;"—"),"PASS","⚠ FAIL — "&amp;"a required cell is empty/placeholder or wrong type")</f>
        <v>PASS</v>
      </c>
    </row>
    <row r="97" spans="1:12" ht="16" x14ac:dyDescent="0.2">
      <c r="A97" s="39"/>
      <c r="B97" s="39" t="s">
        <v>2182</v>
      </c>
      <c r="C97" s="39"/>
      <c r="D97" s="39" t="s">
        <v>2187</v>
      </c>
      <c r="E97" s="39" t="s">
        <v>2188</v>
      </c>
      <c r="F97" s="39"/>
      <c r="G97" s="39"/>
      <c r="H97" s="39"/>
      <c r="I97" s="39"/>
      <c r="J97" s="39"/>
    </row>
    <row r="99" spans="1:12" x14ac:dyDescent="0.2">
      <c r="A99" s="6" t="s">
        <v>2189</v>
      </c>
      <c r="B99" s="6"/>
      <c r="C99" s="6"/>
      <c r="D99" s="6"/>
      <c r="E99" s="6"/>
      <c r="F99" s="6"/>
      <c r="G99" s="6"/>
      <c r="H99" s="6"/>
      <c r="I99" s="6"/>
      <c r="J99" s="6"/>
      <c r="K99" s="6"/>
    </row>
    <row r="100" spans="1:12" ht="32" x14ac:dyDescent="0.2">
      <c r="A100" s="16" t="s">
        <v>2109</v>
      </c>
      <c r="B100" s="16" t="s">
        <v>2110</v>
      </c>
      <c r="C100" s="16"/>
      <c r="D100" s="16"/>
      <c r="E100" s="16"/>
      <c r="F100" s="16"/>
      <c r="G100" s="16"/>
      <c r="H100" s="16"/>
      <c r="I100" s="16"/>
      <c r="J100" s="16" t="s">
        <v>755</v>
      </c>
      <c r="K100" s="16"/>
      <c r="L100" s="17" t="s">
        <v>20</v>
      </c>
    </row>
    <row r="101" spans="1:12" ht="15" customHeight="1" x14ac:dyDescent="0.2">
      <c r="A101" s="18" t="s">
        <v>2190</v>
      </c>
      <c r="B101" s="136" t="s">
        <v>2191</v>
      </c>
      <c r="C101" s="136"/>
      <c r="D101" s="136"/>
      <c r="E101" s="136"/>
      <c r="F101" s="136"/>
      <c r="G101" s="136"/>
      <c r="H101" s="136"/>
      <c r="I101" s="136"/>
      <c r="J101" s="137" t="str">
        <f>IF(AND(LEN(TRIM($A101&amp;""))&gt;0,LEN(TRIM($B101&amp;""))&gt;0,'Audit data'!$D$69="OK",ISNUMBER('Audit data'!$D$68),'Audit data'!$D$68&gt;=0.8,'Audit data'!$D$68&lt;=1.25,LEN(TRIM('Audit data'!$D$70&amp;""))&gt;0,TRIM('Audit data'!$D$70&amp;"")&lt;&gt;"—",LEN(TRIM('Audit data'!$D$71&amp;""))=0),"PASS","FAIL — "&amp;IF(LEN(TRIM('Audit data'!$D$71&amp;""))&gt;0,TRIM('Audit data'!$D$71&amp;""),"board reconciliation out of band / busbar rating missing"))</f>
        <v>PASS</v>
      </c>
      <c r="K101" s="137"/>
      <c r="L101" s="23" t="str">
        <f>IF(AND(LEN(TRIM(A101&amp;""))&gt;0,TRIM(A101&amp;"")&lt;&gt;"—",LEN(TRIM(B101&amp;""))&gt;0,TRIM(B101&amp;"")&lt;&gt;"—",LEN(TRIM(J101&amp;""))&gt;0,TRIM(J101&amp;"")&lt;&gt;"—"),"PASS","⚠ FAIL — "&amp;"a required cell is empty/placeholder or wrong type")</f>
        <v>PASS</v>
      </c>
    </row>
    <row r="102" spans="1:12" ht="15" customHeight="1" x14ac:dyDescent="0.2">
      <c r="A102" s="18" t="s">
        <v>2192</v>
      </c>
      <c r="B102" s="136" t="s">
        <v>2193</v>
      </c>
      <c r="C102" s="136"/>
      <c r="D102" s="136"/>
      <c r="E102" s="136"/>
      <c r="F102" s="136"/>
      <c r="G102" s="136"/>
      <c r="H102" s="136"/>
      <c r="I102" s="136"/>
      <c r="J102" s="137" t="str">
        <f>IF(AND(LEN(TRIM($A102&amp;""))&gt;0,LEN(TRIM($B102&amp;""))&gt;0,'Audit data'!$D$73="OK",ISNUMBER('Audit data'!$D$72),'Audit data'!$D$72&gt;=0.8,'Audit data'!$D$72&lt;=1.25,LEN(TRIM('Audit data'!$D$74&amp;""))&gt;0,TRIM('Audit data'!$D$74&amp;"")&lt;&gt;"—",LEN(TRIM('Audit data'!$D$75&amp;""))=0),"PASS","FAIL — "&amp;IF(LEN(TRIM('Audit data'!$D$75&amp;""))&gt;0,TRIM('Audit data'!$D$75&amp;""),"board reconciliation out of band / busbar rating missing"))</f>
        <v>PASS</v>
      </c>
      <c r="K102" s="137"/>
      <c r="L102" s="23" t="str">
        <f>IF(AND(LEN(TRIM(A102&amp;""))&gt;0,TRIM(A102&amp;"")&lt;&gt;"—",LEN(TRIM(B102&amp;""))&gt;0,TRIM(B102&amp;"")&lt;&gt;"—",LEN(TRIM(J102&amp;""))&gt;0,TRIM(J102&amp;"")&lt;&gt;"—"),"PASS","⚠ FAIL — "&amp;"a required cell is empty/placeholder or wrong type")</f>
        <v>PASS</v>
      </c>
    </row>
    <row r="103" spans="1:12" ht="15" customHeight="1" x14ac:dyDescent="0.2">
      <c r="A103" s="18" t="s">
        <v>2194</v>
      </c>
      <c r="B103" s="136" t="s">
        <v>2195</v>
      </c>
      <c r="C103" s="136"/>
      <c r="D103" s="136"/>
      <c r="E103" s="136"/>
      <c r="F103" s="136"/>
      <c r="G103" s="136"/>
      <c r="H103" s="136"/>
      <c r="I103" s="136"/>
      <c r="J103" s="137" t="str">
        <f>IF(AND(LEN(TRIM($A103&amp;""))&gt;0,LEN(TRIM($B103&amp;""))&gt;0,ISNUMBER(SEARCH(" "&amp;'Audit data'!$D$76&amp;" "," "&amp;'Audit data'!$D$77&amp;" "))),"PASS","FAIL — "&amp;"the drawing never states the schedule's "&amp;'Audit data'!$D$76&amp;" V system voltage")</f>
        <v>PASS</v>
      </c>
      <c r="K103" s="137"/>
      <c r="L103" s="23" t="str">
        <f>IF(AND(LEN(TRIM(A103&amp;""))&gt;0,TRIM(A103&amp;"")&lt;&gt;"—",LEN(TRIM(B103&amp;""))&gt;0,TRIM(B103&amp;"")&lt;&gt;"—",LEN(TRIM(J103&amp;""))&gt;0,TRIM(J103&amp;"")&lt;&gt;"—"),"PASS","⚠ FAIL — "&amp;"a required cell is empty/placeholder or wrong type")</f>
        <v>PASS</v>
      </c>
    </row>
    <row r="104" spans="1:12" ht="30" customHeight="1" x14ac:dyDescent="0.2">
      <c r="A104" s="18" t="s">
        <v>2196</v>
      </c>
      <c r="B104" s="136" t="s">
        <v>2197</v>
      </c>
      <c r="C104" s="136"/>
      <c r="D104" s="136"/>
      <c r="E104" s="136"/>
      <c r="F104" s="136"/>
      <c r="G104" s="136"/>
      <c r="H104" s="136"/>
      <c r="I104" s="136"/>
      <c r="J104" s="138" t="str">
        <f>IF(AND(LEN(TRIM($A104&amp;""))&gt;0,LEN(TRIM($B104&amp;""))&gt;0,LEN(TRIM('Audit data'!$D$78&amp;""))=0),"PASS","FAIL — "&amp;"board reference(s) absent from the single-line drawing: "&amp;'Audit data'!$D$78)</f>
        <v>FAIL — board reference(s) absent from the single-line drawing: MAIN DISTRIBUTION BOARD (TP&amp;N)</v>
      </c>
      <c r="K104" s="138"/>
      <c r="L104" s="23" t="str">
        <f>IF(AND(LEN(TRIM(A104&amp;""))&gt;0,TRIM(A104&amp;"")&lt;&gt;"—",LEN(TRIM(B104&amp;""))&gt;0,TRIM(B104&amp;"")&lt;&gt;"—",LEN(TRIM(J104&amp;""))&gt;0,TRIM(J104&amp;"")&lt;&gt;"—"),"PASS","⚠ FAIL — "&amp;"a required cell is empty/placeholder or wrong type")</f>
        <v>PASS</v>
      </c>
    </row>
    <row r="105" spans="1:12" ht="15" customHeight="1" x14ac:dyDescent="0.2">
      <c r="A105" s="18" t="s">
        <v>2198</v>
      </c>
      <c r="B105" s="136" t="s">
        <v>2199</v>
      </c>
      <c r="C105" s="136"/>
      <c r="D105" s="136"/>
      <c r="E105" s="136"/>
      <c r="F105" s="136"/>
      <c r="G105" s="136"/>
      <c r="H105" s="136"/>
      <c r="I105" s="136"/>
      <c r="J105" s="137" t="str">
        <f>IF(AND(LEN(TRIM($A105&amp;""))&gt;0,LEN(TRIM($B105&amp;""))&gt;0,ISNUMBER('Audit data'!$D$80),ISNUMBER('Audit data'!$D$81),ABS('Audit data'!$D$80-'Audit data'!$D$81)&lt;=0.1*'Audit data'!$D$81),"PASS","FAIL — "&amp;"transformer kVA mismatch: drawing "&amp;'Audit data'!$D$80&amp;" vs contract "&amp;'Audit data'!$D$81&amp;" (must match within 10% — one dataset)")</f>
        <v>PASS</v>
      </c>
      <c r="K105" s="137"/>
      <c r="L105" s="23" t="str">
        <f>IF(AND(LEN(TRIM(A105&amp;""))&gt;0,TRIM(A105&amp;"")&lt;&gt;"—",LEN(TRIM(B105&amp;""))&gt;0,TRIM(B105&amp;"")&lt;&gt;"—",LEN(TRIM(J105&amp;""))&gt;0,TRIM(J105&amp;"")&lt;&gt;"—"),"PASS","⚠ FAIL — "&amp;"a required cell is empty/placeholder or wrong type")</f>
        <v>PASS</v>
      </c>
    </row>
  </sheetData>
  <autoFilter ref="A95:J97" xr:uid="{00000000-0009-0000-0000-000011000000}"/>
  <mergeCells count="23">
    <mergeCell ref="L10:P10"/>
    <mergeCell ref="B103:I103"/>
    <mergeCell ref="J103:K103"/>
    <mergeCell ref="B104:I104"/>
    <mergeCell ref="J104:K104"/>
    <mergeCell ref="B105:I105"/>
    <mergeCell ref="J105:K105"/>
    <mergeCell ref="A94:J94"/>
    <mergeCell ref="A99:K99"/>
    <mergeCell ref="B101:I101"/>
    <mergeCell ref="J101:K101"/>
    <mergeCell ref="B102:I102"/>
    <mergeCell ref="J102:K102"/>
    <mergeCell ref="A49:K49"/>
    <mergeCell ref="A50:K50"/>
    <mergeCell ref="A52:B52"/>
    <mergeCell ref="A63:J63"/>
    <mergeCell ref="A83:B83"/>
    <mergeCell ref="A1:K1"/>
    <mergeCell ref="A2:K2"/>
    <mergeCell ref="A3:K3"/>
    <mergeCell ref="A5:K5"/>
    <mergeCell ref="A47:K47"/>
  </mergeCells>
  <conditionalFormatting sqref="J65:J81">
    <cfRule type="cellIs" dxfId="20" priority="2" operator="equal">
      <formula>"✗"</formula>
    </cfRule>
    <cfRule type="cellIs" dxfId="19" priority="3" operator="equal">
      <formula>"✓"</formula>
    </cfRule>
  </conditionalFormatting>
  <conditionalFormatting sqref="J96:J97">
    <cfRule type="cellIs" dxfId="18" priority="5" operator="equal">
      <formula>"✗"</formula>
    </cfRule>
    <cfRule type="cellIs" dxfId="17" priority="6" operator="equal">
      <formula>"✓"</formula>
    </cfRule>
  </conditionalFormatting>
  <conditionalFormatting sqref="J101:J105">
    <cfRule type="cellIs" dxfId="16" priority="8" operator="equal">
      <formula>"PASS"</formula>
    </cfRule>
  </conditionalFormatting>
  <conditionalFormatting sqref="K65:K81">
    <cfRule type="cellIs" dxfId="15" priority="4" operator="equal">
      <formula>"PASS"</formula>
    </cfRule>
  </conditionalFormatting>
  <conditionalFormatting sqref="K96:K97">
    <cfRule type="cellIs" dxfId="14" priority="7" operator="equal">
      <formula>"PASS"</formula>
    </cfRule>
  </conditionalFormatting>
  <hyperlinks>
    <hyperlink ref="L1" location="'Contents'!A1" display="↑ Contents" xr:uid="{00000000-0004-0000-1100-000000000000}"/>
  </hyperlinks>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48235"/>
  </sheetPr>
  <dimension ref="A1:O88"/>
  <sheetViews>
    <sheetView topLeftCell="C1" zoomScaleNormal="100" workbookViewId="0">
      <pane ySplit="4" topLeftCell="A5" activePane="bottomLeft" state="frozen"/>
      <selection pane="bottomLeft" sqref="A1:L1"/>
    </sheetView>
  </sheetViews>
  <sheetFormatPr baseColWidth="10" defaultColWidth="8.6640625" defaultRowHeight="15" x14ac:dyDescent="0.2"/>
  <cols>
    <col min="1" max="1" width="15" customWidth="1"/>
    <col min="2" max="3" width="22" customWidth="1"/>
    <col min="4" max="5" width="16" customWidth="1"/>
    <col min="6" max="6" width="14" customWidth="1"/>
    <col min="7" max="7" width="16" customWidth="1"/>
    <col min="8" max="8" width="10" customWidth="1"/>
    <col min="9" max="9" width="9" customWidth="1"/>
    <col min="10" max="10" width="13" customWidth="1"/>
    <col min="11" max="11" width="62" customWidth="1"/>
    <col min="12" max="12" width="52" customWidth="1"/>
    <col min="13" max="13" width="13" customWidth="1"/>
    <col min="14" max="14" width="30" customWidth="1"/>
  </cols>
  <sheetData>
    <row r="1" spans="1:15" ht="25.5" customHeight="1" x14ac:dyDescent="0.2">
      <c r="A1" s="12" t="s">
        <v>2200</v>
      </c>
      <c r="B1" s="12"/>
      <c r="C1" s="12"/>
      <c r="D1" s="12"/>
      <c r="E1" s="12"/>
      <c r="F1" s="12"/>
      <c r="G1" s="12"/>
      <c r="H1" s="12"/>
      <c r="I1" s="12"/>
      <c r="J1" s="12"/>
      <c r="K1" s="12"/>
      <c r="L1" s="12"/>
      <c r="M1" s="30" t="s">
        <v>140</v>
      </c>
    </row>
    <row r="2" spans="1:15" ht="30" customHeight="1" x14ac:dyDescent="0.2">
      <c r="A2" s="11" t="str">
        <f>"⬤ TAB QUALITY "&amp;IF(ISNUMBER('Quality &amp; Audit'!$B$45),IF('Quality &amp; Audit'!$B$45=INT('Quality &amp; Audit'!$B$45),TEXT('Quality &amp; Audit'!$B$45,"0"),TEXT('Quality &amp; Audit'!$B$45,"0.0")),"—")&amp;"/10 · "&amp;IF(ISNUMBER('Quality &amp; Audit'!$B$45),IF('Quality &amp; Audit'!$B$45&gt;=8,"PASS","FAIL"),"UNSCORED")&amp;" (target ≥8, live from the Quality &amp; Audit score cell)"&amp;" · column-contract arithmetic: 10 × 68/71 rows passing; content checks: line &amp; velocity column contract (per-row Row check) — cell completeness+type contract 497/497 · scor…"&amp;" · full audit: Quality &amp; Audit tab"</f>
        <v>⬤ TAB QUALITY 9.6/10 · PASS (target ≥8, live from the Quality &amp; Audit score cell) · column-contract arithmetic: 10 × 68/71 rows passing; content checks: line &amp; velocity column contract (per-row Row check) — cell completeness+type contract 497/497 · scor… · full audit: Quality &amp; Audit tab</v>
      </c>
      <c r="B2" s="11"/>
      <c r="C2" s="11"/>
      <c r="D2" s="11"/>
      <c r="E2" s="11"/>
      <c r="F2" s="11"/>
      <c r="G2" s="11"/>
      <c r="H2" s="11"/>
      <c r="I2" s="11"/>
      <c r="J2" s="11"/>
      <c r="K2" s="11"/>
      <c r="L2" s="11"/>
    </row>
    <row r="3" spans="1:15" ht="54" customHeight="1" x14ac:dyDescent="0.2">
      <c r="A3" s="10" t="s">
        <v>2201</v>
      </c>
      <c r="B3" s="10"/>
      <c r="C3" s="10"/>
      <c r="D3" s="10"/>
      <c r="E3" s="10"/>
      <c r="F3" s="10"/>
      <c r="G3" s="10"/>
      <c r="H3" s="10"/>
      <c r="I3" s="10"/>
      <c r="J3" s="10"/>
      <c r="K3" s="10"/>
      <c r="L3" s="10"/>
    </row>
    <row r="4" spans="1:15" ht="43.5" customHeight="1" x14ac:dyDescent="0.2">
      <c r="A4" s="130" t="s">
        <v>2202</v>
      </c>
      <c r="B4" s="130"/>
      <c r="C4" s="130"/>
      <c r="D4" s="130"/>
      <c r="E4" s="130"/>
      <c r="F4" s="130"/>
      <c r="G4" s="130"/>
      <c r="H4" s="130"/>
      <c r="I4" s="130"/>
      <c r="J4" s="130"/>
      <c r="K4" s="130"/>
      <c r="L4" s="130"/>
    </row>
    <row r="5" spans="1:15" ht="43.5" customHeight="1" x14ac:dyDescent="0.2">
      <c r="A5" s="130" t="s">
        <v>2203</v>
      </c>
      <c r="B5" s="130"/>
      <c r="C5" s="130"/>
      <c r="D5" s="130"/>
      <c r="E5" s="130"/>
      <c r="F5" s="130"/>
      <c r="G5" s="130"/>
      <c r="H5" s="130"/>
      <c r="I5" s="130"/>
      <c r="J5" s="130"/>
      <c r="K5" s="130"/>
      <c r="L5" s="130"/>
    </row>
    <row r="7" spans="1:15" x14ac:dyDescent="0.2">
      <c r="A7" s="6" t="s">
        <v>2204</v>
      </c>
      <c r="B7" s="6"/>
      <c r="C7" s="6"/>
      <c r="D7" s="6"/>
      <c r="E7" s="6"/>
      <c r="F7" s="6"/>
      <c r="G7" s="6"/>
      <c r="H7" s="6"/>
      <c r="I7" s="6"/>
      <c r="J7" s="6"/>
      <c r="K7" s="6"/>
      <c r="L7" s="6"/>
    </row>
    <row r="8" spans="1:15" ht="15" customHeight="1" x14ac:dyDescent="0.2">
      <c r="A8" s="8" t="s">
        <v>2205</v>
      </c>
      <c r="B8" s="8"/>
      <c r="C8" s="8"/>
      <c r="D8" s="8"/>
      <c r="E8" s="8"/>
      <c r="F8" s="8"/>
      <c r="G8" s="8"/>
      <c r="H8" s="8"/>
      <c r="I8" s="8"/>
      <c r="J8" s="8"/>
      <c r="K8" s="8"/>
      <c r="L8" s="8"/>
    </row>
    <row r="9" spans="1:15" ht="16" x14ac:dyDescent="0.2">
      <c r="A9" s="16" t="s">
        <v>304</v>
      </c>
      <c r="B9" s="16" t="s">
        <v>2206</v>
      </c>
      <c r="C9" s="16" t="s">
        <v>2207</v>
      </c>
      <c r="D9" s="16" t="s">
        <v>1969</v>
      </c>
      <c r="E9" s="16" t="s">
        <v>2208</v>
      </c>
      <c r="F9" s="16" t="s">
        <v>2209</v>
      </c>
      <c r="G9" s="16" t="s">
        <v>2210</v>
      </c>
      <c r="H9" s="16" t="s">
        <v>2149</v>
      </c>
      <c r="I9" s="16" t="s">
        <v>2151</v>
      </c>
      <c r="J9" s="16" t="s">
        <v>746</v>
      </c>
      <c r="K9" s="16" t="s">
        <v>599</v>
      </c>
      <c r="L9" s="16" t="s">
        <v>755</v>
      </c>
      <c r="M9" s="76" t="s">
        <v>2211</v>
      </c>
      <c r="N9" s="76" t="s">
        <v>756</v>
      </c>
      <c r="O9" s="17" t="s">
        <v>20</v>
      </c>
    </row>
    <row r="10" spans="1:15" ht="43.5" customHeight="1" x14ac:dyDescent="0.2">
      <c r="A10" s="18" t="s">
        <v>2212</v>
      </c>
      <c r="B10" s="18" t="str">
        <f>'Part names'!$B$36</f>
        <v>Gac Softener</v>
      </c>
      <c r="C10" s="18" t="str">
        <f>'Part names'!$B$75</f>
        <v>Softener Vessel</v>
      </c>
      <c r="D10" s="18" t="s">
        <v>1983</v>
      </c>
      <c r="E10" s="18" t="s">
        <v>2213</v>
      </c>
      <c r="F10" s="92">
        <v>1.304</v>
      </c>
      <c r="G10" s="18" t="s">
        <v>2214</v>
      </c>
      <c r="H10" s="35">
        <v>7.79</v>
      </c>
      <c r="I10" s="93" t="str">
        <f t="shared" ref="I10:I56" si="0">IF(ISNUMBER($M10),IF(AND(ISNUMBER($F10),$F10&lt;=$M10),"✓","✗"),IF(LEN(TRIM($N10&amp;""))=0,"n/a","✗"))</f>
        <v>✓</v>
      </c>
      <c r="J10" s="48">
        <v>577.4</v>
      </c>
      <c r="K10" s="39" t="s">
        <v>2215</v>
      </c>
      <c r="L10" s="77" t="str">
        <f t="shared" ref="L10:L56" si="1">IF(AND(OR($I10="✓",$I10="n/a"),LEN(TRIM($N10&amp;""))=0),"PASS","FAIL — "&amp;IF(LEN(TRIM($N10&amp;""))&gt;0,TRIM($N10&amp;""),"velocity/ΔU outside its band or unverifiable"))</f>
        <v>PASS</v>
      </c>
      <c r="M10" s="87">
        <v>3</v>
      </c>
      <c r="N10" s="78"/>
      <c r="O10" s="23" t="str">
        <f t="shared" ref="O10:O56" si="2">IF(AND(LEN(TRIM(A10&amp;""))&gt;0,TRIM(A10&amp;"")&lt;&gt;"—",LEN(TRIM(B10&amp;""))&gt;0,TRIM(B10&amp;"")&lt;&gt;"—",LEN(TRIM(C10&amp;""))&gt;0,TRIM(C10&amp;"")&lt;&gt;"—",LEN(TRIM(D10&amp;""))&gt;0,TRIM(D10&amp;"")&lt;&gt;"—",LEN(TRIM(I10&amp;""))&gt;0,TRIM(I10&amp;"")&lt;&gt;"—",LEN(TRIM(K10&amp;""))&gt;0,TRIM(K10&amp;"")&lt;&gt;"—",LEN(TRIM(L10&amp;""))&gt;0,TRIM(L10&amp;"")&lt;&gt;"—"),"PASS","⚠ FAIL — "&amp;"a required cell is empty/placeholder or wrong type")</f>
        <v>PASS</v>
      </c>
    </row>
    <row r="11" spans="1:15" ht="43.5" customHeight="1" x14ac:dyDescent="0.2">
      <c r="A11" s="18" t="s">
        <v>2216</v>
      </c>
      <c r="B11" s="18" t="str">
        <f>'Part names'!$B$36</f>
        <v>Gac Softener</v>
      </c>
      <c r="C11" s="18" t="str">
        <f>'Part names'!$B$22</f>
        <v>Drain Collection Sump</v>
      </c>
      <c r="D11" s="18" t="s">
        <v>2026</v>
      </c>
      <c r="E11" s="18" t="s">
        <v>5</v>
      </c>
      <c r="F11" s="92">
        <v>0.96799999999999997</v>
      </c>
      <c r="G11" s="18" t="s">
        <v>2214</v>
      </c>
      <c r="H11" s="35">
        <v>10.84</v>
      </c>
      <c r="I11" s="93" t="str">
        <f t="shared" si="0"/>
        <v>✓</v>
      </c>
      <c r="J11" s="48">
        <v>1669.2</v>
      </c>
      <c r="K11" s="39" t="s">
        <v>2217</v>
      </c>
      <c r="L11" s="77" t="str">
        <f t="shared" si="1"/>
        <v>PASS</v>
      </c>
      <c r="M11" s="87">
        <v>3</v>
      </c>
      <c r="N11" s="78"/>
      <c r="O11" s="23" t="str">
        <f t="shared" si="2"/>
        <v>PASS</v>
      </c>
    </row>
    <row r="12" spans="1:15" ht="43.5" customHeight="1" x14ac:dyDescent="0.2">
      <c r="A12" s="18" t="s">
        <v>2218</v>
      </c>
      <c r="B12" s="18" t="str">
        <f>'Part names'!$B$85</f>
        <v>Uf Module Bank</v>
      </c>
      <c r="C12" s="18" t="str">
        <f>'Part names'!$B$71</f>
        <v>Ro High Pressure Pump</v>
      </c>
      <c r="D12" s="18" t="s">
        <v>2007</v>
      </c>
      <c r="E12" s="18" t="s">
        <v>2219</v>
      </c>
      <c r="F12" s="92">
        <v>1.4119999999999999</v>
      </c>
      <c r="G12" s="18" t="s">
        <v>2214</v>
      </c>
      <c r="H12" s="35">
        <v>10.130000000000001</v>
      </c>
      <c r="I12" s="93" t="str">
        <f t="shared" si="0"/>
        <v>✓</v>
      </c>
      <c r="J12" s="48">
        <v>570.24</v>
      </c>
      <c r="K12" s="39" t="s">
        <v>2220</v>
      </c>
      <c r="L12" s="77" t="str">
        <f t="shared" si="1"/>
        <v>PASS</v>
      </c>
      <c r="M12" s="87">
        <v>3</v>
      </c>
      <c r="N12" s="78"/>
      <c r="O12" s="23" t="str">
        <f t="shared" si="2"/>
        <v>PASS</v>
      </c>
    </row>
    <row r="13" spans="1:15" ht="43.5" customHeight="1" x14ac:dyDescent="0.2">
      <c r="A13" s="18" t="s">
        <v>2221</v>
      </c>
      <c r="B13" s="18" t="str">
        <f>'Part names'!$B$85</f>
        <v>Uf Module Bank</v>
      </c>
      <c r="C13" s="18" t="str">
        <f>'Part names'!$B$22</f>
        <v>Drain Collection Sump</v>
      </c>
      <c r="D13" s="18" t="s">
        <v>2026</v>
      </c>
      <c r="E13" s="18" t="s">
        <v>5</v>
      </c>
      <c r="F13" s="92">
        <v>0.96799999999999997</v>
      </c>
      <c r="G13" s="18" t="s">
        <v>2214</v>
      </c>
      <c r="H13" s="35">
        <v>22.14</v>
      </c>
      <c r="I13" s="93" t="str">
        <f t="shared" si="0"/>
        <v>✓</v>
      </c>
      <c r="J13" s="48">
        <v>3138.2</v>
      </c>
      <c r="K13" s="39" t="s">
        <v>2222</v>
      </c>
      <c r="L13" s="77" t="str">
        <f t="shared" si="1"/>
        <v>PASS</v>
      </c>
      <c r="M13" s="87">
        <v>3</v>
      </c>
      <c r="N13" s="78"/>
      <c r="O13" s="23" t="str">
        <f t="shared" si="2"/>
        <v>PASS</v>
      </c>
    </row>
    <row r="14" spans="1:15" ht="43.5" customHeight="1" x14ac:dyDescent="0.2">
      <c r="A14" s="18" t="s">
        <v>2223</v>
      </c>
      <c r="B14" s="18" t="str">
        <f>'Part names'!$B$71</f>
        <v>Ro High Pressure Pump</v>
      </c>
      <c r="C14" s="18" t="str">
        <f>'Part names'!$B$70</f>
        <v>Reverse Osmosis Skid</v>
      </c>
      <c r="D14" s="18" t="s">
        <v>2007</v>
      </c>
      <c r="E14" s="18" t="s">
        <v>2219</v>
      </c>
      <c r="F14" s="92">
        <v>1.4119999999999999</v>
      </c>
      <c r="G14" s="18" t="s">
        <v>2214</v>
      </c>
      <c r="H14" s="35">
        <v>27.89</v>
      </c>
      <c r="I14" s="93" t="str">
        <f t="shared" si="0"/>
        <v>✓</v>
      </c>
      <c r="J14" s="48">
        <v>1422.72</v>
      </c>
      <c r="K14" s="39" t="s">
        <v>2224</v>
      </c>
      <c r="L14" s="77" t="str">
        <f t="shared" si="1"/>
        <v>PASS</v>
      </c>
      <c r="M14" s="87">
        <v>3</v>
      </c>
      <c r="N14" s="78"/>
      <c r="O14" s="23" t="str">
        <f t="shared" si="2"/>
        <v>PASS</v>
      </c>
    </row>
    <row r="15" spans="1:15" ht="43.5" customHeight="1" x14ac:dyDescent="0.2">
      <c r="A15" s="18" t="s">
        <v>2225</v>
      </c>
      <c r="B15" s="18" t="str">
        <f>'Part names'!$B$71</f>
        <v>Ro High Pressure Pump</v>
      </c>
      <c r="C15" s="18" t="str">
        <f>'Part names'!$B$22</f>
        <v>Drain Collection Sump</v>
      </c>
      <c r="D15" s="18" t="s">
        <v>2026</v>
      </c>
      <c r="E15" s="18" t="s">
        <v>5</v>
      </c>
      <c r="F15" s="92">
        <v>0.96799999999999997</v>
      </c>
      <c r="G15" s="18" t="s">
        <v>2214</v>
      </c>
      <c r="H15" s="35">
        <v>32.130000000000003</v>
      </c>
      <c r="I15" s="93" t="str">
        <f t="shared" si="0"/>
        <v>✓</v>
      </c>
      <c r="J15" s="48">
        <v>4436.8999999999996</v>
      </c>
      <c r="K15" s="39" t="s">
        <v>2226</v>
      </c>
      <c r="L15" s="77" t="str">
        <f t="shared" si="1"/>
        <v>PASS</v>
      </c>
      <c r="M15" s="87">
        <v>3</v>
      </c>
      <c r="N15" s="78"/>
      <c r="O15" s="23" t="str">
        <f t="shared" si="2"/>
        <v>PASS</v>
      </c>
    </row>
    <row r="16" spans="1:15" ht="43.5" customHeight="1" x14ac:dyDescent="0.2">
      <c r="A16" s="18" t="s">
        <v>2227</v>
      </c>
      <c r="B16" s="18" t="str">
        <f>'Part names'!$B$12</f>
        <v>Cloth Filter</v>
      </c>
      <c r="C16" s="18" t="str">
        <f>'Part names'!$B$35</f>
        <v>Gac Filter</v>
      </c>
      <c r="D16" s="18" t="s">
        <v>2228</v>
      </c>
      <c r="E16" s="18" t="s">
        <v>2229</v>
      </c>
      <c r="F16" s="92">
        <v>1.1910000000000001</v>
      </c>
      <c r="G16" s="18" t="s">
        <v>2214</v>
      </c>
      <c r="H16" s="35">
        <v>21.34</v>
      </c>
      <c r="I16" s="93" t="str">
        <f t="shared" si="0"/>
        <v>✓</v>
      </c>
      <c r="J16" s="48">
        <v>3861.1</v>
      </c>
      <c r="K16" s="39" t="s">
        <v>2230</v>
      </c>
      <c r="L16" s="77" t="str">
        <f t="shared" si="1"/>
        <v>PASS</v>
      </c>
      <c r="M16" s="87">
        <v>3</v>
      </c>
      <c r="N16" s="78"/>
      <c r="O16" s="23" t="str">
        <f t="shared" si="2"/>
        <v>PASS</v>
      </c>
    </row>
    <row r="17" spans="1:15" ht="43.5" customHeight="1" x14ac:dyDescent="0.2">
      <c r="A17" s="18" t="s">
        <v>2231</v>
      </c>
      <c r="B17" s="18" t="str">
        <f>'Part names'!$B$12</f>
        <v>Cloth Filter</v>
      </c>
      <c r="C17" s="18" t="str">
        <f>'Part names'!$B$22</f>
        <v>Drain Collection Sump</v>
      </c>
      <c r="D17" s="18" t="s">
        <v>2026</v>
      </c>
      <c r="E17" s="18" t="s">
        <v>5</v>
      </c>
      <c r="F17" s="92">
        <v>0.96799999999999997</v>
      </c>
      <c r="G17" s="18" t="s">
        <v>2214</v>
      </c>
      <c r="H17" s="35">
        <v>20.21</v>
      </c>
      <c r="I17" s="93" t="str">
        <f t="shared" si="0"/>
        <v>✓</v>
      </c>
      <c r="J17" s="48">
        <v>2887.3</v>
      </c>
      <c r="K17" s="39" t="s">
        <v>2232</v>
      </c>
      <c r="L17" s="77" t="str">
        <f t="shared" si="1"/>
        <v>PASS</v>
      </c>
      <c r="M17" s="87">
        <v>3</v>
      </c>
      <c r="N17" s="78"/>
      <c r="O17" s="23" t="str">
        <f t="shared" si="2"/>
        <v>PASS</v>
      </c>
    </row>
    <row r="18" spans="1:15" ht="43.5" customHeight="1" x14ac:dyDescent="0.2">
      <c r="A18" s="18" t="s">
        <v>2233</v>
      </c>
      <c r="B18" s="18" t="str">
        <f>'Part names'!$B$35</f>
        <v>Gac Filter</v>
      </c>
      <c r="C18" s="18" t="str">
        <f>'Part names'!$B$87</f>
        <v>Uv Disinfection</v>
      </c>
      <c r="D18" s="18" t="s">
        <v>2228</v>
      </c>
      <c r="E18" s="18" t="s">
        <v>2234</v>
      </c>
      <c r="F18" s="92">
        <v>1.34</v>
      </c>
      <c r="G18" s="18" t="s">
        <v>2214</v>
      </c>
      <c r="H18" s="35">
        <v>23.69</v>
      </c>
      <c r="I18" s="93" t="str">
        <f t="shared" si="0"/>
        <v>✓</v>
      </c>
      <c r="J18" s="48">
        <v>4248.8500000000004</v>
      </c>
      <c r="K18" s="39" t="s">
        <v>2235</v>
      </c>
      <c r="L18" s="77" t="str">
        <f t="shared" si="1"/>
        <v>PASS</v>
      </c>
      <c r="M18" s="87">
        <v>3</v>
      </c>
      <c r="N18" s="78"/>
      <c r="O18" s="23" t="str">
        <f t="shared" si="2"/>
        <v>PASS</v>
      </c>
    </row>
    <row r="19" spans="1:15" ht="43.5" customHeight="1" x14ac:dyDescent="0.2">
      <c r="A19" s="18" t="s">
        <v>2236</v>
      </c>
      <c r="B19" s="18" t="str">
        <f>'Part names'!$B$35</f>
        <v>Gac Filter</v>
      </c>
      <c r="C19" s="18" t="str">
        <f>'Part names'!$B$22</f>
        <v>Drain Collection Sump</v>
      </c>
      <c r="D19" s="18" t="s">
        <v>2026</v>
      </c>
      <c r="E19" s="18" t="s">
        <v>5</v>
      </c>
      <c r="F19" s="92">
        <v>0.96799999999999997</v>
      </c>
      <c r="G19" s="18" t="s">
        <v>2214</v>
      </c>
      <c r="H19" s="35">
        <v>29.59</v>
      </c>
      <c r="I19" s="93" t="str">
        <f t="shared" si="0"/>
        <v>✓</v>
      </c>
      <c r="J19" s="48">
        <v>4106.7</v>
      </c>
      <c r="K19" s="39" t="s">
        <v>2237</v>
      </c>
      <c r="L19" s="77" t="str">
        <f t="shared" si="1"/>
        <v>PASS</v>
      </c>
      <c r="M19" s="87">
        <v>3</v>
      </c>
      <c r="N19" s="78"/>
      <c r="O19" s="23" t="str">
        <f t="shared" si="2"/>
        <v>PASS</v>
      </c>
    </row>
    <row r="20" spans="1:15" ht="43.5" customHeight="1" x14ac:dyDescent="0.2">
      <c r="A20" s="18" t="s">
        <v>2238</v>
      </c>
      <c r="B20" s="18" t="str">
        <f>'Part names'!$B$87</f>
        <v>Uv Disinfection</v>
      </c>
      <c r="C20" s="18" t="str">
        <f>'Part names'!$B$22</f>
        <v>Drain Collection Sump</v>
      </c>
      <c r="D20" s="18" t="s">
        <v>2026</v>
      </c>
      <c r="E20" s="18" t="s">
        <v>5</v>
      </c>
      <c r="F20" s="92">
        <v>0.96799999999999997</v>
      </c>
      <c r="G20" s="18" t="s">
        <v>2214</v>
      </c>
      <c r="H20" s="35">
        <v>24.71</v>
      </c>
      <c r="I20" s="93" t="str">
        <f t="shared" si="0"/>
        <v>✓</v>
      </c>
      <c r="J20" s="48">
        <v>3472.3</v>
      </c>
      <c r="K20" s="39" t="s">
        <v>2239</v>
      </c>
      <c r="L20" s="77" t="str">
        <f t="shared" si="1"/>
        <v>PASS</v>
      </c>
      <c r="M20" s="87">
        <v>3</v>
      </c>
      <c r="N20" s="78"/>
      <c r="O20" s="23" t="str">
        <f t="shared" si="2"/>
        <v>PASS</v>
      </c>
    </row>
    <row r="21" spans="1:15" ht="43.5" customHeight="1" x14ac:dyDescent="0.2">
      <c r="A21" s="18" t="s">
        <v>2240</v>
      </c>
      <c r="B21" s="18" t="str">
        <f>'Part names'!$B$22</f>
        <v>Drain Collection Sump</v>
      </c>
      <c r="C21" s="18" t="str">
        <f>'Part names'!$B$24</f>
        <v>Drain Water Tank</v>
      </c>
      <c r="D21" s="18" t="s">
        <v>2026</v>
      </c>
      <c r="E21" s="18" t="s">
        <v>5</v>
      </c>
      <c r="F21" s="92">
        <v>0.96799999999999997</v>
      </c>
      <c r="G21" s="18" t="s">
        <v>2214</v>
      </c>
      <c r="H21" s="35">
        <v>11.74</v>
      </c>
      <c r="I21" s="93" t="str">
        <f t="shared" si="0"/>
        <v>✓</v>
      </c>
      <c r="J21" s="48">
        <v>1786.2</v>
      </c>
      <c r="K21" s="39" t="s">
        <v>2241</v>
      </c>
      <c r="L21" s="77" t="str">
        <f t="shared" si="1"/>
        <v>PASS</v>
      </c>
      <c r="M21" s="87">
        <v>3</v>
      </c>
      <c r="N21" s="78"/>
      <c r="O21" s="23" t="str">
        <f t="shared" si="2"/>
        <v>PASS</v>
      </c>
    </row>
    <row r="22" spans="1:15" ht="43.5" customHeight="1" x14ac:dyDescent="0.2">
      <c r="A22" s="18" t="s">
        <v>2242</v>
      </c>
      <c r="B22" s="18" t="str">
        <f>'Part names'!$B$22</f>
        <v>Drain Collection Sump</v>
      </c>
      <c r="C22" s="18" t="str">
        <f>'Part names'!$B$87</f>
        <v>Uv Disinfection</v>
      </c>
      <c r="D22" s="18" t="s">
        <v>2228</v>
      </c>
      <c r="E22" s="18" t="s">
        <v>2234</v>
      </c>
      <c r="F22" s="92">
        <v>1.34</v>
      </c>
      <c r="G22" s="18" t="s">
        <v>2214</v>
      </c>
      <c r="H22" s="35">
        <v>19.39</v>
      </c>
      <c r="I22" s="93" t="str">
        <f t="shared" si="0"/>
        <v>✓</v>
      </c>
      <c r="J22" s="48">
        <v>3539.35</v>
      </c>
      <c r="K22" s="39" t="s">
        <v>2243</v>
      </c>
      <c r="L22" s="77" t="str">
        <f t="shared" si="1"/>
        <v>PASS</v>
      </c>
      <c r="M22" s="87">
        <v>3</v>
      </c>
      <c r="N22" s="78"/>
      <c r="O22" s="23" t="str">
        <f t="shared" si="2"/>
        <v>PASS</v>
      </c>
    </row>
    <row r="23" spans="1:15" ht="43.5" customHeight="1" x14ac:dyDescent="0.2">
      <c r="A23" s="18" t="s">
        <v>2244</v>
      </c>
      <c r="B23" s="18" t="str">
        <f>'Part names'!$B$22</f>
        <v>Drain Collection Sump</v>
      </c>
      <c r="C23" s="18" t="str">
        <f>'Part names'!$B$38</f>
        <v>Hand Watering Pump</v>
      </c>
      <c r="D23" s="18" t="s">
        <v>2245</v>
      </c>
      <c r="E23" s="18" t="s">
        <v>2246</v>
      </c>
      <c r="F23" s="92">
        <v>1.4570000000000001</v>
      </c>
      <c r="G23" s="18" t="s">
        <v>2214</v>
      </c>
      <c r="H23" s="35">
        <v>26.16</v>
      </c>
      <c r="I23" s="93" t="str">
        <f t="shared" si="0"/>
        <v>✓</v>
      </c>
      <c r="J23" s="48">
        <v>2075.84</v>
      </c>
      <c r="K23" s="39" t="s">
        <v>2247</v>
      </c>
      <c r="L23" s="77" t="str">
        <f t="shared" si="1"/>
        <v>PASS</v>
      </c>
      <c r="M23" s="87">
        <v>3</v>
      </c>
      <c r="N23" s="78"/>
      <c r="O23" s="23" t="str">
        <f t="shared" si="2"/>
        <v>PASS</v>
      </c>
    </row>
    <row r="24" spans="1:15" ht="43.5" customHeight="1" x14ac:dyDescent="0.2">
      <c r="A24" s="18" t="s">
        <v>2248</v>
      </c>
      <c r="B24" s="18" t="str">
        <f>'Part names'!$B$22</f>
        <v>Drain Collection Sump</v>
      </c>
      <c r="C24" s="18" t="str">
        <f>'Part names'!$B$12</f>
        <v>Cloth Filter</v>
      </c>
      <c r="D24" s="18" t="s">
        <v>2228</v>
      </c>
      <c r="E24" s="18" t="s">
        <v>2229</v>
      </c>
      <c r="F24" s="92">
        <v>1.1910000000000001</v>
      </c>
      <c r="G24" s="18" t="s">
        <v>2214</v>
      </c>
      <c r="H24" s="35">
        <v>10</v>
      </c>
      <c r="I24" s="93" t="str">
        <f t="shared" si="0"/>
        <v>✓</v>
      </c>
      <c r="J24" s="48">
        <v>1990</v>
      </c>
      <c r="K24" s="39" t="s">
        <v>2249</v>
      </c>
      <c r="L24" s="77" t="str">
        <f t="shared" si="1"/>
        <v>PASS</v>
      </c>
      <c r="M24" s="87">
        <v>3</v>
      </c>
      <c r="N24" s="78"/>
      <c r="O24" s="23" t="str">
        <f t="shared" si="2"/>
        <v>PASS</v>
      </c>
    </row>
    <row r="25" spans="1:15" ht="43.5" customHeight="1" x14ac:dyDescent="0.2">
      <c r="A25" s="18" t="s">
        <v>2250</v>
      </c>
      <c r="B25" s="18" t="str">
        <f>'Part names'!$B$22</f>
        <v>Drain Collection Sump</v>
      </c>
      <c r="C25" s="18" t="str">
        <f>'Part names'!$B$36</f>
        <v>Gac Softener</v>
      </c>
      <c r="D25" s="18" t="s">
        <v>1983</v>
      </c>
      <c r="E25" s="18" t="s">
        <v>2213</v>
      </c>
      <c r="F25" s="92">
        <v>1.304</v>
      </c>
      <c r="G25" s="18" t="s">
        <v>2214</v>
      </c>
      <c r="H25" s="35">
        <v>6.17</v>
      </c>
      <c r="I25" s="93" t="str">
        <f t="shared" si="0"/>
        <v>✓</v>
      </c>
      <c r="J25" s="48">
        <v>480.2</v>
      </c>
      <c r="K25" s="39" t="s">
        <v>2251</v>
      </c>
      <c r="L25" s="77" t="str">
        <f t="shared" si="1"/>
        <v>PASS</v>
      </c>
      <c r="M25" s="87">
        <v>3</v>
      </c>
      <c r="N25" s="78"/>
      <c r="O25" s="23" t="str">
        <f t="shared" si="2"/>
        <v>PASS</v>
      </c>
    </row>
    <row r="26" spans="1:15" ht="43.5" customHeight="1" x14ac:dyDescent="0.2">
      <c r="A26" s="18" t="s">
        <v>2252</v>
      </c>
      <c r="B26" s="18" t="str">
        <f>'Part names'!$B$22</f>
        <v>Drain Collection Sump</v>
      </c>
      <c r="C26" s="18" t="str">
        <f>'Part names'!$B$45</f>
        <v>Irrigation Pump</v>
      </c>
      <c r="D26" s="18" t="s">
        <v>2228</v>
      </c>
      <c r="E26" s="18" t="s">
        <v>2234</v>
      </c>
      <c r="F26" s="92">
        <v>1.34</v>
      </c>
      <c r="G26" s="18" t="s">
        <v>2214</v>
      </c>
      <c r="H26" s="35">
        <v>23.46</v>
      </c>
      <c r="I26" s="93" t="str">
        <f t="shared" si="0"/>
        <v>✓</v>
      </c>
      <c r="J26" s="48">
        <v>4210.8999999999996</v>
      </c>
      <c r="K26" s="39" t="s">
        <v>2253</v>
      </c>
      <c r="L26" s="77" t="str">
        <f t="shared" si="1"/>
        <v>PASS</v>
      </c>
      <c r="M26" s="87">
        <v>3</v>
      </c>
      <c r="N26" s="78"/>
      <c r="O26" s="23" t="str">
        <f t="shared" si="2"/>
        <v>PASS</v>
      </c>
    </row>
    <row r="27" spans="1:15" ht="43.5" customHeight="1" x14ac:dyDescent="0.2">
      <c r="A27" s="18" t="s">
        <v>2254</v>
      </c>
      <c r="B27" s="18" t="str">
        <f>'Part names'!$B$22</f>
        <v>Drain Collection Sump</v>
      </c>
      <c r="C27" s="18" t="str">
        <f>'Part names'!$B$70</f>
        <v>Reverse Osmosis Skid</v>
      </c>
      <c r="D27" s="18" t="s">
        <v>2026</v>
      </c>
      <c r="E27" s="18" t="s">
        <v>5</v>
      </c>
      <c r="F27" s="92">
        <v>0.96799999999999997</v>
      </c>
      <c r="G27" s="18" t="s">
        <v>2214</v>
      </c>
      <c r="H27" s="35">
        <v>4.83</v>
      </c>
      <c r="I27" s="93" t="str">
        <f t="shared" si="0"/>
        <v>✓</v>
      </c>
      <c r="J27" s="48">
        <v>887.9</v>
      </c>
      <c r="K27" s="39" t="s">
        <v>2255</v>
      </c>
      <c r="L27" s="77" t="str">
        <f t="shared" si="1"/>
        <v>PASS</v>
      </c>
      <c r="M27" s="87">
        <v>3</v>
      </c>
      <c r="N27" s="78"/>
      <c r="O27" s="23" t="str">
        <f t="shared" si="2"/>
        <v>PASS</v>
      </c>
    </row>
    <row r="28" spans="1:15" ht="43.5" customHeight="1" x14ac:dyDescent="0.2">
      <c r="A28" s="18" t="s">
        <v>2256</v>
      </c>
      <c r="B28" s="18" t="str">
        <f>'Part names'!$B$22</f>
        <v>Drain Collection Sump</v>
      </c>
      <c r="C28" s="18" t="str">
        <f>'Part names'!$B$71</f>
        <v>Ro High Pressure Pump</v>
      </c>
      <c r="D28" s="18" t="s">
        <v>2007</v>
      </c>
      <c r="E28" s="18" t="s">
        <v>2219</v>
      </c>
      <c r="F28" s="92">
        <v>1.4119999999999999</v>
      </c>
      <c r="G28" s="18" t="s">
        <v>2214</v>
      </c>
      <c r="H28" s="35">
        <v>27.2</v>
      </c>
      <c r="I28" s="93" t="str">
        <f t="shared" si="0"/>
        <v>✓</v>
      </c>
      <c r="J28" s="48">
        <v>1389.6</v>
      </c>
      <c r="K28" s="39" t="s">
        <v>2257</v>
      </c>
      <c r="L28" s="77" t="str">
        <f t="shared" si="1"/>
        <v>PASS</v>
      </c>
      <c r="M28" s="87">
        <v>3</v>
      </c>
      <c r="N28" s="78"/>
      <c r="O28" s="23" t="str">
        <f t="shared" si="2"/>
        <v>PASS</v>
      </c>
    </row>
    <row r="29" spans="1:15" ht="43.5" customHeight="1" x14ac:dyDescent="0.2">
      <c r="A29" s="18" t="s">
        <v>2258</v>
      </c>
      <c r="B29" s="18" t="str">
        <f>'Part names'!$B$22</f>
        <v>Drain Collection Sump</v>
      </c>
      <c r="C29" s="18" t="str">
        <f>'Part names'!$B$35</f>
        <v>Gac Filter</v>
      </c>
      <c r="D29" s="18" t="s">
        <v>1983</v>
      </c>
      <c r="E29" s="18" t="s">
        <v>2213</v>
      </c>
      <c r="F29" s="92">
        <v>1.304</v>
      </c>
      <c r="G29" s="18" t="s">
        <v>2214</v>
      </c>
      <c r="H29" s="35">
        <v>23.75</v>
      </c>
      <c r="I29" s="93" t="str">
        <f t="shared" si="0"/>
        <v>✓</v>
      </c>
      <c r="J29" s="48">
        <v>1535</v>
      </c>
      <c r="K29" s="39" t="s">
        <v>2259</v>
      </c>
      <c r="L29" s="77" t="str">
        <f t="shared" si="1"/>
        <v>PASS</v>
      </c>
      <c r="M29" s="87">
        <v>3</v>
      </c>
      <c r="N29" s="78"/>
      <c r="O29" s="23" t="str">
        <f t="shared" si="2"/>
        <v>PASS</v>
      </c>
    </row>
    <row r="30" spans="1:15" ht="43.5" customHeight="1" x14ac:dyDescent="0.2">
      <c r="A30" s="18" t="s">
        <v>2260</v>
      </c>
      <c r="B30" s="18" t="str">
        <f>'Part names'!$B$22</f>
        <v>Drain Collection Sump</v>
      </c>
      <c r="C30" s="18" t="str">
        <f>'Part names'!$B$85</f>
        <v>Uf Module Bank</v>
      </c>
      <c r="D30" s="18" t="s">
        <v>2026</v>
      </c>
      <c r="E30" s="18" t="s">
        <v>5</v>
      </c>
      <c r="F30" s="92">
        <v>0.96799999999999997</v>
      </c>
      <c r="G30" s="18" t="s">
        <v>2214</v>
      </c>
      <c r="H30" s="35">
        <v>8.3699999999999992</v>
      </c>
      <c r="I30" s="93" t="str">
        <f t="shared" si="0"/>
        <v>✓</v>
      </c>
      <c r="J30" s="48">
        <v>1348.1</v>
      </c>
      <c r="K30" s="39" t="s">
        <v>2261</v>
      </c>
      <c r="L30" s="77" t="str">
        <f t="shared" si="1"/>
        <v>PASS</v>
      </c>
      <c r="M30" s="87">
        <v>3</v>
      </c>
      <c r="N30" s="78"/>
      <c r="O30" s="23" t="str">
        <f t="shared" si="2"/>
        <v>PASS</v>
      </c>
    </row>
    <row r="31" spans="1:15" ht="43.5" customHeight="1" x14ac:dyDescent="0.2">
      <c r="A31" s="18" t="s">
        <v>2262</v>
      </c>
      <c r="B31" s="18" t="str">
        <f>'Part names'!$B$22</f>
        <v>Drain Collection Sump</v>
      </c>
      <c r="C31" s="18" t="str">
        <f>'Part names'!$B$10</f>
        <v>Cip Tank</v>
      </c>
      <c r="D31" s="18" t="s">
        <v>2036</v>
      </c>
      <c r="E31" s="18" t="s">
        <v>2263</v>
      </c>
      <c r="F31" s="92">
        <v>1.1479999999999999</v>
      </c>
      <c r="G31" s="18" t="s">
        <v>2214</v>
      </c>
      <c r="H31" s="35">
        <v>20.09</v>
      </c>
      <c r="I31" s="93" t="str">
        <f t="shared" si="0"/>
        <v>✓</v>
      </c>
      <c r="J31" s="48">
        <v>735.06</v>
      </c>
      <c r="K31" s="39" t="s">
        <v>2264</v>
      </c>
      <c r="L31" s="77" t="str">
        <f t="shared" si="1"/>
        <v>PASS</v>
      </c>
      <c r="M31" s="87">
        <v>3</v>
      </c>
      <c r="N31" s="78"/>
      <c r="O31" s="23" t="str">
        <f t="shared" si="2"/>
        <v>PASS</v>
      </c>
    </row>
    <row r="32" spans="1:15" ht="43.5" customHeight="1" x14ac:dyDescent="0.2">
      <c r="A32" s="18" t="s">
        <v>2265</v>
      </c>
      <c r="B32" s="18" t="str">
        <f>'Part names'!$B$22</f>
        <v>Drain Collection Sump</v>
      </c>
      <c r="C32" s="18" t="str">
        <f>'Part names'!$B$10</f>
        <v>Cip Tank</v>
      </c>
      <c r="D32" s="18" t="s">
        <v>2036</v>
      </c>
      <c r="E32" s="18" t="s">
        <v>2263</v>
      </c>
      <c r="F32" s="92">
        <v>1.1479999999999999</v>
      </c>
      <c r="G32" s="18" t="s">
        <v>2214</v>
      </c>
      <c r="H32" s="35">
        <v>23.71</v>
      </c>
      <c r="I32" s="93" t="str">
        <f t="shared" si="0"/>
        <v>✓</v>
      </c>
      <c r="J32" s="48">
        <v>858.14</v>
      </c>
      <c r="K32" s="39" t="s">
        <v>2266</v>
      </c>
      <c r="L32" s="77" t="str">
        <f t="shared" si="1"/>
        <v>PASS</v>
      </c>
      <c r="M32" s="87">
        <v>3</v>
      </c>
      <c r="N32" s="78"/>
      <c r="O32" s="23" t="str">
        <f t="shared" si="2"/>
        <v>PASS</v>
      </c>
    </row>
    <row r="33" spans="1:15" ht="43.5" customHeight="1" x14ac:dyDescent="0.2">
      <c r="A33" s="18" t="s">
        <v>2267</v>
      </c>
      <c r="B33" s="18" t="str">
        <f>'Part names'!$B$24</f>
        <v>Drain Water Tank</v>
      </c>
      <c r="C33" s="18" t="str">
        <f>'Part names'!$B$23</f>
        <v>Drain Transfer Pump</v>
      </c>
      <c r="D33" s="18" t="s">
        <v>2026</v>
      </c>
      <c r="E33" s="18" t="s">
        <v>5</v>
      </c>
      <c r="F33" s="92">
        <v>0.96799999999999997</v>
      </c>
      <c r="G33" s="18" t="s">
        <v>2214</v>
      </c>
      <c r="H33" s="35">
        <v>33.1</v>
      </c>
      <c r="I33" s="93" t="str">
        <f t="shared" si="0"/>
        <v>✓</v>
      </c>
      <c r="J33" s="48">
        <v>4563</v>
      </c>
      <c r="K33" s="39" t="s">
        <v>2268</v>
      </c>
      <c r="L33" s="77" t="str">
        <f t="shared" si="1"/>
        <v>PASS</v>
      </c>
      <c r="M33" s="87">
        <v>3</v>
      </c>
      <c r="N33" s="78"/>
      <c r="O33" s="23" t="str">
        <f t="shared" si="2"/>
        <v>PASS</v>
      </c>
    </row>
    <row r="34" spans="1:15" ht="43.5" customHeight="1" x14ac:dyDescent="0.2">
      <c r="A34" s="18" t="s">
        <v>2269</v>
      </c>
      <c r="B34" s="18" t="str">
        <f>'Part names'!$B$23</f>
        <v>Drain Transfer Pump</v>
      </c>
      <c r="C34" s="18" t="str">
        <f>'Part names'!$B$10</f>
        <v>Cip Tank</v>
      </c>
      <c r="D34" s="18" t="s">
        <v>2036</v>
      </c>
      <c r="E34" s="18" t="s">
        <v>2263</v>
      </c>
      <c r="F34" s="92">
        <v>1.1479999999999999</v>
      </c>
      <c r="G34" s="18" t="s">
        <v>2214</v>
      </c>
      <c r="H34" s="35">
        <v>45.21</v>
      </c>
      <c r="I34" s="93" t="str">
        <f t="shared" si="0"/>
        <v>✓</v>
      </c>
      <c r="J34" s="48">
        <v>1589.14</v>
      </c>
      <c r="K34" s="39" t="s">
        <v>2270</v>
      </c>
      <c r="L34" s="77" t="str">
        <f t="shared" si="1"/>
        <v>PASS</v>
      </c>
      <c r="M34" s="87">
        <v>3</v>
      </c>
      <c r="N34" s="78"/>
      <c r="O34" s="23" t="str">
        <f t="shared" si="2"/>
        <v>PASS</v>
      </c>
    </row>
    <row r="35" spans="1:15" ht="43.5" customHeight="1" x14ac:dyDescent="0.2">
      <c r="A35" s="18" t="s">
        <v>2271</v>
      </c>
      <c r="B35" s="18" t="str">
        <f>'Part names'!$B$10</f>
        <v>Cip Tank</v>
      </c>
      <c r="C35" s="18" t="str">
        <f>'Part names'!$B$10</f>
        <v>Cip Tank</v>
      </c>
      <c r="D35" s="18" t="s">
        <v>2036</v>
      </c>
      <c r="E35" s="18" t="s">
        <v>2263</v>
      </c>
      <c r="F35" s="92">
        <v>1.1479999999999999</v>
      </c>
      <c r="G35" s="18" t="s">
        <v>2214</v>
      </c>
      <c r="H35" s="35">
        <v>3.11</v>
      </c>
      <c r="I35" s="93" t="str">
        <f t="shared" si="0"/>
        <v>✓</v>
      </c>
      <c r="J35" s="48">
        <v>157.74</v>
      </c>
      <c r="K35" s="39" t="s">
        <v>2272</v>
      </c>
      <c r="L35" s="77" t="str">
        <f t="shared" si="1"/>
        <v>PASS</v>
      </c>
      <c r="M35" s="87">
        <v>3</v>
      </c>
      <c r="N35" s="78"/>
      <c r="O35" s="23" t="str">
        <f t="shared" si="2"/>
        <v>PASS</v>
      </c>
    </row>
    <row r="36" spans="1:15" ht="43.5" customHeight="1" x14ac:dyDescent="0.2">
      <c r="A36" s="18" t="s">
        <v>2273</v>
      </c>
      <c r="B36" s="18" t="str">
        <f>'Part names'!$B$10</f>
        <v>Cip Tank</v>
      </c>
      <c r="C36" s="18" t="str">
        <f>'Part names'!$B$22</f>
        <v>Drain Collection Sump</v>
      </c>
      <c r="D36" s="18" t="s">
        <v>2026</v>
      </c>
      <c r="E36" s="18" t="s">
        <v>5</v>
      </c>
      <c r="F36" s="92">
        <v>0.96799999999999997</v>
      </c>
      <c r="G36" s="18" t="s">
        <v>2214</v>
      </c>
      <c r="H36" s="35">
        <v>20.420000000000002</v>
      </c>
      <c r="I36" s="93" t="str">
        <f t="shared" si="0"/>
        <v>✓</v>
      </c>
      <c r="J36" s="48">
        <v>2914.6</v>
      </c>
      <c r="K36" s="39" t="s">
        <v>2274</v>
      </c>
      <c r="L36" s="77" t="str">
        <f t="shared" si="1"/>
        <v>PASS</v>
      </c>
      <c r="M36" s="87">
        <v>3</v>
      </c>
      <c r="N36" s="78"/>
      <c r="O36" s="23" t="str">
        <f t="shared" si="2"/>
        <v>PASS</v>
      </c>
    </row>
    <row r="37" spans="1:15" ht="43.5" customHeight="1" x14ac:dyDescent="0.2">
      <c r="A37" s="18" t="s">
        <v>2275</v>
      </c>
      <c r="B37" s="18" t="str">
        <f>'Part names'!$B$10</f>
        <v>Cip Tank</v>
      </c>
      <c r="C37" s="18" t="str">
        <f>'Part names'!$B$34</f>
        <v>Fresh Water Tank</v>
      </c>
      <c r="D37" s="18" t="s">
        <v>2036</v>
      </c>
      <c r="E37" s="18" t="s">
        <v>2263</v>
      </c>
      <c r="F37" s="92">
        <v>1.1479999999999999</v>
      </c>
      <c r="G37" s="18" t="s">
        <v>2214</v>
      </c>
      <c r="H37" s="35">
        <v>13.66</v>
      </c>
      <c r="I37" s="93" t="str">
        <f t="shared" si="0"/>
        <v>✓</v>
      </c>
      <c r="J37" s="48">
        <v>516.44000000000005</v>
      </c>
      <c r="K37" s="39" t="s">
        <v>2276</v>
      </c>
      <c r="L37" s="77" t="str">
        <f t="shared" si="1"/>
        <v>PASS</v>
      </c>
      <c r="M37" s="87">
        <v>3</v>
      </c>
      <c r="N37" s="78"/>
      <c r="O37" s="23" t="str">
        <f t="shared" si="2"/>
        <v>PASS</v>
      </c>
    </row>
    <row r="38" spans="1:15" ht="43.5" customHeight="1" x14ac:dyDescent="0.2">
      <c r="A38" s="18" t="s">
        <v>2277</v>
      </c>
      <c r="B38" s="18" t="str">
        <f>'Part names'!$B$10</f>
        <v>Cip Tank</v>
      </c>
      <c r="C38" s="18" t="str">
        <f>'Part names'!$B$22</f>
        <v>Drain Collection Sump</v>
      </c>
      <c r="D38" s="18" t="s">
        <v>2026</v>
      </c>
      <c r="E38" s="18" t="s">
        <v>5</v>
      </c>
      <c r="F38" s="92">
        <v>0.96799999999999997</v>
      </c>
      <c r="G38" s="18" t="s">
        <v>2214</v>
      </c>
      <c r="H38" s="35">
        <v>24.26</v>
      </c>
      <c r="I38" s="93" t="str">
        <f t="shared" si="0"/>
        <v>✓</v>
      </c>
      <c r="J38" s="48">
        <v>3413.8</v>
      </c>
      <c r="K38" s="39" t="s">
        <v>2278</v>
      </c>
      <c r="L38" s="77" t="str">
        <f t="shared" si="1"/>
        <v>PASS</v>
      </c>
      <c r="M38" s="87">
        <v>3</v>
      </c>
      <c r="N38" s="78"/>
      <c r="O38" s="23" t="str">
        <f t="shared" si="2"/>
        <v>PASS</v>
      </c>
    </row>
    <row r="39" spans="1:15" ht="43.5" customHeight="1" x14ac:dyDescent="0.2">
      <c r="A39" s="94" t="s">
        <v>2279</v>
      </c>
      <c r="B39" s="94" t="str">
        <f>'Part names'!$B$34</f>
        <v>Fresh Water Tank</v>
      </c>
      <c r="C39" s="94" t="str">
        <f>'Part names'!$B$55</f>
        <v>Nutrient Tank</v>
      </c>
      <c r="D39" s="94" t="s">
        <v>2280</v>
      </c>
      <c r="E39" s="94" t="s">
        <v>374</v>
      </c>
      <c r="F39" s="94" t="s">
        <v>2281</v>
      </c>
      <c r="G39" s="94" t="s">
        <v>2282</v>
      </c>
      <c r="H39" s="95">
        <v>5</v>
      </c>
      <c r="I39" s="96" t="str">
        <f t="shared" si="0"/>
        <v>✗</v>
      </c>
      <c r="J39" s="97">
        <v>180</v>
      </c>
      <c r="K39" s="98" t="s">
        <v>2283</v>
      </c>
      <c r="L39" s="91" t="str">
        <f t="shared" si="1"/>
        <v>FAIL — velocity underivable — no flow demand on the edge and no contract flow/throughput quantity matches either endpoint</v>
      </c>
      <c r="M39" s="87"/>
      <c r="N39" s="78" t="s">
        <v>2284</v>
      </c>
      <c r="O39" s="23" t="str">
        <f t="shared" si="2"/>
        <v>PASS</v>
      </c>
    </row>
    <row r="40" spans="1:15" ht="43.5" customHeight="1" x14ac:dyDescent="0.2">
      <c r="A40" s="18" t="s">
        <v>2285</v>
      </c>
      <c r="B40" s="18" t="str">
        <f>'Part names'!$B$34</f>
        <v>Fresh Water Tank</v>
      </c>
      <c r="C40" s="18" t="str">
        <f>'Part names'!$B$60</f>
        <v>Permeate Outlet</v>
      </c>
      <c r="D40" s="18" t="s">
        <v>2228</v>
      </c>
      <c r="E40" s="18" t="s">
        <v>2234</v>
      </c>
      <c r="F40" s="92">
        <v>1.34</v>
      </c>
      <c r="G40" s="18" t="s">
        <v>2214</v>
      </c>
      <c r="H40" s="35">
        <v>30.62</v>
      </c>
      <c r="I40" s="93" t="str">
        <f t="shared" si="0"/>
        <v>✓</v>
      </c>
      <c r="J40" s="48">
        <v>3235.38</v>
      </c>
      <c r="K40" s="39" t="s">
        <v>2286</v>
      </c>
      <c r="L40" s="77" t="str">
        <f t="shared" si="1"/>
        <v>PASS</v>
      </c>
      <c r="M40" s="87">
        <v>3</v>
      </c>
      <c r="N40" s="78"/>
      <c r="O40" s="23" t="str">
        <f t="shared" si="2"/>
        <v>PASS</v>
      </c>
    </row>
    <row r="41" spans="1:15" ht="43.5" customHeight="1" x14ac:dyDescent="0.2">
      <c r="A41" s="18" t="s">
        <v>2287</v>
      </c>
      <c r="B41" s="18" t="str">
        <f>'Part names'!$B$34</f>
        <v>Fresh Water Tank</v>
      </c>
      <c r="C41" s="18" t="str">
        <f>'Part names'!$B$75</f>
        <v>Softener Vessel</v>
      </c>
      <c r="D41" s="18" t="s">
        <v>1983</v>
      </c>
      <c r="E41" s="18" t="s">
        <v>2213</v>
      </c>
      <c r="F41" s="92">
        <v>1.304</v>
      </c>
      <c r="G41" s="18" t="s">
        <v>2214</v>
      </c>
      <c r="H41" s="35">
        <v>31.14</v>
      </c>
      <c r="I41" s="93" t="str">
        <f t="shared" si="0"/>
        <v>✓</v>
      </c>
      <c r="J41" s="48">
        <v>1978.4</v>
      </c>
      <c r="K41" s="39" t="s">
        <v>2288</v>
      </c>
      <c r="L41" s="77" t="str">
        <f t="shared" si="1"/>
        <v>PASS</v>
      </c>
      <c r="M41" s="87">
        <v>3</v>
      </c>
      <c r="N41" s="78"/>
      <c r="O41" s="23" t="str">
        <f t="shared" si="2"/>
        <v>PASS</v>
      </c>
    </row>
    <row r="42" spans="1:15" ht="43.5" customHeight="1" x14ac:dyDescent="0.2">
      <c r="A42" s="18" t="s">
        <v>2289</v>
      </c>
      <c r="B42" s="18" t="str">
        <f>'Part names'!$B$34</f>
        <v>Fresh Water Tank</v>
      </c>
      <c r="C42" s="18" t="str">
        <f>'Part names'!$B$22</f>
        <v>Drain Collection Sump</v>
      </c>
      <c r="D42" s="18" t="s">
        <v>2026</v>
      </c>
      <c r="E42" s="18" t="s">
        <v>5</v>
      </c>
      <c r="F42" s="92">
        <v>0.96799999999999997</v>
      </c>
      <c r="G42" s="18" t="s">
        <v>2214</v>
      </c>
      <c r="H42" s="35">
        <v>27.23</v>
      </c>
      <c r="I42" s="93" t="str">
        <f t="shared" si="0"/>
        <v>✓</v>
      </c>
      <c r="J42" s="48">
        <v>3799.9</v>
      </c>
      <c r="K42" s="39" t="s">
        <v>2290</v>
      </c>
      <c r="L42" s="77" t="str">
        <f t="shared" si="1"/>
        <v>PASS</v>
      </c>
      <c r="M42" s="87">
        <v>3</v>
      </c>
      <c r="N42" s="78"/>
      <c r="O42" s="23" t="str">
        <f t="shared" si="2"/>
        <v>PASS</v>
      </c>
    </row>
    <row r="43" spans="1:15" ht="43.5" customHeight="1" x14ac:dyDescent="0.2">
      <c r="A43" s="18" t="s">
        <v>2291</v>
      </c>
      <c r="B43" s="18" t="str">
        <f>'Part names'!$B$34</f>
        <v>Fresh Water Tank</v>
      </c>
      <c r="C43" s="18" t="str">
        <f>'Part names'!$B$23</f>
        <v>Drain Transfer Pump</v>
      </c>
      <c r="D43" s="18" t="s">
        <v>2026</v>
      </c>
      <c r="E43" s="18" t="s">
        <v>5</v>
      </c>
      <c r="F43" s="92">
        <v>0.96799999999999997</v>
      </c>
      <c r="G43" s="18" t="s">
        <v>2214</v>
      </c>
      <c r="H43" s="35">
        <v>25.4</v>
      </c>
      <c r="I43" s="93" t="str">
        <f t="shared" si="0"/>
        <v>✓</v>
      </c>
      <c r="J43" s="48">
        <v>3562</v>
      </c>
      <c r="K43" s="39" t="s">
        <v>2292</v>
      </c>
      <c r="L43" s="77" t="str">
        <f t="shared" si="1"/>
        <v>PASS</v>
      </c>
      <c r="M43" s="87">
        <v>3</v>
      </c>
      <c r="N43" s="78"/>
      <c r="O43" s="23" t="str">
        <f t="shared" si="2"/>
        <v>PASS</v>
      </c>
    </row>
    <row r="44" spans="1:15" ht="43.5" customHeight="1" x14ac:dyDescent="0.2">
      <c r="A44" s="94" t="s">
        <v>2293</v>
      </c>
      <c r="B44" s="94" t="str">
        <f>'Part names'!$B$34</f>
        <v>Fresh Water Tank</v>
      </c>
      <c r="C44" s="94" t="str">
        <f>'Part names'!$B$24</f>
        <v>Drain Water Tank</v>
      </c>
      <c r="D44" s="94" t="s">
        <v>2280</v>
      </c>
      <c r="E44" s="94" t="s">
        <v>374</v>
      </c>
      <c r="F44" s="94" t="s">
        <v>2281</v>
      </c>
      <c r="G44" s="94" t="s">
        <v>2282</v>
      </c>
      <c r="H44" s="95">
        <v>19.98</v>
      </c>
      <c r="I44" s="96" t="str">
        <f t="shared" si="0"/>
        <v>✗</v>
      </c>
      <c r="J44" s="97">
        <v>599.44000000000005</v>
      </c>
      <c r="K44" s="98" t="s">
        <v>2294</v>
      </c>
      <c r="L44" s="91" t="str">
        <f t="shared" si="1"/>
        <v>FAIL — velocity underivable — no flow demand on the edge and no contract flow/throughput quantity matches either endpoint</v>
      </c>
      <c r="M44" s="87"/>
      <c r="N44" s="78" t="s">
        <v>2284</v>
      </c>
      <c r="O44" s="23" t="str">
        <f t="shared" si="2"/>
        <v>PASS</v>
      </c>
    </row>
    <row r="45" spans="1:15" ht="43.5" customHeight="1" x14ac:dyDescent="0.2">
      <c r="A45" s="18" t="s">
        <v>2295</v>
      </c>
      <c r="B45" s="18" t="str">
        <f>'Part names'!$B$30</f>
        <v>Fertigation Dosing Pump</v>
      </c>
      <c r="C45" s="18" t="str">
        <f>'Part names'!$B$38</f>
        <v>Hand Watering Pump</v>
      </c>
      <c r="D45" s="18" t="s">
        <v>2245</v>
      </c>
      <c r="E45" s="18" t="s">
        <v>2246</v>
      </c>
      <c r="F45" s="92">
        <v>1.4570000000000001</v>
      </c>
      <c r="G45" s="18" t="s">
        <v>2214</v>
      </c>
      <c r="H45" s="35">
        <v>30.23</v>
      </c>
      <c r="I45" s="93" t="str">
        <f t="shared" si="0"/>
        <v>✓</v>
      </c>
      <c r="J45" s="48">
        <v>2377.02</v>
      </c>
      <c r="K45" s="39" t="s">
        <v>2296</v>
      </c>
      <c r="L45" s="77" t="str">
        <f t="shared" si="1"/>
        <v>PASS</v>
      </c>
      <c r="M45" s="87">
        <v>3</v>
      </c>
      <c r="N45" s="78"/>
      <c r="O45" s="23" t="str">
        <f t="shared" si="2"/>
        <v>PASS</v>
      </c>
    </row>
    <row r="46" spans="1:15" ht="43.5" customHeight="1" x14ac:dyDescent="0.2">
      <c r="A46" s="18" t="s">
        <v>2297</v>
      </c>
      <c r="B46" s="18" t="str">
        <f>'Part names'!$B$30</f>
        <v>Fertigation Dosing Pump</v>
      </c>
      <c r="C46" s="18" t="str">
        <f>'Part names'!$B$22</f>
        <v>Drain Collection Sump</v>
      </c>
      <c r="D46" s="18" t="s">
        <v>2026</v>
      </c>
      <c r="E46" s="18" t="s">
        <v>5</v>
      </c>
      <c r="F46" s="92">
        <v>0.96799999999999997</v>
      </c>
      <c r="G46" s="18" t="s">
        <v>2214</v>
      </c>
      <c r="H46" s="35">
        <v>15.77</v>
      </c>
      <c r="I46" s="93" t="str">
        <f t="shared" si="0"/>
        <v>✓</v>
      </c>
      <c r="J46" s="48">
        <v>2310.1</v>
      </c>
      <c r="K46" s="39" t="s">
        <v>2298</v>
      </c>
      <c r="L46" s="77" t="str">
        <f t="shared" si="1"/>
        <v>PASS</v>
      </c>
      <c r="M46" s="87">
        <v>3</v>
      </c>
      <c r="N46" s="78"/>
      <c r="O46" s="23" t="str">
        <f t="shared" si="2"/>
        <v>PASS</v>
      </c>
    </row>
    <row r="47" spans="1:15" ht="43.5" customHeight="1" x14ac:dyDescent="0.2">
      <c r="A47" s="18" t="s">
        <v>2299</v>
      </c>
      <c r="B47" s="18" t="str">
        <f>'Part names'!$B$38</f>
        <v>Hand Watering Pump</v>
      </c>
      <c r="C47" s="18" t="str">
        <f>'Part names'!$B$45</f>
        <v>Irrigation Pump</v>
      </c>
      <c r="D47" s="18" t="s">
        <v>2228</v>
      </c>
      <c r="E47" s="18" t="s">
        <v>2234</v>
      </c>
      <c r="F47" s="92">
        <v>1.34</v>
      </c>
      <c r="G47" s="18" t="s">
        <v>2214</v>
      </c>
      <c r="H47" s="35">
        <v>6.54</v>
      </c>
      <c r="I47" s="93" t="str">
        <f t="shared" si="0"/>
        <v>✓</v>
      </c>
      <c r="J47" s="48">
        <v>1419.1</v>
      </c>
      <c r="K47" s="39" t="s">
        <v>2300</v>
      </c>
      <c r="L47" s="77" t="str">
        <f t="shared" si="1"/>
        <v>PASS</v>
      </c>
      <c r="M47" s="87">
        <v>3</v>
      </c>
      <c r="N47" s="78"/>
      <c r="O47" s="23" t="str">
        <f t="shared" si="2"/>
        <v>PASS</v>
      </c>
    </row>
    <row r="48" spans="1:15" ht="43.5" customHeight="1" x14ac:dyDescent="0.2">
      <c r="A48" s="18" t="s">
        <v>2301</v>
      </c>
      <c r="B48" s="18" t="str">
        <f>'Part names'!$B$38</f>
        <v>Hand Watering Pump</v>
      </c>
      <c r="C48" s="18" t="str">
        <f>'Part names'!$B$22</f>
        <v>Drain Collection Sump</v>
      </c>
      <c r="D48" s="18" t="s">
        <v>2026</v>
      </c>
      <c r="E48" s="18" t="s">
        <v>5</v>
      </c>
      <c r="F48" s="92">
        <v>0.96799999999999997</v>
      </c>
      <c r="G48" s="18" t="s">
        <v>2214</v>
      </c>
      <c r="H48" s="35">
        <v>30.5</v>
      </c>
      <c r="I48" s="93" t="str">
        <f t="shared" si="0"/>
        <v>✓</v>
      </c>
      <c r="J48" s="48">
        <v>4225</v>
      </c>
      <c r="K48" s="39" t="s">
        <v>2302</v>
      </c>
      <c r="L48" s="77" t="str">
        <f t="shared" si="1"/>
        <v>PASS</v>
      </c>
      <c r="M48" s="87">
        <v>3</v>
      </c>
      <c r="N48" s="78"/>
      <c r="O48" s="23" t="str">
        <f t="shared" si="2"/>
        <v>PASS</v>
      </c>
    </row>
    <row r="49" spans="1:15" ht="43.5" customHeight="1" x14ac:dyDescent="0.2">
      <c r="A49" s="18" t="s">
        <v>2303</v>
      </c>
      <c r="B49" s="18" t="str">
        <f>'Part names'!$B$45</f>
        <v>Irrigation Pump</v>
      </c>
      <c r="C49" s="18" t="str">
        <f>'Part names'!$B$20</f>
        <v>Distribution Manifold</v>
      </c>
      <c r="D49" s="18" t="s">
        <v>2026</v>
      </c>
      <c r="E49" s="18" t="s">
        <v>5</v>
      </c>
      <c r="F49" s="92">
        <v>0.96799999999999997</v>
      </c>
      <c r="G49" s="18" t="s">
        <v>2214</v>
      </c>
      <c r="H49" s="35">
        <v>1.87</v>
      </c>
      <c r="I49" s="93" t="str">
        <f t="shared" si="0"/>
        <v>✓</v>
      </c>
      <c r="J49" s="48">
        <v>503.1</v>
      </c>
      <c r="K49" s="39" t="s">
        <v>2304</v>
      </c>
      <c r="L49" s="77" t="str">
        <f t="shared" si="1"/>
        <v>PASS</v>
      </c>
      <c r="M49" s="87">
        <v>3</v>
      </c>
      <c r="N49" s="78"/>
      <c r="O49" s="23" t="str">
        <f t="shared" si="2"/>
        <v>PASS</v>
      </c>
    </row>
    <row r="50" spans="1:15" ht="43.5" customHeight="1" x14ac:dyDescent="0.2">
      <c r="A50" s="18" t="s">
        <v>2305</v>
      </c>
      <c r="B50" s="18" t="str">
        <f>'Part names'!$B$45</f>
        <v>Irrigation Pump</v>
      </c>
      <c r="C50" s="18" t="str">
        <f>'Part names'!$B$22</f>
        <v>Drain Collection Sump</v>
      </c>
      <c r="D50" s="18" t="s">
        <v>2026</v>
      </c>
      <c r="E50" s="18" t="s">
        <v>5</v>
      </c>
      <c r="F50" s="92">
        <v>0.96799999999999997</v>
      </c>
      <c r="G50" s="18" t="s">
        <v>2214</v>
      </c>
      <c r="H50" s="35">
        <v>28.06</v>
      </c>
      <c r="I50" s="93" t="str">
        <f t="shared" si="0"/>
        <v>✓</v>
      </c>
      <c r="J50" s="48">
        <v>3907.8</v>
      </c>
      <c r="K50" s="39" t="s">
        <v>2306</v>
      </c>
      <c r="L50" s="77" t="str">
        <f t="shared" si="1"/>
        <v>PASS</v>
      </c>
      <c r="M50" s="87">
        <v>3</v>
      </c>
      <c r="N50" s="78"/>
      <c r="O50" s="23" t="str">
        <f t="shared" si="2"/>
        <v>PASS</v>
      </c>
    </row>
    <row r="51" spans="1:15" ht="43.5" customHeight="1" x14ac:dyDescent="0.2">
      <c r="A51" s="18" t="s">
        <v>1975</v>
      </c>
      <c r="B51" s="18" t="str">
        <f>'Part names'!$B$86</f>
        <v>Ultrafiltration Module</v>
      </c>
      <c r="C51" s="18" t="str">
        <f>'Part names'!$B$34</f>
        <v>Fresh Water Tank</v>
      </c>
      <c r="D51" s="18" t="s">
        <v>1976</v>
      </c>
      <c r="E51" s="18" t="s">
        <v>2307</v>
      </c>
      <c r="F51" s="92">
        <v>1.083</v>
      </c>
      <c r="G51" s="18" t="s">
        <v>2214</v>
      </c>
      <c r="H51" s="35">
        <v>20.6</v>
      </c>
      <c r="I51" s="93" t="str">
        <f t="shared" si="0"/>
        <v>✓</v>
      </c>
      <c r="J51" s="48">
        <v>291.12</v>
      </c>
      <c r="K51" s="39" t="s">
        <v>2308</v>
      </c>
      <c r="L51" s="77" t="str">
        <f t="shared" si="1"/>
        <v>PASS</v>
      </c>
      <c r="M51" s="87">
        <v>3</v>
      </c>
      <c r="N51" s="78"/>
      <c r="O51" s="23" t="str">
        <f t="shared" si="2"/>
        <v>PASS</v>
      </c>
    </row>
    <row r="52" spans="1:15" ht="43.5" customHeight="1" x14ac:dyDescent="0.2">
      <c r="A52" s="18" t="s">
        <v>2309</v>
      </c>
      <c r="B52" s="18" t="str">
        <f>'Part names'!$B$60</f>
        <v>Permeate Outlet</v>
      </c>
      <c r="C52" s="18" t="str">
        <f>'Part names'!$B$10</f>
        <v>Cip Tank</v>
      </c>
      <c r="D52" s="18" t="s">
        <v>2036</v>
      </c>
      <c r="E52" s="18" t="s">
        <v>2263</v>
      </c>
      <c r="F52" s="92">
        <v>1.1479999999999999</v>
      </c>
      <c r="G52" s="18" t="s">
        <v>2214</v>
      </c>
      <c r="H52" s="35">
        <v>50.87</v>
      </c>
      <c r="I52" s="93" t="str">
        <f t="shared" si="0"/>
        <v>✓</v>
      </c>
      <c r="J52" s="48">
        <v>1781.58</v>
      </c>
      <c r="K52" s="39" t="s">
        <v>2310</v>
      </c>
      <c r="L52" s="77" t="str">
        <f t="shared" si="1"/>
        <v>PASS</v>
      </c>
      <c r="M52" s="87">
        <v>3</v>
      </c>
      <c r="N52" s="78"/>
      <c r="O52" s="23" t="str">
        <f t="shared" si="2"/>
        <v>PASS</v>
      </c>
    </row>
    <row r="53" spans="1:15" ht="43.5" customHeight="1" x14ac:dyDescent="0.2">
      <c r="A53" s="18" t="s">
        <v>2311</v>
      </c>
      <c r="B53" s="18" t="str">
        <f>'Part names'!$B$75</f>
        <v>Softener Vessel</v>
      </c>
      <c r="C53" s="18" t="str">
        <f>'Part names'!$B$86</f>
        <v>Ultrafiltration Module</v>
      </c>
      <c r="D53" s="18" t="s">
        <v>1983</v>
      </c>
      <c r="E53" s="18" t="s">
        <v>2213</v>
      </c>
      <c r="F53" s="92">
        <v>1.304</v>
      </c>
      <c r="G53" s="18" t="s">
        <v>2214</v>
      </c>
      <c r="H53" s="35">
        <v>25.44</v>
      </c>
      <c r="I53" s="93" t="str">
        <f t="shared" si="0"/>
        <v>✓</v>
      </c>
      <c r="J53" s="48">
        <v>1636.4</v>
      </c>
      <c r="K53" s="39" t="s">
        <v>2312</v>
      </c>
      <c r="L53" s="77" t="str">
        <f t="shared" si="1"/>
        <v>PASS</v>
      </c>
      <c r="M53" s="87">
        <v>3</v>
      </c>
      <c r="N53" s="78"/>
      <c r="O53" s="23" t="str">
        <f t="shared" si="2"/>
        <v>PASS</v>
      </c>
    </row>
    <row r="54" spans="1:15" ht="43.5" customHeight="1" x14ac:dyDescent="0.2">
      <c r="A54" s="18" t="s">
        <v>2313</v>
      </c>
      <c r="B54" s="18" t="str">
        <f>'Part names'!$B$55</f>
        <v>Nutrient Tank</v>
      </c>
      <c r="C54" s="18" t="str">
        <f>'Part names'!$B$22</f>
        <v>Drain Collection Sump</v>
      </c>
      <c r="D54" s="18" t="s">
        <v>2026</v>
      </c>
      <c r="E54" s="18" t="s">
        <v>5</v>
      </c>
      <c r="F54" s="92">
        <v>0.96799999999999997</v>
      </c>
      <c r="G54" s="18" t="s">
        <v>2214</v>
      </c>
      <c r="H54" s="35">
        <v>31.38</v>
      </c>
      <c r="I54" s="93" t="str">
        <f t="shared" si="0"/>
        <v>✓</v>
      </c>
      <c r="J54" s="48">
        <v>4339.3999999999996</v>
      </c>
      <c r="K54" s="39" t="s">
        <v>2314</v>
      </c>
      <c r="L54" s="77" t="str">
        <f t="shared" si="1"/>
        <v>PASS</v>
      </c>
      <c r="M54" s="87">
        <v>3</v>
      </c>
      <c r="N54" s="78"/>
      <c r="O54" s="23" t="str">
        <f t="shared" si="2"/>
        <v>PASS</v>
      </c>
    </row>
    <row r="55" spans="1:15" ht="43.5" customHeight="1" x14ac:dyDescent="0.2">
      <c r="A55" s="18" t="s">
        <v>2315</v>
      </c>
      <c r="B55" s="18" t="str">
        <f>'Part names'!$B$20</f>
        <v>Distribution Manifold</v>
      </c>
      <c r="C55" s="18" t="str">
        <f>'Part names'!$B$22</f>
        <v>Drain Collection Sump</v>
      </c>
      <c r="D55" s="18" t="s">
        <v>2026</v>
      </c>
      <c r="E55" s="18" t="s">
        <v>5</v>
      </c>
      <c r="F55" s="92">
        <v>0.96799999999999997</v>
      </c>
      <c r="G55" s="18" t="s">
        <v>2214</v>
      </c>
      <c r="H55" s="35">
        <v>29.39</v>
      </c>
      <c r="I55" s="93" t="str">
        <f t="shared" si="0"/>
        <v>✓</v>
      </c>
      <c r="J55" s="48">
        <v>4080.7</v>
      </c>
      <c r="K55" s="39" t="s">
        <v>2316</v>
      </c>
      <c r="L55" s="77" t="str">
        <f t="shared" si="1"/>
        <v>PASS</v>
      </c>
      <c r="M55" s="87">
        <v>3</v>
      </c>
      <c r="N55" s="78"/>
      <c r="O55" s="23" t="str">
        <f t="shared" si="2"/>
        <v>PASS</v>
      </c>
    </row>
    <row r="56" spans="1:15" ht="43.5" customHeight="1" x14ac:dyDescent="0.2">
      <c r="A56" s="18" t="s">
        <v>2317</v>
      </c>
      <c r="B56" s="18" t="str">
        <f>'Part names'!$B$70</f>
        <v>Reverse Osmosis Skid</v>
      </c>
      <c r="C56" s="18" t="str">
        <f>'Part names'!$B$22</f>
        <v>Drain Collection Sump</v>
      </c>
      <c r="D56" s="18" t="s">
        <v>2026</v>
      </c>
      <c r="E56" s="18" t="s">
        <v>5</v>
      </c>
      <c r="F56" s="92">
        <v>0.96799999999999997</v>
      </c>
      <c r="G56" s="18" t="s">
        <v>2214</v>
      </c>
      <c r="H56" s="35">
        <v>11.62</v>
      </c>
      <c r="I56" s="93" t="str">
        <f t="shared" si="0"/>
        <v>✓</v>
      </c>
      <c r="J56" s="48">
        <v>1770.6</v>
      </c>
      <c r="K56" s="39" t="s">
        <v>2318</v>
      </c>
      <c r="L56" s="77" t="str">
        <f t="shared" si="1"/>
        <v>PASS</v>
      </c>
      <c r="M56" s="87">
        <v>3</v>
      </c>
      <c r="N56" s="78"/>
      <c r="O56" s="23" t="str">
        <f t="shared" si="2"/>
        <v>PASS</v>
      </c>
    </row>
    <row r="57" spans="1:15" x14ac:dyDescent="0.2">
      <c r="B57" s="24" t="s">
        <v>2319</v>
      </c>
      <c r="J57" s="51">
        <f>SUM(J10:J56)</f>
        <v>106378.96</v>
      </c>
    </row>
    <row r="59" spans="1:15" x14ac:dyDescent="0.2">
      <c r="A59" s="6" t="s">
        <v>2320</v>
      </c>
      <c r="B59" s="6"/>
      <c r="C59" s="6"/>
      <c r="D59" s="6"/>
      <c r="E59" s="6"/>
      <c r="F59" s="6"/>
      <c r="G59" s="6"/>
      <c r="H59" s="6"/>
      <c r="I59" s="6"/>
      <c r="J59" s="6"/>
      <c r="K59" s="6"/>
      <c r="L59" s="6"/>
    </row>
    <row r="60" spans="1:15" ht="15" customHeight="1" x14ac:dyDescent="0.2">
      <c r="A60" s="8" t="s">
        <v>2205</v>
      </c>
      <c r="B60" s="8"/>
      <c r="C60" s="8"/>
      <c r="D60" s="8"/>
      <c r="E60" s="8"/>
      <c r="F60" s="8"/>
      <c r="G60" s="8"/>
      <c r="H60" s="8"/>
      <c r="I60" s="8"/>
      <c r="J60" s="8"/>
      <c r="K60" s="8"/>
      <c r="L60" s="8"/>
    </row>
    <row r="61" spans="1:15" ht="16" x14ac:dyDescent="0.2">
      <c r="A61" s="16" t="s">
        <v>304</v>
      </c>
      <c r="B61" s="16" t="s">
        <v>2206</v>
      </c>
      <c r="C61" s="16" t="s">
        <v>2207</v>
      </c>
      <c r="D61" s="16" t="s">
        <v>1969</v>
      </c>
      <c r="E61" s="16" t="s">
        <v>2208</v>
      </c>
      <c r="F61" s="16" t="s">
        <v>2209</v>
      </c>
      <c r="G61" s="16" t="s">
        <v>2210</v>
      </c>
      <c r="H61" s="16" t="s">
        <v>2149</v>
      </c>
      <c r="I61" s="16" t="s">
        <v>2151</v>
      </c>
      <c r="J61" s="16" t="s">
        <v>746</v>
      </c>
      <c r="K61" s="16" t="s">
        <v>599</v>
      </c>
      <c r="L61" s="16" t="s">
        <v>755</v>
      </c>
      <c r="M61" s="76" t="s">
        <v>2211</v>
      </c>
      <c r="N61" s="76" t="s">
        <v>756</v>
      </c>
      <c r="O61" s="17" t="s">
        <v>20</v>
      </c>
    </row>
    <row r="62" spans="1:15" ht="28.5" customHeight="1" x14ac:dyDescent="0.2">
      <c r="A62" s="18" t="s">
        <v>1975</v>
      </c>
      <c r="B62" s="18" t="str">
        <f>'Part names'!$B$51</f>
        <v>Mains Incomer</v>
      </c>
      <c r="C62" s="18" t="str">
        <f>'Part names'!$B$78</f>
        <v>Standby Diesel Generator</v>
      </c>
      <c r="D62" s="18" t="s">
        <v>2321</v>
      </c>
      <c r="E62" s="18" t="s">
        <v>2322</v>
      </c>
      <c r="F62" s="92">
        <v>6.8000000000000005E-2</v>
      </c>
      <c r="G62" s="18" t="s">
        <v>2323</v>
      </c>
      <c r="H62" s="35">
        <v>9.61</v>
      </c>
      <c r="I62" s="93" t="str">
        <f t="shared" ref="I62:I85" si="3">IF(ISNUMBER($M62),IF(AND(ISNUMBER($F62),$F62&lt;=$M62),"✓","✗"),IF(LEN(TRIM($N62&amp;""))=0,"n/a","✗"))</f>
        <v>✓</v>
      </c>
      <c r="J62" s="48">
        <v>40.83</v>
      </c>
      <c r="K62" s="39" t="s">
        <v>2324</v>
      </c>
      <c r="L62" s="77" t="str">
        <f t="shared" ref="L62:L85" si="4">IF(AND(OR($I62="✓",$I62="n/a"),LEN(TRIM($N62&amp;""))=0),"PASS","FAIL — "&amp;IF(LEN(TRIM($N62&amp;""))&gt;0,TRIM($N62&amp;""),"velocity/ΔU outside its band or unverifiable"))</f>
        <v>PASS</v>
      </c>
      <c r="M62" s="87">
        <v>5</v>
      </c>
      <c r="N62" s="78"/>
      <c r="O62" s="23" t="str">
        <f t="shared" ref="O62:O85" si="5">IF(AND(LEN(TRIM(A62&amp;""))&gt;0,TRIM(A62&amp;"")&lt;&gt;"—",LEN(TRIM(B62&amp;""))&gt;0,TRIM(B62&amp;"")&lt;&gt;"—",LEN(TRIM(C62&amp;""))&gt;0,TRIM(C62&amp;"")&lt;&gt;"—",LEN(TRIM(D62&amp;""))&gt;0,TRIM(D62&amp;"")&lt;&gt;"—",LEN(TRIM(I62&amp;""))&gt;0,TRIM(I62&amp;"")&lt;&gt;"—",LEN(TRIM(K62&amp;""))&gt;0,TRIM(K62&amp;"")&lt;&gt;"—",LEN(TRIM(L62&amp;""))&gt;0,TRIM(L62&amp;"")&lt;&gt;"—"),"PASS","⚠ FAIL — "&amp;"a required cell is empty/placeholder or wrong type")</f>
        <v>PASS</v>
      </c>
    </row>
    <row r="63" spans="1:15" ht="28.5" customHeight="1" x14ac:dyDescent="0.2">
      <c r="A63" s="18" t="s">
        <v>2309</v>
      </c>
      <c r="B63" s="18" t="str">
        <f>'Part names'!$B$78</f>
        <v>Standby Diesel Generator</v>
      </c>
      <c r="C63" s="18" t="str">
        <f>'Part names'!$B$21</f>
        <v>Distribution Transformer</v>
      </c>
      <c r="D63" s="18" t="s">
        <v>2321</v>
      </c>
      <c r="E63" s="18" t="s">
        <v>2322</v>
      </c>
      <c r="F63" s="92">
        <v>5.7000000000000002E-2</v>
      </c>
      <c r="G63" s="18" t="s">
        <v>2323</v>
      </c>
      <c r="H63" s="35">
        <v>8.01</v>
      </c>
      <c r="I63" s="93" t="str">
        <f t="shared" si="3"/>
        <v>✓</v>
      </c>
      <c r="J63" s="48">
        <v>36.03</v>
      </c>
      <c r="K63" s="39" t="s">
        <v>2325</v>
      </c>
      <c r="L63" s="77" t="str">
        <f t="shared" si="4"/>
        <v>PASS</v>
      </c>
      <c r="M63" s="87">
        <v>5</v>
      </c>
      <c r="N63" s="78"/>
      <c r="O63" s="23" t="str">
        <f t="shared" si="5"/>
        <v>PASS</v>
      </c>
    </row>
    <row r="64" spans="1:15" ht="28.5" customHeight="1" x14ac:dyDescent="0.2">
      <c r="A64" s="18" t="s">
        <v>2311</v>
      </c>
      <c r="B64" s="18" t="str">
        <f>'Part names'!$B$21</f>
        <v>Distribution Transformer</v>
      </c>
      <c r="C64" s="18" t="str">
        <f>'Part names'!$B$50</f>
        <v>Main Switchboard</v>
      </c>
      <c r="D64" s="18" t="s">
        <v>2321</v>
      </c>
      <c r="E64" s="18" t="s">
        <v>2322</v>
      </c>
      <c r="F64" s="92">
        <v>0.14699999999999999</v>
      </c>
      <c r="G64" s="18" t="s">
        <v>2323</v>
      </c>
      <c r="H64" s="35">
        <v>20.72</v>
      </c>
      <c r="I64" s="93" t="str">
        <f t="shared" si="3"/>
        <v>✓</v>
      </c>
      <c r="J64" s="48">
        <v>74.16</v>
      </c>
      <c r="K64" s="39" t="s">
        <v>2326</v>
      </c>
      <c r="L64" s="77" t="str">
        <f t="shared" si="4"/>
        <v>PASS</v>
      </c>
      <c r="M64" s="87">
        <v>5</v>
      </c>
      <c r="N64" s="78"/>
      <c r="O64" s="23" t="str">
        <f t="shared" si="5"/>
        <v>PASS</v>
      </c>
    </row>
    <row r="65" spans="1:15" ht="28.5" customHeight="1" x14ac:dyDescent="0.2">
      <c r="A65" s="18" t="s">
        <v>2313</v>
      </c>
      <c r="B65" s="18" t="str">
        <f>'Part names'!$B$50</f>
        <v>Main Switchboard</v>
      </c>
      <c r="C65" s="18" t="str">
        <f>'Part names'!$B$53</f>
        <v>Motor Control Center</v>
      </c>
      <c r="D65" s="18" t="s">
        <v>2321</v>
      </c>
      <c r="E65" s="18" t="s">
        <v>2322</v>
      </c>
      <c r="F65" s="92">
        <v>3.7999999999999999E-2</v>
      </c>
      <c r="G65" s="18" t="s">
        <v>2323</v>
      </c>
      <c r="H65" s="35">
        <v>5.43</v>
      </c>
      <c r="I65" s="93" t="str">
        <f t="shared" si="3"/>
        <v>✓</v>
      </c>
      <c r="J65" s="48">
        <v>28.29</v>
      </c>
      <c r="K65" s="39" t="s">
        <v>2327</v>
      </c>
      <c r="L65" s="77" t="str">
        <f t="shared" si="4"/>
        <v>PASS</v>
      </c>
      <c r="M65" s="87">
        <v>5</v>
      </c>
      <c r="N65" s="78"/>
      <c r="O65" s="23" t="str">
        <f t="shared" si="5"/>
        <v>PASS</v>
      </c>
    </row>
    <row r="66" spans="1:15" ht="28.5" customHeight="1" x14ac:dyDescent="0.2">
      <c r="A66" s="18" t="s">
        <v>2315</v>
      </c>
      <c r="B66" s="18" t="str">
        <f>'Part names'!$B$53</f>
        <v>Motor Control Center</v>
      </c>
      <c r="C66" s="18" t="str">
        <f>'Part names'!$B$26</f>
        <v>Electrical Control Panel</v>
      </c>
      <c r="D66" s="18" t="s">
        <v>2321</v>
      </c>
      <c r="E66" s="18" t="s">
        <v>2322</v>
      </c>
      <c r="F66" s="92">
        <v>0.155</v>
      </c>
      <c r="G66" s="18" t="s">
        <v>2323</v>
      </c>
      <c r="H66" s="35">
        <v>6.07</v>
      </c>
      <c r="I66" s="93" t="str">
        <f t="shared" si="3"/>
        <v>✓</v>
      </c>
      <c r="J66" s="48">
        <v>30.21</v>
      </c>
      <c r="K66" s="39" t="s">
        <v>2328</v>
      </c>
      <c r="L66" s="77" t="str">
        <f t="shared" si="4"/>
        <v>PASS</v>
      </c>
      <c r="M66" s="87">
        <v>5</v>
      </c>
      <c r="N66" s="78"/>
      <c r="O66" s="23" t="str">
        <f t="shared" si="5"/>
        <v>PASS</v>
      </c>
    </row>
    <row r="67" spans="1:15" ht="28.5" customHeight="1" x14ac:dyDescent="0.2">
      <c r="A67" s="18" t="s">
        <v>2317</v>
      </c>
      <c r="B67" s="18" t="str">
        <f>'Part names'!$B$53</f>
        <v>Motor Control Center</v>
      </c>
      <c r="C67" s="18" t="str">
        <f>'Part names'!$B$6</f>
        <v>3 Phase Power Input</v>
      </c>
      <c r="D67" s="18" t="s">
        <v>2321</v>
      </c>
      <c r="E67" s="18" t="s">
        <v>2322</v>
      </c>
      <c r="F67" s="92">
        <v>0.14699999999999999</v>
      </c>
      <c r="G67" s="18" t="s">
        <v>2323</v>
      </c>
      <c r="H67" s="35">
        <v>5.73</v>
      </c>
      <c r="I67" s="93" t="str">
        <f t="shared" si="3"/>
        <v>✓</v>
      </c>
      <c r="J67" s="48">
        <v>29.19</v>
      </c>
      <c r="K67" s="39" t="s">
        <v>2329</v>
      </c>
      <c r="L67" s="77" t="str">
        <f t="shared" si="4"/>
        <v>PASS</v>
      </c>
      <c r="M67" s="87">
        <v>5</v>
      </c>
      <c r="N67" s="78"/>
      <c r="O67" s="23" t="str">
        <f t="shared" si="5"/>
        <v>PASS</v>
      </c>
    </row>
    <row r="68" spans="1:15" ht="28.5" customHeight="1" x14ac:dyDescent="0.2">
      <c r="A68" s="18" t="s">
        <v>2330</v>
      </c>
      <c r="B68" s="18" t="str">
        <f>'Part names'!$B$53</f>
        <v>Motor Control Center</v>
      </c>
      <c r="C68" s="18" t="str">
        <f>'Part names'!$B$16</f>
        <v>Control + Instrument UPS</v>
      </c>
      <c r="D68" s="18" t="s">
        <v>2321</v>
      </c>
      <c r="E68" s="18" t="s">
        <v>2322</v>
      </c>
      <c r="F68" s="92">
        <v>0.14699999999999999</v>
      </c>
      <c r="G68" s="18" t="s">
        <v>2323</v>
      </c>
      <c r="H68" s="35">
        <v>5.72</v>
      </c>
      <c r="I68" s="93" t="str">
        <f t="shared" si="3"/>
        <v>✓</v>
      </c>
      <c r="J68" s="48">
        <v>29.16</v>
      </c>
      <c r="K68" s="39" t="s">
        <v>2331</v>
      </c>
      <c r="L68" s="77" t="str">
        <f t="shared" si="4"/>
        <v>PASS</v>
      </c>
      <c r="M68" s="87">
        <v>5</v>
      </c>
      <c r="N68" s="78"/>
      <c r="O68" s="23" t="str">
        <f t="shared" si="5"/>
        <v>PASS</v>
      </c>
    </row>
    <row r="69" spans="1:15" ht="28.5" customHeight="1" x14ac:dyDescent="0.2">
      <c r="A69" s="18" t="s">
        <v>2332</v>
      </c>
      <c r="B69" s="18" t="str">
        <f>'Part names'!$B$53</f>
        <v>Motor Control Center</v>
      </c>
      <c r="C69" s="18" t="str">
        <f>'Part names'!$B$73</f>
        <v>SCADA / Plant Control System</v>
      </c>
      <c r="D69" s="18" t="s">
        <v>2321</v>
      </c>
      <c r="E69" s="18" t="s">
        <v>2322</v>
      </c>
      <c r="F69" s="92">
        <v>0.16</v>
      </c>
      <c r="G69" s="18" t="s">
        <v>2323</v>
      </c>
      <c r="H69" s="35">
        <v>6.26</v>
      </c>
      <c r="I69" s="93" t="str">
        <f t="shared" si="3"/>
        <v>✓</v>
      </c>
      <c r="J69" s="48">
        <v>30.78</v>
      </c>
      <c r="K69" s="39" t="s">
        <v>2333</v>
      </c>
      <c r="L69" s="77" t="str">
        <f t="shared" si="4"/>
        <v>PASS</v>
      </c>
      <c r="M69" s="87">
        <v>5</v>
      </c>
      <c r="N69" s="78"/>
      <c r="O69" s="23" t="str">
        <f t="shared" si="5"/>
        <v>PASS</v>
      </c>
    </row>
    <row r="70" spans="1:15" ht="28.5" customHeight="1" x14ac:dyDescent="0.2">
      <c r="A70" s="18" t="s">
        <v>2334</v>
      </c>
      <c r="B70" s="18" t="str">
        <f>'Part names'!$B$53</f>
        <v>Motor Control Center</v>
      </c>
      <c r="C70" s="18" t="str">
        <f>'Part names'!$B$87</f>
        <v>Uv Disinfection</v>
      </c>
      <c r="D70" s="18" t="s">
        <v>2321</v>
      </c>
      <c r="E70" s="18" t="s">
        <v>2335</v>
      </c>
      <c r="F70" s="92">
        <v>1.345</v>
      </c>
      <c r="G70" s="18" t="s">
        <v>2323</v>
      </c>
      <c r="H70" s="35">
        <v>27.07</v>
      </c>
      <c r="I70" s="93" t="str">
        <f t="shared" si="3"/>
        <v>✓</v>
      </c>
      <c r="J70" s="48">
        <v>93.21</v>
      </c>
      <c r="K70" s="39" t="s">
        <v>2336</v>
      </c>
      <c r="L70" s="77" t="str">
        <f t="shared" si="4"/>
        <v>PASS</v>
      </c>
      <c r="M70" s="87">
        <v>5</v>
      </c>
      <c r="N70" s="78"/>
      <c r="O70" s="23" t="str">
        <f t="shared" si="5"/>
        <v>PASS</v>
      </c>
    </row>
    <row r="71" spans="1:15" ht="28.5" customHeight="1" x14ac:dyDescent="0.2">
      <c r="A71" s="18" t="s">
        <v>2337</v>
      </c>
      <c r="B71" s="18" t="str">
        <f>'Part names'!$B$53</f>
        <v>Motor Control Center</v>
      </c>
      <c r="C71" s="18" t="str">
        <f>'Part names'!$B$30</f>
        <v>Fertigation Dosing Pump</v>
      </c>
      <c r="D71" s="18" t="s">
        <v>2321</v>
      </c>
      <c r="E71" s="18" t="s">
        <v>2338</v>
      </c>
      <c r="F71" s="92">
        <v>1.8740000000000001</v>
      </c>
      <c r="G71" s="18" t="s">
        <v>2323</v>
      </c>
      <c r="H71" s="35">
        <v>20.74</v>
      </c>
      <c r="I71" s="93" t="str">
        <f t="shared" si="3"/>
        <v>✓</v>
      </c>
      <c r="J71" s="48">
        <v>74.22</v>
      </c>
      <c r="K71" s="39" t="s">
        <v>2339</v>
      </c>
      <c r="L71" s="77" t="str">
        <f t="shared" si="4"/>
        <v>PASS</v>
      </c>
      <c r="M71" s="87">
        <v>5</v>
      </c>
      <c r="N71" s="78"/>
      <c r="O71" s="23" t="str">
        <f t="shared" si="5"/>
        <v>PASS</v>
      </c>
    </row>
    <row r="72" spans="1:15" ht="28.5" customHeight="1" x14ac:dyDescent="0.2">
      <c r="A72" s="18" t="s">
        <v>2340</v>
      </c>
      <c r="B72" s="18" t="str">
        <f>'Part names'!$B$53</f>
        <v>Motor Control Center</v>
      </c>
      <c r="C72" s="18" t="str">
        <f>'Part names'!$B$38</f>
        <v>Hand Watering Pump</v>
      </c>
      <c r="D72" s="18" t="s">
        <v>2321</v>
      </c>
      <c r="E72" s="18" t="s">
        <v>2322</v>
      </c>
      <c r="F72" s="92">
        <v>0.85599999999999998</v>
      </c>
      <c r="G72" s="18" t="s">
        <v>2323</v>
      </c>
      <c r="H72" s="35">
        <v>33.450000000000003</v>
      </c>
      <c r="I72" s="93" t="str">
        <f t="shared" si="3"/>
        <v>✓</v>
      </c>
      <c r="J72" s="48">
        <v>112.35</v>
      </c>
      <c r="K72" s="39" t="s">
        <v>2341</v>
      </c>
      <c r="L72" s="77" t="str">
        <f t="shared" si="4"/>
        <v>PASS</v>
      </c>
      <c r="M72" s="87">
        <v>5</v>
      </c>
      <c r="N72" s="78"/>
      <c r="O72" s="23" t="str">
        <f t="shared" si="5"/>
        <v>PASS</v>
      </c>
    </row>
    <row r="73" spans="1:15" ht="28.5" customHeight="1" x14ac:dyDescent="0.2">
      <c r="A73" s="18" t="s">
        <v>2342</v>
      </c>
      <c r="B73" s="18" t="str">
        <f>'Part names'!$B$53</f>
        <v>Motor Control Center</v>
      </c>
      <c r="C73" s="18" t="str">
        <f>'Part names'!$B$23</f>
        <v>Drain Transfer Pump</v>
      </c>
      <c r="D73" s="18" t="s">
        <v>2321</v>
      </c>
      <c r="E73" s="18" t="s">
        <v>2343</v>
      </c>
      <c r="F73" s="92">
        <v>0.87</v>
      </c>
      <c r="G73" s="18" t="s">
        <v>2323</v>
      </c>
      <c r="H73" s="35">
        <v>37.270000000000003</v>
      </c>
      <c r="I73" s="93" t="str">
        <f t="shared" si="3"/>
        <v>✓</v>
      </c>
      <c r="J73" s="48">
        <v>123.81</v>
      </c>
      <c r="K73" s="39" t="s">
        <v>2344</v>
      </c>
      <c r="L73" s="77" t="str">
        <f t="shared" si="4"/>
        <v>PASS</v>
      </c>
      <c r="M73" s="87">
        <v>5</v>
      </c>
      <c r="N73" s="78"/>
      <c r="O73" s="23" t="str">
        <f t="shared" si="5"/>
        <v>PASS</v>
      </c>
    </row>
    <row r="74" spans="1:15" ht="28.5" customHeight="1" x14ac:dyDescent="0.2">
      <c r="A74" s="18" t="s">
        <v>2345</v>
      </c>
      <c r="B74" s="18" t="str">
        <f>'Part names'!$B$53</f>
        <v>Motor Control Center</v>
      </c>
      <c r="C74" s="18" t="str">
        <f>'Part names'!$B$12</f>
        <v>Cloth Filter</v>
      </c>
      <c r="D74" s="18" t="s">
        <v>2321</v>
      </c>
      <c r="E74" s="18" t="s">
        <v>2322</v>
      </c>
      <c r="F74" s="92">
        <v>0.59399999999999997</v>
      </c>
      <c r="G74" s="18" t="s">
        <v>2323</v>
      </c>
      <c r="H74" s="35">
        <v>23.22</v>
      </c>
      <c r="I74" s="93" t="str">
        <f t="shared" si="3"/>
        <v>✓</v>
      </c>
      <c r="J74" s="48">
        <v>81.66</v>
      </c>
      <c r="K74" s="39" t="s">
        <v>2346</v>
      </c>
      <c r="L74" s="77" t="str">
        <f t="shared" si="4"/>
        <v>PASS</v>
      </c>
      <c r="M74" s="87">
        <v>5</v>
      </c>
      <c r="N74" s="78"/>
      <c r="O74" s="23" t="str">
        <f t="shared" si="5"/>
        <v>PASS</v>
      </c>
    </row>
    <row r="75" spans="1:15" ht="28.5" customHeight="1" x14ac:dyDescent="0.2">
      <c r="A75" s="18" t="s">
        <v>2347</v>
      </c>
      <c r="B75" s="18" t="str">
        <f>'Part names'!$B$53</f>
        <v>Motor Control Center</v>
      </c>
      <c r="C75" s="18" t="str">
        <f>'Part names'!$B$45</f>
        <v>Irrigation Pump</v>
      </c>
      <c r="D75" s="18" t="s">
        <v>2321</v>
      </c>
      <c r="E75" s="18" t="s">
        <v>2322</v>
      </c>
      <c r="F75" s="92">
        <v>0.77400000000000002</v>
      </c>
      <c r="G75" s="18" t="s">
        <v>2323</v>
      </c>
      <c r="H75" s="35">
        <v>30.25</v>
      </c>
      <c r="I75" s="93" t="str">
        <f t="shared" si="3"/>
        <v>✓</v>
      </c>
      <c r="J75" s="48">
        <v>102.75</v>
      </c>
      <c r="K75" s="39" t="s">
        <v>2348</v>
      </c>
      <c r="L75" s="77" t="str">
        <f t="shared" si="4"/>
        <v>PASS</v>
      </c>
      <c r="M75" s="87">
        <v>5</v>
      </c>
      <c r="N75" s="78"/>
      <c r="O75" s="23" t="str">
        <f t="shared" si="5"/>
        <v>PASS</v>
      </c>
    </row>
    <row r="76" spans="1:15" ht="28.5" customHeight="1" x14ac:dyDescent="0.2">
      <c r="A76" s="18" t="s">
        <v>2349</v>
      </c>
      <c r="B76" s="18" t="str">
        <f>'Part names'!$B$53</f>
        <v>Motor Control Center</v>
      </c>
      <c r="C76" s="18" t="str">
        <f>'Part names'!$B$71</f>
        <v>Ro High Pressure Pump</v>
      </c>
      <c r="D76" s="18" t="s">
        <v>2321</v>
      </c>
      <c r="E76" s="18" t="s">
        <v>2350</v>
      </c>
      <c r="F76" s="92">
        <v>1.7470000000000001</v>
      </c>
      <c r="G76" s="18" t="s">
        <v>2323</v>
      </c>
      <c r="H76" s="35">
        <v>34.630000000000003</v>
      </c>
      <c r="I76" s="93" t="str">
        <f t="shared" si="3"/>
        <v>✓</v>
      </c>
      <c r="J76" s="48">
        <v>115.89</v>
      </c>
      <c r="K76" s="39" t="s">
        <v>2351</v>
      </c>
      <c r="L76" s="77" t="str">
        <f t="shared" si="4"/>
        <v>PASS</v>
      </c>
      <c r="M76" s="87">
        <v>5</v>
      </c>
      <c r="N76" s="78"/>
      <c r="O76" s="23" t="str">
        <f t="shared" si="5"/>
        <v>PASS</v>
      </c>
    </row>
    <row r="77" spans="1:15" ht="28.5" customHeight="1" x14ac:dyDescent="0.2">
      <c r="A77" s="18" t="s">
        <v>2352</v>
      </c>
      <c r="B77" s="18" t="str">
        <f>'Part names'!$B$53</f>
        <v>Motor Control Center</v>
      </c>
      <c r="C77" s="18" t="str">
        <f>'Part names'!$B$35</f>
        <v>Gac Filter</v>
      </c>
      <c r="D77" s="18" t="s">
        <v>2321</v>
      </c>
      <c r="E77" s="18" t="s">
        <v>2322</v>
      </c>
      <c r="F77" s="92">
        <v>0.995</v>
      </c>
      <c r="G77" s="18" t="s">
        <v>2323</v>
      </c>
      <c r="H77" s="35">
        <v>38.880000000000003</v>
      </c>
      <c r="I77" s="93" t="str">
        <f t="shared" si="3"/>
        <v>✓</v>
      </c>
      <c r="J77" s="48">
        <v>128.63999999999999</v>
      </c>
      <c r="K77" s="39" t="s">
        <v>2353</v>
      </c>
      <c r="L77" s="77" t="str">
        <f t="shared" si="4"/>
        <v>PASS</v>
      </c>
      <c r="M77" s="87">
        <v>5</v>
      </c>
      <c r="N77" s="78"/>
      <c r="O77" s="23" t="str">
        <f t="shared" si="5"/>
        <v>PASS</v>
      </c>
    </row>
    <row r="78" spans="1:15" ht="28.5" customHeight="1" x14ac:dyDescent="0.2">
      <c r="A78" s="18" t="s">
        <v>2354</v>
      </c>
      <c r="B78" s="18" t="str">
        <f>'Part names'!$B$53</f>
        <v>Motor Control Center</v>
      </c>
      <c r="C78" s="18" t="str">
        <f>'Part names'!$B$60</f>
        <v>Permeate Outlet</v>
      </c>
      <c r="D78" s="18" t="s">
        <v>2321</v>
      </c>
      <c r="E78" s="18" t="s">
        <v>2322</v>
      </c>
      <c r="F78" s="92">
        <v>0.627</v>
      </c>
      <c r="G78" s="18" t="s">
        <v>2323</v>
      </c>
      <c r="H78" s="35">
        <v>24.51</v>
      </c>
      <c r="I78" s="93" t="str">
        <f t="shared" si="3"/>
        <v>✓</v>
      </c>
      <c r="J78" s="48">
        <v>85.53</v>
      </c>
      <c r="K78" s="39" t="s">
        <v>2355</v>
      </c>
      <c r="L78" s="77" t="str">
        <f t="shared" si="4"/>
        <v>PASS</v>
      </c>
      <c r="M78" s="87">
        <v>5</v>
      </c>
      <c r="N78" s="78"/>
      <c r="O78" s="23" t="str">
        <f t="shared" si="5"/>
        <v>PASS</v>
      </c>
    </row>
    <row r="79" spans="1:15" ht="28.5" customHeight="1" x14ac:dyDescent="0.2">
      <c r="A79" s="18" t="s">
        <v>2356</v>
      </c>
      <c r="B79" s="18" t="str">
        <f>'Part names'!$B$53</f>
        <v>Motor Control Center</v>
      </c>
      <c r="C79" s="18" t="str">
        <f>'Part names'!$B$14</f>
        <v>Concentrate Outlet</v>
      </c>
      <c r="D79" s="18" t="s">
        <v>2321</v>
      </c>
      <c r="E79" s="18" t="s">
        <v>2322</v>
      </c>
      <c r="F79" s="92">
        <v>0.55100000000000005</v>
      </c>
      <c r="G79" s="18" t="s">
        <v>2323</v>
      </c>
      <c r="H79" s="35">
        <v>21.51</v>
      </c>
      <c r="I79" s="93" t="str">
        <f t="shared" si="3"/>
        <v>✓</v>
      </c>
      <c r="J79" s="48">
        <v>76.53</v>
      </c>
      <c r="K79" s="39" t="s">
        <v>2357</v>
      </c>
      <c r="L79" s="77" t="str">
        <f t="shared" si="4"/>
        <v>PASS</v>
      </c>
      <c r="M79" s="87">
        <v>5</v>
      </c>
      <c r="N79" s="78"/>
      <c r="O79" s="23" t="str">
        <f t="shared" si="5"/>
        <v>PASS</v>
      </c>
    </row>
    <row r="80" spans="1:15" ht="28.5" customHeight="1" x14ac:dyDescent="0.2">
      <c r="A80" s="18" t="s">
        <v>2358</v>
      </c>
      <c r="B80" s="18" t="str">
        <f>'Part names'!$B$53</f>
        <v>Motor Control Center</v>
      </c>
      <c r="C80" s="18" t="str">
        <f>'Part names'!$B$25</f>
        <v>Electrical Control Cabinet</v>
      </c>
      <c r="D80" s="18" t="s">
        <v>2321</v>
      </c>
      <c r="E80" s="18" t="s">
        <v>2322</v>
      </c>
      <c r="F80" s="92">
        <v>0.85</v>
      </c>
      <c r="G80" s="18" t="s">
        <v>2323</v>
      </c>
      <c r="H80" s="35">
        <v>33.22</v>
      </c>
      <c r="I80" s="93" t="str">
        <f t="shared" si="3"/>
        <v>✓</v>
      </c>
      <c r="J80" s="48">
        <v>111.66</v>
      </c>
      <c r="K80" s="39" t="s">
        <v>2359</v>
      </c>
      <c r="L80" s="77" t="str">
        <f t="shared" si="4"/>
        <v>PASS</v>
      </c>
      <c r="M80" s="87">
        <v>5</v>
      </c>
      <c r="N80" s="78"/>
      <c r="O80" s="23" t="str">
        <f t="shared" si="5"/>
        <v>PASS</v>
      </c>
    </row>
    <row r="81" spans="1:15" ht="28.5" customHeight="1" x14ac:dyDescent="0.2">
      <c r="A81" s="94" t="s">
        <v>2360</v>
      </c>
      <c r="B81" s="94" t="str">
        <f>'Part names'!$B$53</f>
        <v>Motor Control Center</v>
      </c>
      <c r="C81" s="94" t="str">
        <f>'Part names'!$B$19</f>
        <v>Digital Control Panel</v>
      </c>
      <c r="D81" s="94" t="s">
        <v>2361</v>
      </c>
      <c r="E81" s="94" t="s">
        <v>374</v>
      </c>
      <c r="F81" s="94" t="s">
        <v>2281</v>
      </c>
      <c r="G81" s="94" t="s">
        <v>2362</v>
      </c>
      <c r="H81" s="95">
        <v>28.09</v>
      </c>
      <c r="I81" s="96" t="str">
        <f t="shared" si="3"/>
        <v>✗</v>
      </c>
      <c r="J81" s="97">
        <v>96.27</v>
      </c>
      <c r="K81" s="98" t="s">
        <v>2363</v>
      </c>
      <c r="L81" s="91" t="str">
        <f t="shared" si="4"/>
        <v>FAIL — no carried current on the run; ΔU% missing — volt-drop unverifiable (dash is never in-spec)</v>
      </c>
      <c r="M81" s="87"/>
      <c r="N81" s="78" t="s">
        <v>2364</v>
      </c>
      <c r="O81" s="23" t="str">
        <f t="shared" si="5"/>
        <v>PASS</v>
      </c>
    </row>
    <row r="82" spans="1:15" ht="28.5" customHeight="1" x14ac:dyDescent="0.2">
      <c r="A82" s="18" t="s">
        <v>2365</v>
      </c>
      <c r="B82" s="18" t="str">
        <f>'Part names'!$B$26</f>
        <v>Electrical Control Panel</v>
      </c>
      <c r="C82" s="18" t="str">
        <f>'Part names'!$B$19</f>
        <v>Digital Control Panel</v>
      </c>
      <c r="D82" s="18" t="s">
        <v>2321</v>
      </c>
      <c r="E82" s="18" t="s">
        <v>2366</v>
      </c>
      <c r="F82" s="92">
        <v>9.8000000000000004E-2</v>
      </c>
      <c r="G82" s="18" t="s">
        <v>2323</v>
      </c>
      <c r="H82" s="35">
        <v>31.49</v>
      </c>
      <c r="I82" s="93" t="str">
        <f t="shared" si="3"/>
        <v>✓</v>
      </c>
      <c r="J82" s="48">
        <v>106.47</v>
      </c>
      <c r="K82" s="39" t="s">
        <v>2367</v>
      </c>
      <c r="L82" s="77" t="str">
        <f t="shared" si="4"/>
        <v>PASS</v>
      </c>
      <c r="M82" s="87">
        <v>5</v>
      </c>
      <c r="N82" s="78"/>
      <c r="O82" s="23" t="str">
        <f t="shared" si="5"/>
        <v>PASS</v>
      </c>
    </row>
    <row r="83" spans="1:15" ht="28.5" customHeight="1" x14ac:dyDescent="0.2">
      <c r="A83" s="18" t="s">
        <v>2368</v>
      </c>
      <c r="B83" s="18" t="str">
        <f>'Part names'!$B$16</f>
        <v>Control + Instrument UPS</v>
      </c>
      <c r="C83" s="18" t="str">
        <f>'Part names'!$B$19</f>
        <v>Digital Control Panel</v>
      </c>
      <c r="D83" s="18" t="s">
        <v>2321</v>
      </c>
      <c r="E83" s="18" t="s">
        <v>2366</v>
      </c>
      <c r="F83" s="92">
        <v>7.9000000000000001E-2</v>
      </c>
      <c r="G83" s="18" t="s">
        <v>2323</v>
      </c>
      <c r="H83" s="35">
        <v>25.37</v>
      </c>
      <c r="I83" s="93" t="str">
        <f t="shared" si="3"/>
        <v>✓</v>
      </c>
      <c r="J83" s="48">
        <v>88.11</v>
      </c>
      <c r="K83" s="39" t="s">
        <v>2369</v>
      </c>
      <c r="L83" s="77" t="str">
        <f t="shared" si="4"/>
        <v>PASS</v>
      </c>
      <c r="M83" s="87">
        <v>5</v>
      </c>
      <c r="N83" s="78"/>
      <c r="O83" s="23" t="str">
        <f t="shared" si="5"/>
        <v>PASS</v>
      </c>
    </row>
    <row r="84" spans="1:15" ht="28.5" customHeight="1" x14ac:dyDescent="0.2">
      <c r="A84" s="18" t="s">
        <v>2370</v>
      </c>
      <c r="B84" s="18" t="str">
        <f>'Part names'!$B$53</f>
        <v>Motor Control Center</v>
      </c>
      <c r="C84" s="18" t="str">
        <f>'Part names'!$B$19</f>
        <v>Digital Control Panel</v>
      </c>
      <c r="D84" s="18" t="s">
        <v>2321</v>
      </c>
      <c r="E84" s="18" t="s">
        <v>2366</v>
      </c>
      <c r="F84" s="92">
        <v>8.5999999999999993E-2</v>
      </c>
      <c r="G84" s="18" t="s">
        <v>2323</v>
      </c>
      <c r="H84" s="35">
        <v>27.48</v>
      </c>
      <c r="I84" s="93" t="str">
        <f t="shared" si="3"/>
        <v>✓</v>
      </c>
      <c r="J84" s="48">
        <v>94.44</v>
      </c>
      <c r="K84" s="39" t="s">
        <v>2371</v>
      </c>
      <c r="L84" s="77" t="str">
        <f t="shared" si="4"/>
        <v>PASS</v>
      </c>
      <c r="M84" s="87">
        <v>5</v>
      </c>
      <c r="N84" s="78"/>
      <c r="O84" s="23" t="str">
        <f t="shared" si="5"/>
        <v>PASS</v>
      </c>
    </row>
    <row r="85" spans="1:15" ht="28.5" customHeight="1" x14ac:dyDescent="0.2">
      <c r="A85" s="18" t="s">
        <v>2372</v>
      </c>
      <c r="B85" s="18" t="str">
        <f>'Part names'!$B$25</f>
        <v>Electrical Control Cabinet</v>
      </c>
      <c r="C85" s="18" t="str">
        <f>'Part names'!$B$19</f>
        <v>Digital Control Panel</v>
      </c>
      <c r="D85" s="18" t="s">
        <v>2321</v>
      </c>
      <c r="E85" s="18" t="s">
        <v>2366</v>
      </c>
      <c r="F85" s="92">
        <v>9.0999999999999998E-2</v>
      </c>
      <c r="G85" s="18" t="s">
        <v>2323</v>
      </c>
      <c r="H85" s="35">
        <v>29.06</v>
      </c>
      <c r="I85" s="93" t="str">
        <f t="shared" si="3"/>
        <v>✓</v>
      </c>
      <c r="J85" s="48">
        <v>99.18</v>
      </c>
      <c r="K85" s="39" t="s">
        <v>2373</v>
      </c>
      <c r="L85" s="77" t="str">
        <f t="shared" si="4"/>
        <v>PASS</v>
      </c>
      <c r="M85" s="87">
        <v>5</v>
      </c>
      <c r="N85" s="78"/>
      <c r="O85" s="23" t="str">
        <f t="shared" si="5"/>
        <v>PASS</v>
      </c>
    </row>
    <row r="86" spans="1:15" x14ac:dyDescent="0.2">
      <c r="B86" s="24" t="s">
        <v>2374</v>
      </c>
      <c r="J86" s="51">
        <f>SUM(J62:J85)</f>
        <v>1889.37</v>
      </c>
    </row>
    <row r="88" spans="1:15" x14ac:dyDescent="0.2">
      <c r="B88" s="24" t="s">
        <v>2375</v>
      </c>
      <c r="I88" s="99">
        <f>SUMPRODUCT(--(LEFT($L$5:$L$87,4)="FAIL"))</f>
        <v>3</v>
      </c>
    </row>
  </sheetData>
  <mergeCells count="9">
    <mergeCell ref="A7:L7"/>
    <mergeCell ref="A8:L8"/>
    <mergeCell ref="A59:L59"/>
    <mergeCell ref="A60:L60"/>
    <mergeCell ref="A1:L1"/>
    <mergeCell ref="A2:L2"/>
    <mergeCell ref="A3:L3"/>
    <mergeCell ref="A4:L4"/>
    <mergeCell ref="A5:L5"/>
  </mergeCells>
  <conditionalFormatting sqref="I5:I88">
    <cfRule type="cellIs" dxfId="13" priority="4" operator="equal">
      <formula>"✗"</formula>
    </cfRule>
  </conditionalFormatting>
  <conditionalFormatting sqref="L10:L56">
    <cfRule type="cellIs" dxfId="12" priority="2" operator="equal">
      <formula>"PASS"</formula>
    </cfRule>
  </conditionalFormatting>
  <conditionalFormatting sqref="L62:L85">
    <cfRule type="cellIs" dxfId="11" priority="3" operator="equal">
      <formula>"PASS"</formula>
    </cfRule>
  </conditionalFormatting>
  <hyperlinks>
    <hyperlink ref="M1" location="'Contents'!A1" display="↑ Contents" xr:uid="{00000000-0004-0000-1200-000000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48235"/>
  </sheetPr>
  <dimension ref="A1:J32"/>
  <sheetViews>
    <sheetView zoomScaleNormal="100" workbookViewId="0">
      <pane ySplit="4" topLeftCell="A16" activePane="bottomLeft" state="frozen"/>
      <selection pane="bottomLeft" activeCell="J9" sqref="J9"/>
    </sheetView>
  </sheetViews>
  <sheetFormatPr baseColWidth="10" defaultColWidth="8.6640625" defaultRowHeight="15" x14ac:dyDescent="0.2"/>
  <cols>
    <col min="1" max="1" width="6" customWidth="1"/>
    <col min="2" max="2" width="32" customWidth="1"/>
    <col min="3" max="3" width="58" customWidth="1"/>
    <col min="4" max="4" width="24" customWidth="1"/>
    <col min="5" max="5" width="26" customWidth="1"/>
    <col min="6" max="6" width="20" customWidth="1"/>
    <col min="7" max="7" width="14" customWidth="1"/>
    <col min="8" max="8" width="36" customWidth="1"/>
    <col min="9" max="9" width="13" customWidth="1"/>
  </cols>
  <sheetData>
    <row r="1" spans="1:10" ht="25.5" customHeight="1" x14ac:dyDescent="0.2">
      <c r="A1" s="12" t="s">
        <v>2376</v>
      </c>
      <c r="B1" s="12"/>
      <c r="C1" s="12"/>
      <c r="D1" s="12"/>
      <c r="E1" s="12"/>
      <c r="F1" s="12"/>
      <c r="G1" s="12"/>
      <c r="H1" s="12"/>
      <c r="I1" s="30" t="s">
        <v>140</v>
      </c>
    </row>
    <row r="2" spans="1:10" ht="30" customHeight="1" x14ac:dyDescent="0.2">
      <c r="A2" s="11" t="str">
        <f>"⬤ TAB QUALITY "&amp;IF(ISNUMBER('Quality &amp; Audit'!$B$43),IF('Quality &amp; Audit'!$B$43=INT('Quality &amp; Audit'!$B$43),TEXT('Quality &amp; Audit'!$B$43,"0"),TEXT('Quality &amp; Audit'!$B$43,"0.0")),"—")&amp;"/10 · "&amp;IF(ISNUMBER('Quality &amp; Audit'!$B$43),IF('Quality &amp; Audit'!$B$43&gt;=8,"PASS","FAIL"),"UNSCORED")&amp;" (target ≥8, live from the Quality &amp; Audit score cell)"&amp;" · arithmetic: 10 × min(steps 13/13, heavy-lift callouts 1/1, programme reconciliation 1/1); content checks: design-derived step arithmetic — steps with design-derived dura…"&amp;" · full audit: Quality &amp; Audit tab"</f>
        <v>⬤ TAB QUALITY 10/10 · PASS (target ≥8, live from the Quality &amp; Audit score cell) · arithmetic: 10 × min(steps 13/13, heavy-lift callouts 1/1, programme reconciliation 1/1); content checks: design-derived step arithmetic — steps with design-derived dura… · full audit: Quality &amp; Audit tab</v>
      </c>
      <c r="B2" s="11"/>
      <c r="C2" s="11"/>
      <c r="D2" s="11"/>
      <c r="E2" s="11"/>
      <c r="F2" s="11"/>
      <c r="G2" s="11"/>
      <c r="H2" s="11"/>
    </row>
    <row r="3" spans="1:10" ht="40.5" customHeight="1" x14ac:dyDescent="0.2">
      <c r="A3" s="10" t="s">
        <v>2377</v>
      </c>
      <c r="B3" s="10"/>
      <c r="C3" s="10"/>
      <c r="D3" s="10"/>
      <c r="E3" s="10"/>
      <c r="F3" s="10"/>
      <c r="G3" s="10"/>
      <c r="H3" s="10"/>
    </row>
    <row r="4" spans="1:10" ht="30" customHeight="1" x14ac:dyDescent="0.2">
      <c r="A4" s="139" t="s">
        <v>2378</v>
      </c>
      <c r="B4" s="139"/>
      <c r="C4" s="139"/>
      <c r="D4" s="139"/>
      <c r="E4" s="139"/>
      <c r="F4" s="139"/>
      <c r="G4" s="139"/>
      <c r="H4" s="139"/>
    </row>
    <row r="6" spans="1:10" x14ac:dyDescent="0.2">
      <c r="A6" s="140" t="s">
        <v>2379</v>
      </c>
      <c r="B6" s="140"/>
      <c r="C6" s="140"/>
      <c r="D6" s="140"/>
      <c r="E6" s="140"/>
      <c r="F6" s="140"/>
      <c r="G6" s="140"/>
      <c r="H6" s="140"/>
    </row>
    <row r="8" spans="1:10" ht="16" x14ac:dyDescent="0.2">
      <c r="A8" s="16" t="s">
        <v>546</v>
      </c>
      <c r="B8" s="16" t="s">
        <v>2380</v>
      </c>
      <c r="C8" s="16" t="s">
        <v>2381</v>
      </c>
      <c r="D8" s="16" t="s">
        <v>2382</v>
      </c>
      <c r="E8" s="16" t="s">
        <v>2383</v>
      </c>
      <c r="F8" s="16" t="s">
        <v>2384</v>
      </c>
      <c r="G8" s="16" t="s">
        <v>2385</v>
      </c>
      <c r="H8" s="16" t="s">
        <v>2386</v>
      </c>
      <c r="I8" s="17" t="s">
        <v>20</v>
      </c>
    </row>
    <row r="9" spans="1:10" ht="28.5" customHeight="1" x14ac:dyDescent="0.2">
      <c r="A9" s="18">
        <v>1</v>
      </c>
      <c r="B9" s="18" t="s">
        <v>2387</v>
      </c>
      <c r="C9" s="39" t="s">
        <v>2388</v>
      </c>
      <c r="D9" s="18" t="s">
        <v>2389</v>
      </c>
      <c r="E9" s="39" t="s">
        <v>2390</v>
      </c>
      <c r="F9" s="18" t="s">
        <v>2391</v>
      </c>
      <c r="G9" s="84">
        <v>15.16</v>
      </c>
      <c r="H9" s="39" t="s">
        <v>2392</v>
      </c>
      <c r="I9" s="23" t="str">
        <f t="shared" ref="I9:I21" si="0">IF(AND(LEN(TRIM(A9&amp;""))&gt;0,TRIM(A9&amp;"")&lt;&gt;"—",LEN(TRIM(B9&amp;""))&gt;0,TRIM(B9&amp;"")&lt;&gt;"—",LEN(TRIM(C9&amp;""))&gt;0,TRIM(C9&amp;"")&lt;&gt;"—",LEN(TRIM(F9&amp;""))&gt;0,TRIM(F9&amp;"")&lt;&gt;"—",LEN(TRIM(G9&amp;""))&gt;0,TRIM(G9&amp;"")&lt;&gt;"—",ISNUMBER(G9)),"PASS","⚠ FAIL — "&amp;"a required cell is empty/placeholder or wrong type")</f>
        <v>PASS</v>
      </c>
      <c r="J9" s="145" t="s">
        <v>4573</v>
      </c>
    </row>
    <row r="10" spans="1:10" ht="32" x14ac:dyDescent="0.2">
      <c r="A10" s="18">
        <v>2</v>
      </c>
      <c r="B10" s="18" t="s">
        <v>2393</v>
      </c>
      <c r="C10" s="39" t="s">
        <v>2394</v>
      </c>
      <c r="D10" s="18" t="s">
        <v>2395</v>
      </c>
      <c r="E10" s="39" t="s">
        <v>2396</v>
      </c>
      <c r="F10" s="18" t="s">
        <v>2397</v>
      </c>
      <c r="G10" s="84">
        <v>0.67</v>
      </c>
      <c r="H10" s="39" t="s">
        <v>2398</v>
      </c>
      <c r="I10" s="23" t="str">
        <f t="shared" si="0"/>
        <v>PASS</v>
      </c>
    </row>
    <row r="11" spans="1:10" ht="87" customHeight="1" x14ac:dyDescent="0.2">
      <c r="A11" s="18">
        <v>3</v>
      </c>
      <c r="B11" s="18" t="s">
        <v>2399</v>
      </c>
      <c r="C11" s="39" t="s">
        <v>2400</v>
      </c>
      <c r="D11" s="18" t="s">
        <v>2401</v>
      </c>
      <c r="E11" s="39" t="s">
        <v>2396</v>
      </c>
      <c r="F11" s="18" t="s">
        <v>2402</v>
      </c>
      <c r="G11" s="84">
        <v>9.42</v>
      </c>
      <c r="H11" s="39" t="s">
        <v>2398</v>
      </c>
      <c r="I11" s="23" t="str">
        <f t="shared" si="0"/>
        <v>PASS</v>
      </c>
    </row>
    <row r="12" spans="1:10" ht="16" x14ac:dyDescent="0.2">
      <c r="A12" s="18">
        <v>4</v>
      </c>
      <c r="B12" s="18" t="s">
        <v>2403</v>
      </c>
      <c r="C12" s="39" t="s">
        <v>2404</v>
      </c>
      <c r="D12" s="18" t="s">
        <v>2405</v>
      </c>
      <c r="E12" s="39" t="s">
        <v>2406</v>
      </c>
      <c r="F12" s="18" t="s">
        <v>2407</v>
      </c>
      <c r="G12" s="84">
        <v>0.5</v>
      </c>
      <c r="H12" s="39" t="s">
        <v>2408</v>
      </c>
      <c r="I12" s="23" t="str">
        <f t="shared" si="0"/>
        <v>PASS</v>
      </c>
    </row>
    <row r="13" spans="1:10" ht="16" x14ac:dyDescent="0.2">
      <c r="A13" s="18">
        <v>5</v>
      </c>
      <c r="B13" s="18" t="s">
        <v>2409</v>
      </c>
      <c r="C13" s="39" t="s">
        <v>2410</v>
      </c>
      <c r="D13" s="18" t="s">
        <v>2411</v>
      </c>
      <c r="E13" s="39" t="s">
        <v>2406</v>
      </c>
      <c r="F13" s="18" t="s">
        <v>2407</v>
      </c>
      <c r="G13" s="84">
        <v>0.5</v>
      </c>
      <c r="H13" s="39" t="s">
        <v>2408</v>
      </c>
      <c r="I13" s="23" t="str">
        <f t="shared" si="0"/>
        <v>PASS</v>
      </c>
    </row>
    <row r="14" spans="1:10" ht="16" x14ac:dyDescent="0.2">
      <c r="A14" s="18">
        <v>6</v>
      </c>
      <c r="B14" s="18" t="s">
        <v>2412</v>
      </c>
      <c r="C14" s="39" t="s">
        <v>2413</v>
      </c>
      <c r="D14" s="18" t="s">
        <v>2414</v>
      </c>
      <c r="E14" s="39" t="s">
        <v>2406</v>
      </c>
      <c r="F14" s="18" t="s">
        <v>2407</v>
      </c>
      <c r="G14" s="84">
        <v>0.5</v>
      </c>
      <c r="H14" s="39" t="s">
        <v>2408</v>
      </c>
      <c r="I14" s="23" t="str">
        <f t="shared" si="0"/>
        <v>PASS</v>
      </c>
    </row>
    <row r="15" spans="1:10" ht="57.75" customHeight="1" x14ac:dyDescent="0.2">
      <c r="A15" s="18">
        <v>7</v>
      </c>
      <c r="B15" s="18" t="s">
        <v>2415</v>
      </c>
      <c r="C15" s="39" t="s">
        <v>2416</v>
      </c>
      <c r="D15" s="18" t="s">
        <v>2417</v>
      </c>
      <c r="E15" s="39" t="s">
        <v>2406</v>
      </c>
      <c r="F15" s="18" t="s">
        <v>2418</v>
      </c>
      <c r="G15" s="84">
        <v>1.75</v>
      </c>
      <c r="H15" s="39" t="s">
        <v>2408</v>
      </c>
      <c r="I15" s="23" t="str">
        <f t="shared" si="0"/>
        <v>PASS</v>
      </c>
    </row>
    <row r="16" spans="1:10" ht="16" x14ac:dyDescent="0.2">
      <c r="A16" s="18">
        <v>8</v>
      </c>
      <c r="B16" s="18" t="s">
        <v>2419</v>
      </c>
      <c r="C16" s="39" t="s">
        <v>2420</v>
      </c>
      <c r="D16" s="18" t="s">
        <v>2421</v>
      </c>
      <c r="E16" s="39" t="s">
        <v>2406</v>
      </c>
      <c r="F16" s="18" t="s">
        <v>2407</v>
      </c>
      <c r="G16" s="84">
        <v>0.5</v>
      </c>
      <c r="H16" s="39" t="s">
        <v>2408</v>
      </c>
      <c r="I16" s="23" t="str">
        <f t="shared" si="0"/>
        <v>PASS</v>
      </c>
    </row>
    <row r="17" spans="1:9" ht="16" x14ac:dyDescent="0.2">
      <c r="A17" s="18">
        <v>9</v>
      </c>
      <c r="B17" s="18" t="s">
        <v>2422</v>
      </c>
      <c r="C17" s="39" t="s">
        <v>2423</v>
      </c>
      <c r="D17" s="18" t="s">
        <v>2424</v>
      </c>
      <c r="E17" s="39" t="s">
        <v>2406</v>
      </c>
      <c r="F17" s="18" t="s">
        <v>2407</v>
      </c>
      <c r="G17" s="84">
        <v>0.5</v>
      </c>
      <c r="H17" s="39" t="s">
        <v>2408</v>
      </c>
      <c r="I17" s="23" t="str">
        <f t="shared" si="0"/>
        <v>PASS</v>
      </c>
    </row>
    <row r="18" spans="1:9" ht="57.75" customHeight="1" x14ac:dyDescent="0.2">
      <c r="A18" s="18">
        <v>10</v>
      </c>
      <c r="B18" s="18" t="s">
        <v>2425</v>
      </c>
      <c r="C18" s="39" t="s">
        <v>2426</v>
      </c>
      <c r="D18" s="18" t="s">
        <v>2427</v>
      </c>
      <c r="E18" s="39" t="s">
        <v>2428</v>
      </c>
      <c r="F18" s="18" t="s">
        <v>2429</v>
      </c>
      <c r="G18" s="84">
        <v>39.869999999999997</v>
      </c>
      <c r="H18" s="39" t="s">
        <v>2430</v>
      </c>
      <c r="I18" s="23" t="str">
        <f t="shared" si="0"/>
        <v>PASS</v>
      </c>
    </row>
    <row r="19" spans="1:9" ht="43.5" customHeight="1" x14ac:dyDescent="0.2">
      <c r="A19" s="18">
        <v>11</v>
      </c>
      <c r="B19" s="18" t="s">
        <v>2431</v>
      </c>
      <c r="C19" s="39" t="s">
        <v>2432</v>
      </c>
      <c r="D19" s="18" t="s">
        <v>2433</v>
      </c>
      <c r="E19" s="39" t="s">
        <v>2434</v>
      </c>
      <c r="F19" s="18" t="s">
        <v>2435</v>
      </c>
      <c r="G19" s="84">
        <v>8.9</v>
      </c>
      <c r="H19" s="39" t="s">
        <v>2436</v>
      </c>
      <c r="I19" s="23" t="str">
        <f t="shared" si="0"/>
        <v>PASS</v>
      </c>
    </row>
    <row r="20" spans="1:9" ht="28.5" customHeight="1" x14ac:dyDescent="0.2">
      <c r="A20" s="18">
        <v>12</v>
      </c>
      <c r="B20" s="18" t="s">
        <v>2437</v>
      </c>
      <c r="C20" s="39" t="s">
        <v>2438</v>
      </c>
      <c r="D20" s="18" t="s">
        <v>2439</v>
      </c>
      <c r="E20" s="39" t="s">
        <v>2440</v>
      </c>
      <c r="F20" s="18" t="s">
        <v>2441</v>
      </c>
      <c r="G20" s="84">
        <v>6.38</v>
      </c>
      <c r="H20" s="39" t="s">
        <v>2442</v>
      </c>
      <c r="I20" s="23" t="str">
        <f t="shared" si="0"/>
        <v>PASS</v>
      </c>
    </row>
    <row r="21" spans="1:9" ht="28.5" customHeight="1" x14ac:dyDescent="0.2">
      <c r="A21" s="18">
        <v>13</v>
      </c>
      <c r="B21" s="18" t="s">
        <v>2443</v>
      </c>
      <c r="C21" s="39" t="s">
        <v>2444</v>
      </c>
      <c r="D21" s="18" t="s">
        <v>2445</v>
      </c>
      <c r="E21" s="39" t="s">
        <v>374</v>
      </c>
      <c r="F21" s="18" t="s">
        <v>2446</v>
      </c>
      <c r="G21" s="84">
        <v>9.6999999999999993</v>
      </c>
      <c r="H21" s="39" t="s">
        <v>2447</v>
      </c>
      <c r="I21" s="23" t="str">
        <f t="shared" si="0"/>
        <v>PASS</v>
      </c>
    </row>
    <row r="23" spans="1:9" ht="28.5" customHeight="1" x14ac:dyDescent="0.2">
      <c r="A23" s="141" t="s">
        <v>2448</v>
      </c>
      <c r="B23" s="141"/>
      <c r="C23" s="141"/>
      <c r="D23" s="141"/>
      <c r="E23" s="141"/>
      <c r="F23" s="141"/>
      <c r="G23" s="141"/>
      <c r="H23" s="141"/>
    </row>
    <row r="25" spans="1:9" x14ac:dyDescent="0.2">
      <c r="A25" s="6" t="s">
        <v>2449</v>
      </c>
      <c r="B25" s="6"/>
      <c r="C25" s="6"/>
      <c r="D25" s="6"/>
      <c r="E25" s="6"/>
      <c r="F25" s="6"/>
      <c r="G25" s="6"/>
      <c r="H25" s="6"/>
    </row>
    <row r="26" spans="1:9" x14ac:dyDescent="0.2">
      <c r="B26" s="24" t="s">
        <v>2450</v>
      </c>
      <c r="C26" s="140" t="s">
        <v>2451</v>
      </c>
      <c r="D26" s="140"/>
      <c r="E26" s="140"/>
      <c r="F26" s="140"/>
      <c r="G26" s="140"/>
      <c r="H26" s="140"/>
    </row>
    <row r="27" spans="1:9" x14ac:dyDescent="0.2">
      <c r="B27" s="24" t="s">
        <v>2452</v>
      </c>
      <c r="C27" s="140" t="s">
        <v>2453</v>
      </c>
      <c r="D27" s="140"/>
      <c r="E27" s="140"/>
      <c r="F27" s="140"/>
      <c r="G27" s="140"/>
      <c r="H27" s="140"/>
    </row>
    <row r="28" spans="1:9" x14ac:dyDescent="0.2">
      <c r="B28" s="24" t="s">
        <v>2454</v>
      </c>
      <c r="C28" s="140" t="s">
        <v>2455</v>
      </c>
      <c r="D28" s="140"/>
      <c r="E28" s="140"/>
      <c r="F28" s="140"/>
      <c r="G28" s="140"/>
      <c r="H28" s="140"/>
    </row>
    <row r="29" spans="1:9" x14ac:dyDescent="0.2">
      <c r="B29" s="24" t="s">
        <v>2456</v>
      </c>
      <c r="C29" s="140" t="s">
        <v>2457</v>
      </c>
      <c r="D29" s="140"/>
      <c r="E29" s="140"/>
      <c r="F29" s="140"/>
      <c r="G29" s="140"/>
      <c r="H29" s="140"/>
    </row>
    <row r="30" spans="1:9" x14ac:dyDescent="0.2">
      <c r="B30" s="24" t="s">
        <v>2458</v>
      </c>
      <c r="C30" s="140" t="s">
        <v>2459</v>
      </c>
      <c r="D30" s="140"/>
      <c r="E30" s="140"/>
      <c r="F30" s="140"/>
      <c r="G30" s="140"/>
      <c r="H30" s="140"/>
    </row>
    <row r="31" spans="1:9" x14ac:dyDescent="0.2">
      <c r="B31" s="24" t="s">
        <v>2460</v>
      </c>
      <c r="C31" s="140" t="s">
        <v>2461</v>
      </c>
      <c r="D31" s="140"/>
      <c r="E31" s="140"/>
      <c r="F31" s="140"/>
      <c r="G31" s="140"/>
      <c r="H31" s="140"/>
    </row>
    <row r="32" spans="1:9" x14ac:dyDescent="0.2">
      <c r="B32" s="24" t="s">
        <v>2462</v>
      </c>
      <c r="C32" s="140" t="s">
        <v>2463</v>
      </c>
      <c r="D32" s="140"/>
      <c r="E32" s="140"/>
      <c r="F32" s="140"/>
      <c r="G32" s="140"/>
      <c r="H32" s="140"/>
    </row>
  </sheetData>
  <mergeCells count="14">
    <mergeCell ref="C29:H29"/>
    <mergeCell ref="C30:H30"/>
    <mergeCell ref="C31:H31"/>
    <mergeCell ref="C32:H32"/>
    <mergeCell ref="A23:H23"/>
    <mergeCell ref="A25:H25"/>
    <mergeCell ref="C26:H26"/>
    <mergeCell ref="C27:H27"/>
    <mergeCell ref="C28:H28"/>
    <mergeCell ref="A1:H1"/>
    <mergeCell ref="A2:H2"/>
    <mergeCell ref="A3:H3"/>
    <mergeCell ref="A4:H4"/>
    <mergeCell ref="A6:H6"/>
  </mergeCells>
  <hyperlinks>
    <hyperlink ref="I1" location="'Contents'!A1" display="↑ Contents" xr:uid="{00000000-0004-0000-1300-000000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5A11"/>
  </sheetPr>
  <dimension ref="A1:O48"/>
  <sheetViews>
    <sheetView topLeftCell="C1" zoomScaleNormal="100" workbookViewId="0">
      <pane ySplit="4" topLeftCell="A5" activePane="bottomLeft" state="frozen"/>
      <selection pane="bottomLeft" sqref="A1:M1"/>
    </sheetView>
  </sheetViews>
  <sheetFormatPr baseColWidth="10" defaultColWidth="8.6640625" defaultRowHeight="15" x14ac:dyDescent="0.2"/>
  <cols>
    <col min="1" max="1" width="6" customWidth="1"/>
    <col min="2" max="2" width="22" customWidth="1"/>
    <col min="3" max="3" width="38" customWidth="1"/>
    <col min="4" max="4" width="36" customWidth="1"/>
    <col min="5" max="6" width="6" customWidth="1"/>
    <col min="7" max="7" width="7" customWidth="1"/>
    <col min="8" max="8" width="10" customWidth="1"/>
    <col min="9" max="9" width="16" customWidth="1"/>
    <col min="10" max="10" width="46" customWidth="1"/>
    <col min="11" max="12" width="24" customWidth="1"/>
    <col min="13" max="13" width="36" customWidth="1"/>
    <col min="14" max="14" width="13" customWidth="1"/>
  </cols>
  <sheetData>
    <row r="1" spans="1:15" ht="25.5" customHeight="1" x14ac:dyDescent="0.2">
      <c r="A1" s="12" t="s">
        <v>116</v>
      </c>
      <c r="B1" s="12"/>
      <c r="C1" s="12"/>
      <c r="D1" s="12"/>
      <c r="E1" s="12"/>
      <c r="F1" s="12"/>
      <c r="G1" s="12"/>
      <c r="H1" s="12"/>
      <c r="I1" s="12"/>
      <c r="J1" s="12"/>
      <c r="K1" s="12"/>
      <c r="L1" s="12"/>
      <c r="M1" s="12"/>
      <c r="N1" s="30" t="s">
        <v>140</v>
      </c>
    </row>
    <row r="2" spans="1:15" ht="30" customHeight="1" x14ac:dyDescent="0.2">
      <c r="A2" s="11" t="str">
        <f>"⬤ TAB QUALITY "&amp;IF(ISNUMBER('Quality &amp; Audit'!$B$42),IF('Quality &amp; Audit'!$B$42=INT('Quality &amp; Audit'!$B$42),TEXT('Quality &amp; Audit'!$B$42,"0"),TEXT('Quality &amp; Audit'!$B$42,"0.0")),"—")&amp;"/10 · "&amp;IF(ISNUMBER('Quality &amp; Audit'!$B$42),IF('Quality &amp; Audit'!$B$42&gt;=8,"PASS","FAIL"),"UNSCORED")&amp;" (target ≥8, live from the Quality &amp; Audit score cell)"&amp;" · column-contract arithmetic: 10 × 8/8 rows passing; content checks: risk-register column contract (per-row triage) — cell completeness+type contract 176/176 · score = min…"&amp;" · full audit: Quality &amp; Audit tab"</f>
        <v>⬤ TAB QUALITY 10/10 · PASS (target ≥8, live from the Quality &amp; Audit score cell) · column-contract arithmetic: 10 × 8/8 rows passing; content checks: risk-register column contract (per-row triage) — cell completeness+type contract 176/176 · score = min… · full audit: Quality &amp; Audit tab</v>
      </c>
      <c r="B2" s="11"/>
      <c r="C2" s="11"/>
      <c r="D2" s="11"/>
      <c r="E2" s="11"/>
      <c r="F2" s="11"/>
      <c r="G2" s="11"/>
      <c r="H2" s="11"/>
      <c r="I2" s="11"/>
      <c r="J2" s="11"/>
      <c r="K2" s="11"/>
      <c r="L2" s="11"/>
      <c r="M2" s="11"/>
    </row>
    <row r="3" spans="1:15" ht="66.75" customHeight="1" x14ac:dyDescent="0.2">
      <c r="A3" s="10" t="s">
        <v>2464</v>
      </c>
      <c r="B3" s="10"/>
      <c r="C3" s="10"/>
      <c r="D3" s="10"/>
      <c r="E3" s="10"/>
      <c r="F3" s="10"/>
      <c r="G3" s="10"/>
      <c r="H3" s="10"/>
      <c r="I3" s="10"/>
      <c r="J3" s="10"/>
      <c r="K3" s="10"/>
      <c r="L3" s="10"/>
      <c r="M3" s="10"/>
    </row>
    <row r="4" spans="1:15" x14ac:dyDescent="0.2">
      <c r="A4" s="6" t="s">
        <v>2465</v>
      </c>
      <c r="B4" s="6"/>
      <c r="C4" s="6"/>
      <c r="D4" s="6"/>
      <c r="E4" s="6"/>
      <c r="F4" s="6"/>
      <c r="G4" s="6"/>
      <c r="H4" s="6"/>
      <c r="I4" s="6"/>
      <c r="J4" s="6"/>
      <c r="K4" s="6"/>
    </row>
    <row r="5" spans="1:15" ht="57.75" customHeight="1" x14ac:dyDescent="0.2">
      <c r="A5" s="8" t="s">
        <v>2466</v>
      </c>
      <c r="B5" s="8"/>
      <c r="C5" s="8"/>
      <c r="D5" s="8"/>
      <c r="E5" s="8"/>
      <c r="F5" s="8"/>
      <c r="G5" s="8"/>
      <c r="H5" s="8"/>
      <c r="I5" s="8"/>
      <c r="J5" s="8"/>
      <c r="K5" s="8"/>
      <c r="L5" s="8"/>
      <c r="M5" s="8"/>
    </row>
    <row r="6" spans="1:15" ht="36" x14ac:dyDescent="0.2">
      <c r="A6" s="16" t="s">
        <v>78</v>
      </c>
      <c r="B6" s="16" t="s">
        <v>525</v>
      </c>
      <c r="C6" s="16" t="s">
        <v>2467</v>
      </c>
      <c r="D6" s="16" t="s">
        <v>2468</v>
      </c>
      <c r="E6" s="16" t="s">
        <v>2469</v>
      </c>
      <c r="F6" s="16" t="s">
        <v>2470</v>
      </c>
      <c r="G6" s="16" t="s">
        <v>480</v>
      </c>
      <c r="H6" s="16" t="s">
        <v>2208</v>
      </c>
      <c r="I6" s="16" t="s">
        <v>146</v>
      </c>
      <c r="J6" s="16" t="s">
        <v>2471</v>
      </c>
      <c r="K6" s="16" t="s">
        <v>2472</v>
      </c>
      <c r="L6" s="16" t="s">
        <v>2473</v>
      </c>
      <c r="M6" s="16" t="s">
        <v>755</v>
      </c>
      <c r="N6" s="76" t="s">
        <v>2474</v>
      </c>
      <c r="O6" s="17" t="s">
        <v>20</v>
      </c>
    </row>
    <row r="7" spans="1:15" ht="43.5" customHeight="1" x14ac:dyDescent="0.2">
      <c r="A7" s="18">
        <v>1</v>
      </c>
      <c r="B7" s="18" t="s">
        <v>2475</v>
      </c>
      <c r="C7" s="39" t="s">
        <v>2476</v>
      </c>
      <c r="D7" s="39" t="s">
        <v>2477</v>
      </c>
      <c r="E7" s="18">
        <v>4</v>
      </c>
      <c r="F7" s="18">
        <v>2</v>
      </c>
      <c r="G7" s="18">
        <f t="shared" ref="G7:G14" si="0">E7*F7</f>
        <v>8</v>
      </c>
      <c r="H7" s="100" t="s">
        <v>2478</v>
      </c>
      <c r="I7" s="86" t="s">
        <v>2479</v>
      </c>
      <c r="J7" s="39" t="s">
        <v>2480</v>
      </c>
      <c r="K7" s="18" t="s">
        <v>2481</v>
      </c>
      <c r="L7" s="39" t="s">
        <v>2482</v>
      </c>
      <c r="M7" s="77" t="str">
        <f t="shared" ref="M7:M14" si="1">IF(AND(ISNUMBER($E7),ISNUMBER($F7),ABS($G7-$E7*$F7)&lt;0.5,LEN(TRIM($J7&amp;""))&gt;0,TRIM($J7&amp;"")&lt;&gt;"—",LEN(TRIM($N7&amp;""))=0),"PASS","FAIL — "&amp;IF(LEN(TRIM($N7&amp;""))&gt;0,TRIM($N7&amp;""),"S/L not numeric, Score ≠ S×L, or mitigation missing"))</f>
        <v>PASS</v>
      </c>
      <c r="N7" s="78"/>
      <c r="O7" s="23" t="str">
        <f t="shared" ref="O7:O14" si="2">IF(AND(LEN(TRIM(A7&amp;""))&gt;0,TRIM(A7&amp;"")&lt;&gt;"—",LEN(TRIM(B7&amp;""))&gt;0,TRIM(B7&amp;"")&lt;&gt;"—",LEN(TRIM(C7&amp;""))&gt;0,TRIM(C7&amp;"")&lt;&gt;"—",LEN(TRIM(D7&amp;""))&gt;0,TRIM(D7&amp;"")&lt;&gt;"—",LEN(TRIM(E7&amp;""))&gt;0,TRIM(E7&amp;"")&lt;&gt;"—",ISNUMBER(E7),LEN(TRIM(F7&amp;""))&gt;0,TRIM(F7&amp;"")&lt;&gt;"—",ISNUMBER(F7),LEN(TRIM(G7&amp;""))&gt;0,TRIM(G7&amp;"")&lt;&gt;"—",LEN(TRIM(H7&amp;""))&gt;0,TRIM(H7&amp;"")&lt;&gt;"—",LEN(TRIM(I7&amp;""))&gt;0,TRIM(I7&amp;"")&lt;&gt;"—",LEN(TRIM(J7&amp;""))&gt;0,TRIM(J7&amp;"")&lt;&gt;"—",LEN(TRIM(K7&amp;""))&gt;0,TRIM(K7&amp;"")&lt;&gt;"—",LEN(TRIM(M7&amp;""))&gt;0,TRIM(M7&amp;"")&lt;&gt;"—"),"PASS","⚠ FAIL — "&amp;"a required cell is empty/placeholder or wrong type")</f>
        <v>PASS</v>
      </c>
    </row>
    <row r="8" spans="1:15" ht="43.5" customHeight="1" x14ac:dyDescent="0.2">
      <c r="A8" s="18">
        <v>2</v>
      </c>
      <c r="B8" s="18" t="s">
        <v>2475</v>
      </c>
      <c r="C8" s="39" t="s">
        <v>2483</v>
      </c>
      <c r="D8" s="39" t="s">
        <v>2484</v>
      </c>
      <c r="E8" s="18">
        <v>4</v>
      </c>
      <c r="F8" s="18">
        <v>2</v>
      </c>
      <c r="G8" s="18">
        <f t="shared" si="0"/>
        <v>8</v>
      </c>
      <c r="H8" s="100" t="s">
        <v>2478</v>
      </c>
      <c r="I8" s="86" t="s">
        <v>2479</v>
      </c>
      <c r="J8" s="39" t="s">
        <v>2485</v>
      </c>
      <c r="K8" s="18" t="s">
        <v>2481</v>
      </c>
      <c r="L8" s="39" t="s">
        <v>2482</v>
      </c>
      <c r="M8" s="77" t="str">
        <f t="shared" si="1"/>
        <v>PASS</v>
      </c>
      <c r="N8" s="78"/>
      <c r="O8" s="23" t="str">
        <f t="shared" si="2"/>
        <v>PASS</v>
      </c>
    </row>
    <row r="9" spans="1:15" ht="43.5" customHeight="1" x14ac:dyDescent="0.2">
      <c r="A9" s="18">
        <v>3</v>
      </c>
      <c r="B9" s="18" t="s">
        <v>2475</v>
      </c>
      <c r="C9" s="39" t="s">
        <v>2486</v>
      </c>
      <c r="D9" s="39" t="s">
        <v>2487</v>
      </c>
      <c r="E9" s="18">
        <v>3</v>
      </c>
      <c r="F9" s="18">
        <v>3</v>
      </c>
      <c r="G9" s="18">
        <f t="shared" si="0"/>
        <v>9</v>
      </c>
      <c r="H9" s="100" t="s">
        <v>2478</v>
      </c>
      <c r="I9" s="86" t="s">
        <v>2479</v>
      </c>
      <c r="J9" s="39" t="s">
        <v>2488</v>
      </c>
      <c r="K9" s="18" t="s">
        <v>2481</v>
      </c>
      <c r="L9" s="39" t="s">
        <v>2482</v>
      </c>
      <c r="M9" s="77" t="str">
        <f t="shared" si="1"/>
        <v>PASS</v>
      </c>
      <c r="N9" s="78"/>
      <c r="O9" s="23" t="str">
        <f t="shared" si="2"/>
        <v>PASS</v>
      </c>
    </row>
    <row r="10" spans="1:15" ht="43.5" customHeight="1" x14ac:dyDescent="0.2">
      <c r="A10" s="18">
        <v>4</v>
      </c>
      <c r="B10" s="18" t="s">
        <v>2475</v>
      </c>
      <c r="C10" s="39" t="s">
        <v>2489</v>
      </c>
      <c r="D10" s="39" t="s">
        <v>2490</v>
      </c>
      <c r="E10" s="18">
        <v>4</v>
      </c>
      <c r="F10" s="18">
        <v>2</v>
      </c>
      <c r="G10" s="18">
        <f t="shared" si="0"/>
        <v>8</v>
      </c>
      <c r="H10" s="100" t="s">
        <v>2478</v>
      </c>
      <c r="I10" s="86" t="s">
        <v>2479</v>
      </c>
      <c r="J10" s="39" t="s">
        <v>2491</v>
      </c>
      <c r="K10" s="18" t="s">
        <v>2481</v>
      </c>
      <c r="L10" s="39" t="s">
        <v>2482</v>
      </c>
      <c r="M10" s="77" t="str">
        <f t="shared" si="1"/>
        <v>PASS</v>
      </c>
      <c r="N10" s="78"/>
      <c r="O10" s="23" t="str">
        <f t="shared" si="2"/>
        <v>PASS</v>
      </c>
    </row>
    <row r="11" spans="1:15" ht="43.5" customHeight="1" x14ac:dyDescent="0.2">
      <c r="A11" s="18">
        <v>5</v>
      </c>
      <c r="B11" s="18" t="s">
        <v>2475</v>
      </c>
      <c r="C11" s="39" t="s">
        <v>2492</v>
      </c>
      <c r="D11" s="39" t="s">
        <v>2493</v>
      </c>
      <c r="E11" s="18">
        <v>4</v>
      </c>
      <c r="F11" s="18">
        <v>2</v>
      </c>
      <c r="G11" s="18">
        <f t="shared" si="0"/>
        <v>8</v>
      </c>
      <c r="H11" s="100" t="s">
        <v>2478</v>
      </c>
      <c r="I11" s="86" t="s">
        <v>2479</v>
      </c>
      <c r="J11" s="39" t="s">
        <v>2494</v>
      </c>
      <c r="K11" s="18" t="s">
        <v>2481</v>
      </c>
      <c r="L11" s="39" t="s">
        <v>2482</v>
      </c>
      <c r="M11" s="77" t="str">
        <f t="shared" si="1"/>
        <v>PASS</v>
      </c>
      <c r="N11" s="78"/>
      <c r="O11" s="23" t="str">
        <f t="shared" si="2"/>
        <v>PASS</v>
      </c>
    </row>
    <row r="12" spans="1:15" ht="28.5" customHeight="1" x14ac:dyDescent="0.2">
      <c r="A12" s="18">
        <v>6</v>
      </c>
      <c r="B12" s="18" t="s">
        <v>2475</v>
      </c>
      <c r="C12" s="39" t="s">
        <v>2495</v>
      </c>
      <c r="D12" s="39" t="s">
        <v>2496</v>
      </c>
      <c r="E12" s="18">
        <v>3</v>
      </c>
      <c r="F12" s="18">
        <v>3</v>
      </c>
      <c r="G12" s="18">
        <f t="shared" si="0"/>
        <v>9</v>
      </c>
      <c r="H12" s="100" t="s">
        <v>2478</v>
      </c>
      <c r="I12" s="86" t="s">
        <v>2479</v>
      </c>
      <c r="J12" s="39" t="s">
        <v>2497</v>
      </c>
      <c r="K12" s="18" t="s">
        <v>2481</v>
      </c>
      <c r="L12" s="39" t="s">
        <v>2482</v>
      </c>
      <c r="M12" s="77" t="str">
        <f t="shared" si="1"/>
        <v>PASS</v>
      </c>
      <c r="N12" s="78"/>
      <c r="O12" s="23" t="str">
        <f t="shared" si="2"/>
        <v>PASS</v>
      </c>
    </row>
    <row r="13" spans="1:15" ht="28.5" customHeight="1" x14ac:dyDescent="0.2">
      <c r="A13" s="18">
        <v>7</v>
      </c>
      <c r="B13" s="18" t="s">
        <v>2475</v>
      </c>
      <c r="C13" s="39" t="s">
        <v>2498</v>
      </c>
      <c r="D13" s="39" t="s">
        <v>2499</v>
      </c>
      <c r="E13" s="18">
        <v>3</v>
      </c>
      <c r="F13" s="18">
        <v>2</v>
      </c>
      <c r="G13" s="18">
        <f t="shared" si="0"/>
        <v>6</v>
      </c>
      <c r="H13" s="101" t="s">
        <v>690</v>
      </c>
      <c r="I13" s="86" t="s">
        <v>2479</v>
      </c>
      <c r="J13" s="39" t="s">
        <v>2500</v>
      </c>
      <c r="K13" s="18" t="s">
        <v>2481</v>
      </c>
      <c r="L13" s="39" t="s">
        <v>2482</v>
      </c>
      <c r="M13" s="77" t="str">
        <f t="shared" si="1"/>
        <v>PASS</v>
      </c>
      <c r="N13" s="78"/>
      <c r="O13" s="23" t="str">
        <f t="shared" si="2"/>
        <v>PASS</v>
      </c>
    </row>
    <row r="14" spans="1:15" ht="28.5" customHeight="1" x14ac:dyDescent="0.2">
      <c r="A14" s="18">
        <v>8</v>
      </c>
      <c r="B14" s="18" t="s">
        <v>2475</v>
      </c>
      <c r="C14" s="39" t="s">
        <v>2501</v>
      </c>
      <c r="D14" s="39" t="s">
        <v>2502</v>
      </c>
      <c r="E14" s="18">
        <v>2</v>
      </c>
      <c r="F14" s="18">
        <v>2</v>
      </c>
      <c r="G14" s="18">
        <f t="shared" si="0"/>
        <v>4</v>
      </c>
      <c r="H14" s="101" t="s">
        <v>690</v>
      </c>
      <c r="I14" s="86" t="s">
        <v>2479</v>
      </c>
      <c r="J14" s="39" t="s">
        <v>2503</v>
      </c>
      <c r="K14" s="18" t="s">
        <v>2481</v>
      </c>
      <c r="L14" s="39" t="s">
        <v>2482</v>
      </c>
      <c r="M14" s="77" t="str">
        <f t="shared" si="1"/>
        <v>PASS</v>
      </c>
      <c r="N14" s="78"/>
      <c r="O14" s="23" t="str">
        <f t="shared" si="2"/>
        <v>PASS</v>
      </c>
    </row>
    <row r="16" spans="1:15" x14ac:dyDescent="0.2">
      <c r="A16" s="6" t="s">
        <v>2504</v>
      </c>
      <c r="B16" s="6"/>
      <c r="C16" s="6"/>
      <c r="D16" s="6"/>
      <c r="E16" s="6"/>
      <c r="F16" s="6"/>
      <c r="G16" s="6"/>
      <c r="H16" s="6"/>
      <c r="I16" s="6"/>
      <c r="J16" s="6"/>
      <c r="K16" s="6"/>
    </row>
    <row r="17" spans="1:11" ht="16" x14ac:dyDescent="0.2">
      <c r="A17" s="16" t="s">
        <v>78</v>
      </c>
      <c r="B17" s="16" t="s">
        <v>525</v>
      </c>
      <c r="C17" s="16" t="s">
        <v>2505</v>
      </c>
      <c r="D17" s="16" t="s">
        <v>2506</v>
      </c>
      <c r="E17" s="17" t="s">
        <v>20</v>
      </c>
    </row>
    <row r="18" spans="1:11" ht="115.5" customHeight="1" x14ac:dyDescent="0.2">
      <c r="A18" s="18">
        <v>1</v>
      </c>
      <c r="B18" s="18" t="s">
        <v>2507</v>
      </c>
      <c r="C18" s="39" t="s">
        <v>2508</v>
      </c>
      <c r="D18" s="39" t="s">
        <v>2509</v>
      </c>
      <c r="E18" s="23" t="str">
        <f>IF(AND(LEN(TRIM(A18&amp;""))&gt;0,TRIM(A18&amp;"")&lt;&gt;"—",LEN(TRIM(B18&amp;""))&gt;0,TRIM(B18&amp;"")&lt;&gt;"—",LEN(TRIM(C18&amp;""))&gt;0,TRIM(C18&amp;"")&lt;&gt;"—",LEN(TRIM(D18&amp;""))&gt;0,TRIM(D18&amp;"")&lt;&gt;"—"),"PASS","⚠ FAIL — "&amp;"a required cell is empty/placeholder or wrong type")</f>
        <v>PASS</v>
      </c>
    </row>
    <row r="19" spans="1:11" ht="115.5" customHeight="1" x14ac:dyDescent="0.2">
      <c r="A19" s="18">
        <v>2</v>
      </c>
      <c r="B19" s="18" t="s">
        <v>2507</v>
      </c>
      <c r="C19" s="39" t="s">
        <v>2510</v>
      </c>
      <c r="D19" s="39" t="s">
        <v>2509</v>
      </c>
      <c r="E19" s="23" t="str">
        <f>IF(AND(LEN(TRIM(A19&amp;""))&gt;0,TRIM(A19&amp;"")&lt;&gt;"—",LEN(TRIM(B19&amp;""))&gt;0,TRIM(B19&amp;"")&lt;&gt;"—",LEN(TRIM(C19&amp;""))&gt;0,TRIM(C19&amp;"")&lt;&gt;"—",LEN(TRIM(D19&amp;""))&gt;0,TRIM(D19&amp;"")&lt;&gt;"—"),"PASS","⚠ FAIL — "&amp;"a required cell is empty/placeholder or wrong type")</f>
        <v>PASS</v>
      </c>
    </row>
    <row r="20" spans="1:11" ht="115.5" customHeight="1" x14ac:dyDescent="0.2">
      <c r="A20" s="18">
        <v>3</v>
      </c>
      <c r="B20" s="18" t="s">
        <v>2507</v>
      </c>
      <c r="C20" s="39" t="s">
        <v>2511</v>
      </c>
      <c r="D20" s="39" t="s">
        <v>2509</v>
      </c>
      <c r="E20" s="23" t="str">
        <f>IF(AND(LEN(TRIM(A20&amp;""))&gt;0,TRIM(A20&amp;"")&lt;&gt;"—",LEN(TRIM(B20&amp;""))&gt;0,TRIM(B20&amp;"")&lt;&gt;"—",LEN(TRIM(C20&amp;""))&gt;0,TRIM(C20&amp;"")&lt;&gt;"—",LEN(TRIM(D20&amp;""))&gt;0,TRIM(D20&amp;"")&lt;&gt;"—"),"PASS","⚠ FAIL — "&amp;"a required cell is empty/placeholder or wrong type")</f>
        <v>PASS</v>
      </c>
    </row>
    <row r="21" spans="1:11" ht="115.5" customHeight="1" x14ac:dyDescent="0.2">
      <c r="A21" s="18">
        <v>4</v>
      </c>
      <c r="B21" s="18" t="s">
        <v>2507</v>
      </c>
      <c r="C21" s="39" t="s">
        <v>2512</v>
      </c>
      <c r="D21" s="39" t="s">
        <v>2509</v>
      </c>
      <c r="E21" s="23" t="str">
        <f>IF(AND(LEN(TRIM(A21&amp;""))&gt;0,TRIM(A21&amp;"")&lt;&gt;"—",LEN(TRIM(B21&amp;""))&gt;0,TRIM(B21&amp;"")&lt;&gt;"—",LEN(TRIM(C21&amp;""))&gt;0,TRIM(C21&amp;"")&lt;&gt;"—",LEN(TRIM(D21&amp;""))&gt;0,TRIM(D21&amp;"")&lt;&gt;"—"),"PASS","⚠ FAIL — "&amp;"a required cell is empty/placeholder or wrong type")</f>
        <v>PASS</v>
      </c>
    </row>
    <row r="23" spans="1:11" x14ac:dyDescent="0.2">
      <c r="A23" s="6" t="s">
        <v>2513</v>
      </c>
      <c r="B23" s="6"/>
      <c r="C23" s="6"/>
      <c r="D23" s="6"/>
      <c r="E23" s="6"/>
      <c r="F23" s="6"/>
      <c r="G23" s="6"/>
      <c r="H23" s="6"/>
      <c r="I23" s="6"/>
      <c r="J23" s="6"/>
      <c r="K23" s="6"/>
    </row>
    <row r="24" spans="1:11" x14ac:dyDescent="0.2">
      <c r="A24" s="6" t="s">
        <v>2514</v>
      </c>
      <c r="B24" s="6"/>
      <c r="C24" s="6"/>
      <c r="D24" s="6"/>
    </row>
    <row r="25" spans="1:11" x14ac:dyDescent="0.2">
      <c r="A25" s="6" t="s">
        <v>2515</v>
      </c>
      <c r="B25" s="6"/>
      <c r="C25" s="6"/>
      <c r="D25" s="6"/>
    </row>
    <row r="26" spans="1:11" ht="30" customHeight="1" x14ac:dyDescent="0.2">
      <c r="A26" s="102" t="str">
        <f>IF(EXACT('Audit data'!$D$61,"PASS"),"PASS",'Audit data'!$D$61&amp;" — "&amp;'Audit data'!$D$62)</f>
        <v>WARN — No class-standards registered for "water_treatment". Compliance check skipped — engineer must verify manually before sale.</v>
      </c>
      <c r="B26" s="1" t="s">
        <v>2516</v>
      </c>
      <c r="C26" s="1"/>
      <c r="D26" s="1"/>
    </row>
    <row r="28" spans="1:11" x14ac:dyDescent="0.2">
      <c r="A28" s="6" t="s">
        <v>2517</v>
      </c>
      <c r="B28" s="6"/>
      <c r="C28" s="6"/>
      <c r="D28" s="6"/>
    </row>
    <row r="29" spans="1:11" ht="16" x14ac:dyDescent="0.2">
      <c r="A29" s="16" t="s">
        <v>78</v>
      </c>
      <c r="B29" s="16" t="s">
        <v>2518</v>
      </c>
      <c r="C29" s="16" t="s">
        <v>2519</v>
      </c>
      <c r="D29" s="16" t="s">
        <v>2520</v>
      </c>
      <c r="E29" s="17" t="s">
        <v>20</v>
      </c>
    </row>
    <row r="30" spans="1:11" ht="16" x14ac:dyDescent="0.2">
      <c r="A30" s="18">
        <v>1</v>
      </c>
      <c r="B30" s="18" t="s">
        <v>2521</v>
      </c>
      <c r="C30" s="39" t="s">
        <v>2522</v>
      </c>
      <c r="D30" s="18" t="s">
        <v>2523</v>
      </c>
      <c r="E30" s="23" t="str">
        <f>IF(AND(LEN(TRIM(A30&amp;""))&gt;0,TRIM(A30&amp;"")&lt;&gt;"—",LEN(TRIM(B30&amp;""))&gt;0,TRIM(B30&amp;"")&lt;&gt;"—",LEN(TRIM(C30&amp;""))&gt;0,TRIM(C30&amp;"")&lt;&gt;"—",LEN(TRIM(D30&amp;""))&gt;0,TRIM(D30&amp;"")&lt;&gt;"—"),"PASS","⚠ FAIL — "&amp;"a required cell is empty/placeholder or wrong type")</f>
        <v>PASS</v>
      </c>
    </row>
    <row r="31" spans="1:11" ht="16" x14ac:dyDescent="0.2">
      <c r="A31" s="18">
        <v>2</v>
      </c>
      <c r="B31" s="18" t="s">
        <v>2524</v>
      </c>
      <c r="C31" s="39" t="s">
        <v>2525</v>
      </c>
      <c r="D31" s="18" t="s">
        <v>2523</v>
      </c>
      <c r="E31" s="23" t="str">
        <f>IF(AND(LEN(TRIM(A31&amp;""))&gt;0,TRIM(A31&amp;"")&lt;&gt;"—",LEN(TRIM(B31&amp;""))&gt;0,TRIM(B31&amp;"")&lt;&gt;"—",LEN(TRIM(C31&amp;""))&gt;0,TRIM(C31&amp;"")&lt;&gt;"—",LEN(TRIM(D31&amp;""))&gt;0,TRIM(D31&amp;"")&lt;&gt;"—"),"PASS","⚠ FAIL — "&amp;"a required cell is empty/placeholder or wrong type")</f>
        <v>PASS</v>
      </c>
    </row>
    <row r="32" spans="1:11" ht="16" x14ac:dyDescent="0.2">
      <c r="A32" s="18">
        <v>3</v>
      </c>
      <c r="B32" s="18" t="s">
        <v>2526</v>
      </c>
      <c r="C32" s="39" t="s">
        <v>2527</v>
      </c>
      <c r="D32" s="18" t="s">
        <v>2523</v>
      </c>
      <c r="E32" s="23" t="str">
        <f>IF(AND(LEN(TRIM(A32&amp;""))&gt;0,TRIM(A32&amp;"")&lt;&gt;"—",LEN(TRIM(B32&amp;""))&gt;0,TRIM(B32&amp;"")&lt;&gt;"—",LEN(TRIM(C32&amp;""))&gt;0,TRIM(C32&amp;"")&lt;&gt;"—",LEN(TRIM(D32&amp;""))&gt;0,TRIM(D32&amp;"")&lt;&gt;"—"),"PASS","⚠ FAIL — "&amp;"a required cell is empty/placeholder or wrong type")</f>
        <v>PASS</v>
      </c>
    </row>
    <row r="33" spans="1:5" ht="16" x14ac:dyDescent="0.2">
      <c r="A33" s="18">
        <v>4</v>
      </c>
      <c r="B33" s="18" t="s">
        <v>2528</v>
      </c>
      <c r="C33" s="39" t="s">
        <v>2529</v>
      </c>
      <c r="D33" s="18" t="s">
        <v>2523</v>
      </c>
      <c r="E33" s="23" t="str">
        <f>IF(AND(LEN(TRIM(A33&amp;""))&gt;0,TRIM(A33&amp;"")&lt;&gt;"—",LEN(TRIM(B33&amp;""))&gt;0,TRIM(B33&amp;"")&lt;&gt;"—",LEN(TRIM(C33&amp;""))&gt;0,TRIM(C33&amp;"")&lt;&gt;"—",LEN(TRIM(D33&amp;""))&gt;0,TRIM(D33&amp;"")&lt;&gt;"—"),"PASS","⚠ FAIL — "&amp;"a required cell is empty/placeholder or wrong type")</f>
        <v>PASS</v>
      </c>
    </row>
    <row r="35" spans="1:5" x14ac:dyDescent="0.2">
      <c r="A35" s="6" t="s">
        <v>2530</v>
      </c>
      <c r="B35" s="6"/>
      <c r="C35" s="6"/>
      <c r="D35" s="6"/>
    </row>
    <row r="36" spans="1:5" ht="16" x14ac:dyDescent="0.2">
      <c r="A36" s="16" t="s">
        <v>78</v>
      </c>
      <c r="B36" s="16" t="s">
        <v>2518</v>
      </c>
      <c r="C36" s="16" t="s">
        <v>2531</v>
      </c>
      <c r="D36" s="16" t="s">
        <v>2520</v>
      </c>
      <c r="E36" s="17" t="s">
        <v>20</v>
      </c>
    </row>
    <row r="37" spans="1:5" ht="28.5" customHeight="1" x14ac:dyDescent="0.2">
      <c r="A37" s="18">
        <v>1</v>
      </c>
      <c r="B37" s="18" t="s">
        <v>2532</v>
      </c>
      <c r="C37" s="39" t="s">
        <v>2533</v>
      </c>
      <c r="D37" s="18" t="s">
        <v>2523</v>
      </c>
      <c r="E37" s="23" t="str">
        <f t="shared" ref="E37:E48" si="3">IF(AND(LEN(TRIM(A37&amp;""))&gt;0,TRIM(A37&amp;"")&lt;&gt;"—",LEN(TRIM(B37&amp;""))&gt;0,TRIM(B37&amp;"")&lt;&gt;"—",LEN(TRIM(C37&amp;""))&gt;0,TRIM(C37&amp;"")&lt;&gt;"—",LEN(TRIM(D37&amp;""))&gt;0,TRIM(D37&amp;"")&lt;&gt;"—"),"PASS","⚠ FAIL — "&amp;"a required cell is empty/placeholder or wrong type")</f>
        <v>PASS</v>
      </c>
    </row>
    <row r="38" spans="1:5" ht="16" x14ac:dyDescent="0.2">
      <c r="A38" s="18">
        <v>2</v>
      </c>
      <c r="B38" s="18" t="s">
        <v>2534</v>
      </c>
      <c r="C38" s="39" t="s">
        <v>2483</v>
      </c>
      <c r="D38" s="18" t="s">
        <v>2523</v>
      </c>
      <c r="E38" s="23" t="str">
        <f t="shared" si="3"/>
        <v>PASS</v>
      </c>
    </row>
    <row r="39" spans="1:5" ht="16" x14ac:dyDescent="0.2">
      <c r="A39" s="18">
        <v>3</v>
      </c>
      <c r="B39" s="18" t="s">
        <v>2535</v>
      </c>
      <c r="C39" s="39" t="s">
        <v>2483</v>
      </c>
      <c r="D39" s="18" t="s">
        <v>2523</v>
      </c>
      <c r="E39" s="23" t="str">
        <f t="shared" si="3"/>
        <v>PASS</v>
      </c>
    </row>
    <row r="40" spans="1:5" ht="28.5" customHeight="1" x14ac:dyDescent="0.2">
      <c r="A40" s="18">
        <v>4</v>
      </c>
      <c r="B40" s="18" t="s">
        <v>2536</v>
      </c>
      <c r="C40" s="39" t="s">
        <v>2486</v>
      </c>
      <c r="D40" s="18" t="s">
        <v>2523</v>
      </c>
      <c r="E40" s="23" t="str">
        <f t="shared" si="3"/>
        <v>PASS</v>
      </c>
    </row>
    <row r="41" spans="1:5" ht="28.5" customHeight="1" x14ac:dyDescent="0.2">
      <c r="A41" s="18">
        <v>5</v>
      </c>
      <c r="B41" s="18" t="s">
        <v>2528</v>
      </c>
      <c r="C41" s="39" t="s">
        <v>2486</v>
      </c>
      <c r="D41" s="18" t="s">
        <v>2523</v>
      </c>
      <c r="E41" s="23" t="str">
        <f t="shared" si="3"/>
        <v>PASS</v>
      </c>
    </row>
    <row r="42" spans="1:5" ht="16" x14ac:dyDescent="0.2">
      <c r="A42" s="18">
        <v>6</v>
      </c>
      <c r="B42" s="18" t="s">
        <v>2537</v>
      </c>
      <c r="C42" s="39" t="s">
        <v>2489</v>
      </c>
      <c r="D42" s="18" t="s">
        <v>2523</v>
      </c>
      <c r="E42" s="23" t="str">
        <f t="shared" si="3"/>
        <v>PASS</v>
      </c>
    </row>
    <row r="43" spans="1:5" ht="16" x14ac:dyDescent="0.2">
      <c r="A43" s="18">
        <v>7</v>
      </c>
      <c r="B43" s="18" t="s">
        <v>2538</v>
      </c>
      <c r="C43" s="39" t="s">
        <v>2489</v>
      </c>
      <c r="D43" s="18" t="s">
        <v>2523</v>
      </c>
      <c r="E43" s="23" t="str">
        <f t="shared" si="3"/>
        <v>PASS</v>
      </c>
    </row>
    <row r="44" spans="1:5" ht="28.5" customHeight="1" x14ac:dyDescent="0.2">
      <c r="A44" s="18">
        <v>8</v>
      </c>
      <c r="B44" s="18" t="s">
        <v>2539</v>
      </c>
      <c r="C44" s="39" t="s">
        <v>2492</v>
      </c>
      <c r="D44" s="18" t="s">
        <v>2523</v>
      </c>
      <c r="E44" s="23" t="str">
        <f t="shared" si="3"/>
        <v>PASS</v>
      </c>
    </row>
    <row r="45" spans="1:5" ht="28.5" customHeight="1" x14ac:dyDescent="0.2">
      <c r="A45" s="18">
        <v>9</v>
      </c>
      <c r="B45" s="18" t="s">
        <v>2540</v>
      </c>
      <c r="C45" s="39" t="s">
        <v>2492</v>
      </c>
      <c r="D45" s="18" t="s">
        <v>2523</v>
      </c>
      <c r="E45" s="23" t="str">
        <f t="shared" si="3"/>
        <v>PASS</v>
      </c>
    </row>
    <row r="46" spans="1:5" ht="16" x14ac:dyDescent="0.2">
      <c r="A46" s="18">
        <v>10</v>
      </c>
      <c r="B46" s="18" t="s">
        <v>2541</v>
      </c>
      <c r="C46" s="39" t="s">
        <v>2495</v>
      </c>
      <c r="D46" s="18" t="s">
        <v>2523</v>
      </c>
      <c r="E46" s="23" t="str">
        <f t="shared" si="3"/>
        <v>PASS</v>
      </c>
    </row>
    <row r="47" spans="1:5" ht="16" x14ac:dyDescent="0.2">
      <c r="A47" s="18">
        <v>11</v>
      </c>
      <c r="B47" s="18" t="s">
        <v>2542</v>
      </c>
      <c r="C47" s="39" t="s">
        <v>2498</v>
      </c>
      <c r="D47" s="18" t="s">
        <v>2523</v>
      </c>
      <c r="E47" s="23" t="str">
        <f t="shared" si="3"/>
        <v>PASS</v>
      </c>
    </row>
    <row r="48" spans="1:5" ht="16" x14ac:dyDescent="0.2">
      <c r="A48" s="18">
        <v>12</v>
      </c>
      <c r="B48" s="18" t="s">
        <v>2543</v>
      </c>
      <c r="C48" s="39" t="s">
        <v>2501</v>
      </c>
      <c r="D48" s="18" t="s">
        <v>2523</v>
      </c>
      <c r="E48" s="23" t="str">
        <f t="shared" si="3"/>
        <v>PASS</v>
      </c>
    </row>
  </sheetData>
  <autoFilter ref="A17:D21" xr:uid="{00000000-0009-0000-0000-000014000000}"/>
  <mergeCells count="12">
    <mergeCell ref="A28:D28"/>
    <mergeCell ref="A35:D35"/>
    <mergeCell ref="A16:K16"/>
    <mergeCell ref="A23:K23"/>
    <mergeCell ref="A24:D24"/>
    <mergeCell ref="A25:D25"/>
    <mergeCell ref="B26:D26"/>
    <mergeCell ref="A1:M1"/>
    <mergeCell ref="A2:M2"/>
    <mergeCell ref="A3:M3"/>
    <mergeCell ref="A4:K4"/>
    <mergeCell ref="A5:M5"/>
  </mergeCells>
  <conditionalFormatting sqref="A26">
    <cfRule type="cellIs" dxfId="10" priority="3" operator="equal">
      <formula>"PASS"</formula>
    </cfRule>
  </conditionalFormatting>
  <conditionalFormatting sqref="M7:M14">
    <cfRule type="cellIs" dxfId="9" priority="2" operator="equal">
      <formula>"PASS"</formula>
    </cfRule>
  </conditionalFormatting>
  <hyperlinks>
    <hyperlink ref="N1" location="'Contents'!A1" display="↑ Contents" xr:uid="{00000000-0004-0000-1400-000000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5A11"/>
  </sheetPr>
  <dimension ref="A1:H17"/>
  <sheetViews>
    <sheetView zoomScaleNormal="100" workbookViewId="0">
      <pane ySplit="4" topLeftCell="A5" activePane="bottomLeft" state="frozen"/>
      <selection pane="bottomLeft" sqref="A1:G1"/>
    </sheetView>
  </sheetViews>
  <sheetFormatPr baseColWidth="10" defaultColWidth="8.6640625" defaultRowHeight="15" x14ac:dyDescent="0.2"/>
  <cols>
    <col min="1" max="1" width="11" customWidth="1"/>
    <col min="2" max="2" width="40" customWidth="1"/>
    <col min="3" max="3" width="36" customWidth="1"/>
    <col min="4" max="4" width="26" customWidth="1"/>
    <col min="5" max="5" width="30" customWidth="1"/>
    <col min="6" max="6" width="34" customWidth="1"/>
    <col min="7" max="7" width="46" customWidth="1"/>
    <col min="8" max="8" width="13" customWidth="1"/>
  </cols>
  <sheetData>
    <row r="1" spans="1:8" ht="25.5" customHeight="1" x14ac:dyDescent="0.2">
      <c r="A1" s="12" t="s">
        <v>2544</v>
      </c>
      <c r="B1" s="12"/>
      <c r="C1" s="12"/>
      <c r="D1" s="12"/>
      <c r="E1" s="12"/>
      <c r="F1" s="12"/>
      <c r="G1" s="12"/>
      <c r="H1" s="30" t="s">
        <v>140</v>
      </c>
    </row>
    <row r="2" spans="1:8" ht="30" customHeight="1" x14ac:dyDescent="0.2">
      <c r="A2" s="11" t="str">
        <f>"⬤ TAB QUALITY "&amp;IF(ISNUMBER('Quality &amp; Audit'!$B$49),IF('Quality &amp; Audit'!$B$49=INT('Quality &amp; Audit'!$B$49),TEXT('Quality &amp; Audit'!$B$49,"0"),TEXT('Quality &amp; Audit'!$B$49,"0.0")),"—")&amp;"/10 · "&amp;IF(ISNUMBER('Quality &amp; Audit'!$B$49),IF('Quality &amp; Audit'!$B$49&gt;=8,"PASS","FAIL"),"UNSCORED")&amp;" (target ≥8, live from the Quality &amp; Audit score cell)"&amp;" · arithmetic: 10 × min(complete 5/5, impact 5/5, owner 5/5, exclusions cited 5/5); content checks: live-derivation check (each hold re-derived from the current contract re…"&amp;" · full audit: Quality &amp; Audit tab"</f>
        <v>⬤ TAB QUALITY 10/10 · PASS (target ≥8, live from the Quality &amp; Audit score cell) · arithmetic: 10 × min(complete 5/5, impact 5/5, owner 5/5, exclusions cited 5/5); content checks: live-derivation check (each hold re-derived from the current contract re… · full audit: Quality &amp; Audit tab</v>
      </c>
      <c r="B2" s="11"/>
      <c r="C2" s="11"/>
      <c r="D2" s="11"/>
      <c r="E2" s="11"/>
      <c r="F2" s="11"/>
      <c r="G2" s="11"/>
    </row>
    <row r="3" spans="1:8" ht="54" customHeight="1" x14ac:dyDescent="0.2">
      <c r="A3" s="10" t="s">
        <v>2545</v>
      </c>
      <c r="B3" s="10"/>
      <c r="C3" s="10"/>
      <c r="D3" s="10"/>
      <c r="E3" s="10"/>
      <c r="F3" s="10"/>
      <c r="G3" s="10"/>
    </row>
    <row r="4" spans="1:8" x14ac:dyDescent="0.2">
      <c r="A4" s="6" t="s">
        <v>2546</v>
      </c>
      <c r="B4" s="6"/>
      <c r="C4" s="6"/>
      <c r="D4" s="6"/>
      <c r="E4" s="6"/>
      <c r="F4" s="6"/>
      <c r="G4" s="6"/>
    </row>
    <row r="5" spans="1:8" ht="16" x14ac:dyDescent="0.2">
      <c r="A5" s="16" t="s">
        <v>2547</v>
      </c>
      <c r="B5" s="16" t="s">
        <v>597</v>
      </c>
      <c r="C5" s="16" t="s">
        <v>2548</v>
      </c>
      <c r="D5" s="16" t="s">
        <v>2549</v>
      </c>
      <c r="E5" s="16" t="s">
        <v>2550</v>
      </c>
      <c r="F5" s="16" t="s">
        <v>2551</v>
      </c>
      <c r="G5" s="16" t="s">
        <v>2552</v>
      </c>
      <c r="H5" s="17" t="s">
        <v>20</v>
      </c>
    </row>
    <row r="6" spans="1:8" ht="43.5" customHeight="1" x14ac:dyDescent="0.2">
      <c r="A6" s="103" t="s">
        <v>2553</v>
      </c>
      <c r="B6" s="104" t="s">
        <v>2554</v>
      </c>
      <c r="C6" s="105" t="s">
        <v>2555</v>
      </c>
      <c r="D6" s="41">
        <v>2.8</v>
      </c>
      <c r="E6" s="22" t="s">
        <v>2556</v>
      </c>
      <c r="F6" s="22" t="s">
        <v>2557</v>
      </c>
      <c r="G6" s="22" t="s">
        <v>2558</v>
      </c>
      <c r="H6" s="23" t="str">
        <f>IF(AND(LEN(TRIM(A6&amp;""))&gt;0,TRIM(A6&amp;"")&lt;&gt;"—",LEN(TRIM(B6&amp;""))&gt;0,TRIM(B6&amp;"")&lt;&gt;"—",LEN(TRIM(C6&amp;""))&gt;0,TRIM(C6&amp;"")&lt;&gt;"—",LEN(TRIM(D6&amp;""))&gt;0,TRIM(D6&amp;"")&lt;&gt;"—",ISNUMBER(D6),LEN(TRIM(E6&amp;""))&gt;0,TRIM(E6&amp;"")&lt;&gt;"—",LEN(TRIM(F6&amp;""))&gt;0,TRIM(F6&amp;"")&lt;&gt;"—",LEN(TRIM(G6&amp;""))&gt;0,TRIM(G6&amp;"")&lt;&gt;"—"),"PASS","⚠ FAIL — "&amp;"a required cell is empty/placeholder or wrong type")</f>
        <v>PASS</v>
      </c>
    </row>
    <row r="7" spans="1:8" ht="57.75" customHeight="1" x14ac:dyDescent="0.2">
      <c r="A7" s="103" t="s">
        <v>2559</v>
      </c>
      <c r="B7" s="104" t="s">
        <v>2560</v>
      </c>
      <c r="C7" s="105" t="s">
        <v>2561</v>
      </c>
      <c r="D7" s="41">
        <v>1.6</v>
      </c>
      <c r="E7" s="22" t="s">
        <v>2562</v>
      </c>
      <c r="F7" s="22" t="s">
        <v>2563</v>
      </c>
      <c r="G7" s="22" t="s">
        <v>2564</v>
      </c>
      <c r="H7" s="23" t="str">
        <f>IF(AND(LEN(TRIM(A7&amp;""))&gt;0,TRIM(A7&amp;"")&lt;&gt;"—",LEN(TRIM(B7&amp;""))&gt;0,TRIM(B7&amp;"")&lt;&gt;"—",LEN(TRIM(C7&amp;""))&gt;0,TRIM(C7&amp;"")&lt;&gt;"—",LEN(TRIM(D7&amp;""))&gt;0,TRIM(D7&amp;"")&lt;&gt;"—",ISNUMBER(D7),LEN(TRIM(E7&amp;""))&gt;0,TRIM(E7&amp;"")&lt;&gt;"—",LEN(TRIM(F7&amp;""))&gt;0,TRIM(F7&amp;"")&lt;&gt;"—",LEN(TRIM(G7&amp;""))&gt;0,TRIM(G7&amp;"")&lt;&gt;"—"),"PASS","⚠ FAIL — "&amp;"a required cell is empty/placeholder or wrong type")</f>
        <v>PASS</v>
      </c>
    </row>
    <row r="8" spans="1:8" ht="28.5" customHeight="1" x14ac:dyDescent="0.2">
      <c r="A8" s="103" t="s">
        <v>2565</v>
      </c>
      <c r="B8" s="104" t="s">
        <v>2566</v>
      </c>
      <c r="C8" s="105" t="s">
        <v>2567</v>
      </c>
      <c r="D8" s="41">
        <v>4.5</v>
      </c>
      <c r="E8" s="22" t="s">
        <v>2568</v>
      </c>
      <c r="F8" s="22" t="s">
        <v>2569</v>
      </c>
      <c r="G8" s="22" t="s">
        <v>2570</v>
      </c>
      <c r="H8" s="23" t="str">
        <f>IF(AND(LEN(TRIM(A8&amp;""))&gt;0,TRIM(A8&amp;"")&lt;&gt;"—",LEN(TRIM(B8&amp;""))&gt;0,TRIM(B8&amp;"")&lt;&gt;"—",LEN(TRIM(C8&amp;""))&gt;0,TRIM(C8&amp;"")&lt;&gt;"—",LEN(TRIM(D8&amp;""))&gt;0,TRIM(D8&amp;"")&lt;&gt;"—",ISNUMBER(D8),LEN(TRIM(E8&amp;""))&gt;0,TRIM(E8&amp;"")&lt;&gt;"—",LEN(TRIM(F8&amp;""))&gt;0,TRIM(F8&amp;"")&lt;&gt;"—",LEN(TRIM(G8&amp;""))&gt;0,TRIM(G8&amp;"")&lt;&gt;"—"),"PASS","⚠ FAIL — "&amp;"a required cell is empty/placeholder or wrong type")</f>
        <v>PASS</v>
      </c>
    </row>
    <row r="9" spans="1:8" ht="57.75" customHeight="1" x14ac:dyDescent="0.2">
      <c r="A9" s="103" t="s">
        <v>2571</v>
      </c>
      <c r="B9" s="104" t="s">
        <v>2572</v>
      </c>
      <c r="C9" s="105" t="s">
        <v>2573</v>
      </c>
      <c r="D9" s="41">
        <v>50</v>
      </c>
      <c r="E9" s="22" t="s">
        <v>2574</v>
      </c>
      <c r="F9" s="22" t="s">
        <v>2575</v>
      </c>
      <c r="G9" s="22" t="s">
        <v>2576</v>
      </c>
      <c r="H9" s="23" t="str">
        <f>IF(AND(LEN(TRIM(A9&amp;""))&gt;0,TRIM(A9&amp;"")&lt;&gt;"—",LEN(TRIM(B9&amp;""))&gt;0,TRIM(B9&amp;"")&lt;&gt;"—",LEN(TRIM(C9&amp;""))&gt;0,TRIM(C9&amp;"")&lt;&gt;"—",LEN(TRIM(D9&amp;""))&gt;0,TRIM(D9&amp;"")&lt;&gt;"—",ISNUMBER(D9),LEN(TRIM(E9&amp;""))&gt;0,TRIM(E9&amp;"")&lt;&gt;"—",LEN(TRIM(F9&amp;""))&gt;0,TRIM(F9&amp;"")&lt;&gt;"—",LEN(TRIM(G9&amp;""))&gt;0,TRIM(G9&amp;"")&lt;&gt;"—"),"PASS","⚠ FAIL — "&amp;"a required cell is empty/placeholder or wrong type")</f>
        <v>PASS</v>
      </c>
    </row>
    <row r="10" spans="1:8" ht="57.75" customHeight="1" x14ac:dyDescent="0.2">
      <c r="A10" s="103" t="s">
        <v>2577</v>
      </c>
      <c r="B10" s="104" t="s">
        <v>2578</v>
      </c>
      <c r="C10" s="105" t="s">
        <v>2579</v>
      </c>
      <c r="D10" s="41">
        <v>10</v>
      </c>
      <c r="E10" s="22" t="s">
        <v>2580</v>
      </c>
      <c r="F10" s="22" t="s">
        <v>2581</v>
      </c>
      <c r="G10" s="22" t="s">
        <v>2582</v>
      </c>
      <c r="H10" s="23" t="str">
        <f>IF(AND(LEN(TRIM(A10&amp;""))&gt;0,TRIM(A10&amp;"")&lt;&gt;"—",LEN(TRIM(B10&amp;""))&gt;0,TRIM(B10&amp;"")&lt;&gt;"—",LEN(TRIM(C10&amp;""))&gt;0,TRIM(C10&amp;"")&lt;&gt;"—",LEN(TRIM(D10&amp;""))&gt;0,TRIM(D10&amp;"")&lt;&gt;"—",ISNUMBER(D10),LEN(TRIM(E10&amp;""))&gt;0,TRIM(E10&amp;"")&lt;&gt;"—",LEN(TRIM(F10&amp;""))&gt;0,TRIM(F10&amp;"")&lt;&gt;"—",LEN(TRIM(G10&amp;""))&gt;0,TRIM(G10&amp;"")&lt;&gt;"—"),"PASS","⚠ FAIL — "&amp;"a required cell is empty/placeholder or wrong type")</f>
        <v>PASS</v>
      </c>
    </row>
    <row r="12" spans="1:8" x14ac:dyDescent="0.2">
      <c r="A12" s="6" t="s">
        <v>2583</v>
      </c>
      <c r="B12" s="6"/>
      <c r="C12" s="6"/>
      <c r="D12" s="6"/>
      <c r="E12" s="6"/>
      <c r="F12" s="6"/>
      <c r="G12" s="6"/>
    </row>
    <row r="13" spans="1:8" ht="27" customHeight="1" x14ac:dyDescent="0.2">
      <c r="B13" s="8" t="s">
        <v>2584</v>
      </c>
      <c r="C13" s="8"/>
      <c r="D13" s="8"/>
      <c r="E13" s="8"/>
      <c r="F13" s="8"/>
      <c r="G13" s="8"/>
    </row>
    <row r="14" spans="1:8" ht="27" customHeight="1" x14ac:dyDescent="0.2">
      <c r="B14" s="8" t="s">
        <v>2585</v>
      </c>
      <c r="C14" s="8"/>
      <c r="D14" s="8"/>
      <c r="E14" s="8"/>
      <c r="F14" s="8"/>
      <c r="G14" s="8"/>
    </row>
    <row r="15" spans="1:8" ht="27" customHeight="1" x14ac:dyDescent="0.2">
      <c r="B15" s="8" t="s">
        <v>2586</v>
      </c>
      <c r="C15" s="8"/>
      <c r="D15" s="8"/>
      <c r="E15" s="8"/>
      <c r="F15" s="8"/>
      <c r="G15" s="8"/>
    </row>
    <row r="16" spans="1:8" ht="27" customHeight="1" x14ac:dyDescent="0.2">
      <c r="B16" s="8" t="s">
        <v>2587</v>
      </c>
      <c r="C16" s="8"/>
      <c r="D16" s="8"/>
      <c r="E16" s="8"/>
      <c r="F16" s="8"/>
      <c r="G16" s="8"/>
    </row>
    <row r="17" spans="2:7" ht="27" customHeight="1" x14ac:dyDescent="0.2">
      <c r="B17" s="8" t="s">
        <v>2588</v>
      </c>
      <c r="C17" s="8"/>
      <c r="D17" s="8"/>
      <c r="E17" s="8"/>
      <c r="F17" s="8"/>
      <c r="G17" s="8"/>
    </row>
  </sheetData>
  <mergeCells count="10">
    <mergeCell ref="B13:G13"/>
    <mergeCell ref="B14:G14"/>
    <mergeCell ref="B15:G15"/>
    <mergeCell ref="B16:G16"/>
    <mergeCell ref="B17:G17"/>
    <mergeCell ref="A1:G1"/>
    <mergeCell ref="A2:G2"/>
    <mergeCell ref="A3:G3"/>
    <mergeCell ref="A4:G4"/>
    <mergeCell ref="A12:G12"/>
  </mergeCells>
  <hyperlinks>
    <hyperlink ref="H1" location="'Contents'!A1" display="↑ Contents" xr:uid="{00000000-0004-0000-1500-000000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55A11"/>
  </sheetPr>
  <dimension ref="A1:G10"/>
  <sheetViews>
    <sheetView zoomScaleNormal="100" workbookViewId="0">
      <pane ySplit="4" topLeftCell="A5" activePane="bottomLeft" state="frozen"/>
      <selection pane="bottomLeft" activeCell="G6" sqref="G6"/>
    </sheetView>
  </sheetViews>
  <sheetFormatPr baseColWidth="10" defaultColWidth="8.6640625" defaultRowHeight="15" x14ac:dyDescent="0.2"/>
  <cols>
    <col min="1" max="1" width="8" customWidth="1"/>
    <col min="2" max="2" width="58" customWidth="1"/>
    <col min="3" max="3" width="50" customWidth="1"/>
    <col min="4" max="5" width="44" customWidth="1"/>
    <col min="6" max="6" width="13" customWidth="1"/>
  </cols>
  <sheetData>
    <row r="1" spans="1:7" ht="25.5" customHeight="1" x14ac:dyDescent="0.2">
      <c r="A1" s="12" t="s">
        <v>2589</v>
      </c>
      <c r="B1" s="12"/>
      <c r="C1" s="12"/>
      <c r="D1" s="12"/>
      <c r="E1" s="12"/>
      <c r="F1" s="30" t="s">
        <v>140</v>
      </c>
    </row>
    <row r="2" spans="1:7" ht="30" customHeight="1" x14ac:dyDescent="0.2">
      <c r="A2" s="11" t="str">
        <f>"⬤ TAB QUALITY "&amp;IF(ISNUMBER('Quality &amp; Audit'!$B$50),IF('Quality &amp; Audit'!$B$50=INT('Quality &amp; Audit'!$B$50),TEXT('Quality &amp; Audit'!$B$50,"0"),TEXT('Quality &amp; Audit'!$B$50,"0.0")),"—")&amp;"/10 · "&amp;IF(ISNUMBER('Quality &amp; Audit'!$B$50),IF('Quality &amp; Audit'!$B$50&gt;=8,"PASS","FAIL"),"UNSCORED")&amp;" (target ≥8, live from the Quality &amp; Audit score cell)"&amp;" · live-derivation check (each question re-derived from the run's own artefacts: brief augmentation, plausibility critic, decisions register, client-offer reconciliation) —…"&amp;" · full audit: Quality &amp; Audit tab"</f>
        <v>⬤ TAB QUALITY 10/10 · PASS (target ≥8, live from the Quality &amp; Audit score cell) · live-derivation check (each question re-derived from the run's own artefacts: brief augmentation, plausibility critic, decisions register, client-offer reconciliation) —… · full audit: Quality &amp; Audit tab</v>
      </c>
      <c r="B2" s="11"/>
      <c r="C2" s="11"/>
      <c r="D2" s="11"/>
      <c r="E2" s="11"/>
    </row>
    <row r="3" spans="1:7" ht="54" customHeight="1" x14ac:dyDescent="0.2">
      <c r="A3" s="10" t="s">
        <v>2590</v>
      </c>
      <c r="B3" s="10"/>
      <c r="C3" s="10"/>
      <c r="D3" s="10"/>
      <c r="E3" s="10"/>
    </row>
    <row r="4" spans="1:7" x14ac:dyDescent="0.2">
      <c r="A4" s="6" t="s">
        <v>2591</v>
      </c>
      <c r="B4" s="6"/>
      <c r="C4" s="6"/>
      <c r="D4" s="6"/>
      <c r="E4" s="6"/>
    </row>
    <row r="5" spans="1:7" ht="16" x14ac:dyDescent="0.2">
      <c r="A5" s="16" t="s">
        <v>2592</v>
      </c>
      <c r="B5" s="16" t="s">
        <v>2593</v>
      </c>
      <c r="C5" s="16" t="s">
        <v>2594</v>
      </c>
      <c r="D5" s="16" t="s">
        <v>2595</v>
      </c>
      <c r="E5" s="16" t="s">
        <v>2596</v>
      </c>
      <c r="F5" s="17" t="s">
        <v>20</v>
      </c>
    </row>
    <row r="6" spans="1:7" ht="57.75" customHeight="1" x14ac:dyDescent="0.2">
      <c r="A6" s="106" t="s">
        <v>2597</v>
      </c>
      <c r="B6" s="104" t="s">
        <v>2598</v>
      </c>
      <c r="C6" s="22" t="s">
        <v>2599</v>
      </c>
      <c r="D6" s="22" t="s">
        <v>2600</v>
      </c>
      <c r="E6" s="22" t="s">
        <v>2601</v>
      </c>
      <c r="F6" s="23" t="str">
        <f>IF(AND(LEN(TRIM(A6&amp;""))&gt;0,TRIM(A6&amp;"")&lt;&gt;"—",LEN(TRIM(B6&amp;""))&gt;0,TRIM(B6&amp;"")&lt;&gt;"—",LEN(TRIM(C6&amp;""))&gt;0,TRIM(C6&amp;"")&lt;&gt;"—",LEN(TRIM(D6&amp;""))&gt;0,TRIM(D6&amp;"")&lt;&gt;"—",LEN(TRIM(E6&amp;""))&gt;0,TRIM(E6&amp;"")&lt;&gt;"—"),"PASS","⚠ FAIL — "&amp;"a required cell is empty/placeholder or wrong type")</f>
        <v>PASS</v>
      </c>
      <c r="G6" s="147" t="s">
        <v>4574</v>
      </c>
    </row>
    <row r="7" spans="1:7" ht="57.75" customHeight="1" x14ac:dyDescent="0.2">
      <c r="A7" s="106" t="s">
        <v>2602</v>
      </c>
      <c r="B7" s="104" t="s">
        <v>2603</v>
      </c>
      <c r="C7" s="22" t="s">
        <v>2604</v>
      </c>
      <c r="D7" s="22" t="s">
        <v>2600</v>
      </c>
      <c r="E7" s="22" t="s">
        <v>2601</v>
      </c>
      <c r="F7" s="23" t="str">
        <f>IF(AND(LEN(TRIM(A7&amp;""))&gt;0,TRIM(A7&amp;"")&lt;&gt;"—",LEN(TRIM(B7&amp;""))&gt;0,TRIM(B7&amp;"")&lt;&gt;"—",LEN(TRIM(C7&amp;""))&gt;0,TRIM(C7&amp;"")&lt;&gt;"—",LEN(TRIM(D7&amp;""))&gt;0,TRIM(D7&amp;"")&lt;&gt;"—",LEN(TRIM(E7&amp;""))&gt;0,TRIM(E7&amp;"")&lt;&gt;"—"),"PASS","⚠ FAIL — "&amp;"a required cell is empty/placeholder or wrong type")</f>
        <v>PASS</v>
      </c>
    </row>
    <row r="8" spans="1:7" ht="87" customHeight="1" x14ac:dyDescent="0.2">
      <c r="A8" s="106" t="s">
        <v>2605</v>
      </c>
      <c r="B8" s="104" t="s">
        <v>2606</v>
      </c>
      <c r="C8" s="22" t="s">
        <v>2607</v>
      </c>
      <c r="D8" s="22" t="s">
        <v>2608</v>
      </c>
      <c r="E8" s="22" t="s">
        <v>2609</v>
      </c>
      <c r="F8" s="23" t="str">
        <f>IF(AND(LEN(TRIM(A8&amp;""))&gt;0,TRIM(A8&amp;"")&lt;&gt;"—",LEN(TRIM(B8&amp;""))&gt;0,TRIM(B8&amp;"")&lt;&gt;"—",LEN(TRIM(C8&amp;""))&gt;0,TRIM(C8&amp;"")&lt;&gt;"—",LEN(TRIM(D8&amp;""))&gt;0,TRIM(D8&amp;"")&lt;&gt;"—",LEN(TRIM(E8&amp;""))&gt;0,TRIM(E8&amp;"")&lt;&gt;"—"),"PASS","⚠ FAIL — "&amp;"a required cell is empty/placeholder or wrong type")</f>
        <v>PASS</v>
      </c>
    </row>
    <row r="9" spans="1:7" ht="72" customHeight="1" x14ac:dyDescent="0.2">
      <c r="A9" s="106" t="s">
        <v>2610</v>
      </c>
      <c r="B9" s="104" t="s">
        <v>2611</v>
      </c>
      <c r="C9" s="22" t="s">
        <v>2612</v>
      </c>
      <c r="D9" s="22" t="s">
        <v>2613</v>
      </c>
      <c r="E9" s="22" t="s">
        <v>2614</v>
      </c>
      <c r="F9" s="23" t="str">
        <f>IF(AND(LEN(TRIM(A9&amp;""))&gt;0,TRIM(A9&amp;"")&lt;&gt;"—",LEN(TRIM(B9&amp;""))&gt;0,TRIM(B9&amp;"")&lt;&gt;"—",LEN(TRIM(C9&amp;""))&gt;0,TRIM(C9&amp;"")&lt;&gt;"—",LEN(TRIM(D9&amp;""))&gt;0,TRIM(D9&amp;"")&lt;&gt;"—",LEN(TRIM(E9&amp;""))&gt;0,TRIM(E9&amp;"")&lt;&gt;"—"),"PASS","⚠ FAIL — "&amp;"a required cell is empty/placeholder or wrong type")</f>
        <v>PASS</v>
      </c>
    </row>
    <row r="10" spans="1:7" ht="72" customHeight="1" x14ac:dyDescent="0.2">
      <c r="A10" s="106" t="s">
        <v>2615</v>
      </c>
      <c r="B10" s="104" t="s">
        <v>2616</v>
      </c>
      <c r="C10" s="22" t="s">
        <v>2617</v>
      </c>
      <c r="D10" s="22" t="s">
        <v>2618</v>
      </c>
      <c r="E10" s="22" t="s">
        <v>2619</v>
      </c>
      <c r="F10" s="23" t="str">
        <f>IF(AND(LEN(TRIM(A10&amp;""))&gt;0,TRIM(A10&amp;"")&lt;&gt;"—",LEN(TRIM(B10&amp;""))&gt;0,TRIM(B10&amp;"")&lt;&gt;"—",LEN(TRIM(C10&amp;""))&gt;0,TRIM(C10&amp;"")&lt;&gt;"—",LEN(TRIM(D10&amp;""))&gt;0,TRIM(D10&amp;"")&lt;&gt;"—",LEN(TRIM(E10&amp;""))&gt;0,TRIM(E10&amp;"")&lt;&gt;"—"),"PASS","⚠ FAIL — "&amp;"a required cell is empty/placeholder or wrong type")</f>
        <v>PASS</v>
      </c>
    </row>
  </sheetData>
  <mergeCells count="4">
    <mergeCell ref="A1:E1"/>
    <mergeCell ref="A2:E2"/>
    <mergeCell ref="A3:E3"/>
    <mergeCell ref="A4:E4"/>
  </mergeCells>
  <hyperlinks>
    <hyperlink ref="F1" location="'Contents'!A1" display="↑ Contents" xr:uid="{00000000-0004-0000-1600-000000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55A11"/>
  </sheetPr>
  <dimension ref="A1:Q86"/>
  <sheetViews>
    <sheetView zoomScaleNormal="100" workbookViewId="0">
      <pane ySplit="4" topLeftCell="A39" activePane="bottomLeft" state="frozen"/>
      <selection pane="bottomLeft" sqref="A1:E1"/>
    </sheetView>
  </sheetViews>
  <sheetFormatPr baseColWidth="10" defaultColWidth="8.6640625" defaultRowHeight="15" x14ac:dyDescent="0.2"/>
  <cols>
    <col min="1" max="1" width="28" customWidth="1"/>
    <col min="2" max="2" width="30" customWidth="1"/>
    <col min="3" max="3" width="60" customWidth="1"/>
    <col min="4" max="4" width="82" customWidth="1"/>
    <col min="5" max="5" width="24" customWidth="1"/>
    <col min="6" max="6" width="13" customWidth="1"/>
    <col min="7" max="16" width="6" customWidth="1"/>
  </cols>
  <sheetData>
    <row r="1" spans="1:6" ht="25.5" customHeight="1" x14ac:dyDescent="0.2">
      <c r="A1" s="12" t="s">
        <v>2620</v>
      </c>
      <c r="B1" s="12"/>
      <c r="C1" s="12"/>
      <c r="D1" s="12"/>
      <c r="E1" s="12"/>
      <c r="F1" s="30" t="s">
        <v>140</v>
      </c>
    </row>
    <row r="2" spans="1:6" ht="30" customHeight="1" x14ac:dyDescent="0.2">
      <c r="A2" s="11" t="str">
        <f>"⬤ TAB QUALITY "&amp;IF(ISNUMBER('Quality &amp; Audit'!$B$32),IF('Quality &amp; Audit'!$B$32=INT('Quality &amp; Audit'!$B$32),TEXT('Quality &amp; Audit'!$B$32,"0"),TEXT('Quality &amp; Audit'!$B$32,"0.0")),"—")&amp;"/10 · "&amp;IF(ISNUMBER('Quality &amp; Audit'!$B$32),IF('Quality &amp; Audit'!$B$32&gt;=8,"PASS","FAIL"),"UNSCORED")&amp;" (target ≥8, live from the Quality &amp; Audit score cell)"&amp;" · THE dossier floor — min score of every deterministic section &amp; non-mirror tab (identical to the verdict computation); own content check: floor mirror + audit-surface int…"&amp;" · full audit: Quality &amp; Audit tab"</f>
        <v>⬤ TAB QUALITY 9/10 · PASS (target ≥8, live from the Quality &amp; Audit score cell) · THE dossier floor — min score of every deterministic section &amp; non-mirror tab (identical to the verdict computation); own content check: floor mirror + audit-surface int… · full audit: Quality &amp; Audit tab</v>
      </c>
      <c r="B2" s="11"/>
      <c r="C2" s="11"/>
      <c r="D2" s="11"/>
      <c r="E2" s="11"/>
    </row>
    <row r="3" spans="1:6" ht="40.5" customHeight="1" x14ac:dyDescent="0.2">
      <c r="A3" s="10" t="s">
        <v>2621</v>
      </c>
      <c r="B3" s="10"/>
      <c r="C3" s="10"/>
      <c r="D3" s="10"/>
      <c r="E3" s="10"/>
    </row>
    <row r="4" spans="1:6" x14ac:dyDescent="0.2">
      <c r="A4" s="3" t="str">
        <f>"VERDICT: "&amp;IF('Quality &amp; Audit'!$B$66=0,"SHIPS","DRAFT — "&amp;'Quality &amp; Audit'!$B$66&amp;" open issue"&amp;IF('Quality &amp; Audit'!$B$66=1,"","s"))&amp;" · floor "&amp;IF(ISNUMBER('Quality &amp; Audit'!$B$65),IF('Quality &amp; Audit'!$B$65=INT('Quality &amp; Audit'!$B$65),TEXT('Quality &amp; Audit'!$B$65,"0"),TEXT('Quality &amp; Audit'!$B$65,"0.0")),"—")&amp;"/10 (min of every DETERMINISTIC section &amp; non-mirror tab — live cells on Quality &amp; Audit; the LLM self-audit is advisory and never floors; ships at ≥8 everywhere)"</f>
        <v>VERDICT: SHIPS · floor 9/10 (min of every DETERMINISTIC section &amp; non-mirror tab — live cells on Quality &amp; Audit; the LLM self-audit is advisory and never floors; ships at ≥8 everywhere)</v>
      </c>
      <c r="B4" s="3"/>
      <c r="C4" s="3"/>
      <c r="D4" s="3"/>
      <c r="E4" s="3"/>
    </row>
    <row r="6" spans="1:6" ht="20" x14ac:dyDescent="0.25">
      <c r="A6" s="107" t="s">
        <v>2622</v>
      </c>
      <c r="B6" s="108"/>
      <c r="C6" s="24" t="s">
        <v>2623</v>
      </c>
      <c r="D6" s="17" t="s">
        <v>2624</v>
      </c>
    </row>
    <row r="8" spans="1:6" ht="16" x14ac:dyDescent="0.2">
      <c r="A8" s="16" t="s">
        <v>479</v>
      </c>
      <c r="B8" s="16" t="s">
        <v>2625</v>
      </c>
      <c r="C8" s="16" t="s">
        <v>2626</v>
      </c>
      <c r="D8" s="16" t="s">
        <v>2627</v>
      </c>
      <c r="E8" s="16" t="s">
        <v>2628</v>
      </c>
      <c r="F8" s="17" t="s">
        <v>20</v>
      </c>
    </row>
    <row r="9" spans="1:6" x14ac:dyDescent="0.2">
      <c r="A9" s="24" t="s">
        <v>492</v>
      </c>
      <c r="B9" s="108">
        <v>10</v>
      </c>
      <c r="C9" s="28" t="str">
        <f t="shared" ref="C9:C17" si="0">IF(ISNUMBER($B9),IF($B9&gt;=8,"PASS ✓","⛔ below 8"),"⛔ UNVERIFIED (no deterministic score)")</f>
        <v>PASS ✓</v>
      </c>
      <c r="D9" s="14" t="s">
        <v>374</v>
      </c>
      <c r="E9" s="14"/>
      <c r="F9" s="23" t="str">
        <f t="shared" ref="F9:F20" si="1">IF(AND(LEN(TRIM(A9&amp;""))&gt;0,TRIM(A9&amp;"")&lt;&gt;"—",LEN(TRIM(B9&amp;""))&gt;0,TRIM(B9&amp;"")&lt;&gt;"—",LEN(TRIM(C9&amp;""))&gt;0,TRIM(C9&amp;"")&lt;&gt;"—"),"PASS","⚠ FAIL — "&amp;"a required cell is empty/placeholder or wrong type")</f>
        <v>PASS</v>
      </c>
    </row>
    <row r="10" spans="1:6" x14ac:dyDescent="0.2">
      <c r="A10" s="24" t="s">
        <v>493</v>
      </c>
      <c r="B10" s="108">
        <v>10</v>
      </c>
      <c r="C10" s="28" t="str">
        <f t="shared" si="0"/>
        <v>PASS ✓</v>
      </c>
      <c r="D10" s="14" t="s">
        <v>374</v>
      </c>
      <c r="E10" s="14"/>
      <c r="F10" s="23" t="str">
        <f t="shared" si="1"/>
        <v>PASS</v>
      </c>
    </row>
    <row r="11" spans="1:6" x14ac:dyDescent="0.2">
      <c r="A11" s="24" t="s">
        <v>494</v>
      </c>
      <c r="B11" s="108">
        <v>10</v>
      </c>
      <c r="C11" s="28" t="str">
        <f t="shared" si="0"/>
        <v>PASS ✓</v>
      </c>
      <c r="D11" s="14" t="s">
        <v>374</v>
      </c>
      <c r="E11" s="14"/>
      <c r="F11" s="23" t="str">
        <f t="shared" si="1"/>
        <v>PASS</v>
      </c>
    </row>
    <row r="12" spans="1:6" x14ac:dyDescent="0.2">
      <c r="A12" s="24" t="s">
        <v>495</v>
      </c>
      <c r="B12" s="108">
        <v>10</v>
      </c>
      <c r="C12" s="28" t="str">
        <f t="shared" si="0"/>
        <v>PASS ✓</v>
      </c>
      <c r="D12" s="14" t="s">
        <v>374</v>
      </c>
      <c r="E12" s="14"/>
      <c r="F12" s="23" t="str">
        <f t="shared" si="1"/>
        <v>PASS</v>
      </c>
    </row>
    <row r="13" spans="1:6" ht="52" x14ac:dyDescent="0.2">
      <c r="A13" s="24" t="s">
        <v>496</v>
      </c>
      <c r="B13" s="108">
        <v>10</v>
      </c>
      <c r="C13" s="28" t="str">
        <f t="shared" si="0"/>
        <v>PASS ✓</v>
      </c>
      <c r="D13" s="14" t="s">
        <v>374</v>
      </c>
      <c r="E13" s="14" t="s">
        <v>2629</v>
      </c>
      <c r="F13" s="23" t="str">
        <f t="shared" si="1"/>
        <v>PASS</v>
      </c>
    </row>
    <row r="14" spans="1:6" x14ac:dyDescent="0.2">
      <c r="A14" s="24" t="s">
        <v>498</v>
      </c>
      <c r="B14" s="108">
        <v>10</v>
      </c>
      <c r="C14" s="28" t="str">
        <f t="shared" si="0"/>
        <v>PASS ✓</v>
      </c>
      <c r="D14" s="109" t="s">
        <v>2630</v>
      </c>
      <c r="E14" s="14"/>
      <c r="F14" s="23" t="str">
        <f t="shared" si="1"/>
        <v>PASS</v>
      </c>
    </row>
    <row r="15" spans="1:6" x14ac:dyDescent="0.2">
      <c r="A15" s="24" t="s">
        <v>499</v>
      </c>
      <c r="B15" s="108">
        <v>10</v>
      </c>
      <c r="C15" s="28" t="str">
        <f t="shared" si="0"/>
        <v>PASS ✓</v>
      </c>
      <c r="D15" s="14" t="s">
        <v>374</v>
      </c>
      <c r="E15" s="14"/>
      <c r="F15" s="23" t="str">
        <f t="shared" si="1"/>
        <v>PASS</v>
      </c>
    </row>
    <row r="16" spans="1:6" ht="52" x14ac:dyDescent="0.2">
      <c r="A16" s="24" t="s">
        <v>500</v>
      </c>
      <c r="B16" s="108">
        <v>10</v>
      </c>
      <c r="C16" s="28" t="str">
        <f t="shared" si="0"/>
        <v>PASS ✓</v>
      </c>
      <c r="D16" s="109" t="s">
        <v>2631</v>
      </c>
      <c r="E16" s="14" t="s">
        <v>2632</v>
      </c>
      <c r="F16" s="23" t="str">
        <f t="shared" si="1"/>
        <v>PASS</v>
      </c>
    </row>
    <row r="17" spans="1:17" x14ac:dyDescent="0.2">
      <c r="A17" s="24" t="s">
        <v>2633</v>
      </c>
      <c r="B17" s="108">
        <v>9</v>
      </c>
      <c r="C17" s="28" t="str">
        <f t="shared" si="0"/>
        <v>PASS ✓</v>
      </c>
      <c r="D17" s="109" t="s">
        <v>2634</v>
      </c>
      <c r="E17" s="14"/>
      <c r="F17" s="23" t="str">
        <f t="shared" si="1"/>
        <v>PASS</v>
      </c>
    </row>
    <row r="18" spans="1:17" ht="39" x14ac:dyDescent="0.2">
      <c r="A18" s="24" t="s">
        <v>484</v>
      </c>
      <c r="B18" s="14" t="s">
        <v>2635</v>
      </c>
      <c r="C18" s="110" t="str">
        <f>IF(ISNUMBER($B18),IF($B18&gt;=8,"PASS ✓","⛔ below 8"),"ADVISORY — non-gating")</f>
        <v>ADVISORY — non-gating</v>
      </c>
      <c r="D18" s="109" t="s">
        <v>2634</v>
      </c>
      <c r="E18" s="14"/>
      <c r="F18" s="23" t="str">
        <f t="shared" si="1"/>
        <v>PASS</v>
      </c>
    </row>
    <row r="19" spans="1:17" ht="39" x14ac:dyDescent="0.2">
      <c r="A19" s="24" t="s">
        <v>487</v>
      </c>
      <c r="B19" s="14" t="s">
        <v>2635</v>
      </c>
      <c r="C19" s="110" t="str">
        <f>IF(ISNUMBER($B19),IF($B19&gt;=8,"PASS ✓","⛔ below 8"),"ADVISORY — non-gating")</f>
        <v>ADVISORY — non-gating</v>
      </c>
      <c r="D19" s="109" t="s">
        <v>2636</v>
      </c>
      <c r="E19" s="14"/>
      <c r="F19" s="23" t="str">
        <f t="shared" si="1"/>
        <v>PASS</v>
      </c>
    </row>
    <row r="20" spans="1:17" ht="39" x14ac:dyDescent="0.2">
      <c r="A20" s="24" t="s">
        <v>489</v>
      </c>
      <c r="B20" s="14" t="s">
        <v>2635</v>
      </c>
      <c r="C20" s="110" t="str">
        <f>IF(ISNUMBER($B20),IF($B20&gt;=8,"PASS ✓","⛔ below 8"),"ADVISORY — non-gating")</f>
        <v>ADVISORY — non-gating</v>
      </c>
      <c r="D20" s="109" t="s">
        <v>2636</v>
      </c>
      <c r="E20" s="14"/>
      <c r="F20" s="23" t="str">
        <f t="shared" si="1"/>
        <v>PASS</v>
      </c>
    </row>
    <row r="22" spans="1:17" x14ac:dyDescent="0.2">
      <c r="A22" s="6" t="s">
        <v>2637</v>
      </c>
      <c r="B22" s="6"/>
      <c r="C22" s="6"/>
      <c r="D22" s="6"/>
    </row>
    <row r="23" spans="1:17" x14ac:dyDescent="0.2">
      <c r="A23" s="24" t="s">
        <v>2638</v>
      </c>
      <c r="B23" s="108" t="s">
        <v>2639</v>
      </c>
      <c r="D23" s="17" t="s">
        <v>2640</v>
      </c>
    </row>
    <row r="24" spans="1:17" x14ac:dyDescent="0.2">
      <c r="A24" s="24" t="s">
        <v>2641</v>
      </c>
      <c r="B24" s="108" t="s">
        <v>2642</v>
      </c>
      <c r="D24" s="17" t="s">
        <v>2640</v>
      </c>
    </row>
    <row r="25" spans="1:17" x14ac:dyDescent="0.2">
      <c r="A25" s="24" t="s">
        <v>2643</v>
      </c>
      <c r="B25" s="111" t="s">
        <v>2644</v>
      </c>
      <c r="D25" s="17" t="s">
        <v>2640</v>
      </c>
    </row>
    <row r="26" spans="1:17" x14ac:dyDescent="0.2">
      <c r="A26" s="24" t="s">
        <v>2645</v>
      </c>
      <c r="B26" s="108" t="s">
        <v>2646</v>
      </c>
      <c r="D26" s="17" t="s">
        <v>2640</v>
      </c>
    </row>
    <row r="27" spans="1:17" x14ac:dyDescent="0.2">
      <c r="A27" s="24" t="s">
        <v>2647</v>
      </c>
      <c r="B27" s="111" t="s">
        <v>2648</v>
      </c>
      <c r="D27" s="17" t="s">
        <v>2640</v>
      </c>
    </row>
    <row r="29" spans="1:17" x14ac:dyDescent="0.2">
      <c r="A29" s="6" t="s">
        <v>2649</v>
      </c>
      <c r="B29" s="6"/>
      <c r="C29" s="6"/>
      <c r="D29" s="6"/>
      <c r="E29" s="6"/>
    </row>
    <row r="30" spans="1:17" ht="32" x14ac:dyDescent="0.2">
      <c r="A30" s="16" t="s">
        <v>79</v>
      </c>
      <c r="B30" s="16" t="s">
        <v>480</v>
      </c>
      <c r="C30" s="16" t="s">
        <v>2626</v>
      </c>
      <c r="D30" s="16" t="s">
        <v>2650</v>
      </c>
      <c r="E30" s="16" t="s">
        <v>2651</v>
      </c>
      <c r="F30" s="76" t="s">
        <v>2652</v>
      </c>
      <c r="G30" s="76" t="s">
        <v>2653</v>
      </c>
      <c r="H30" s="76" t="s">
        <v>2654</v>
      </c>
      <c r="I30" s="76" t="s">
        <v>2655</v>
      </c>
      <c r="J30" s="76" t="s">
        <v>2656</v>
      </c>
      <c r="K30" s="76" t="s">
        <v>2657</v>
      </c>
      <c r="L30" s="76" t="s">
        <v>2658</v>
      </c>
      <c r="M30" s="76" t="s">
        <v>2659</v>
      </c>
      <c r="N30" s="76" t="s">
        <v>2660</v>
      </c>
      <c r="O30" s="76" t="s">
        <v>2661</v>
      </c>
      <c r="P30" s="76" t="s">
        <v>2662</v>
      </c>
      <c r="Q30" s="17" t="s">
        <v>20</v>
      </c>
    </row>
    <row r="31" spans="1:17" ht="84" x14ac:dyDescent="0.2">
      <c r="A31" s="24" t="s">
        <v>81</v>
      </c>
      <c r="B31" s="108">
        <f>ROUND(MIN('Quality &amp; Audit'!$B$65,$F31),1)</f>
        <v>9</v>
      </c>
      <c r="C31" t="str">
        <f t="shared" ref="C31:C63" si="2">IF($B31="n/a — verified out of scope","VERIFIED — not scored",IF(ISNUMBER($B31),IF($B31&gt;=8,"PASS ✓","⛔ below 8"),"UNSCORED"))</f>
        <v>PASS ✓</v>
      </c>
      <c r="D31" s="14" t="s">
        <v>2663</v>
      </c>
      <c r="E31" s="78" t="s">
        <v>2664</v>
      </c>
      <c r="F31" s="87">
        <v>10</v>
      </c>
      <c r="G31" s="87"/>
      <c r="H31" s="87"/>
      <c r="I31" s="87"/>
      <c r="J31" s="87"/>
      <c r="K31" s="87"/>
      <c r="L31" s="87"/>
      <c r="M31" s="87"/>
      <c r="N31" s="87"/>
      <c r="O31" s="87"/>
      <c r="P31" s="87"/>
      <c r="Q31" s="23" t="str">
        <f t="shared" ref="Q31:Q63" si="3">IF(AND(LEN(TRIM(A31&amp;""))&gt;0,TRIM(A31&amp;"")&lt;&gt;"—",LEN(TRIM(C31&amp;""))&gt;0,TRIM(C31&amp;"")&lt;&gt;"—"),"PASS","⚠ FAIL — "&amp;"a required cell is empty/placeholder or wrong type")</f>
        <v>PASS</v>
      </c>
    </row>
    <row r="32" spans="1:17" ht="84" x14ac:dyDescent="0.2">
      <c r="A32" s="24" t="s">
        <v>121</v>
      </c>
      <c r="B32" s="108">
        <f>ROUND(MIN('Quality &amp; Audit'!$B$65,$F32),1)</f>
        <v>9</v>
      </c>
      <c r="C32" t="str">
        <f t="shared" si="2"/>
        <v>PASS ✓</v>
      </c>
      <c r="D32" s="14"/>
      <c r="E32" s="78" t="s">
        <v>2665</v>
      </c>
      <c r="F32" s="87">
        <v>10</v>
      </c>
      <c r="G32" s="87"/>
      <c r="H32" s="87"/>
      <c r="I32" s="87"/>
      <c r="J32" s="87"/>
      <c r="K32" s="87"/>
      <c r="L32" s="87"/>
      <c r="M32" s="87"/>
      <c r="N32" s="87"/>
      <c r="O32" s="87"/>
      <c r="P32" s="87"/>
      <c r="Q32" s="23" t="str">
        <f t="shared" si="3"/>
        <v>PASS</v>
      </c>
    </row>
    <row r="33" spans="1:17" ht="84" x14ac:dyDescent="0.2">
      <c r="A33" s="24" t="s">
        <v>87</v>
      </c>
      <c r="B33" s="108">
        <f>ROUND(MIN($F33,IF(AND(ISNUMBER($H33),$H33&gt;0),10*$G33/$H33,10),IF(AND(ISNUMBER($J33),$J33&gt;0),10*$I33/$J33,10),IF(AND(ISNUMBER($L33),$L33&gt;0),10*$K33/$L33,10),IF(AND(ISNUMBER($N33),$N33&gt;0),10*$M33/$N33,10)),1)</f>
        <v>10</v>
      </c>
      <c r="C33" t="str">
        <f t="shared" si="2"/>
        <v>PASS ✓</v>
      </c>
      <c r="D33" s="14"/>
      <c r="E33" s="78" t="s">
        <v>2666</v>
      </c>
      <c r="F33" s="87">
        <v>10</v>
      </c>
      <c r="G33" s="87">
        <v>14</v>
      </c>
      <c r="H33" s="87">
        <v>14</v>
      </c>
      <c r="I33" s="87">
        <v>10</v>
      </c>
      <c r="J33" s="87">
        <v>10</v>
      </c>
      <c r="K33" s="87">
        <v>1</v>
      </c>
      <c r="L33" s="87">
        <v>1</v>
      </c>
      <c r="M33" s="87">
        <v>93</v>
      </c>
      <c r="N33" s="87">
        <v>93</v>
      </c>
      <c r="O33" s="87"/>
      <c r="P33" s="87"/>
      <c r="Q33" s="23" t="str">
        <f t="shared" si="3"/>
        <v>PASS</v>
      </c>
    </row>
    <row r="34" spans="1:17" ht="84" x14ac:dyDescent="0.2">
      <c r="A34" s="24" t="s">
        <v>94</v>
      </c>
      <c r="B34" s="108">
        <f>ROUND(MIN($F34,IF(AND(ISNUMBER($H34),$H34&gt;0),10*$G34/$H34,10),IF(AND(ISNUMBER($J34),$J34&gt;0),10*$I34/$J34,10),IF(AND(ISNUMBER($L34),$L34&gt;0),10*$K34/$L34,10)),1)</f>
        <v>10</v>
      </c>
      <c r="C34" t="str">
        <f t="shared" si="2"/>
        <v>PASS ✓</v>
      </c>
      <c r="D34" s="14"/>
      <c r="E34" s="78" t="s">
        <v>2667</v>
      </c>
      <c r="F34" s="87">
        <v>10</v>
      </c>
      <c r="G34" s="87">
        <v>6</v>
      </c>
      <c r="H34" s="87">
        <v>6</v>
      </c>
      <c r="I34" s="87">
        <v>1</v>
      </c>
      <c r="J34" s="87">
        <v>1</v>
      </c>
      <c r="K34" s="87">
        <v>20</v>
      </c>
      <c r="L34" s="87">
        <v>20</v>
      </c>
      <c r="M34" s="87"/>
      <c r="N34" s="87"/>
      <c r="O34" s="87"/>
      <c r="P34" s="87"/>
      <c r="Q34" s="23" t="str">
        <f t="shared" si="3"/>
        <v>PASS</v>
      </c>
    </row>
    <row r="35" spans="1:17" ht="72" x14ac:dyDescent="0.2">
      <c r="A35" s="24" t="s">
        <v>128</v>
      </c>
      <c r="B35" s="108">
        <f>ROUND(MIN($F35,IF(AND(ISNUMBER($H35),$H35&gt;0),10*$G35/$H35,10),IF(AND(ISNUMBER($J35),$J35&gt;0),10*$I35/$J35,10)),1)</f>
        <v>10</v>
      </c>
      <c r="C35" t="str">
        <f t="shared" si="2"/>
        <v>PASS ✓</v>
      </c>
      <c r="D35" s="14"/>
      <c r="E35" s="78" t="s">
        <v>2668</v>
      </c>
      <c r="F35" s="87">
        <v>10</v>
      </c>
      <c r="G35" s="87">
        <v>113</v>
      </c>
      <c r="H35" s="87">
        <v>113</v>
      </c>
      <c r="I35" s="87">
        <v>339</v>
      </c>
      <c r="J35" s="87">
        <v>339</v>
      </c>
      <c r="K35" s="87"/>
      <c r="L35" s="87"/>
      <c r="M35" s="87"/>
      <c r="N35" s="87"/>
      <c r="O35" s="87"/>
      <c r="P35" s="87"/>
      <c r="Q35" s="23" t="str">
        <f t="shared" si="3"/>
        <v>PASS</v>
      </c>
    </row>
    <row r="36" spans="1:17" ht="84" x14ac:dyDescent="0.2">
      <c r="A36" s="24" t="s">
        <v>130</v>
      </c>
      <c r="B36" s="108">
        <f>ROUND(MIN($F36,IF(AND(ISNUMBER($H36),$H36&gt;0),10*$G36/$H36,10),IF(AND(ISNUMBER($J36),$J36&gt;0),10*$I36/$J36,10),IF(AND(ISNUMBER($L36),$L36&gt;0),10*$K36/$L36,10),IF(AND(ISNUMBER($N36),$N36&gt;0),10*$M36/$N36,10)),1)</f>
        <v>10</v>
      </c>
      <c r="C36" t="str">
        <f t="shared" si="2"/>
        <v>PASS ✓</v>
      </c>
      <c r="D36" s="14"/>
      <c r="E36" s="78" t="s">
        <v>2669</v>
      </c>
      <c r="F36" s="87">
        <v>10</v>
      </c>
      <c r="G36" s="87">
        <v>13</v>
      </c>
      <c r="H36" s="87">
        <v>13</v>
      </c>
      <c r="I36" s="87">
        <v>37</v>
      </c>
      <c r="J36" s="87">
        <v>37</v>
      </c>
      <c r="K36" s="87">
        <v>37</v>
      </c>
      <c r="L36" s="87">
        <v>37</v>
      </c>
      <c r="M36" s="87">
        <v>223</v>
      </c>
      <c r="N36" s="87">
        <v>223</v>
      </c>
      <c r="O36" s="87"/>
      <c r="P36" s="87"/>
      <c r="Q36" s="23" t="str">
        <f t="shared" si="3"/>
        <v>PASS</v>
      </c>
    </row>
    <row r="37" spans="1:17" ht="72" x14ac:dyDescent="0.2">
      <c r="A37" s="24" t="s">
        <v>93</v>
      </c>
      <c r="B37" s="108">
        <f>ROUND(MIN($F37,10*(COUNTIF('Bill of Materials (Ledger)'!$O$5:$O$402,"PASS"))/(COUNTA('Bill of Materials (Ledger)'!$O$5:$O$402)),IF(AND(ISNUMBER($H37),$H37&gt;0),10*$G37/$H37,10)),1)</f>
        <v>9.9</v>
      </c>
      <c r="C37" t="str">
        <f t="shared" si="2"/>
        <v>PASS ✓</v>
      </c>
      <c r="D37" s="14" t="s">
        <v>2670</v>
      </c>
      <c r="E37" s="78" t="s">
        <v>2671</v>
      </c>
      <c r="F37" s="87">
        <v>9.9</v>
      </c>
      <c r="G37" s="87">
        <v>2895</v>
      </c>
      <c r="H37" s="87">
        <v>2917</v>
      </c>
      <c r="I37" s="87"/>
      <c r="J37" s="87"/>
      <c r="K37" s="87"/>
      <c r="L37" s="87"/>
      <c r="M37" s="87"/>
      <c r="N37" s="87"/>
      <c r="O37" s="87"/>
      <c r="P37" s="87"/>
      <c r="Q37" s="23" t="str">
        <f t="shared" si="3"/>
        <v>PASS</v>
      </c>
    </row>
    <row r="38" spans="1:17" ht="84" x14ac:dyDescent="0.2">
      <c r="A38" s="24" t="s">
        <v>91</v>
      </c>
      <c r="B38" s="108">
        <f>ROUND(MIN($F38,IF(AND(ISNUMBER($H38),$H38&gt;0),10*$G38/$H38,10),IF(AND(ISNUMBER($J38),$J38&gt;0),10*$I38/$J38,10),IF(AND(ISNUMBER($L38),$L38&gt;0),10*$K38/$L38,10),IF(AND(ISNUMBER($N38),$N38&gt;0),10*$M38/$N38,10)),1)</f>
        <v>10</v>
      </c>
      <c r="C38" t="str">
        <f t="shared" si="2"/>
        <v>PASS ✓</v>
      </c>
      <c r="D38" s="14"/>
      <c r="E38" s="78" t="s">
        <v>2672</v>
      </c>
      <c r="F38" s="87">
        <v>10</v>
      </c>
      <c r="G38" s="87">
        <v>6</v>
      </c>
      <c r="H38" s="87">
        <v>6</v>
      </c>
      <c r="I38" s="87">
        <v>7</v>
      </c>
      <c r="J38" s="87">
        <v>7</v>
      </c>
      <c r="K38" s="87">
        <v>1</v>
      </c>
      <c r="L38" s="87">
        <v>1</v>
      </c>
      <c r="M38" s="87">
        <v>67</v>
      </c>
      <c r="N38" s="87">
        <v>67</v>
      </c>
      <c r="O38" s="87"/>
      <c r="P38" s="87"/>
      <c r="Q38" s="23" t="str">
        <f t="shared" si="3"/>
        <v>PASS</v>
      </c>
    </row>
    <row r="39" spans="1:17" ht="84" x14ac:dyDescent="0.2">
      <c r="A39" s="24" t="s">
        <v>92</v>
      </c>
      <c r="B39" s="108">
        <f>ROUND(MIN($F39,IF(AND(ISNUMBER($H39),$H39&gt;0),10*$G39/$H39,10),IF(AND(ISNUMBER($J39),$J39&gt;0),10*$I39/$J39,10)),1)</f>
        <v>10</v>
      </c>
      <c r="C39" t="str">
        <f t="shared" si="2"/>
        <v>PASS ✓</v>
      </c>
      <c r="D39" s="14" t="s">
        <v>2673</v>
      </c>
      <c r="E39" s="78" t="s">
        <v>2674</v>
      </c>
      <c r="F39" s="87">
        <v>10</v>
      </c>
      <c r="G39" s="87">
        <v>225</v>
      </c>
      <c r="H39" s="87">
        <v>226</v>
      </c>
      <c r="I39" s="87">
        <v>395</v>
      </c>
      <c r="J39" s="87">
        <v>395</v>
      </c>
      <c r="K39" s="87"/>
      <c r="L39" s="87"/>
      <c r="M39" s="87"/>
      <c r="N39" s="87"/>
      <c r="O39" s="87"/>
      <c r="P39" s="87"/>
      <c r="Q39" s="23" t="str">
        <f t="shared" si="3"/>
        <v>PASS</v>
      </c>
    </row>
    <row r="40" spans="1:17" ht="84" x14ac:dyDescent="0.2">
      <c r="A40" s="24" t="s">
        <v>127</v>
      </c>
      <c r="B40" s="108">
        <f>ROUND(MIN($F40,IF(AND(ISNUMBER($H40),$H40&gt;0),10*$G40/$H40,10),IF(AND(ISNUMBER($J40),$J40&gt;0),10*$I40/$J40,10)),1)</f>
        <v>10</v>
      </c>
      <c r="C40" t="str">
        <f t="shared" si="2"/>
        <v>PASS ✓</v>
      </c>
      <c r="D40" s="14"/>
      <c r="E40" s="78" t="s">
        <v>2675</v>
      </c>
      <c r="F40" s="87">
        <v>10</v>
      </c>
      <c r="G40" s="87">
        <v>49</v>
      </c>
      <c r="H40" s="87">
        <v>49</v>
      </c>
      <c r="I40" s="87">
        <v>106</v>
      </c>
      <c r="J40" s="87">
        <v>106</v>
      </c>
      <c r="K40" s="87"/>
      <c r="L40" s="87"/>
      <c r="M40" s="87"/>
      <c r="N40" s="87"/>
      <c r="O40" s="87"/>
      <c r="P40" s="87"/>
      <c r="Q40" s="23" t="str">
        <f t="shared" si="3"/>
        <v>PASS</v>
      </c>
    </row>
    <row r="41" spans="1:17" ht="84" x14ac:dyDescent="0.2">
      <c r="A41" s="24" t="s">
        <v>133</v>
      </c>
      <c r="B41" s="108">
        <f>ROUND(MIN($F41,IF(AND(ISNUMBER($H41),$H41&gt;0),10*$G41/$H41,10),IF(AND(ISNUMBER($J41),$J41&gt;0),10*$I41/$J41,10),IF(AND(ISNUMBER($L41),$L41&gt;0),10*$K41/$L41,10),IF(AND(ISNUMBER($N41),$N41&gt;0),10*$M41/$N41,10),IF(AND(ISNUMBER($P41),$P41&gt;0),10*$O41/$P41,10)),1)</f>
        <v>9.6</v>
      </c>
      <c r="C41" t="str">
        <f t="shared" si="2"/>
        <v>PASS ✓</v>
      </c>
      <c r="D41" s="14" t="s">
        <v>2676</v>
      </c>
      <c r="E41" s="78" t="s">
        <v>2677</v>
      </c>
      <c r="F41" s="87">
        <v>9.6</v>
      </c>
      <c r="G41" s="87">
        <v>93</v>
      </c>
      <c r="H41" s="87">
        <v>93</v>
      </c>
      <c r="I41" s="87">
        <v>93</v>
      </c>
      <c r="J41" s="87">
        <v>93</v>
      </c>
      <c r="K41" s="87">
        <v>65</v>
      </c>
      <c r="L41" s="87">
        <v>65</v>
      </c>
      <c r="M41" s="87">
        <v>100</v>
      </c>
      <c r="N41" s="87">
        <v>104</v>
      </c>
      <c r="O41" s="87">
        <v>425</v>
      </c>
      <c r="P41" s="87">
        <v>425</v>
      </c>
      <c r="Q41" s="23" t="str">
        <f t="shared" si="3"/>
        <v>PASS</v>
      </c>
    </row>
    <row r="42" spans="1:17" ht="72" x14ac:dyDescent="0.2">
      <c r="A42" s="24" t="s">
        <v>116</v>
      </c>
      <c r="B42" s="108">
        <f>ROUND(MIN($F42,10*(COUNTIF('Risk &amp; Regulatory'!$M$7:$M$14,"PASS"))/(COUNTA('Risk &amp; Regulatory'!$M$7:$M$14)),IF(AND(ISNUMBER($H42),$H42&gt;0),10*$G42/$H42,10)),1)</f>
        <v>10</v>
      </c>
      <c r="C42" t="str">
        <f t="shared" si="2"/>
        <v>PASS ✓</v>
      </c>
      <c r="D42" s="14"/>
      <c r="E42" s="78" t="s">
        <v>2678</v>
      </c>
      <c r="F42" s="87">
        <v>10</v>
      </c>
      <c r="G42" s="87">
        <v>176</v>
      </c>
      <c r="H42" s="87">
        <v>176</v>
      </c>
      <c r="I42" s="87"/>
      <c r="J42" s="87"/>
      <c r="K42" s="87"/>
      <c r="L42" s="87"/>
      <c r="M42" s="87"/>
      <c r="N42" s="87"/>
      <c r="O42" s="87"/>
      <c r="P42" s="87"/>
      <c r="Q42" s="23" t="str">
        <f t="shared" si="3"/>
        <v>PASS</v>
      </c>
    </row>
    <row r="43" spans="1:17" ht="84" x14ac:dyDescent="0.2">
      <c r="A43" s="24" t="s">
        <v>114</v>
      </c>
      <c r="B43" s="108">
        <f>ROUND(MIN($F43,IF(AND(ISNUMBER($H43),$H43&gt;0),10*$G43/$H43,10),IF(AND(ISNUMBER($J43),$J43&gt;0),10*$I43/$J43,10),IF(AND(ISNUMBER($L43),$L43&gt;0),10*$K43/$L43,10),IF(AND(ISNUMBER($N43),$N43&gt;0),10*$M43/$N43,10)),1)</f>
        <v>10</v>
      </c>
      <c r="C43" t="str">
        <f t="shared" si="2"/>
        <v>PASS ✓</v>
      </c>
      <c r="D43" s="14" t="s">
        <v>2679</v>
      </c>
      <c r="E43" s="78" t="s">
        <v>2680</v>
      </c>
      <c r="F43" s="87">
        <v>10</v>
      </c>
      <c r="G43" s="87">
        <v>13</v>
      </c>
      <c r="H43" s="87">
        <v>13</v>
      </c>
      <c r="I43" s="87">
        <v>1</v>
      </c>
      <c r="J43" s="87">
        <v>1</v>
      </c>
      <c r="K43" s="87">
        <v>1</v>
      </c>
      <c r="L43" s="87">
        <v>1</v>
      </c>
      <c r="M43" s="87">
        <v>65</v>
      </c>
      <c r="N43" s="87">
        <v>65</v>
      </c>
      <c r="O43" s="87"/>
      <c r="P43" s="87"/>
      <c r="Q43" s="23" t="str">
        <f t="shared" si="3"/>
        <v>PASS</v>
      </c>
    </row>
    <row r="44" spans="1:17" ht="84" x14ac:dyDescent="0.2">
      <c r="A44" s="24" t="s">
        <v>104</v>
      </c>
      <c r="B44" s="108">
        <f>ROUND(MIN($F44,IF(AND(ISNUMBER($H44),$H44&gt;0),10*$G44/$H44,10),IF(AND(ISNUMBER($J44),$J44&gt;0),10*$I44/$J44,10)),1)</f>
        <v>9.6</v>
      </c>
      <c r="C44" t="str">
        <f t="shared" si="2"/>
        <v>PASS ✓</v>
      </c>
      <c r="D44" s="14" t="s">
        <v>2681</v>
      </c>
      <c r="E44" s="78" t="s">
        <v>2682</v>
      </c>
      <c r="F44" s="87">
        <v>10</v>
      </c>
      <c r="G44" s="87">
        <v>2</v>
      </c>
      <c r="H44" s="87">
        <v>2</v>
      </c>
      <c r="I44" s="87">
        <v>384</v>
      </c>
      <c r="J44" s="87">
        <v>400</v>
      </c>
      <c r="K44" s="87"/>
      <c r="L44" s="87"/>
      <c r="M44" s="87"/>
      <c r="N44" s="87"/>
      <c r="O44" s="87"/>
      <c r="P44" s="87"/>
      <c r="Q44" s="23" t="str">
        <f t="shared" si="3"/>
        <v>PASS</v>
      </c>
    </row>
    <row r="45" spans="1:17" ht="72" x14ac:dyDescent="0.2">
      <c r="A45" s="24" t="s">
        <v>112</v>
      </c>
      <c r="B45" s="108">
        <f>ROUND(MIN($F45,10*(COUNTIF('Line &amp; velocity'!$L$10:$L$56,"PASS")+COUNTIF('Line &amp; velocity'!$L$62:$L$85,"PASS"))/(COUNTA('Line &amp; velocity'!$L$10:$L$56)+COUNTA('Line &amp; velocity'!$L$62:$L$85)),IF(AND(ISNUMBER($H45),$H45&gt;0),10*$G45/$H45,10)),1)</f>
        <v>9.6</v>
      </c>
      <c r="C45" t="str">
        <f t="shared" si="2"/>
        <v>PASS ✓</v>
      </c>
      <c r="D45" s="14" t="s">
        <v>2683</v>
      </c>
      <c r="E45" s="78" t="s">
        <v>2684</v>
      </c>
      <c r="F45" s="87">
        <v>10</v>
      </c>
      <c r="G45" s="87">
        <v>497</v>
      </c>
      <c r="H45" s="87">
        <v>497</v>
      </c>
      <c r="I45" s="87"/>
      <c r="J45" s="87"/>
      <c r="K45" s="87"/>
      <c r="L45" s="87"/>
      <c r="M45" s="87"/>
      <c r="N45" s="87"/>
      <c r="O45" s="87"/>
      <c r="P45" s="87"/>
      <c r="Q45" s="23" t="str">
        <f t="shared" si="3"/>
        <v>PASS</v>
      </c>
    </row>
    <row r="46" spans="1:17" ht="72" x14ac:dyDescent="0.2">
      <c r="A46" s="24" t="s">
        <v>135</v>
      </c>
      <c r="B46" s="108">
        <f>ROUND(MIN($F46,IF(AND(ISNUMBER($H46),$H46&gt;0),10*$G46/$H46,10),IF(AND(ISNUMBER($J46),$J46&gt;0),10*$I46/$J46,10)),1)</f>
        <v>10</v>
      </c>
      <c r="C46" t="str">
        <f t="shared" si="2"/>
        <v>PASS ✓</v>
      </c>
      <c r="D46" s="14"/>
      <c r="E46" s="78" t="s">
        <v>2685</v>
      </c>
      <c r="F46" s="87">
        <v>10</v>
      </c>
      <c r="G46" s="87">
        <v>59</v>
      </c>
      <c r="H46" s="87">
        <v>59</v>
      </c>
      <c r="I46" s="87">
        <v>59</v>
      </c>
      <c r="J46" s="87">
        <v>59</v>
      </c>
      <c r="K46" s="87"/>
      <c r="L46" s="87"/>
      <c r="M46" s="87"/>
      <c r="N46" s="87"/>
      <c r="O46" s="87"/>
      <c r="P46" s="87"/>
      <c r="Q46" s="23" t="str">
        <f t="shared" si="3"/>
        <v>PASS</v>
      </c>
    </row>
    <row r="47" spans="1:17" ht="84" x14ac:dyDescent="0.2">
      <c r="A47" s="24" t="s">
        <v>110</v>
      </c>
      <c r="B47" s="108">
        <f>ROUND(MIN($F47,10*(COUNTIF(Electrical!$K$65:$K$81,"PASS")+COUNTIF(Electrical!$K$96:$K$97,"PASS")+COUNTIF(Electrical!$J$101:$J$105,"PASS"))/(COUNTA(Electrical!$K$65:$K$81)+COUNTA(Electrical!$K$96:$K$97)+COUNTA(Electrical!$J$101:$J$105)),IF(AND(ISNUMBER($H47),$H47&gt;0),10*$G47/$H47,10)),1)</f>
        <v>9.5</v>
      </c>
      <c r="C47" t="str">
        <f t="shared" si="2"/>
        <v>PASS ✓</v>
      </c>
      <c r="D47" s="14" t="s">
        <v>2686</v>
      </c>
      <c r="E47" s="78" t="s">
        <v>2687</v>
      </c>
      <c r="F47" s="87">
        <v>9.5</v>
      </c>
      <c r="G47" s="87">
        <v>179</v>
      </c>
      <c r="H47" s="87">
        <v>179</v>
      </c>
      <c r="I47" s="87"/>
      <c r="J47" s="87"/>
      <c r="K47" s="87"/>
      <c r="L47" s="87"/>
      <c r="M47" s="87"/>
      <c r="N47" s="87"/>
      <c r="O47" s="87"/>
      <c r="P47" s="87"/>
      <c r="Q47" s="23" t="str">
        <f t="shared" si="3"/>
        <v>PASS</v>
      </c>
    </row>
    <row r="48" spans="1:17" ht="84" x14ac:dyDescent="0.2">
      <c r="A48" s="24" t="s">
        <v>96</v>
      </c>
      <c r="B48" s="108">
        <f>ROUND(MIN($F48,IF(AND(ISNUMBER($H48),$H48&gt;0),10*$G48/$H48,10),IF(AND(ISNUMBER($J48),$J48&gt;0),10*$I48/$J48,10),IF(AND(ISNUMBER($L48),$L48&gt;0),10*$K48/$L48,10),IF(AND(ISNUMBER($N48),$N48&gt;0),10*$M48/$N48,10)),1)</f>
        <v>10</v>
      </c>
      <c r="C48" t="str">
        <f t="shared" si="2"/>
        <v>PASS ✓</v>
      </c>
      <c r="D48" s="14" t="s">
        <v>2688</v>
      </c>
      <c r="E48" s="78" t="s">
        <v>2689</v>
      </c>
      <c r="F48" s="87">
        <v>10</v>
      </c>
      <c r="G48" s="87">
        <v>26</v>
      </c>
      <c r="H48" s="87">
        <v>26</v>
      </c>
      <c r="I48" s="87">
        <v>26</v>
      </c>
      <c r="J48" s="87">
        <v>26</v>
      </c>
      <c r="K48" s="87">
        <v>3</v>
      </c>
      <c r="L48" s="87">
        <v>3</v>
      </c>
      <c r="M48" s="87">
        <v>130</v>
      </c>
      <c r="N48" s="87">
        <v>130</v>
      </c>
      <c r="O48" s="87"/>
      <c r="P48" s="87"/>
      <c r="Q48" s="23" t="str">
        <f t="shared" si="3"/>
        <v>PASS</v>
      </c>
    </row>
    <row r="49" spans="1:17" ht="84" x14ac:dyDescent="0.2">
      <c r="A49" s="24" t="s">
        <v>117</v>
      </c>
      <c r="B49" s="108">
        <f>ROUND(MIN($F49,IF(AND(ISNUMBER($H49),$H49&gt;0),10*$G49/$H49,10),IF(AND(ISNUMBER($J49),$J49&gt;0),10*$I49/$J49,10),IF(AND(ISNUMBER($L49),$L49&gt;0),10*$K49/$L49,10),IF(AND(ISNUMBER($N49),$N49&gt;0),10*$M49/$N49,10),IF(AND(ISNUMBER($P49),$P49&gt;0),10*$O49/$P49,10)),1)</f>
        <v>10</v>
      </c>
      <c r="C49" t="str">
        <f t="shared" si="2"/>
        <v>PASS ✓</v>
      </c>
      <c r="D49" s="14" t="s">
        <v>2690</v>
      </c>
      <c r="E49" s="78" t="s">
        <v>2691</v>
      </c>
      <c r="F49" s="87">
        <v>10</v>
      </c>
      <c r="G49" s="87">
        <v>5</v>
      </c>
      <c r="H49" s="87">
        <v>5</v>
      </c>
      <c r="I49" s="87">
        <v>5</v>
      </c>
      <c r="J49" s="87">
        <v>5</v>
      </c>
      <c r="K49" s="87">
        <v>5</v>
      </c>
      <c r="L49" s="87">
        <v>5</v>
      </c>
      <c r="M49" s="87">
        <v>5</v>
      </c>
      <c r="N49" s="87">
        <v>5</v>
      </c>
      <c r="O49" s="87">
        <v>5</v>
      </c>
      <c r="P49" s="87">
        <v>5</v>
      </c>
      <c r="Q49" s="23" t="str">
        <f t="shared" si="3"/>
        <v>PASS</v>
      </c>
    </row>
    <row r="50" spans="1:17" ht="84" x14ac:dyDescent="0.2">
      <c r="A50" s="24" t="s">
        <v>119</v>
      </c>
      <c r="B50" s="108">
        <f>ROUND(MIN($F50,IF(AND(ISNUMBER($H50),$H50&gt;0),10*$G50/$H50,10),IF(AND(ISNUMBER($J50),$J50&gt;0),10*$I50/$J50,10)),1)</f>
        <v>10</v>
      </c>
      <c r="C50" t="str">
        <f t="shared" si="2"/>
        <v>PASS ✓</v>
      </c>
      <c r="D50" s="14" t="s">
        <v>2692</v>
      </c>
      <c r="E50" s="78" t="s">
        <v>2693</v>
      </c>
      <c r="F50" s="87">
        <v>10</v>
      </c>
      <c r="G50" s="87">
        <v>5</v>
      </c>
      <c r="H50" s="87">
        <v>5</v>
      </c>
      <c r="I50" s="87">
        <v>25</v>
      </c>
      <c r="J50" s="87">
        <v>25</v>
      </c>
      <c r="K50" s="87"/>
      <c r="L50" s="87"/>
      <c r="M50" s="87"/>
      <c r="N50" s="87"/>
      <c r="O50" s="87"/>
      <c r="P50" s="87"/>
      <c r="Q50" s="23" t="str">
        <f t="shared" si="3"/>
        <v>PASS</v>
      </c>
    </row>
    <row r="51" spans="1:17" ht="60" x14ac:dyDescent="0.2">
      <c r="A51" s="24" t="s">
        <v>125</v>
      </c>
      <c r="B51" s="108">
        <f>ROUND(MIN($F51,IF(AND(ISNUMBER($H51),$H51&gt;0),10*$G51/$H51,10),IF(AND(ISNUMBER($J51),$J51&gt;0),10*$I51/$J51,10)),1)</f>
        <v>10</v>
      </c>
      <c r="C51" t="str">
        <f t="shared" si="2"/>
        <v>PASS ✓</v>
      </c>
      <c r="D51" s="14" t="s">
        <v>2694</v>
      </c>
      <c r="E51" s="78" t="s">
        <v>2695</v>
      </c>
      <c r="F51" s="87">
        <v>10</v>
      </c>
      <c r="G51" s="87">
        <v>129</v>
      </c>
      <c r="H51" s="87">
        <v>129</v>
      </c>
      <c r="I51" s="87">
        <v>194</v>
      </c>
      <c r="J51" s="87">
        <v>194</v>
      </c>
      <c r="K51" s="87"/>
      <c r="L51" s="87"/>
      <c r="M51" s="87"/>
      <c r="N51" s="87"/>
      <c r="O51" s="87"/>
      <c r="P51" s="87"/>
      <c r="Q51" s="23" t="str">
        <f t="shared" si="3"/>
        <v>PASS</v>
      </c>
    </row>
    <row r="52" spans="1:17" ht="72" x14ac:dyDescent="0.2">
      <c r="A52" s="24" t="s">
        <v>89</v>
      </c>
      <c r="B52" s="108">
        <f>ROUND(MIN($F52,IF(AND(ISNUMBER($H52),$H52&gt;0),10*$G52/$H52,10)),1)</f>
        <v>10</v>
      </c>
      <c r="C52" t="str">
        <f t="shared" si="2"/>
        <v>PASS ✓</v>
      </c>
      <c r="D52" s="14" t="s">
        <v>2696</v>
      </c>
      <c r="E52" s="78" t="s">
        <v>2697</v>
      </c>
      <c r="F52" s="87">
        <v>10</v>
      </c>
      <c r="G52" s="87">
        <v>27</v>
      </c>
      <c r="H52" s="87">
        <v>27</v>
      </c>
      <c r="I52" s="87"/>
      <c r="J52" s="87"/>
      <c r="K52" s="87"/>
      <c r="L52" s="87"/>
      <c r="M52" s="87"/>
      <c r="N52" s="87"/>
      <c r="O52" s="87"/>
      <c r="P52" s="87"/>
      <c r="Q52" s="23" t="str">
        <f t="shared" si="3"/>
        <v>PASS</v>
      </c>
    </row>
    <row r="53" spans="1:17" ht="72" x14ac:dyDescent="0.2">
      <c r="A53" s="24" t="s">
        <v>106</v>
      </c>
      <c r="B53" s="108">
        <f>ROUND(MIN($F53,IF(AND(ISNUMBER($H53),$H53&gt;0),10*$G53/$H53,10)),1)</f>
        <v>10</v>
      </c>
      <c r="C53" t="str">
        <f t="shared" si="2"/>
        <v>PASS ✓</v>
      </c>
      <c r="D53" s="14" t="s">
        <v>2698</v>
      </c>
      <c r="E53" s="78" t="s">
        <v>2699</v>
      </c>
      <c r="F53" s="87">
        <v>10</v>
      </c>
      <c r="G53" s="87">
        <v>27</v>
      </c>
      <c r="H53" s="87">
        <v>27</v>
      </c>
      <c r="I53" s="87"/>
      <c r="J53" s="87"/>
      <c r="K53" s="87"/>
      <c r="L53" s="87"/>
      <c r="M53" s="87"/>
      <c r="N53" s="87"/>
      <c r="O53" s="87"/>
      <c r="P53" s="87"/>
      <c r="Q53" s="23" t="str">
        <f t="shared" si="3"/>
        <v>PASS</v>
      </c>
    </row>
    <row r="54" spans="1:17" ht="48" x14ac:dyDescent="0.2">
      <c r="A54" s="24" t="s">
        <v>102</v>
      </c>
      <c r="B54" s="108">
        <f>ROUND(MIN($F54,IF(AND(ISNUMBER($H54),$H54&gt;0),10*$G54/$H54,10)),1)</f>
        <v>9</v>
      </c>
      <c r="C54" t="str">
        <f t="shared" si="2"/>
        <v>PASS ✓</v>
      </c>
      <c r="D54" s="14" t="s">
        <v>2700</v>
      </c>
      <c r="E54" s="78" t="s">
        <v>2701</v>
      </c>
      <c r="F54" s="87">
        <v>9</v>
      </c>
      <c r="G54" s="87">
        <v>36</v>
      </c>
      <c r="H54" s="87">
        <v>39</v>
      </c>
      <c r="I54" s="87"/>
      <c r="J54" s="87"/>
      <c r="K54" s="87"/>
      <c r="L54" s="87"/>
      <c r="M54" s="87"/>
      <c r="N54" s="87"/>
      <c r="O54" s="87"/>
      <c r="P54" s="87"/>
      <c r="Q54" s="23" t="str">
        <f t="shared" si="3"/>
        <v>PASS</v>
      </c>
    </row>
    <row r="55" spans="1:17" ht="48" x14ac:dyDescent="0.2">
      <c r="A55" s="24" t="s">
        <v>100</v>
      </c>
      <c r="B55" s="108">
        <f>ROUND(MIN($F55,IF(AND(ISNUMBER($H55),$H55&gt;0),10*$G55/$H55,10)),1)</f>
        <v>10</v>
      </c>
      <c r="C55" t="str">
        <f t="shared" si="2"/>
        <v>PASS ✓</v>
      </c>
      <c r="D55" s="14" t="s">
        <v>2702</v>
      </c>
      <c r="E55" s="78" t="s">
        <v>2703</v>
      </c>
      <c r="F55" s="87">
        <v>10</v>
      </c>
      <c r="G55" s="87">
        <v>18</v>
      </c>
      <c r="H55" s="87">
        <v>18</v>
      </c>
      <c r="I55" s="87"/>
      <c r="J55" s="87"/>
      <c r="K55" s="87"/>
      <c r="L55" s="87"/>
      <c r="M55" s="87"/>
      <c r="N55" s="87"/>
      <c r="O55" s="87"/>
      <c r="P55" s="87"/>
      <c r="Q55" s="23" t="str">
        <f t="shared" si="3"/>
        <v>PASS</v>
      </c>
    </row>
    <row r="56" spans="1:17" ht="84" x14ac:dyDescent="0.2">
      <c r="A56" s="24" t="s">
        <v>108</v>
      </c>
      <c r="B56" s="111" t="str">
        <f>"n/a — verified out of scope"</f>
        <v>n/a — verified out of scope</v>
      </c>
      <c r="C56" t="str">
        <f t="shared" si="2"/>
        <v>VERIFIED — not scored</v>
      </c>
      <c r="D56" s="14" t="s">
        <v>2704</v>
      </c>
      <c r="E56" s="78" t="s">
        <v>2705</v>
      </c>
      <c r="F56" s="87"/>
      <c r="G56" s="87"/>
      <c r="H56" s="87"/>
      <c r="I56" s="87"/>
      <c r="J56" s="87"/>
      <c r="K56" s="87"/>
      <c r="L56" s="87"/>
      <c r="M56" s="87"/>
      <c r="N56" s="87"/>
      <c r="O56" s="87"/>
      <c r="P56" s="87"/>
      <c r="Q56" s="23" t="str">
        <f t="shared" si="3"/>
        <v>PASS</v>
      </c>
    </row>
    <row r="57" spans="1:17" ht="84" x14ac:dyDescent="0.2">
      <c r="A57" s="24" t="s">
        <v>98</v>
      </c>
      <c r="B57" s="108">
        <f>ROUND(MIN($F57,IF(AND(ISNUMBER($H57),$H57&gt;0),10*$G57/$H57,10),IF(AND(ISNUMBER($J57),$J57&gt;0),10*$I57/$J57,10)),1)</f>
        <v>9.6</v>
      </c>
      <c r="C57" t="str">
        <f t="shared" si="2"/>
        <v>PASS ✓</v>
      </c>
      <c r="D57" s="14" t="s">
        <v>2706</v>
      </c>
      <c r="E57" s="78" t="s">
        <v>2707</v>
      </c>
      <c r="F57" s="87">
        <v>9.6</v>
      </c>
      <c r="G57" s="87">
        <v>4</v>
      </c>
      <c r="H57" s="87">
        <v>4</v>
      </c>
      <c r="I57" s="87">
        <v>27</v>
      </c>
      <c r="J57" s="87">
        <v>28</v>
      </c>
      <c r="K57" s="87"/>
      <c r="L57" s="87"/>
      <c r="M57" s="87"/>
      <c r="N57" s="87"/>
      <c r="O57" s="87"/>
      <c r="P57" s="87"/>
      <c r="Q57" s="23" t="str">
        <f t="shared" si="3"/>
        <v>PASS</v>
      </c>
    </row>
    <row r="58" spans="1:17" ht="84" x14ac:dyDescent="0.2">
      <c r="A58" s="24" t="s">
        <v>123</v>
      </c>
      <c r="B58" s="108">
        <f>ROUND(MIN($F58,IF(AND(ISNUMBER($H58),$H58&gt;0),10*$G58/$H58,10),IF(AND(ISNUMBER($J58),$J58&gt;0),10*$I58/$J58,10),IF(AND(ISNUMBER($L58),$L58&gt;0),10*$K58/$L58,10)),1)</f>
        <v>10</v>
      </c>
      <c r="C58" t="str">
        <f t="shared" si="2"/>
        <v>PASS ✓</v>
      </c>
      <c r="D58" s="14"/>
      <c r="E58" s="78" t="s">
        <v>2708</v>
      </c>
      <c r="F58" s="87">
        <v>10</v>
      </c>
      <c r="G58" s="87">
        <v>4</v>
      </c>
      <c r="H58" s="87">
        <v>4</v>
      </c>
      <c r="I58" s="87">
        <v>1</v>
      </c>
      <c r="J58" s="87">
        <v>1</v>
      </c>
      <c r="K58" s="87">
        <v>33</v>
      </c>
      <c r="L58" s="87">
        <v>33</v>
      </c>
      <c r="M58" s="87"/>
      <c r="N58" s="87"/>
      <c r="O58" s="87"/>
      <c r="P58" s="87"/>
      <c r="Q58" s="23" t="str">
        <f t="shared" si="3"/>
        <v>PASS</v>
      </c>
    </row>
    <row r="59" spans="1:17" ht="72" x14ac:dyDescent="0.2">
      <c r="A59" s="24" t="s">
        <v>131</v>
      </c>
      <c r="B59" s="108">
        <f>ROUND(MIN($F59,IF(AND(ISNUMBER($H59),$H59&gt;0),10*$G59/$H59,10),IF(AND(ISNUMBER($J59),$J59&gt;0),10*$I59/$J59,10)),1)</f>
        <v>9.4</v>
      </c>
      <c r="C59" t="str">
        <f t="shared" si="2"/>
        <v>PASS ✓</v>
      </c>
      <c r="D59" s="14" t="s">
        <v>2709</v>
      </c>
      <c r="E59" s="78" t="s">
        <v>2710</v>
      </c>
      <c r="F59" s="87">
        <v>9.4</v>
      </c>
      <c r="G59" s="87">
        <v>17</v>
      </c>
      <c r="H59" s="87">
        <v>18</v>
      </c>
      <c r="I59" s="87">
        <v>54</v>
      </c>
      <c r="J59" s="87">
        <v>54</v>
      </c>
      <c r="K59" s="87"/>
      <c r="L59" s="87"/>
      <c r="M59" s="87"/>
      <c r="N59" s="87"/>
      <c r="O59" s="87"/>
      <c r="P59" s="87"/>
      <c r="Q59" s="23" t="str">
        <f t="shared" si="3"/>
        <v>PASS</v>
      </c>
    </row>
    <row r="60" spans="1:17" ht="36" x14ac:dyDescent="0.2">
      <c r="A60" s="24" t="s">
        <v>83</v>
      </c>
      <c r="B60" s="108">
        <f>ROUND(MIN($F60,IF(AND(ISNUMBER($H60),$H60&gt;0),10*$G60/$H60,10)),1)</f>
        <v>10</v>
      </c>
      <c r="C60" t="str">
        <f t="shared" si="2"/>
        <v>PASS ✓</v>
      </c>
      <c r="D60" s="14"/>
      <c r="E60" s="78" t="s">
        <v>2711</v>
      </c>
      <c r="F60" s="87">
        <v>10</v>
      </c>
      <c r="G60" s="87">
        <v>270</v>
      </c>
      <c r="H60" s="87">
        <v>270</v>
      </c>
      <c r="I60" s="87"/>
      <c r="J60" s="87"/>
      <c r="K60" s="87"/>
      <c r="L60" s="87"/>
      <c r="M60" s="87"/>
      <c r="N60" s="87"/>
      <c r="O60" s="87"/>
      <c r="P60" s="87"/>
      <c r="Q60" s="23" t="str">
        <f t="shared" si="3"/>
        <v>PASS</v>
      </c>
    </row>
    <row r="61" spans="1:17" ht="36" x14ac:dyDescent="0.2">
      <c r="A61" s="24" t="s">
        <v>85</v>
      </c>
      <c r="B61" s="108">
        <f>ROUND(MIN($F61,IF(AND(ISNUMBER($H61),$H61&gt;0),10*$G61/$H61,10)),1)</f>
        <v>9.9</v>
      </c>
      <c r="C61" t="str">
        <f t="shared" si="2"/>
        <v>PASS ✓</v>
      </c>
      <c r="D61" s="14" t="s">
        <v>2712</v>
      </c>
      <c r="E61" s="78" t="s">
        <v>2713</v>
      </c>
      <c r="F61" s="87">
        <v>10</v>
      </c>
      <c r="G61" s="87">
        <v>417</v>
      </c>
      <c r="H61" s="87">
        <v>423</v>
      </c>
      <c r="I61" s="87"/>
      <c r="J61" s="87"/>
      <c r="K61" s="87"/>
      <c r="L61" s="87"/>
      <c r="M61" s="87"/>
      <c r="N61" s="87"/>
      <c r="O61" s="87"/>
      <c r="P61" s="87"/>
      <c r="Q61" s="23" t="str">
        <f t="shared" si="3"/>
        <v>PASS</v>
      </c>
    </row>
    <row r="62" spans="1:17" ht="72" x14ac:dyDescent="0.2">
      <c r="A62" s="24" t="s">
        <v>137</v>
      </c>
      <c r="B62" s="108">
        <f>ROUND(MIN($F62,IF(AND(ISNUMBER($H62),$H62&gt;0),10*$G62/$H62,10)),1)</f>
        <v>10</v>
      </c>
      <c r="C62" t="str">
        <f t="shared" si="2"/>
        <v>PASS ✓</v>
      </c>
      <c r="D62" s="14"/>
      <c r="E62" s="78" t="s">
        <v>2714</v>
      </c>
      <c r="F62" s="87">
        <v>10</v>
      </c>
      <c r="G62" s="87">
        <v>304</v>
      </c>
      <c r="H62" s="87">
        <v>304</v>
      </c>
      <c r="I62" s="87"/>
      <c r="J62" s="87"/>
      <c r="K62" s="87"/>
      <c r="L62" s="87"/>
      <c r="M62" s="87"/>
      <c r="N62" s="87"/>
      <c r="O62" s="87"/>
      <c r="P62" s="87"/>
      <c r="Q62" s="23" t="str">
        <f t="shared" si="3"/>
        <v>PASS</v>
      </c>
    </row>
    <row r="63" spans="1:17" ht="60" x14ac:dyDescent="0.2">
      <c r="A63" s="24" t="s">
        <v>76</v>
      </c>
      <c r="B63" s="112">
        <f>ROUND(MIN($F63,IF(AND(ISNUMBER($H63),$H63&gt;0),10*$G63/$H63,10),IF(AND(ISNUMBER($J63),$J63&gt;0),10*$I63/$J63,10),IF(AND(ISNUMBER($L63),$L63&gt;0),10*$K63/$L63,10)),1)</f>
        <v>10</v>
      </c>
      <c r="C63" t="str">
        <f t="shared" si="2"/>
        <v>PASS ✓</v>
      </c>
      <c r="D63" s="14"/>
      <c r="E63" s="78" t="s">
        <v>2715</v>
      </c>
      <c r="F63" s="87">
        <v>10</v>
      </c>
      <c r="G63" s="87">
        <v>32</v>
      </c>
      <c r="H63" s="87">
        <v>32</v>
      </c>
      <c r="I63" s="87">
        <v>32</v>
      </c>
      <c r="J63" s="87">
        <v>32</v>
      </c>
      <c r="K63" s="87">
        <v>96</v>
      </c>
      <c r="L63" s="87">
        <v>96</v>
      </c>
      <c r="M63" s="87"/>
      <c r="N63" s="87"/>
      <c r="O63" s="87"/>
      <c r="P63" s="87"/>
      <c r="Q63" s="23" t="str">
        <f t="shared" si="3"/>
        <v>PASS</v>
      </c>
    </row>
    <row r="65" spans="1:6" x14ac:dyDescent="0.2">
      <c r="A65" s="24" t="s">
        <v>2716</v>
      </c>
      <c r="B65" s="64">
        <f>IF(COUNT($B$9:$B$17,$B$33:$B$55,$B$57:$B$63)=0,"—",MIN($B$9:$B$17,$B$33:$B$55,$B$57:$B$63))</f>
        <v>9</v>
      </c>
    </row>
    <row r="66" spans="1:6" x14ac:dyDescent="0.2">
      <c r="A66" s="24" t="s">
        <v>2717</v>
      </c>
      <c r="B66" s="64">
        <f>COUNTIF($B$9:$B$17,"&lt;8")+(COUNTA($B$9:$B$17)-COUNT($B$9:$B$17))+COUNTIF($B$33:$B$55,"&lt;8")+(COUNTA($B$33:$B$55)-COUNT($B$33:$B$55))+COUNTIF($B$57:$B$63,"&lt;8")+(COUNTA($B$57:$B$63)-COUNT($B$57:$B$63))</f>
        <v>0</v>
      </c>
    </row>
    <row r="68" spans="1:6" ht="21.75" customHeight="1" x14ac:dyDescent="0.2">
      <c r="A68" s="12" t="s">
        <v>2718</v>
      </c>
      <c r="B68" s="12"/>
      <c r="C68" s="12"/>
      <c r="D68" s="12"/>
      <c r="E68" s="12"/>
    </row>
    <row r="69" spans="1:6" x14ac:dyDescent="0.2">
      <c r="A69" s="4" t="s">
        <v>2719</v>
      </c>
      <c r="B69" s="4"/>
      <c r="C69" s="4"/>
      <c r="D69" s="4"/>
      <c r="E69" s="4"/>
    </row>
    <row r="71" spans="1:6" ht="19.5" customHeight="1" x14ac:dyDescent="0.2">
      <c r="A71" s="12" t="s">
        <v>2720</v>
      </c>
      <c r="B71" s="12"/>
      <c r="C71" s="12"/>
      <c r="D71" s="12"/>
      <c r="E71" s="12"/>
    </row>
    <row r="72" spans="1:6" ht="16" x14ac:dyDescent="0.2">
      <c r="A72" s="16" t="s">
        <v>2721</v>
      </c>
      <c r="B72" s="16" t="s">
        <v>2109</v>
      </c>
      <c r="C72" s="16" t="s">
        <v>2722</v>
      </c>
      <c r="D72" s="16" t="s">
        <v>2723</v>
      </c>
      <c r="E72" s="16" t="s">
        <v>1704</v>
      </c>
      <c r="F72" s="17" t="s">
        <v>20</v>
      </c>
    </row>
    <row r="73" spans="1:6" ht="48" x14ac:dyDescent="0.2">
      <c r="A73" s="40" t="s">
        <v>2724</v>
      </c>
      <c r="B73" s="18" t="s">
        <v>2725</v>
      </c>
      <c r="C73" s="39" t="s">
        <v>2573</v>
      </c>
      <c r="D73" s="39" t="s">
        <v>2726</v>
      </c>
      <c r="E73" s="39" t="s">
        <v>2727</v>
      </c>
      <c r="F73" s="23" t="str">
        <f>IF(AND(LEN(TRIM(A73&amp;""))&gt;0,TRIM(A73&amp;"")&lt;&gt;"—",LEN(TRIM(B73&amp;""))&gt;0,TRIM(B73&amp;"")&lt;&gt;"—",LEN(TRIM(C73&amp;""))&gt;0,TRIM(C73&amp;"")&lt;&gt;"—"),"PASS","⚠ FAIL — "&amp;"a required cell is empty/placeholder or wrong type")</f>
        <v>PASS</v>
      </c>
    </row>
    <row r="75" spans="1:6" ht="19.5" customHeight="1" x14ac:dyDescent="0.2">
      <c r="A75" s="12" t="s">
        <v>116</v>
      </c>
      <c r="B75" s="12"/>
      <c r="C75" s="12"/>
      <c r="D75" s="12"/>
      <c r="E75" s="12"/>
    </row>
    <row r="76" spans="1:6" ht="16" x14ac:dyDescent="0.2">
      <c r="A76" s="16" t="s">
        <v>2721</v>
      </c>
      <c r="B76" s="16" t="s">
        <v>2109</v>
      </c>
      <c r="C76" s="16" t="s">
        <v>2722</v>
      </c>
      <c r="D76" s="16" t="s">
        <v>2723</v>
      </c>
      <c r="E76" s="16" t="s">
        <v>1704</v>
      </c>
      <c r="F76" s="17" t="s">
        <v>20</v>
      </c>
    </row>
    <row r="77" spans="1:6" ht="64" x14ac:dyDescent="0.2">
      <c r="A77" s="113" t="s">
        <v>2728</v>
      </c>
      <c r="B77" s="18" t="s">
        <v>2729</v>
      </c>
      <c r="C77" s="39" t="s">
        <v>2730</v>
      </c>
      <c r="D77" s="39" t="s">
        <v>2731</v>
      </c>
      <c r="E77" s="39" t="s">
        <v>2732</v>
      </c>
      <c r="F77" s="23" t="str">
        <f>IF(AND(LEN(TRIM(A77&amp;""))&gt;0,TRIM(A77&amp;"")&lt;&gt;"—",LEN(TRIM(B77&amp;""))&gt;0,TRIM(B77&amp;"")&lt;&gt;"—",LEN(TRIM(C77&amp;""))&gt;0,TRIM(C77&amp;"")&lt;&gt;"—"),"PASS","⚠ FAIL — "&amp;"a required cell is empty/placeholder or wrong type")</f>
        <v>PASS</v>
      </c>
    </row>
    <row r="80" spans="1:6" ht="19.5" customHeight="1" x14ac:dyDescent="0.2">
      <c r="A80" s="12" t="s">
        <v>2733</v>
      </c>
      <c r="B80" s="12"/>
      <c r="C80" s="12"/>
      <c r="D80" s="12"/>
      <c r="E80" s="12"/>
    </row>
    <row r="81" spans="1:6" ht="24" customHeight="1" x14ac:dyDescent="0.2">
      <c r="A81" s="142" t="s">
        <v>2734</v>
      </c>
      <c r="B81" s="142"/>
      <c r="C81" s="142"/>
      <c r="D81" s="142"/>
      <c r="E81" s="142"/>
    </row>
    <row r="82" spans="1:6" ht="16" x14ac:dyDescent="0.2">
      <c r="A82" s="16" t="s">
        <v>2735</v>
      </c>
      <c r="B82" s="16" t="s">
        <v>2736</v>
      </c>
      <c r="C82" s="16" t="s">
        <v>2737</v>
      </c>
      <c r="D82" s="16" t="s">
        <v>2738</v>
      </c>
      <c r="E82" s="16" t="s">
        <v>2739</v>
      </c>
      <c r="F82" s="17" t="s">
        <v>20</v>
      </c>
    </row>
    <row r="83" spans="1:6" ht="32" x14ac:dyDescent="0.2">
      <c r="A83" s="18" t="s">
        <v>2740</v>
      </c>
      <c r="B83" s="39" t="s">
        <v>2741</v>
      </c>
      <c r="C83" s="39" t="s">
        <v>2742</v>
      </c>
      <c r="D83" s="18" t="s">
        <v>2743</v>
      </c>
      <c r="E83" s="77" t="str">
        <f>TRIM('Audit data'!$D$82&amp;IF(LEN(TRIM('Audit data'!$D$83&amp;""))&gt;0," — "&amp;'Audit data'!$D$83,""))</f>
        <v/>
      </c>
      <c r="F83" s="23" t="str">
        <f>IF(AND(LEN(TRIM(A83&amp;""))&gt;0,TRIM(A83&amp;"")&lt;&gt;"—",LEN(TRIM(E83&amp;""))&gt;0,TRIM(E83&amp;"")&lt;&gt;"—"),"PASS","⚠ FAIL — "&amp;"a required cell is empty/placeholder or wrong type")</f>
        <v>⚠ FAIL — a required cell is empty/placeholder or wrong type</v>
      </c>
    </row>
    <row r="84" spans="1:6" ht="16" x14ac:dyDescent="0.2">
      <c r="A84" s="18" t="s">
        <v>2744</v>
      </c>
      <c r="B84" s="39" t="s">
        <v>5</v>
      </c>
      <c r="C84" s="39" t="s">
        <v>2745</v>
      </c>
      <c r="D84" s="18" t="s">
        <v>2746</v>
      </c>
      <c r="E84" s="79" t="str">
        <f>TRIM('Audit data'!$D$84&amp;IF(LEN(TRIM('Audit data'!$D$85&amp;""))&gt;0," — "&amp;'Audit data'!$D$85,""))</f>
        <v/>
      </c>
      <c r="F84" s="23" t="str">
        <f>IF(AND(LEN(TRIM(A84&amp;""))&gt;0,TRIM(A84&amp;"")&lt;&gt;"—",LEN(TRIM(E84&amp;""))&gt;0,TRIM(E84&amp;"")&lt;&gt;"—"),"PASS","⚠ FAIL — "&amp;"a required cell is empty/placeholder or wrong type")</f>
        <v>⚠ FAIL — a required cell is empty/placeholder or wrong type</v>
      </c>
    </row>
    <row r="85" spans="1:6" ht="16" x14ac:dyDescent="0.2">
      <c r="A85" s="18" t="s">
        <v>2747</v>
      </c>
      <c r="B85" s="39" t="s">
        <v>2748</v>
      </c>
      <c r="C85" s="39" t="s">
        <v>2749</v>
      </c>
      <c r="D85" s="18" t="s">
        <v>2750</v>
      </c>
      <c r="E85" s="77" t="str">
        <f>TRIM('Audit data'!$D$86&amp;IF(LEN(TRIM('Audit data'!$D$87&amp;""))&gt;0," — "&amp;'Audit data'!$D$87,""))</f>
        <v/>
      </c>
      <c r="F85" s="23" t="str">
        <f>IF(AND(LEN(TRIM(A85&amp;""))&gt;0,TRIM(A85&amp;"")&lt;&gt;"—",LEN(TRIM(E85&amp;""))&gt;0,TRIM(E85&amp;"")&lt;&gt;"—"),"PASS","⚠ FAIL — "&amp;"a required cell is empty/placeholder or wrong type")</f>
        <v>⚠ FAIL — a required cell is empty/placeholder or wrong type</v>
      </c>
    </row>
    <row r="86" spans="1:6" ht="16" x14ac:dyDescent="0.2">
      <c r="A86" s="18" t="s">
        <v>2751</v>
      </c>
      <c r="B86" s="39" t="s">
        <v>2752</v>
      </c>
      <c r="C86" s="39" t="s">
        <v>2753</v>
      </c>
      <c r="D86" s="18" t="s">
        <v>2750</v>
      </c>
      <c r="E86" s="77" t="str">
        <f>TRIM('Audit data'!$D$88&amp;IF(LEN(TRIM('Audit data'!$D$89&amp;""))&gt;0," — "&amp;'Audit data'!$D$89,""))</f>
        <v/>
      </c>
      <c r="F86" s="23" t="str">
        <f>IF(AND(LEN(TRIM(A86&amp;""))&gt;0,TRIM(A86&amp;"")&lt;&gt;"—",LEN(TRIM(E86&amp;""))&gt;0,TRIM(E86&amp;"")&lt;&gt;"—"),"PASS","⚠ FAIL — "&amp;"a required cell is empty/placeholder or wrong type")</f>
        <v>⚠ FAIL — a required cell is empty/placeholder or wrong type</v>
      </c>
    </row>
  </sheetData>
  <mergeCells count="12">
    <mergeCell ref="A80:E80"/>
    <mergeCell ref="A81:E81"/>
    <mergeCell ref="A29:E29"/>
    <mergeCell ref="A68:E68"/>
    <mergeCell ref="A69:E69"/>
    <mergeCell ref="A71:E71"/>
    <mergeCell ref="A75:E75"/>
    <mergeCell ref="A1:E1"/>
    <mergeCell ref="A2:E2"/>
    <mergeCell ref="A3:E3"/>
    <mergeCell ref="A4:E4"/>
    <mergeCell ref="A22:D22"/>
  </mergeCells>
  <hyperlinks>
    <hyperlink ref="F1" location="'Contents'!A1" display="↑ Contents" xr:uid="{00000000-0004-0000-1700-000000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5A11"/>
  </sheetPr>
  <dimension ref="A1:F40"/>
  <sheetViews>
    <sheetView zoomScaleNormal="100" workbookViewId="0">
      <selection sqref="A1:E1"/>
    </sheetView>
  </sheetViews>
  <sheetFormatPr baseColWidth="10" defaultColWidth="8.6640625" defaultRowHeight="15" x14ac:dyDescent="0.2"/>
  <cols>
    <col min="1" max="2" width="30" customWidth="1"/>
    <col min="3" max="3" width="26" customWidth="1"/>
    <col min="4" max="4" width="18" customWidth="1"/>
    <col min="5" max="5" width="60" customWidth="1"/>
  </cols>
  <sheetData>
    <row r="1" spans="1:6" ht="25.5" customHeight="1" x14ac:dyDescent="0.2">
      <c r="A1" s="12" t="s">
        <v>2754</v>
      </c>
      <c r="B1" s="12"/>
      <c r="C1" s="12"/>
      <c r="D1" s="12"/>
      <c r="E1" s="12"/>
    </row>
    <row r="2" spans="1:6" ht="30" customHeight="1" x14ac:dyDescent="0.2">
      <c r="A2" s="11" t="str">
        <f>"⬤ TAB QUALITY "&amp;IF(ISNUMBER('Quality &amp; Audit'!$B$58),IF('Quality &amp; Audit'!$B$58=INT('Quality &amp; Audit'!$B$58),TEXT('Quality &amp; Audit'!$B$58,"0"),TEXT('Quality &amp; Audit'!$B$58,"0.0")),"—")&amp;"/10 · "&amp;IF(ISNUMBER('Quality &amp; Audit'!$B$58),IF('Quality &amp; Audit'!$B$58&gt;=8,"PASS","FAIL"),"UNSCORED")&amp;" (target ≥8, live from the Quality &amp; Audit score cell)"&amp;" · generative benchmark sanity net (gate 36): independent top-down LLM expectation diffed against the bottom-up engine, per-dimension — benchmark dimensions within the expe…"&amp;" · full audit: Quality &amp; Audit tab"</f>
        <v>⬤ TAB QUALITY 10/10 · PASS (target ≥8, live from the Quality &amp; Audit score cell) · generative benchmark sanity net (gate 36): independent top-down LLM expectation diffed against the bottom-up engine, per-dimension — benchmark dimensions within the expe… · full audit: Quality &amp; Audit tab</v>
      </c>
      <c r="B2" s="11"/>
      <c r="C2" s="11"/>
      <c r="D2" s="11"/>
      <c r="E2" s="11"/>
    </row>
    <row r="3" spans="1:6" ht="40.5" customHeight="1" x14ac:dyDescent="0.2">
      <c r="A3" s="10" t="s">
        <v>2755</v>
      </c>
      <c r="B3" s="10"/>
      <c r="C3" s="10"/>
      <c r="D3" s="10"/>
      <c r="E3" s="10"/>
    </row>
    <row r="4" spans="1:6" ht="20" x14ac:dyDescent="0.25">
      <c r="A4" s="114" t="s">
        <v>2756</v>
      </c>
      <c r="B4" s="111"/>
      <c r="E4" s="17" t="s">
        <v>2757</v>
      </c>
    </row>
    <row r="6" spans="1:6" x14ac:dyDescent="0.2">
      <c r="A6" s="6" t="s">
        <v>2758</v>
      </c>
      <c r="B6" s="6"/>
      <c r="C6" s="6"/>
      <c r="D6" s="6"/>
      <c r="E6" s="6"/>
    </row>
    <row r="7" spans="1:6" ht="16" x14ac:dyDescent="0.2">
      <c r="A7" s="16"/>
      <c r="B7" s="16" t="s">
        <v>2736</v>
      </c>
      <c r="C7" s="16" t="s">
        <v>2737</v>
      </c>
      <c r="D7" s="16" t="s">
        <v>2738</v>
      </c>
      <c r="E7" s="16" t="s">
        <v>599</v>
      </c>
      <c r="F7" s="17" t="s">
        <v>20</v>
      </c>
    </row>
    <row r="8" spans="1:6" ht="39" x14ac:dyDescent="0.2">
      <c r="A8" s="24" t="s">
        <v>2759</v>
      </c>
      <c r="B8" t="s">
        <v>2760</v>
      </c>
      <c r="C8" t="s">
        <v>2761</v>
      </c>
      <c r="D8" s="108" t="s">
        <v>2762</v>
      </c>
      <c r="E8" s="14" t="s">
        <v>2763</v>
      </c>
      <c r="F8" s="23" t="str">
        <f>IF(AND(LEN(TRIM(E8&amp;""))&gt;0,TRIM(E8&amp;"")&lt;&gt;"—"),"PASS","⚠ FAIL — "&amp;"a required cell is empty/placeholder or wrong type")</f>
        <v>PASS</v>
      </c>
    </row>
    <row r="10" spans="1:6" x14ac:dyDescent="0.2">
      <c r="A10" s="6" t="s">
        <v>2764</v>
      </c>
      <c r="B10" s="6"/>
      <c r="C10" s="6"/>
      <c r="D10" s="6"/>
      <c r="E10" s="6"/>
    </row>
    <row r="11" spans="1:6" ht="16" x14ac:dyDescent="0.2">
      <c r="A11" s="16" t="s">
        <v>2735</v>
      </c>
      <c r="B11" s="16" t="s">
        <v>2765</v>
      </c>
      <c r="C11" s="16" t="s">
        <v>2766</v>
      </c>
      <c r="D11" s="16" t="s">
        <v>2738</v>
      </c>
      <c r="E11" s="16" t="s">
        <v>2767</v>
      </c>
      <c r="F11" s="17" t="s">
        <v>20</v>
      </c>
    </row>
    <row r="12" spans="1:6" ht="48" x14ac:dyDescent="0.2">
      <c r="A12" s="24" t="s">
        <v>2740</v>
      </c>
      <c r="B12" s="57" t="s">
        <v>2741</v>
      </c>
      <c r="C12" s="57" t="s">
        <v>2742</v>
      </c>
      <c r="D12" t="s">
        <v>2762</v>
      </c>
      <c r="E12" s="108" t="str">
        <f>'Audit data'!$D$6</f>
        <v>ok</v>
      </c>
      <c r="F12" s="23" t="str">
        <f>IF(AND(LEN(TRIM(A12&amp;""))&gt;0,TRIM(A12&amp;"")&lt;&gt;"—",LEN(TRIM(E12&amp;""))&gt;0,TRIM(E12&amp;"")&lt;&gt;"—"),"PASS","⚠ FAIL — "&amp;"a required cell is empty/placeholder or wrong type")</f>
        <v>PASS</v>
      </c>
    </row>
    <row r="13" spans="1:6" ht="48" x14ac:dyDescent="0.2">
      <c r="A13" s="24" t="s">
        <v>2744</v>
      </c>
      <c r="B13" s="57" t="s">
        <v>5</v>
      </c>
      <c r="C13" s="57" t="s">
        <v>2745</v>
      </c>
      <c r="D13" t="s">
        <v>2768</v>
      </c>
      <c r="E13" s="111" t="str">
        <f>'Audit data'!$D$7</f>
        <v>warn</v>
      </c>
      <c r="F13" s="23" t="str">
        <f>IF(AND(LEN(TRIM(A13&amp;""))&gt;0,TRIM(A13&amp;"")&lt;&gt;"—",LEN(TRIM(E13&amp;""))&gt;0,TRIM(E13&amp;"")&lt;&gt;"—"),"PASS","⚠ FAIL — "&amp;"a required cell is empty/placeholder or wrong type")</f>
        <v>PASS</v>
      </c>
    </row>
    <row r="14" spans="1:6" ht="48" x14ac:dyDescent="0.2">
      <c r="A14" s="24" t="s">
        <v>2747</v>
      </c>
      <c r="B14" s="57" t="s">
        <v>2748</v>
      </c>
      <c r="C14" s="57" t="s">
        <v>2749</v>
      </c>
      <c r="D14" t="s">
        <v>2762</v>
      </c>
      <c r="E14" s="108" t="str">
        <f>'Audit data'!$D$8</f>
        <v>ok</v>
      </c>
      <c r="F14" s="23" t="str">
        <f>IF(AND(LEN(TRIM(A14&amp;""))&gt;0,TRIM(A14&amp;"")&lt;&gt;"—",LEN(TRIM(E14&amp;""))&gt;0,TRIM(E14&amp;"")&lt;&gt;"—"),"PASS","⚠ FAIL — "&amp;"a required cell is empty/placeholder or wrong type")</f>
        <v>PASS</v>
      </c>
    </row>
    <row r="15" spans="1:6" ht="48" x14ac:dyDescent="0.2">
      <c r="A15" s="24" t="s">
        <v>2751</v>
      </c>
      <c r="B15" s="57" t="s">
        <v>2752</v>
      </c>
      <c r="C15" s="57" t="s">
        <v>2753</v>
      </c>
      <c r="D15" t="s">
        <v>2762</v>
      </c>
      <c r="E15" s="108" t="str">
        <f>'Audit data'!$D$9</f>
        <v>ok</v>
      </c>
      <c r="F15" s="23" t="str">
        <f>IF(AND(LEN(TRIM(A15&amp;""))&gt;0,TRIM(A15&amp;"")&lt;&gt;"—",LEN(TRIM(E15&amp;""))&gt;0,TRIM(E15&amp;"")&lt;&gt;"—"),"PASS","⚠ FAIL — "&amp;"a required cell is empty/placeholder or wrong type")</f>
        <v>PASS</v>
      </c>
    </row>
    <row r="17" spans="1:6" x14ac:dyDescent="0.2">
      <c r="A17" s="6" t="s">
        <v>2769</v>
      </c>
      <c r="B17" s="6"/>
      <c r="C17" s="6"/>
      <c r="D17" s="6"/>
      <c r="E17" s="6"/>
    </row>
    <row r="18" spans="1:6" ht="16" x14ac:dyDescent="0.2">
      <c r="A18" s="16" t="s">
        <v>2770</v>
      </c>
      <c r="B18" s="16" t="s">
        <v>2771</v>
      </c>
      <c r="C18" s="16" t="s">
        <v>2772</v>
      </c>
      <c r="D18" s="16" t="s">
        <v>2773</v>
      </c>
      <c r="E18" s="16" t="s">
        <v>2774</v>
      </c>
      <c r="F18" s="17" t="s">
        <v>20</v>
      </c>
    </row>
    <row r="19" spans="1:6" ht="32" x14ac:dyDescent="0.2">
      <c r="A19" s="24" t="s">
        <v>366</v>
      </c>
      <c r="B19" s="57" t="s">
        <v>2775</v>
      </c>
      <c r="C19" s="112" t="s">
        <v>2776</v>
      </c>
      <c r="D19" t="s">
        <v>2777</v>
      </c>
      <c r="E19" s="14" t="s">
        <v>2778</v>
      </c>
      <c r="F19" s="23" t="str">
        <f t="shared" ref="F19:F25" si="0">IF(AND(LEN(TRIM(A19&amp;""))&gt;0,TRIM(A19&amp;"")&lt;&gt;"—",LEN(TRIM(B19&amp;""))&gt;0,TRIM(B19&amp;"")&lt;&gt;"—"),"PASS","⚠ FAIL — "&amp;"a required cell is empty/placeholder or wrong type")</f>
        <v>PASS</v>
      </c>
    </row>
    <row r="20" spans="1:6" ht="32" x14ac:dyDescent="0.2">
      <c r="A20" s="24" t="s">
        <v>2779</v>
      </c>
      <c r="B20" s="57" t="s">
        <v>2780</v>
      </c>
      <c r="C20" s="112" t="s">
        <v>2781</v>
      </c>
      <c r="D20" t="s">
        <v>2782</v>
      </c>
      <c r="E20" s="14" t="s">
        <v>2783</v>
      </c>
      <c r="F20" s="23" t="str">
        <f t="shared" si="0"/>
        <v>PASS</v>
      </c>
    </row>
    <row r="21" spans="1:6" ht="16" x14ac:dyDescent="0.2">
      <c r="A21" s="24" t="s">
        <v>2784</v>
      </c>
      <c r="B21" s="57" t="s">
        <v>2785</v>
      </c>
      <c r="C21" s="112" t="s">
        <v>2786</v>
      </c>
      <c r="D21" t="s">
        <v>2787</v>
      </c>
      <c r="E21" s="14" t="s">
        <v>2788</v>
      </c>
      <c r="F21" s="23" t="str">
        <f t="shared" si="0"/>
        <v>PASS</v>
      </c>
    </row>
    <row r="22" spans="1:6" ht="32" x14ac:dyDescent="0.2">
      <c r="A22" s="24" t="s">
        <v>2789</v>
      </c>
      <c r="B22" s="57" t="s">
        <v>2790</v>
      </c>
      <c r="C22" s="112" t="s">
        <v>2791</v>
      </c>
      <c r="D22" t="s">
        <v>2792</v>
      </c>
      <c r="E22" s="14" t="s">
        <v>2793</v>
      </c>
      <c r="F22" s="23" t="str">
        <f t="shared" si="0"/>
        <v>PASS</v>
      </c>
    </row>
    <row r="23" spans="1:6" ht="16" x14ac:dyDescent="0.2">
      <c r="A23" s="24" t="s">
        <v>2794</v>
      </c>
      <c r="B23" s="57" t="s">
        <v>2795</v>
      </c>
      <c r="C23" s="112" t="s">
        <v>2796</v>
      </c>
      <c r="D23" t="s">
        <v>2797</v>
      </c>
      <c r="E23" s="14" t="s">
        <v>2788</v>
      </c>
      <c r="F23" s="23" t="str">
        <f t="shared" si="0"/>
        <v>PASS</v>
      </c>
    </row>
    <row r="24" spans="1:6" ht="64" x14ac:dyDescent="0.2">
      <c r="A24" s="24" t="s">
        <v>2798</v>
      </c>
      <c r="B24" s="57" t="s">
        <v>2799</v>
      </c>
      <c r="C24" s="112" t="s">
        <v>2800</v>
      </c>
      <c r="D24" t="s">
        <v>2801</v>
      </c>
      <c r="E24" s="14" t="s">
        <v>2802</v>
      </c>
      <c r="F24" s="23" t="str">
        <f t="shared" si="0"/>
        <v>PASS</v>
      </c>
    </row>
    <row r="25" spans="1:6" ht="32" x14ac:dyDescent="0.2">
      <c r="A25" s="24" t="s">
        <v>2803</v>
      </c>
      <c r="B25" s="57" t="s">
        <v>2804</v>
      </c>
      <c r="C25" s="112" t="s">
        <v>2805</v>
      </c>
      <c r="D25" t="s">
        <v>2806</v>
      </c>
      <c r="E25" s="14" t="s">
        <v>2807</v>
      </c>
      <c r="F25" s="23" t="str">
        <f t="shared" si="0"/>
        <v>PASS</v>
      </c>
    </row>
    <row r="27" spans="1:6" x14ac:dyDescent="0.2">
      <c r="A27" s="6" t="s">
        <v>2808</v>
      </c>
      <c r="B27" s="6"/>
      <c r="C27" s="6"/>
      <c r="D27" s="6"/>
      <c r="E27" s="6"/>
    </row>
    <row r="28" spans="1:6" ht="16" x14ac:dyDescent="0.2">
      <c r="A28" s="16" t="s">
        <v>2809</v>
      </c>
      <c r="B28" s="16" t="s">
        <v>2810</v>
      </c>
      <c r="C28" s="16" t="s">
        <v>19</v>
      </c>
      <c r="D28" s="16"/>
      <c r="E28" s="16"/>
      <c r="F28" s="17" t="s">
        <v>20</v>
      </c>
    </row>
    <row r="29" spans="1:6" ht="39" x14ac:dyDescent="0.2">
      <c r="A29" s="24" t="s">
        <v>2811</v>
      </c>
      <c r="B29" t="s">
        <v>2812</v>
      </c>
      <c r="C29" s="14" t="s">
        <v>2813</v>
      </c>
      <c r="F29" s="23" t="str">
        <f>IF(AND(LEN(TRIM(A29&amp;""))&gt;0,TRIM(A29&amp;"")&lt;&gt;"—",LEN(TRIM(B29&amp;""))&gt;0,TRIM(B29&amp;"")&lt;&gt;"—"),"PASS","⚠ FAIL — "&amp;"a required cell is empty/placeholder or wrong type")</f>
        <v>PASS</v>
      </c>
    </row>
    <row r="30" spans="1:6" ht="26" x14ac:dyDescent="0.2">
      <c r="A30" s="24" t="s">
        <v>2814</v>
      </c>
      <c r="B30" t="s">
        <v>2815</v>
      </c>
      <c r="C30" s="14" t="s">
        <v>2816</v>
      </c>
      <c r="F30" s="23" t="str">
        <f>IF(AND(LEN(TRIM(A30&amp;""))&gt;0,TRIM(A30&amp;"")&lt;&gt;"—",LEN(TRIM(B30&amp;""))&gt;0,TRIM(B30&amp;"")&lt;&gt;"—"),"PASS","⚠ FAIL — "&amp;"a required cell is empty/placeholder or wrong type")</f>
        <v>PASS</v>
      </c>
    </row>
    <row r="31" spans="1:6" ht="26" x14ac:dyDescent="0.2">
      <c r="A31" s="24" t="s">
        <v>2817</v>
      </c>
      <c r="B31" t="s">
        <v>2818</v>
      </c>
      <c r="C31" s="14" t="s">
        <v>2819</v>
      </c>
      <c r="F31" s="23" t="str">
        <f>IF(AND(LEN(TRIM(A31&amp;""))&gt;0,TRIM(A31&amp;"")&lt;&gt;"—",LEN(TRIM(B31&amp;""))&gt;0,TRIM(B31&amp;"")&lt;&gt;"—"),"PASS","⚠ FAIL — "&amp;"a required cell is empty/placeholder or wrong type")</f>
        <v>PASS</v>
      </c>
    </row>
    <row r="32" spans="1:6" x14ac:dyDescent="0.2">
      <c r="A32" s="24" t="s">
        <v>2820</v>
      </c>
      <c r="B32" t="s">
        <v>2818</v>
      </c>
      <c r="C32" s="14" t="s">
        <v>2821</v>
      </c>
      <c r="F32" s="23" t="str">
        <f>IF(AND(LEN(TRIM(A32&amp;""))&gt;0,TRIM(A32&amp;"")&lt;&gt;"—",LEN(TRIM(B32&amp;""))&gt;0,TRIM(B32&amp;"")&lt;&gt;"—"),"PASS","⚠ FAIL — "&amp;"a required cell is empty/placeholder or wrong type")</f>
        <v>PASS</v>
      </c>
    </row>
    <row r="33" spans="1:6" ht="26" x14ac:dyDescent="0.2">
      <c r="A33" s="24" t="s">
        <v>2822</v>
      </c>
      <c r="B33" t="s">
        <v>2818</v>
      </c>
      <c r="C33" s="14" t="s">
        <v>2823</v>
      </c>
      <c r="F33" s="23" t="str">
        <f>IF(AND(LEN(TRIM(A33&amp;""))&gt;0,TRIM(A33&amp;"")&lt;&gt;"—",LEN(TRIM(B33&amp;""))&gt;0,TRIM(B33&amp;"")&lt;&gt;"—"),"PASS","⚠ FAIL — "&amp;"a required cell is empty/placeholder or wrong type")</f>
        <v>PASS</v>
      </c>
    </row>
    <row r="35" spans="1:6" x14ac:dyDescent="0.2">
      <c r="A35" s="6" t="s">
        <v>2824</v>
      </c>
      <c r="B35" s="6"/>
      <c r="C35" s="6"/>
      <c r="D35" s="6"/>
      <c r="E35" s="6"/>
    </row>
    <row r="36" spans="1:6" ht="15" customHeight="1" x14ac:dyDescent="0.2">
      <c r="A36" s="8" t="s">
        <v>2825</v>
      </c>
      <c r="B36" s="8"/>
      <c r="C36" s="8"/>
      <c r="D36" s="8"/>
      <c r="E36" s="8"/>
    </row>
    <row r="37" spans="1:6" x14ac:dyDescent="0.2">
      <c r="A37" s="8"/>
      <c r="B37" s="8"/>
      <c r="C37" s="8"/>
      <c r="D37" s="8"/>
      <c r="E37" s="8"/>
    </row>
    <row r="38" spans="1:6" x14ac:dyDescent="0.2">
      <c r="A38" s="8"/>
      <c r="B38" s="8"/>
      <c r="C38" s="8"/>
      <c r="D38" s="8"/>
      <c r="E38" s="8"/>
    </row>
    <row r="39" spans="1:6" x14ac:dyDescent="0.2">
      <c r="A39" s="8"/>
      <c r="B39" s="8"/>
      <c r="C39" s="8"/>
      <c r="D39" s="8"/>
      <c r="E39" s="8"/>
    </row>
    <row r="40" spans="1:6" x14ac:dyDescent="0.2">
      <c r="A40" s="8"/>
      <c r="B40" s="8"/>
      <c r="C40" s="8"/>
      <c r="D40" s="8"/>
      <c r="E40" s="8"/>
    </row>
  </sheetData>
  <mergeCells count="9">
    <mergeCell ref="A17:E17"/>
    <mergeCell ref="A27:E27"/>
    <mergeCell ref="A35:E35"/>
    <mergeCell ref="A36:E40"/>
    <mergeCell ref="A1:E1"/>
    <mergeCell ref="A2:E2"/>
    <mergeCell ref="A3:E3"/>
    <mergeCell ref="A6:E6"/>
    <mergeCell ref="A10:E10"/>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55A11"/>
  </sheetPr>
  <dimension ref="A1:T198"/>
  <sheetViews>
    <sheetView zoomScaleNormal="100" workbookViewId="0">
      <pane ySplit="4" topLeftCell="A5" activePane="bottomLeft" state="frozen"/>
      <selection pane="bottomLeft" sqref="A1:G1"/>
    </sheetView>
  </sheetViews>
  <sheetFormatPr baseColWidth="10" defaultColWidth="8.6640625" defaultRowHeight="15" x14ac:dyDescent="0.2"/>
  <cols>
    <col min="1" max="1" width="46" customWidth="1"/>
    <col min="2" max="3" width="16" customWidth="1"/>
    <col min="4" max="4" width="14" customWidth="1"/>
    <col min="5" max="5" width="10" customWidth="1"/>
    <col min="6" max="6" width="12" customWidth="1"/>
    <col min="7" max="7" width="52" customWidth="1"/>
    <col min="8" max="8" width="13" customWidth="1"/>
  </cols>
  <sheetData>
    <row r="1" spans="1:20" ht="25.5" customHeight="1" x14ac:dyDescent="0.2">
      <c r="A1" s="12" t="s">
        <v>2826</v>
      </c>
      <c r="B1" s="12"/>
      <c r="C1" s="12"/>
      <c r="D1" s="12"/>
      <c r="E1" s="12"/>
      <c r="F1" s="12"/>
      <c r="G1" s="12"/>
      <c r="H1" s="30" t="s">
        <v>140</v>
      </c>
    </row>
    <row r="2" spans="1:20" ht="30" customHeight="1" x14ac:dyDescent="0.2">
      <c r="A2" s="11" t="str">
        <f>"⬤ TAB QUALITY "&amp;IF(ISNUMBER('Quality &amp; Audit'!$B$51),IF('Quality &amp; Audit'!$B$51=INT('Quality &amp; Audit'!$B$51),TEXT('Quality &amp; Audit'!$B$51,"0"),TEXT('Quality &amp; Audit'!$B$51,"0.0")),"—")&amp;"/10 · "&amp;IF(ISNUMBER('Quality &amp; Audit'!$B$51),IF('Quality &amp; Audit'!$B$51&gt;=8,"PASS","FAIL"),"UNSCORED")&amp;" (target ≥8, live from the Quality &amp; Audit score cell)"&amp;" · fail-count formula: 10 if 0 FAIL else max(0, 8 − 2 × fails) — deterministic invariants pass 129/129; cell completeness+type contract 194/194 · score = min over checks of…"&amp;" · full audit: Quality &amp; Audit tab"</f>
        <v>⬤ TAB QUALITY 10/10 · PASS (target ≥8, live from the Quality &amp; Audit score cell) · fail-count formula: 10 if 0 FAIL else max(0, 8 − 2 × fails) — deterministic invariants pass 129/129; cell completeness+type contract 194/194 · score = min over checks of… · full audit: Quality &amp; Audit tab</v>
      </c>
      <c r="B2" s="11"/>
      <c r="C2" s="11"/>
      <c r="D2" s="11"/>
      <c r="E2" s="11"/>
      <c r="F2" s="11"/>
      <c r="G2" s="11"/>
    </row>
    <row r="3" spans="1:20" ht="40.5" customHeight="1" x14ac:dyDescent="0.2">
      <c r="A3" s="10" t="s">
        <v>2827</v>
      </c>
      <c r="B3" s="10"/>
      <c r="C3" s="10"/>
      <c r="D3" s="10"/>
      <c r="E3" s="10"/>
      <c r="F3" s="10"/>
      <c r="G3" s="10"/>
    </row>
    <row r="4" spans="1:20" ht="16" x14ac:dyDescent="0.2">
      <c r="A4" s="16" t="s">
        <v>2109</v>
      </c>
      <c r="B4" s="16" t="s">
        <v>2828</v>
      </c>
      <c r="C4" s="16" t="s">
        <v>2829</v>
      </c>
      <c r="D4" s="16" t="s">
        <v>2830</v>
      </c>
      <c r="E4" s="16" t="s">
        <v>2831</v>
      </c>
      <c r="F4" s="16" t="s">
        <v>9</v>
      </c>
      <c r="G4" s="16" t="s">
        <v>2832</v>
      </c>
      <c r="H4" s="17" t="s">
        <v>20</v>
      </c>
      <c r="J4" s="24" t="s">
        <v>2833</v>
      </c>
      <c r="P4" s="24" t="s">
        <v>2834</v>
      </c>
    </row>
    <row r="5" spans="1:20" x14ac:dyDescent="0.2">
      <c r="A5" s="6" t="s">
        <v>2835</v>
      </c>
      <c r="B5" s="6"/>
      <c r="C5" s="6"/>
      <c r="D5" s="6"/>
      <c r="E5" s="6"/>
      <c r="F5" s="6"/>
      <c r="G5" s="6"/>
      <c r="P5" t="s">
        <v>2836</v>
      </c>
      <c r="Q5" s="111">
        <v>800</v>
      </c>
      <c r="R5" s="111">
        <v>800</v>
      </c>
      <c r="S5" s="111">
        <v>1</v>
      </c>
      <c r="T5">
        <f>IF(ABS($Q$5*$S$5-$R$5)&lt;4,0,1)</f>
        <v>0</v>
      </c>
    </row>
    <row r="6" spans="1:20" ht="39" x14ac:dyDescent="0.2">
      <c r="A6" s="39" t="s">
        <v>2837</v>
      </c>
      <c r="B6" s="18">
        <f>SUM($T$5:$T$177)</f>
        <v>0</v>
      </c>
      <c r="C6" s="18">
        <f>$L$6</f>
        <v>0</v>
      </c>
      <c r="D6" s="18">
        <f t="shared" ref="D6:D12" si="0">B6-C6</f>
        <v>0</v>
      </c>
      <c r="E6" s="18">
        <v>0</v>
      </c>
      <c r="F6" s="115" t="str">
        <f>IF(B6&lt;=C6,"PASS","FAIL")</f>
        <v>PASS</v>
      </c>
      <c r="G6" s="22" t="s">
        <v>2838</v>
      </c>
      <c r="H6" s="23" t="str">
        <f t="shared" ref="H6:H12" si="1">IF(AND(LEN(TRIM(A6&amp;""))&gt;0,TRIM(A6&amp;"")&lt;&gt;"—",LEN(TRIM(B6&amp;""))&gt;0,TRIM(B6&amp;"")&lt;&gt;"—",LEN(TRIM(C6&amp;""))&gt;0,TRIM(C6&amp;"")&lt;&gt;"—",LEN(TRIM(F6&amp;""))&gt;0,TRIM(F6&amp;"")&lt;&gt;"—"),"PASS","⚠ FAIL — "&amp;"a required cell is empty/placeholder or wrong type")</f>
        <v>PASS</v>
      </c>
      <c r="J6" t="s">
        <v>2837</v>
      </c>
      <c r="L6" s="111">
        <v>0</v>
      </c>
      <c r="P6" t="s">
        <v>2839</v>
      </c>
      <c r="Q6" s="111">
        <v>283</v>
      </c>
      <c r="R6" s="111">
        <v>283</v>
      </c>
      <c r="S6" s="111">
        <v>1</v>
      </c>
      <c r="T6">
        <f>IF(ABS($Q$6*$S$6-$R$6)&lt;1.415,0,1)</f>
        <v>0</v>
      </c>
    </row>
    <row r="7" spans="1:20" ht="39" x14ac:dyDescent="0.2">
      <c r="A7" s="39" t="s">
        <v>2840</v>
      </c>
      <c r="B7" s="18">
        <f>SUM($T$178:$T$194)</f>
        <v>0</v>
      </c>
      <c r="C7" s="18">
        <f>$L$7</f>
        <v>0</v>
      </c>
      <c r="D7" s="18">
        <f t="shared" si="0"/>
        <v>0</v>
      </c>
      <c r="E7" s="18">
        <v>0</v>
      </c>
      <c r="F7" s="115" t="str">
        <f>IF(B7&lt;=C7,"PASS","FAIL")</f>
        <v>PASS</v>
      </c>
      <c r="G7" s="22" t="s">
        <v>2841</v>
      </c>
      <c r="H7" s="23" t="str">
        <f t="shared" si="1"/>
        <v>PASS</v>
      </c>
      <c r="J7" t="s">
        <v>2840</v>
      </c>
      <c r="L7" s="111">
        <v>0</v>
      </c>
      <c r="P7" t="s">
        <v>2842</v>
      </c>
      <c r="Q7" s="111">
        <v>1</v>
      </c>
      <c r="R7" s="111">
        <v>1</v>
      </c>
      <c r="S7" s="111">
        <v>1</v>
      </c>
      <c r="T7">
        <f>IF(ABS($Q$7*$S$7-$R$7)&lt;1,0,1)</f>
        <v>0</v>
      </c>
    </row>
    <row r="8" spans="1:20" ht="32" x14ac:dyDescent="0.2">
      <c r="A8" s="39" t="s">
        <v>2843</v>
      </c>
      <c r="B8" s="18">
        <f>$K$8</f>
        <v>4</v>
      </c>
      <c r="C8" s="18">
        <f>$L$8</f>
        <v>4.0999999999999996</v>
      </c>
      <c r="D8" s="18">
        <f t="shared" si="0"/>
        <v>-9.9999999999999645E-2</v>
      </c>
      <c r="E8" s="18">
        <v>0.5</v>
      </c>
      <c r="F8" s="115" t="str">
        <f>IF(ABS(D8)&lt;E8,"PASS","FAIL")</f>
        <v>PASS</v>
      </c>
      <c r="G8" s="22" t="s">
        <v>2844</v>
      </c>
      <c r="H8" s="23" t="str">
        <f t="shared" si="1"/>
        <v>PASS</v>
      </c>
      <c r="J8" t="s">
        <v>2843</v>
      </c>
      <c r="K8" s="111">
        <v>4</v>
      </c>
      <c r="L8" s="111">
        <v>4.0999999999999996</v>
      </c>
      <c r="P8" t="s">
        <v>2845</v>
      </c>
      <c r="Q8" s="111">
        <v>168</v>
      </c>
      <c r="R8" s="111">
        <v>168</v>
      </c>
      <c r="S8" s="111">
        <v>1</v>
      </c>
      <c r="T8">
        <f>IF(ABS($Q$8*$S$8-$R$8)&lt;1,0,1)</f>
        <v>0</v>
      </c>
    </row>
    <row r="9" spans="1:20" ht="32" x14ac:dyDescent="0.2">
      <c r="A9" s="39" t="s">
        <v>2846</v>
      </c>
      <c r="B9" s="18">
        <f>$K$9</f>
        <v>8</v>
      </c>
      <c r="C9" s="18">
        <f>$L$9</f>
        <v>7.5</v>
      </c>
      <c r="D9" s="18">
        <f t="shared" si="0"/>
        <v>0.5</v>
      </c>
      <c r="E9" s="18">
        <v>0.75</v>
      </c>
      <c r="F9" s="115" t="str">
        <f>IF(ABS(D9)&lt;E9,"PASS","FAIL")</f>
        <v>PASS</v>
      </c>
      <c r="G9" s="22" t="s">
        <v>2847</v>
      </c>
      <c r="H9" s="23" t="str">
        <f t="shared" si="1"/>
        <v>PASS</v>
      </c>
      <c r="J9" t="s">
        <v>2846</v>
      </c>
      <c r="K9" s="111">
        <v>8</v>
      </c>
      <c r="L9" s="111">
        <v>7.5</v>
      </c>
      <c r="P9" t="s">
        <v>2848</v>
      </c>
      <c r="Q9" s="111">
        <v>3</v>
      </c>
      <c r="R9" s="111">
        <v>3</v>
      </c>
      <c r="S9" s="111">
        <v>1</v>
      </c>
      <c r="T9">
        <f>IF(ABS($Q$9*$S$9-$R$9)&lt;1,0,1)</f>
        <v>0</v>
      </c>
    </row>
    <row r="10" spans="1:20" ht="32" x14ac:dyDescent="0.2">
      <c r="A10" s="39" t="s">
        <v>2849</v>
      </c>
      <c r="B10" s="18">
        <f>$K$10</f>
        <v>2</v>
      </c>
      <c r="C10" s="18">
        <f>$L$10</f>
        <v>1.923</v>
      </c>
      <c r="D10" s="18">
        <f t="shared" si="0"/>
        <v>7.6999999999999957E-2</v>
      </c>
      <c r="E10" s="18">
        <v>0.5</v>
      </c>
      <c r="F10" s="115" t="str">
        <f>IF(ABS(D10)&lt;E10,"PASS","FAIL")</f>
        <v>PASS</v>
      </c>
      <c r="G10" s="22" t="s">
        <v>2850</v>
      </c>
      <c r="H10" s="23" t="str">
        <f t="shared" si="1"/>
        <v>PASS</v>
      </c>
      <c r="J10" t="s">
        <v>2849</v>
      </c>
      <c r="K10" s="111">
        <v>2</v>
      </c>
      <c r="L10" s="111">
        <v>1.923</v>
      </c>
      <c r="P10" t="s">
        <v>2851</v>
      </c>
      <c r="Q10" s="111">
        <v>19200</v>
      </c>
      <c r="R10" s="111">
        <v>19200</v>
      </c>
      <c r="S10" s="111">
        <v>1</v>
      </c>
      <c r="T10">
        <f>IF(ABS($Q$10*$S$10-$R$10)&lt;96,0,1)</f>
        <v>0</v>
      </c>
    </row>
    <row r="11" spans="1:20" ht="32" x14ac:dyDescent="0.2">
      <c r="A11" s="39" t="s">
        <v>2852</v>
      </c>
      <c r="B11" s="18">
        <f>$K$11</f>
        <v>4</v>
      </c>
      <c r="C11" s="18">
        <f>$L$11</f>
        <v>4.2</v>
      </c>
      <c r="D11" s="18">
        <f t="shared" si="0"/>
        <v>-0.20000000000000018</v>
      </c>
      <c r="E11" s="18">
        <v>0.5</v>
      </c>
      <c r="F11" s="115" t="str">
        <f>IF(ABS(D11)&lt;E11,"PASS","FAIL")</f>
        <v>PASS</v>
      </c>
      <c r="G11" s="22" t="s">
        <v>2853</v>
      </c>
      <c r="H11" s="23" t="str">
        <f t="shared" si="1"/>
        <v>PASS</v>
      </c>
      <c r="J11" t="s">
        <v>2852</v>
      </c>
      <c r="K11" s="111">
        <v>4</v>
      </c>
      <c r="L11" s="111">
        <v>4.2</v>
      </c>
      <c r="P11" t="s">
        <v>2854</v>
      </c>
      <c r="Q11" s="111">
        <v>4000</v>
      </c>
      <c r="R11" s="111">
        <v>4000</v>
      </c>
      <c r="S11" s="111">
        <v>1</v>
      </c>
      <c r="T11">
        <f>IF(ABS($Q$11*$S$11-$R$11)&lt;20,0,1)</f>
        <v>0</v>
      </c>
    </row>
    <row r="12" spans="1:20" ht="32" x14ac:dyDescent="0.2">
      <c r="A12" s="39" t="s">
        <v>2855</v>
      </c>
      <c r="B12" s="18">
        <f>$K$12</f>
        <v>0</v>
      </c>
      <c r="C12" s="18">
        <f>$L$12</f>
        <v>0</v>
      </c>
      <c r="D12" s="18">
        <f t="shared" si="0"/>
        <v>0</v>
      </c>
      <c r="E12" s="18">
        <v>0</v>
      </c>
      <c r="F12" s="115" t="str">
        <f>IF(B12&lt;=C12+E12,"PASS","FAIL")</f>
        <v>PASS</v>
      </c>
      <c r="G12" s="22" t="s">
        <v>2856</v>
      </c>
      <c r="H12" s="23" t="str">
        <f t="shared" si="1"/>
        <v>PASS</v>
      </c>
      <c r="J12" t="s">
        <v>2855</v>
      </c>
      <c r="K12" s="111">
        <v>0</v>
      </c>
      <c r="L12" s="111">
        <v>0</v>
      </c>
      <c r="P12" t="s">
        <v>2857</v>
      </c>
      <c r="Q12" s="111">
        <v>62650</v>
      </c>
      <c r="R12" s="111">
        <v>62650</v>
      </c>
      <c r="S12" s="111">
        <v>1</v>
      </c>
      <c r="T12">
        <f>IF(ABS($Q$12*$S$12-$R$12)&lt;313.25,0,1)</f>
        <v>0</v>
      </c>
    </row>
    <row r="13" spans="1:20" x14ac:dyDescent="0.2">
      <c r="P13" t="s">
        <v>2858</v>
      </c>
      <c r="Q13" s="111">
        <v>3000</v>
      </c>
      <c r="R13" s="111">
        <v>3000</v>
      </c>
      <c r="S13" s="111">
        <v>1</v>
      </c>
      <c r="T13">
        <f>IF(ABS($Q$13*$S$13-$R$13)&lt;15,0,1)</f>
        <v>0</v>
      </c>
    </row>
    <row r="14" spans="1:20" x14ac:dyDescent="0.2">
      <c r="A14" s="6" t="s">
        <v>2859</v>
      </c>
      <c r="B14" s="6"/>
      <c r="C14" s="6"/>
      <c r="D14" s="6"/>
      <c r="E14" s="6"/>
      <c r="F14" s="6"/>
      <c r="G14" s="6"/>
      <c r="P14" t="s">
        <v>2860</v>
      </c>
      <c r="Q14" s="111">
        <v>3000</v>
      </c>
      <c r="R14" s="111">
        <v>3000</v>
      </c>
      <c r="S14" s="111">
        <v>1</v>
      </c>
      <c r="T14">
        <f>IF(ABS($Q$14*$S$14-$R$14)&lt;15,0,1)</f>
        <v>0</v>
      </c>
    </row>
    <row r="15" spans="1:20" ht="52" x14ac:dyDescent="0.2">
      <c r="A15" s="39" t="s">
        <v>2861</v>
      </c>
      <c r="B15" s="18">
        <f>$K$15</f>
        <v>75</v>
      </c>
      <c r="C15" s="18">
        <f>$L$15</f>
        <v>66.25</v>
      </c>
      <c r="D15" s="18">
        <f t="shared" ref="D15:D34" si="2">B15-C15</f>
        <v>8.75</v>
      </c>
      <c r="E15" s="18">
        <v>0</v>
      </c>
      <c r="F15" s="115" t="str">
        <f>IF(AND(B15&gt;=C15-E15,B15&lt;=5300),"PASS","FAIL")</f>
        <v>PASS</v>
      </c>
      <c r="G15" s="22" t="s">
        <v>2862</v>
      </c>
      <c r="J15" t="s">
        <v>2861</v>
      </c>
      <c r="K15" s="111">
        <v>75</v>
      </c>
      <c r="L15" s="111">
        <v>66.25</v>
      </c>
      <c r="P15" t="s">
        <v>2863</v>
      </c>
      <c r="Q15" s="111">
        <v>283</v>
      </c>
      <c r="R15" s="111">
        <v>283</v>
      </c>
      <c r="S15" s="111">
        <v>1</v>
      </c>
      <c r="T15">
        <f>IF(ABS($Q$15*$S$15-$R$15)&lt;1.415,0,1)</f>
        <v>0</v>
      </c>
    </row>
    <row r="16" spans="1:20" ht="26" x14ac:dyDescent="0.2">
      <c r="A16" s="39" t="s">
        <v>2864</v>
      </c>
      <c r="B16" s="18">
        <f>$K$16</f>
        <v>1.5</v>
      </c>
      <c r="C16" s="18">
        <f>$L$16</f>
        <v>1.5</v>
      </c>
      <c r="D16" s="18">
        <f t="shared" si="2"/>
        <v>0</v>
      </c>
      <c r="E16" s="18">
        <v>0</v>
      </c>
      <c r="F16" s="115" t="str">
        <f t="shared" ref="F16:F34" si="3">IF(B16&gt;=C16-E16,"PASS","FAIL")</f>
        <v>PASS</v>
      </c>
      <c r="G16" s="22" t="s">
        <v>2865</v>
      </c>
      <c r="J16" t="s">
        <v>2864</v>
      </c>
      <c r="K16" s="111">
        <v>1.5</v>
      </c>
      <c r="L16" s="111">
        <v>1.5</v>
      </c>
      <c r="P16" t="s">
        <v>2866</v>
      </c>
      <c r="Q16" s="111">
        <v>2</v>
      </c>
      <c r="R16" s="111">
        <v>2</v>
      </c>
      <c r="S16" s="111">
        <v>1</v>
      </c>
      <c r="T16">
        <f>IF(ABS($Q$16*$S$16-$R$16)&lt;1,0,1)</f>
        <v>0</v>
      </c>
    </row>
    <row r="17" spans="1:20" ht="26" x14ac:dyDescent="0.2">
      <c r="A17" s="39" t="s">
        <v>2867</v>
      </c>
      <c r="B17" s="18">
        <f>$K$17</f>
        <v>1.5</v>
      </c>
      <c r="C17" s="18">
        <f>$L$17</f>
        <v>1.5</v>
      </c>
      <c r="D17" s="18">
        <f t="shared" si="2"/>
        <v>0</v>
      </c>
      <c r="E17" s="18">
        <v>0</v>
      </c>
      <c r="F17" s="115" t="str">
        <f t="shared" si="3"/>
        <v>PASS</v>
      </c>
      <c r="G17" s="22" t="s">
        <v>2868</v>
      </c>
      <c r="J17" t="s">
        <v>2867</v>
      </c>
      <c r="K17" s="111">
        <v>1.5</v>
      </c>
      <c r="L17" s="111">
        <v>1.5</v>
      </c>
      <c r="P17" t="s">
        <v>2869</v>
      </c>
      <c r="Q17" s="111">
        <v>9100</v>
      </c>
      <c r="R17" s="111">
        <v>9100</v>
      </c>
      <c r="S17" s="111">
        <v>1</v>
      </c>
      <c r="T17">
        <f>IF(ABS($Q$17*$S$17-$R$17)&lt;45.5,0,1)</f>
        <v>0</v>
      </c>
    </row>
    <row r="18" spans="1:20" ht="26" x14ac:dyDescent="0.2">
      <c r="A18" s="39" t="s">
        <v>2870</v>
      </c>
      <c r="B18" s="18">
        <f>$K$18</f>
        <v>1.5</v>
      </c>
      <c r="C18" s="18">
        <f>$L$18</f>
        <v>1.5</v>
      </c>
      <c r="D18" s="18">
        <f t="shared" si="2"/>
        <v>0</v>
      </c>
      <c r="E18" s="18">
        <v>0</v>
      </c>
      <c r="F18" s="115" t="str">
        <f t="shared" si="3"/>
        <v>PASS</v>
      </c>
      <c r="G18" s="22" t="s">
        <v>2871</v>
      </c>
      <c r="J18" t="s">
        <v>2870</v>
      </c>
      <c r="K18" s="111">
        <v>1.5</v>
      </c>
      <c r="L18" s="111">
        <v>1.5</v>
      </c>
      <c r="P18" t="s">
        <v>2872</v>
      </c>
      <c r="Q18" s="111">
        <v>1</v>
      </c>
      <c r="R18" s="111">
        <v>1</v>
      </c>
      <c r="S18" s="111">
        <v>1</v>
      </c>
      <c r="T18">
        <f>IF(ABS($Q$18*$S$18-$R$18)&lt;1,0,1)</f>
        <v>0</v>
      </c>
    </row>
    <row r="19" spans="1:20" ht="26" x14ac:dyDescent="0.2">
      <c r="A19" s="39" t="s">
        <v>2873</v>
      </c>
      <c r="B19" s="18">
        <f>$K$19</f>
        <v>1.5</v>
      </c>
      <c r="C19" s="18">
        <f>$L$19</f>
        <v>1.5</v>
      </c>
      <c r="D19" s="18">
        <f t="shared" si="2"/>
        <v>0</v>
      </c>
      <c r="E19" s="18">
        <v>0</v>
      </c>
      <c r="F19" s="115" t="str">
        <f t="shared" si="3"/>
        <v>PASS</v>
      </c>
      <c r="G19" s="22" t="s">
        <v>2874</v>
      </c>
      <c r="J19" t="s">
        <v>2873</v>
      </c>
      <c r="K19" s="111">
        <v>1.5</v>
      </c>
      <c r="L19" s="111">
        <v>1.5</v>
      </c>
      <c r="P19" t="s">
        <v>2875</v>
      </c>
      <c r="Q19" s="111">
        <v>17540</v>
      </c>
      <c r="R19" s="111">
        <v>17540</v>
      </c>
      <c r="S19" s="111">
        <v>1</v>
      </c>
      <c r="T19">
        <f>IF(ABS($Q$19*$S$19-$R$19)&lt;87.7,0,1)</f>
        <v>0</v>
      </c>
    </row>
    <row r="20" spans="1:20" ht="26" x14ac:dyDescent="0.2">
      <c r="A20" s="39" t="s">
        <v>2876</v>
      </c>
      <c r="B20" s="18">
        <f>$K$20</f>
        <v>1.5</v>
      </c>
      <c r="C20" s="18">
        <f>$L$20</f>
        <v>1.5</v>
      </c>
      <c r="D20" s="18">
        <f t="shared" si="2"/>
        <v>0</v>
      </c>
      <c r="E20" s="18">
        <v>0</v>
      </c>
      <c r="F20" s="115" t="str">
        <f t="shared" si="3"/>
        <v>PASS</v>
      </c>
      <c r="G20" s="22" t="s">
        <v>2877</v>
      </c>
      <c r="J20" t="s">
        <v>2876</v>
      </c>
      <c r="K20" s="111">
        <v>1.5</v>
      </c>
      <c r="L20" s="111">
        <v>1.5</v>
      </c>
      <c r="P20" t="s">
        <v>2878</v>
      </c>
      <c r="Q20" s="111">
        <v>8000</v>
      </c>
      <c r="R20" s="111">
        <v>16000</v>
      </c>
      <c r="S20" s="111">
        <v>2</v>
      </c>
      <c r="T20">
        <f>IF(ABS($Q$20*$S$20-$R$20)&lt;80,0,1)</f>
        <v>0</v>
      </c>
    </row>
    <row r="21" spans="1:20" ht="26" x14ac:dyDescent="0.2">
      <c r="A21" s="39" t="s">
        <v>2879</v>
      </c>
      <c r="B21" s="18">
        <f>$K$21</f>
        <v>1.5</v>
      </c>
      <c r="C21" s="18">
        <f>$L$21</f>
        <v>1.5</v>
      </c>
      <c r="D21" s="18">
        <f t="shared" si="2"/>
        <v>0</v>
      </c>
      <c r="E21" s="18">
        <v>0</v>
      </c>
      <c r="F21" s="115" t="str">
        <f t="shared" si="3"/>
        <v>PASS</v>
      </c>
      <c r="G21" s="22" t="s">
        <v>2880</v>
      </c>
      <c r="J21" t="s">
        <v>2879</v>
      </c>
      <c r="K21" s="111">
        <v>1.5</v>
      </c>
      <c r="L21" s="111">
        <v>1.5</v>
      </c>
      <c r="P21" t="s">
        <v>2881</v>
      </c>
      <c r="Q21" s="111">
        <v>8634</v>
      </c>
      <c r="R21" s="111">
        <v>17268</v>
      </c>
      <c r="S21" s="111">
        <v>2</v>
      </c>
      <c r="T21">
        <f>IF(ABS($Q$21*$S$21-$R$21)&lt;86.34,0,1)</f>
        <v>0</v>
      </c>
    </row>
    <row r="22" spans="1:20" ht="26" x14ac:dyDescent="0.2">
      <c r="A22" s="39" t="s">
        <v>2882</v>
      </c>
      <c r="B22" s="18">
        <f>$K$22</f>
        <v>1.5</v>
      </c>
      <c r="C22" s="18">
        <f>$L$22</f>
        <v>1.5</v>
      </c>
      <c r="D22" s="18">
        <f t="shared" si="2"/>
        <v>0</v>
      </c>
      <c r="E22" s="18">
        <v>0</v>
      </c>
      <c r="F22" s="115" t="str">
        <f t="shared" si="3"/>
        <v>PASS</v>
      </c>
      <c r="G22" s="22" t="s">
        <v>2883</v>
      </c>
      <c r="J22" t="s">
        <v>2882</v>
      </c>
      <c r="K22" s="111">
        <v>1.5</v>
      </c>
      <c r="L22" s="111">
        <v>1.5</v>
      </c>
      <c r="P22" t="s">
        <v>2884</v>
      </c>
      <c r="Q22" s="111">
        <v>2844</v>
      </c>
      <c r="R22" s="111">
        <v>22752</v>
      </c>
      <c r="S22" s="111">
        <v>8</v>
      </c>
      <c r="T22">
        <f>IF(ABS($Q$22*$S$22-$R$22)&lt;113.76,0,1)</f>
        <v>0</v>
      </c>
    </row>
    <row r="23" spans="1:20" ht="26" x14ac:dyDescent="0.2">
      <c r="A23" s="39" t="s">
        <v>2885</v>
      </c>
      <c r="B23" s="18">
        <f>$K$23</f>
        <v>1.5</v>
      </c>
      <c r="C23" s="18">
        <f>$L$23</f>
        <v>1.5</v>
      </c>
      <c r="D23" s="18">
        <f t="shared" si="2"/>
        <v>0</v>
      </c>
      <c r="E23" s="18">
        <v>0</v>
      </c>
      <c r="F23" s="115" t="str">
        <f t="shared" si="3"/>
        <v>PASS</v>
      </c>
      <c r="G23" s="22" t="s">
        <v>2886</v>
      </c>
      <c r="J23" t="s">
        <v>2885</v>
      </c>
      <c r="K23" s="111">
        <v>1.5</v>
      </c>
      <c r="L23" s="111">
        <v>1.5</v>
      </c>
      <c r="P23" t="s">
        <v>2887</v>
      </c>
      <c r="Q23" s="111">
        <v>2500</v>
      </c>
      <c r="R23" s="111">
        <v>2500</v>
      </c>
      <c r="S23" s="111">
        <v>1</v>
      </c>
      <c r="T23">
        <f>IF(ABS($Q$23*$S$23-$R$23)&lt;12.5,0,1)</f>
        <v>0</v>
      </c>
    </row>
    <row r="24" spans="1:20" ht="26" x14ac:dyDescent="0.2">
      <c r="A24" s="39" t="s">
        <v>2888</v>
      </c>
      <c r="B24" s="18">
        <f>$K$24</f>
        <v>1.5</v>
      </c>
      <c r="C24" s="18">
        <f>$L$24</f>
        <v>1.5</v>
      </c>
      <c r="D24" s="18">
        <f t="shared" si="2"/>
        <v>0</v>
      </c>
      <c r="E24" s="18">
        <v>0</v>
      </c>
      <c r="F24" s="115" t="str">
        <f t="shared" si="3"/>
        <v>PASS</v>
      </c>
      <c r="G24" s="22" t="s">
        <v>2889</v>
      </c>
      <c r="J24" t="s">
        <v>2888</v>
      </c>
      <c r="K24" s="111">
        <v>1.5</v>
      </c>
      <c r="L24" s="111">
        <v>1.5</v>
      </c>
      <c r="P24" t="s">
        <v>2890</v>
      </c>
      <c r="Q24" s="111">
        <v>4683</v>
      </c>
      <c r="R24" s="111">
        <v>9366</v>
      </c>
      <c r="S24" s="111">
        <v>2</v>
      </c>
      <c r="T24">
        <f>IF(ABS($Q$24*$S$24-$R$24)&lt;46.83,0,1)</f>
        <v>0</v>
      </c>
    </row>
    <row r="25" spans="1:20" ht="26" x14ac:dyDescent="0.2">
      <c r="A25" s="39" t="s">
        <v>2891</v>
      </c>
      <c r="B25" s="18">
        <f>$K$25</f>
        <v>1.5</v>
      </c>
      <c r="C25" s="18">
        <f>$L$25</f>
        <v>1.5</v>
      </c>
      <c r="D25" s="18">
        <f t="shared" si="2"/>
        <v>0</v>
      </c>
      <c r="E25" s="18">
        <v>0</v>
      </c>
      <c r="F25" s="115" t="str">
        <f t="shared" si="3"/>
        <v>PASS</v>
      </c>
      <c r="G25" s="22" t="s">
        <v>2892</v>
      </c>
      <c r="J25" t="s">
        <v>2891</v>
      </c>
      <c r="K25" s="111">
        <v>1.5</v>
      </c>
      <c r="L25" s="111">
        <v>1.5</v>
      </c>
      <c r="P25" t="s">
        <v>2893</v>
      </c>
      <c r="Q25" s="111">
        <v>1850</v>
      </c>
      <c r="R25" s="111">
        <v>3700</v>
      </c>
      <c r="S25" s="111">
        <v>2</v>
      </c>
      <c r="T25">
        <f>IF(ABS($Q$25*$S$25-$R$25)&lt;18.5,0,1)</f>
        <v>0</v>
      </c>
    </row>
    <row r="26" spans="1:20" ht="26" x14ac:dyDescent="0.2">
      <c r="A26" s="39" t="s">
        <v>2894</v>
      </c>
      <c r="B26" s="18">
        <f>$K$26</f>
        <v>1.5</v>
      </c>
      <c r="C26" s="18">
        <f>$L$26</f>
        <v>1.5</v>
      </c>
      <c r="D26" s="18">
        <f t="shared" si="2"/>
        <v>0</v>
      </c>
      <c r="E26" s="18">
        <v>0</v>
      </c>
      <c r="F26" s="115" t="str">
        <f t="shared" si="3"/>
        <v>PASS</v>
      </c>
      <c r="G26" s="22" t="s">
        <v>2895</v>
      </c>
      <c r="J26" t="s">
        <v>2894</v>
      </c>
      <c r="K26" s="111">
        <v>1.5</v>
      </c>
      <c r="L26" s="111">
        <v>1.5</v>
      </c>
      <c r="P26" t="s">
        <v>2896</v>
      </c>
      <c r="Q26" s="111">
        <v>8270</v>
      </c>
      <c r="R26" s="111">
        <v>16540</v>
      </c>
      <c r="S26" s="111">
        <v>2</v>
      </c>
      <c r="T26">
        <f>IF(ABS($Q$26*$S$26-$R$26)&lt;82.7,0,1)</f>
        <v>0</v>
      </c>
    </row>
    <row r="27" spans="1:20" ht="26" x14ac:dyDescent="0.2">
      <c r="A27" s="39" t="s">
        <v>2897</v>
      </c>
      <c r="B27" s="18">
        <f>$K$27</f>
        <v>1.5</v>
      </c>
      <c r="C27" s="18">
        <f>$L$27</f>
        <v>1.5</v>
      </c>
      <c r="D27" s="18">
        <f t="shared" si="2"/>
        <v>0</v>
      </c>
      <c r="E27" s="18">
        <v>0</v>
      </c>
      <c r="F27" s="115" t="str">
        <f t="shared" si="3"/>
        <v>PASS</v>
      </c>
      <c r="G27" s="22" t="s">
        <v>2898</v>
      </c>
      <c r="J27" t="s">
        <v>2897</v>
      </c>
      <c r="K27" s="111">
        <v>1.5</v>
      </c>
      <c r="L27" s="111">
        <v>1.5</v>
      </c>
      <c r="P27" t="s">
        <v>2899</v>
      </c>
      <c r="Q27" s="111">
        <v>14825</v>
      </c>
      <c r="R27" s="111">
        <v>14825</v>
      </c>
      <c r="S27" s="111">
        <v>1</v>
      </c>
      <c r="T27">
        <f>IF(ABS($Q$27*$S$27-$R$27)&lt;74.125,0,1)</f>
        <v>0</v>
      </c>
    </row>
    <row r="28" spans="1:20" ht="26" x14ac:dyDescent="0.2">
      <c r="A28" s="39" t="s">
        <v>2900</v>
      </c>
      <c r="B28" s="18">
        <f>$K$28</f>
        <v>1.5</v>
      </c>
      <c r="C28" s="18">
        <f>$L$28</f>
        <v>1.5</v>
      </c>
      <c r="D28" s="18">
        <f t="shared" si="2"/>
        <v>0</v>
      </c>
      <c r="E28" s="18">
        <v>0</v>
      </c>
      <c r="F28" s="115" t="str">
        <f t="shared" si="3"/>
        <v>PASS</v>
      </c>
      <c r="G28" s="22" t="s">
        <v>2901</v>
      </c>
      <c r="J28" t="s">
        <v>2900</v>
      </c>
      <c r="K28" s="111">
        <v>1.5</v>
      </c>
      <c r="L28" s="111">
        <v>1.5</v>
      </c>
      <c r="P28" t="s">
        <v>2902</v>
      </c>
      <c r="Q28" s="111">
        <v>9413</v>
      </c>
      <c r="R28" s="111">
        <v>9413</v>
      </c>
      <c r="S28" s="111">
        <v>1</v>
      </c>
      <c r="T28">
        <f>IF(ABS($Q$28*$S$28-$R$28)&lt;47.065,0,1)</f>
        <v>0</v>
      </c>
    </row>
    <row r="29" spans="1:20" ht="26" x14ac:dyDescent="0.2">
      <c r="A29" s="39" t="s">
        <v>2903</v>
      </c>
      <c r="B29" s="18">
        <f>$K$29</f>
        <v>1.5</v>
      </c>
      <c r="C29" s="18">
        <f>$L$29</f>
        <v>1.5</v>
      </c>
      <c r="D29" s="18">
        <f t="shared" si="2"/>
        <v>0</v>
      </c>
      <c r="E29" s="18">
        <v>0</v>
      </c>
      <c r="F29" s="115" t="str">
        <f t="shared" si="3"/>
        <v>PASS</v>
      </c>
      <c r="G29" s="22" t="s">
        <v>2904</v>
      </c>
      <c r="J29" t="s">
        <v>2903</v>
      </c>
      <c r="K29" s="111">
        <v>1.5</v>
      </c>
      <c r="L29" s="111">
        <v>1.5</v>
      </c>
      <c r="P29" t="s">
        <v>2905</v>
      </c>
      <c r="Q29" s="111">
        <v>1725</v>
      </c>
      <c r="R29" s="111">
        <v>3450</v>
      </c>
      <c r="S29" s="111">
        <v>2</v>
      </c>
      <c r="T29">
        <f>IF(ABS($Q$29*$S$29-$R$29)&lt;17.25,0,1)</f>
        <v>0</v>
      </c>
    </row>
    <row r="30" spans="1:20" ht="26" x14ac:dyDescent="0.2">
      <c r="A30" s="39" t="s">
        <v>2906</v>
      </c>
      <c r="B30" s="18">
        <f>$K$30</f>
        <v>1.5</v>
      </c>
      <c r="C30" s="18">
        <f>$L$30</f>
        <v>1.5</v>
      </c>
      <c r="D30" s="18">
        <f t="shared" si="2"/>
        <v>0</v>
      </c>
      <c r="E30" s="18">
        <v>0</v>
      </c>
      <c r="F30" s="115" t="str">
        <f t="shared" si="3"/>
        <v>PASS</v>
      </c>
      <c r="G30" s="22" t="s">
        <v>2907</v>
      </c>
      <c r="J30" t="s">
        <v>2906</v>
      </c>
      <c r="K30" s="111">
        <v>1.5</v>
      </c>
      <c r="L30" s="111">
        <v>1.5</v>
      </c>
      <c r="P30" t="s">
        <v>2908</v>
      </c>
      <c r="Q30" s="111">
        <v>8737</v>
      </c>
      <c r="R30" s="111">
        <v>8737</v>
      </c>
      <c r="S30" s="111">
        <v>1</v>
      </c>
      <c r="T30">
        <f>IF(ABS($Q$30*$S$30-$R$30)&lt;43.685,0,1)</f>
        <v>0</v>
      </c>
    </row>
    <row r="31" spans="1:20" ht="26" x14ac:dyDescent="0.2">
      <c r="A31" s="39" t="s">
        <v>2909</v>
      </c>
      <c r="B31" s="18">
        <f>$K$31</f>
        <v>1.5</v>
      </c>
      <c r="C31" s="18">
        <f>$L$31</f>
        <v>1.5</v>
      </c>
      <c r="D31" s="18">
        <f t="shared" si="2"/>
        <v>0</v>
      </c>
      <c r="E31" s="18">
        <v>0</v>
      </c>
      <c r="F31" s="115" t="str">
        <f t="shared" si="3"/>
        <v>PASS</v>
      </c>
      <c r="G31" s="22" t="s">
        <v>2910</v>
      </c>
      <c r="J31" t="s">
        <v>2909</v>
      </c>
      <c r="K31" s="111">
        <v>1.5</v>
      </c>
      <c r="L31" s="111">
        <v>1.5</v>
      </c>
      <c r="P31" t="s">
        <v>2911</v>
      </c>
      <c r="Q31" s="111">
        <v>3850</v>
      </c>
      <c r="R31" s="111">
        <v>3850</v>
      </c>
      <c r="S31" s="111">
        <v>1</v>
      </c>
      <c r="T31">
        <f>IF(ABS($Q$31*$S$31-$R$31)&lt;19.25,0,1)</f>
        <v>0</v>
      </c>
    </row>
    <row r="32" spans="1:20" ht="26" x14ac:dyDescent="0.2">
      <c r="A32" s="39" t="s">
        <v>2912</v>
      </c>
      <c r="B32" s="18">
        <f>$K$32</f>
        <v>1.5</v>
      </c>
      <c r="C32" s="18">
        <f>$L$32</f>
        <v>1.5</v>
      </c>
      <c r="D32" s="18">
        <f t="shared" si="2"/>
        <v>0</v>
      </c>
      <c r="E32" s="18">
        <v>0</v>
      </c>
      <c r="F32" s="115" t="str">
        <f t="shared" si="3"/>
        <v>PASS</v>
      </c>
      <c r="G32" s="22" t="s">
        <v>2913</v>
      </c>
      <c r="J32" t="s">
        <v>2912</v>
      </c>
      <c r="K32" s="111">
        <v>1.5</v>
      </c>
      <c r="L32" s="111">
        <v>1.5</v>
      </c>
      <c r="P32" t="s">
        <v>2914</v>
      </c>
      <c r="Q32" s="111">
        <v>18</v>
      </c>
      <c r="R32" s="111">
        <v>18</v>
      </c>
      <c r="S32" s="111">
        <v>1</v>
      </c>
      <c r="T32">
        <f>IF(ABS($Q$32*$S$32-$R$32)&lt;1,0,1)</f>
        <v>0</v>
      </c>
    </row>
    <row r="33" spans="1:20" ht="26" x14ac:dyDescent="0.2">
      <c r="A33" s="39" t="s">
        <v>2915</v>
      </c>
      <c r="B33" s="18">
        <f>$K$33</f>
        <v>1.5</v>
      </c>
      <c r="C33" s="18">
        <f>$L$33</f>
        <v>1.5</v>
      </c>
      <c r="D33" s="18">
        <f t="shared" si="2"/>
        <v>0</v>
      </c>
      <c r="E33" s="18">
        <v>0</v>
      </c>
      <c r="F33" s="115" t="str">
        <f t="shared" si="3"/>
        <v>PASS</v>
      </c>
      <c r="G33" s="22" t="s">
        <v>2916</v>
      </c>
      <c r="J33" t="s">
        <v>2915</v>
      </c>
      <c r="K33" s="111">
        <v>1.5</v>
      </c>
      <c r="L33" s="111">
        <v>1.5</v>
      </c>
      <c r="P33" t="s">
        <v>2917</v>
      </c>
      <c r="Q33" s="111">
        <v>13615</v>
      </c>
      <c r="R33" s="111">
        <v>13615</v>
      </c>
      <c r="S33" s="111">
        <v>1</v>
      </c>
      <c r="T33">
        <f>IF(ABS($Q$33*$S$33-$R$33)&lt;68.075,0,1)</f>
        <v>0</v>
      </c>
    </row>
    <row r="34" spans="1:20" ht="26" x14ac:dyDescent="0.2">
      <c r="A34" s="39" t="s">
        <v>2918</v>
      </c>
      <c r="B34" s="18">
        <f>$K$34</f>
        <v>1.5</v>
      </c>
      <c r="C34" s="18">
        <f>$L$34</f>
        <v>1.5</v>
      </c>
      <c r="D34" s="18">
        <f t="shared" si="2"/>
        <v>0</v>
      </c>
      <c r="E34" s="18">
        <v>0</v>
      </c>
      <c r="F34" s="115" t="str">
        <f t="shared" si="3"/>
        <v>PASS</v>
      </c>
      <c r="G34" s="22" t="s">
        <v>2919</v>
      </c>
      <c r="J34" t="s">
        <v>2918</v>
      </c>
      <c r="K34" s="111">
        <v>1.5</v>
      </c>
      <c r="L34" s="111">
        <v>1.5</v>
      </c>
      <c r="P34" t="s">
        <v>2920</v>
      </c>
      <c r="Q34" s="111">
        <v>13615</v>
      </c>
      <c r="R34" s="111">
        <v>27230</v>
      </c>
      <c r="S34" s="111">
        <v>2</v>
      </c>
      <c r="T34">
        <f>IF(ABS($Q$34*$S$34-$R$34)&lt;136.15,0,1)</f>
        <v>0</v>
      </c>
    </row>
    <row r="35" spans="1:20" x14ac:dyDescent="0.2">
      <c r="P35" t="s">
        <v>2921</v>
      </c>
      <c r="Q35" s="111">
        <v>3</v>
      </c>
      <c r="R35" s="111">
        <v>3</v>
      </c>
      <c r="S35" s="111">
        <v>1</v>
      </c>
      <c r="T35">
        <f>IF(ABS($Q$35*$S$35-$R$35)&lt;1,0,1)</f>
        <v>0</v>
      </c>
    </row>
    <row r="36" spans="1:20" x14ac:dyDescent="0.2">
      <c r="A36" s="6" t="s">
        <v>2922</v>
      </c>
      <c r="B36" s="6"/>
      <c r="C36" s="6"/>
      <c r="D36" s="6"/>
      <c r="E36" s="6"/>
      <c r="F36" s="6"/>
      <c r="G36" s="6"/>
      <c r="P36" t="s">
        <v>2923</v>
      </c>
      <c r="Q36" s="111">
        <v>9100</v>
      </c>
      <c r="R36" s="111">
        <v>9100</v>
      </c>
      <c r="S36" s="111">
        <v>1</v>
      </c>
      <c r="T36">
        <f>IF(ABS($Q$36*$S$36-$R$36)&lt;45.5,0,1)</f>
        <v>0</v>
      </c>
    </row>
    <row r="37" spans="1:20" ht="26" x14ac:dyDescent="0.2">
      <c r="A37" s="39" t="s">
        <v>2924</v>
      </c>
      <c r="B37" s="18">
        <f>$K$37</f>
        <v>800</v>
      </c>
      <c r="C37" s="18">
        <f>$L$37</f>
        <v>285.52999999999997</v>
      </c>
      <c r="D37" s="18">
        <f t="shared" ref="D37:D68" si="4">B37-C37</f>
        <v>514.47</v>
      </c>
      <c r="E37" s="18">
        <v>5</v>
      </c>
      <c r="F37" s="115" t="str">
        <f t="shared" ref="F37:F68" si="5">IF(N37=1,"RECONCILED — unit-basis (non-blocking)",IF(OR(C37=0,AND(B37/C37&lt;=E37,B37/C37&gt;=1/E37)),"PASS","FAIL"))</f>
        <v>PASS</v>
      </c>
      <c r="G37" s="22" t="s">
        <v>2925</v>
      </c>
      <c r="J37" t="s">
        <v>2924</v>
      </c>
      <c r="K37" s="111">
        <v>800</v>
      </c>
      <c r="L37" s="111">
        <v>285.52999999999997</v>
      </c>
      <c r="N37" s="111">
        <v>0</v>
      </c>
      <c r="P37" t="s">
        <v>2926</v>
      </c>
      <c r="Q37" s="111">
        <v>160</v>
      </c>
      <c r="R37" s="111">
        <v>160</v>
      </c>
      <c r="S37" s="111">
        <v>1</v>
      </c>
      <c r="T37">
        <f>IF(ABS($Q$37*$S$37-$R$37)&lt;1,0,1)</f>
        <v>0</v>
      </c>
    </row>
    <row r="38" spans="1:20" ht="26" x14ac:dyDescent="0.2">
      <c r="A38" s="39" t="s">
        <v>2927</v>
      </c>
      <c r="B38" s="18">
        <f>$K$38</f>
        <v>283</v>
      </c>
      <c r="C38" s="18">
        <f>$L$38</f>
        <v>283</v>
      </c>
      <c r="D38" s="18">
        <f t="shared" si="4"/>
        <v>0</v>
      </c>
      <c r="E38" s="18">
        <v>5</v>
      </c>
      <c r="F38" s="115" t="str">
        <f t="shared" si="5"/>
        <v>PASS</v>
      </c>
      <c r="G38" s="22" t="s">
        <v>2928</v>
      </c>
      <c r="J38" t="s">
        <v>2927</v>
      </c>
      <c r="K38" s="111">
        <v>283</v>
      </c>
      <c r="L38" s="111">
        <v>283</v>
      </c>
      <c r="N38" s="111">
        <v>0</v>
      </c>
      <c r="P38" t="s">
        <v>2929</v>
      </c>
      <c r="Q38" s="111">
        <v>12</v>
      </c>
      <c r="R38" s="111">
        <v>12</v>
      </c>
      <c r="S38" s="111">
        <v>1</v>
      </c>
      <c r="T38">
        <f>IF(ABS($Q$38*$S$38-$R$38)&lt;1,0,1)</f>
        <v>0</v>
      </c>
    </row>
    <row r="39" spans="1:20" ht="26" x14ac:dyDescent="0.2">
      <c r="A39" s="39" t="s">
        <v>2930</v>
      </c>
      <c r="B39" s="18">
        <f>$K$39</f>
        <v>1</v>
      </c>
      <c r="C39" s="18">
        <f>$L$39</f>
        <v>1.2</v>
      </c>
      <c r="D39" s="18">
        <f t="shared" si="4"/>
        <v>-0.19999999999999996</v>
      </c>
      <c r="E39" s="18">
        <v>5</v>
      </c>
      <c r="F39" s="115" t="str">
        <f t="shared" si="5"/>
        <v>PASS</v>
      </c>
      <c r="G39" s="22" t="s">
        <v>2931</v>
      </c>
      <c r="J39" t="s">
        <v>2930</v>
      </c>
      <c r="K39" s="111">
        <v>1</v>
      </c>
      <c r="L39" s="111">
        <v>1.2</v>
      </c>
      <c r="N39" s="111">
        <v>0</v>
      </c>
      <c r="P39" t="s">
        <v>2932</v>
      </c>
      <c r="Q39" s="111">
        <v>160</v>
      </c>
      <c r="R39" s="111">
        <v>160</v>
      </c>
      <c r="S39" s="111">
        <v>1</v>
      </c>
      <c r="T39">
        <f>IF(ABS($Q$39*$S$39-$R$39)&lt;1,0,1)</f>
        <v>0</v>
      </c>
    </row>
    <row r="40" spans="1:20" ht="26" x14ac:dyDescent="0.2">
      <c r="A40" s="39" t="s">
        <v>2933</v>
      </c>
      <c r="B40" s="18">
        <f>$K$40</f>
        <v>168</v>
      </c>
      <c r="C40" s="18">
        <f>$L$40</f>
        <v>168</v>
      </c>
      <c r="D40" s="18">
        <f t="shared" si="4"/>
        <v>0</v>
      </c>
      <c r="E40" s="18">
        <v>5</v>
      </c>
      <c r="F40" s="115" t="str">
        <f t="shared" si="5"/>
        <v>PASS</v>
      </c>
      <c r="G40" s="22" t="s">
        <v>2934</v>
      </c>
      <c r="J40" t="s">
        <v>2933</v>
      </c>
      <c r="K40" s="111">
        <v>168</v>
      </c>
      <c r="L40" s="111">
        <v>168</v>
      </c>
      <c r="N40" s="111">
        <v>0</v>
      </c>
      <c r="P40" t="s">
        <v>2935</v>
      </c>
      <c r="Q40" s="111">
        <v>330</v>
      </c>
      <c r="R40" s="111">
        <v>330</v>
      </c>
      <c r="S40" s="111">
        <v>1</v>
      </c>
      <c r="T40">
        <f>IF(ABS($Q$40*$S$40-$R$40)&lt;1.65,0,1)</f>
        <v>0</v>
      </c>
    </row>
    <row r="41" spans="1:20" ht="39" x14ac:dyDescent="0.2">
      <c r="A41" s="39" t="s">
        <v>2936</v>
      </c>
      <c r="B41" s="18">
        <f>$K$41</f>
        <v>3000</v>
      </c>
      <c r="C41" s="18">
        <f>$L$41</f>
        <v>3000</v>
      </c>
      <c r="D41" s="18">
        <f t="shared" si="4"/>
        <v>0</v>
      </c>
      <c r="E41" s="18">
        <v>5</v>
      </c>
      <c r="F41" s="115" t="str">
        <f t="shared" si="5"/>
        <v>PASS</v>
      </c>
      <c r="G41" s="22" t="s">
        <v>2937</v>
      </c>
      <c r="J41" t="s">
        <v>2936</v>
      </c>
      <c r="K41" s="111">
        <v>3000</v>
      </c>
      <c r="L41" s="111">
        <v>3000</v>
      </c>
      <c r="N41" s="111">
        <v>0</v>
      </c>
      <c r="P41" t="s">
        <v>2938</v>
      </c>
      <c r="Q41" s="111">
        <v>982</v>
      </c>
      <c r="R41" s="111">
        <v>982</v>
      </c>
      <c r="S41" s="111">
        <v>1</v>
      </c>
      <c r="T41">
        <f>IF(ABS($Q$41*$S$41-$R$41)&lt;4.91,0,1)</f>
        <v>0</v>
      </c>
    </row>
    <row r="42" spans="1:20" ht="52" x14ac:dyDescent="0.2">
      <c r="A42" s="39" t="s">
        <v>2939</v>
      </c>
      <c r="B42" s="18">
        <f>$K$42</f>
        <v>3000</v>
      </c>
      <c r="C42" s="18">
        <f>$L$42</f>
        <v>3000</v>
      </c>
      <c r="D42" s="18">
        <f t="shared" si="4"/>
        <v>0</v>
      </c>
      <c r="E42" s="18">
        <v>5</v>
      </c>
      <c r="F42" s="115" t="str">
        <f t="shared" si="5"/>
        <v>PASS</v>
      </c>
      <c r="G42" s="22" t="s">
        <v>2940</v>
      </c>
      <c r="J42" t="s">
        <v>2939</v>
      </c>
      <c r="K42" s="111">
        <v>3000</v>
      </c>
      <c r="L42" s="111">
        <v>3000</v>
      </c>
      <c r="N42" s="111">
        <v>0</v>
      </c>
      <c r="P42" t="s">
        <v>2941</v>
      </c>
      <c r="Q42" s="111">
        <v>12</v>
      </c>
      <c r="R42" s="111">
        <v>12</v>
      </c>
      <c r="S42" s="111">
        <v>1</v>
      </c>
      <c r="T42">
        <f>IF(ABS($Q$42*$S$42-$R$42)&lt;1,0,1)</f>
        <v>0</v>
      </c>
    </row>
    <row r="43" spans="1:20" ht="26" x14ac:dyDescent="0.2">
      <c r="A43" s="39" t="s">
        <v>2942</v>
      </c>
      <c r="B43" s="18">
        <f>$K$43</f>
        <v>283</v>
      </c>
      <c r="C43" s="18">
        <f>$L$43</f>
        <v>283</v>
      </c>
      <c r="D43" s="18">
        <f t="shared" si="4"/>
        <v>0</v>
      </c>
      <c r="E43" s="18">
        <v>5</v>
      </c>
      <c r="F43" s="115" t="str">
        <f t="shared" si="5"/>
        <v>PASS</v>
      </c>
      <c r="G43" s="22" t="s">
        <v>2943</v>
      </c>
      <c r="J43" t="s">
        <v>2942</v>
      </c>
      <c r="K43" s="111">
        <v>283</v>
      </c>
      <c r="L43" s="111">
        <v>283</v>
      </c>
      <c r="N43" s="111">
        <v>0</v>
      </c>
      <c r="P43" t="s">
        <v>2944</v>
      </c>
      <c r="Q43" s="111">
        <v>589</v>
      </c>
      <c r="R43" s="111">
        <v>589</v>
      </c>
      <c r="S43" s="111">
        <v>1</v>
      </c>
      <c r="T43">
        <f>IF(ABS($Q$43*$S$43-$R$43)&lt;2.945,0,1)</f>
        <v>0</v>
      </c>
    </row>
    <row r="44" spans="1:20" ht="26" x14ac:dyDescent="0.2">
      <c r="A44" s="39" t="s">
        <v>2945</v>
      </c>
      <c r="B44" s="18">
        <f>$K$44</f>
        <v>17540</v>
      </c>
      <c r="C44" s="18">
        <f>$L$44</f>
        <v>12012</v>
      </c>
      <c r="D44" s="18">
        <f t="shared" si="4"/>
        <v>5528</v>
      </c>
      <c r="E44" s="18">
        <v>5</v>
      </c>
      <c r="F44" s="115" t="str">
        <f t="shared" si="5"/>
        <v>PASS</v>
      </c>
      <c r="G44" s="22" t="s">
        <v>2946</v>
      </c>
      <c r="J44" t="s">
        <v>2945</v>
      </c>
      <c r="K44" s="111">
        <v>17540</v>
      </c>
      <c r="L44" s="111">
        <v>12012</v>
      </c>
      <c r="N44" s="111">
        <v>0</v>
      </c>
      <c r="P44" t="s">
        <v>2947</v>
      </c>
      <c r="Q44" s="111">
        <v>160</v>
      </c>
      <c r="R44" s="111">
        <v>160</v>
      </c>
      <c r="S44" s="111">
        <v>1</v>
      </c>
      <c r="T44">
        <f>IF(ABS($Q$44*$S$44-$R$44)&lt;1,0,1)</f>
        <v>0</v>
      </c>
    </row>
    <row r="45" spans="1:20" ht="26" x14ac:dyDescent="0.2">
      <c r="A45" s="39" t="s">
        <v>2948</v>
      </c>
      <c r="B45" s="18">
        <f>$K$45</f>
        <v>8634</v>
      </c>
      <c r="C45" s="18">
        <f>$L$45</f>
        <v>8634</v>
      </c>
      <c r="D45" s="18">
        <f t="shared" si="4"/>
        <v>0</v>
      </c>
      <c r="E45" s="18">
        <v>5</v>
      </c>
      <c r="F45" s="115" t="str">
        <f t="shared" si="5"/>
        <v>PASS</v>
      </c>
      <c r="G45" s="22" t="s">
        <v>2949</v>
      </c>
      <c r="J45" t="s">
        <v>2948</v>
      </c>
      <c r="K45" s="111">
        <v>8634</v>
      </c>
      <c r="L45" s="111">
        <v>8634</v>
      </c>
      <c r="N45" s="111">
        <v>0</v>
      </c>
      <c r="P45" t="s">
        <v>2950</v>
      </c>
      <c r="Q45" s="111">
        <v>380</v>
      </c>
      <c r="R45" s="111">
        <v>380</v>
      </c>
      <c r="S45" s="111">
        <v>1</v>
      </c>
      <c r="T45">
        <f>IF(ABS($Q$45*$S$45-$R$45)&lt;1.9,0,1)</f>
        <v>0</v>
      </c>
    </row>
    <row r="46" spans="1:20" ht="39" x14ac:dyDescent="0.2">
      <c r="A46" s="39" t="s">
        <v>2951</v>
      </c>
      <c r="B46" s="18">
        <f>$K$46</f>
        <v>2500</v>
      </c>
      <c r="C46" s="18">
        <f>$L$46</f>
        <v>2500</v>
      </c>
      <c r="D46" s="18">
        <f t="shared" si="4"/>
        <v>0</v>
      </c>
      <c r="E46" s="18">
        <v>5</v>
      </c>
      <c r="F46" s="115" t="str">
        <f t="shared" si="5"/>
        <v>PASS</v>
      </c>
      <c r="G46" s="22" t="s">
        <v>2952</v>
      </c>
      <c r="J46" t="s">
        <v>2951</v>
      </c>
      <c r="K46" s="111">
        <v>2500</v>
      </c>
      <c r="L46" s="111">
        <v>2500</v>
      </c>
      <c r="N46" s="111">
        <v>0</v>
      </c>
      <c r="P46" t="s">
        <v>2953</v>
      </c>
      <c r="Q46" s="111">
        <v>280</v>
      </c>
      <c r="R46" s="111">
        <v>280</v>
      </c>
      <c r="S46" s="111">
        <v>1</v>
      </c>
      <c r="T46">
        <f>IF(ABS($Q$46*$S$46-$R$46)&lt;1.4,0,1)</f>
        <v>0</v>
      </c>
    </row>
    <row r="47" spans="1:20" ht="26" x14ac:dyDescent="0.2">
      <c r="A47" s="39" t="s">
        <v>2954</v>
      </c>
      <c r="B47" s="18">
        <f>$K$47</f>
        <v>1850</v>
      </c>
      <c r="C47" s="18">
        <f>$L$47</f>
        <v>7319.38</v>
      </c>
      <c r="D47" s="18">
        <f t="shared" si="4"/>
        <v>-5469.38</v>
      </c>
      <c r="E47" s="18">
        <v>5</v>
      </c>
      <c r="F47" s="115" t="str">
        <f t="shared" si="5"/>
        <v>PASS</v>
      </c>
      <c r="G47" s="22" t="s">
        <v>2955</v>
      </c>
      <c r="J47" t="s">
        <v>2954</v>
      </c>
      <c r="K47" s="111">
        <v>1850</v>
      </c>
      <c r="L47" s="111">
        <v>7319.38</v>
      </c>
      <c r="N47" s="111">
        <v>0</v>
      </c>
      <c r="P47" t="s">
        <v>2956</v>
      </c>
      <c r="Q47" s="111">
        <v>850</v>
      </c>
      <c r="R47" s="111">
        <v>850</v>
      </c>
      <c r="S47" s="111">
        <v>1</v>
      </c>
      <c r="T47">
        <f>IF(ABS($Q$47*$S$47-$R$47)&lt;4.25,0,1)</f>
        <v>0</v>
      </c>
    </row>
    <row r="48" spans="1:20" ht="26" x14ac:dyDescent="0.2">
      <c r="A48" s="39" t="s">
        <v>2957</v>
      </c>
      <c r="B48" s="18">
        <f>$K$48</f>
        <v>14825</v>
      </c>
      <c r="C48" s="18">
        <f>$L$48</f>
        <v>14825</v>
      </c>
      <c r="D48" s="18">
        <f t="shared" si="4"/>
        <v>0</v>
      </c>
      <c r="E48" s="18">
        <v>5</v>
      </c>
      <c r="F48" s="115" t="str">
        <f t="shared" si="5"/>
        <v>PASS</v>
      </c>
      <c r="G48" s="22" t="s">
        <v>2958</v>
      </c>
      <c r="J48" t="s">
        <v>2957</v>
      </c>
      <c r="K48" s="111">
        <v>14825</v>
      </c>
      <c r="L48" s="111">
        <v>14825</v>
      </c>
      <c r="N48" s="111">
        <v>0</v>
      </c>
      <c r="P48" t="s">
        <v>2959</v>
      </c>
      <c r="Q48" s="111">
        <v>393</v>
      </c>
      <c r="R48" s="111">
        <v>393</v>
      </c>
      <c r="S48" s="111">
        <v>1</v>
      </c>
      <c r="T48">
        <f>IF(ABS($Q$48*$S$48-$R$48)&lt;1.965,0,1)</f>
        <v>0</v>
      </c>
    </row>
    <row r="49" spans="1:20" ht="26" x14ac:dyDescent="0.2">
      <c r="A49" s="39" t="s">
        <v>2960</v>
      </c>
      <c r="B49" s="18">
        <f>$K$49</f>
        <v>9413</v>
      </c>
      <c r="C49" s="18">
        <f>$L$49</f>
        <v>9413</v>
      </c>
      <c r="D49" s="18">
        <f t="shared" si="4"/>
        <v>0</v>
      </c>
      <c r="E49" s="18">
        <v>5</v>
      </c>
      <c r="F49" s="115" t="str">
        <f t="shared" si="5"/>
        <v>PASS</v>
      </c>
      <c r="G49" s="22" t="s">
        <v>2961</v>
      </c>
      <c r="J49" t="s">
        <v>2960</v>
      </c>
      <c r="K49" s="111">
        <v>9413</v>
      </c>
      <c r="L49" s="111">
        <v>9413</v>
      </c>
      <c r="N49" s="111">
        <v>0</v>
      </c>
      <c r="P49" t="s">
        <v>2962</v>
      </c>
      <c r="Q49" s="111">
        <v>200</v>
      </c>
      <c r="R49" s="111">
        <v>40000</v>
      </c>
      <c r="S49" s="111">
        <v>200</v>
      </c>
      <c r="T49">
        <f>IF(ABS($Q$49*$S$49-$R$49)&lt;200,0,1)</f>
        <v>0</v>
      </c>
    </row>
    <row r="50" spans="1:20" ht="26" x14ac:dyDescent="0.2">
      <c r="A50" s="39" t="s">
        <v>2963</v>
      </c>
      <c r="B50" s="18">
        <f>$K$50</f>
        <v>3850</v>
      </c>
      <c r="C50" s="18">
        <f>$L$50</f>
        <v>8470</v>
      </c>
      <c r="D50" s="18">
        <f t="shared" si="4"/>
        <v>-4620</v>
      </c>
      <c r="E50" s="18">
        <v>5</v>
      </c>
      <c r="F50" s="115" t="str">
        <f t="shared" si="5"/>
        <v>PASS</v>
      </c>
      <c r="G50" s="22" t="s">
        <v>2964</v>
      </c>
      <c r="J50" t="s">
        <v>2963</v>
      </c>
      <c r="K50" s="111">
        <v>3850</v>
      </c>
      <c r="L50" s="111">
        <v>8470</v>
      </c>
      <c r="N50" s="111">
        <v>0</v>
      </c>
      <c r="P50" t="s">
        <v>2965</v>
      </c>
      <c r="Q50" s="111">
        <v>18</v>
      </c>
      <c r="R50" s="111">
        <v>18</v>
      </c>
      <c r="S50" s="111">
        <v>1</v>
      </c>
      <c r="T50">
        <f>IF(ABS($Q$50*$S$50-$R$50)&lt;1,0,1)</f>
        <v>0</v>
      </c>
    </row>
    <row r="51" spans="1:20" ht="26" x14ac:dyDescent="0.2">
      <c r="A51" s="39" t="s">
        <v>2966</v>
      </c>
      <c r="B51" s="18">
        <f>$K$51</f>
        <v>18</v>
      </c>
      <c r="C51" s="18">
        <f>$L$51</f>
        <v>4.5</v>
      </c>
      <c r="D51" s="18">
        <f t="shared" si="4"/>
        <v>13.5</v>
      </c>
      <c r="E51" s="18">
        <v>5</v>
      </c>
      <c r="F51" s="115" t="str">
        <f t="shared" si="5"/>
        <v>PASS</v>
      </c>
      <c r="G51" s="22" t="s">
        <v>2967</v>
      </c>
      <c r="J51" t="s">
        <v>2966</v>
      </c>
      <c r="K51" s="111">
        <v>18</v>
      </c>
      <c r="L51" s="111">
        <v>4.5</v>
      </c>
      <c r="N51" s="111">
        <v>0</v>
      </c>
      <c r="P51" t="s">
        <v>2968</v>
      </c>
      <c r="Q51" s="111">
        <v>3312</v>
      </c>
      <c r="R51" s="111">
        <v>6624</v>
      </c>
      <c r="S51" s="111">
        <v>2</v>
      </c>
      <c r="T51">
        <f>IF(ABS($Q$51*$S$51-$R$51)&lt;33.12,0,1)</f>
        <v>0</v>
      </c>
    </row>
    <row r="52" spans="1:20" ht="26" x14ac:dyDescent="0.2">
      <c r="A52" s="39" t="s">
        <v>2969</v>
      </c>
      <c r="B52" s="18">
        <f>$K$52</f>
        <v>160</v>
      </c>
      <c r="C52" s="18">
        <f>$L$52</f>
        <v>160</v>
      </c>
      <c r="D52" s="18">
        <f t="shared" si="4"/>
        <v>0</v>
      </c>
      <c r="E52" s="18">
        <v>5</v>
      </c>
      <c r="F52" s="115" t="str">
        <f t="shared" si="5"/>
        <v>PASS</v>
      </c>
      <c r="G52" s="22" t="s">
        <v>2970</v>
      </c>
      <c r="J52" t="s">
        <v>2969</v>
      </c>
      <c r="K52" s="111">
        <v>160</v>
      </c>
      <c r="L52" s="111">
        <v>160</v>
      </c>
      <c r="N52" s="111">
        <v>0</v>
      </c>
      <c r="P52" t="s">
        <v>2971</v>
      </c>
      <c r="Q52" s="111">
        <v>393</v>
      </c>
      <c r="R52" s="111">
        <v>393</v>
      </c>
      <c r="S52" s="111">
        <v>1</v>
      </c>
      <c r="T52">
        <f>IF(ABS($Q$52*$S$52-$R$52)&lt;1.965,0,1)</f>
        <v>0</v>
      </c>
    </row>
    <row r="53" spans="1:20" ht="26" x14ac:dyDescent="0.2">
      <c r="A53" s="39" t="s">
        <v>2972</v>
      </c>
      <c r="B53" s="18">
        <f>$K$53</f>
        <v>160</v>
      </c>
      <c r="C53" s="18">
        <f>$L$53</f>
        <v>160</v>
      </c>
      <c r="D53" s="18">
        <f t="shared" si="4"/>
        <v>0</v>
      </c>
      <c r="E53" s="18">
        <v>5</v>
      </c>
      <c r="F53" s="115" t="str">
        <f t="shared" si="5"/>
        <v>PASS</v>
      </c>
      <c r="G53" s="22" t="s">
        <v>2973</v>
      </c>
      <c r="J53" t="s">
        <v>2972</v>
      </c>
      <c r="K53" s="111">
        <v>160</v>
      </c>
      <c r="L53" s="111">
        <v>160</v>
      </c>
      <c r="N53" s="111">
        <v>0</v>
      </c>
      <c r="P53" t="s">
        <v>2974</v>
      </c>
      <c r="Q53" s="111">
        <v>200</v>
      </c>
      <c r="R53" s="111">
        <v>200</v>
      </c>
      <c r="S53" s="111">
        <v>1</v>
      </c>
      <c r="T53">
        <f>IF(ABS($Q$53*$S$53-$R$53)&lt;1,0,1)</f>
        <v>0</v>
      </c>
    </row>
    <row r="54" spans="1:20" ht="26" x14ac:dyDescent="0.2">
      <c r="A54" s="39" t="s">
        <v>2975</v>
      </c>
      <c r="B54" s="18">
        <f>$K$54</f>
        <v>330</v>
      </c>
      <c r="C54" s="18">
        <f>$L$54</f>
        <v>330</v>
      </c>
      <c r="D54" s="18">
        <f t="shared" si="4"/>
        <v>0</v>
      </c>
      <c r="E54" s="18">
        <v>5</v>
      </c>
      <c r="F54" s="115" t="str">
        <f t="shared" si="5"/>
        <v>PASS</v>
      </c>
      <c r="G54" s="22" t="s">
        <v>2976</v>
      </c>
      <c r="J54" t="s">
        <v>2975</v>
      </c>
      <c r="K54" s="111">
        <v>330</v>
      </c>
      <c r="L54" s="111">
        <v>330</v>
      </c>
      <c r="N54" s="111">
        <v>0</v>
      </c>
      <c r="P54" t="s">
        <v>2977</v>
      </c>
      <c r="Q54" s="111">
        <v>12</v>
      </c>
      <c r="R54" s="111">
        <v>12</v>
      </c>
      <c r="S54" s="111">
        <v>1</v>
      </c>
      <c r="T54">
        <f>IF(ABS($Q$54*$S$54-$R$54)&lt;1,0,1)</f>
        <v>0</v>
      </c>
    </row>
    <row r="55" spans="1:20" ht="26" x14ac:dyDescent="0.2">
      <c r="A55" s="39" t="s">
        <v>2978</v>
      </c>
      <c r="B55" s="18">
        <f>$K$55</f>
        <v>982</v>
      </c>
      <c r="C55" s="18">
        <f>$L$55</f>
        <v>280</v>
      </c>
      <c r="D55" s="18">
        <f t="shared" si="4"/>
        <v>702</v>
      </c>
      <c r="E55" s="18">
        <v>5</v>
      </c>
      <c r="F55" s="115" t="str">
        <f t="shared" si="5"/>
        <v>PASS</v>
      </c>
      <c r="G55" s="22" t="s">
        <v>2979</v>
      </c>
      <c r="J55" t="s">
        <v>2978</v>
      </c>
      <c r="K55" s="111">
        <v>982</v>
      </c>
      <c r="L55" s="111">
        <v>280</v>
      </c>
      <c r="N55" s="111">
        <v>0</v>
      </c>
      <c r="P55" t="s">
        <v>2980</v>
      </c>
      <c r="Q55" s="111">
        <v>691</v>
      </c>
      <c r="R55" s="111">
        <v>691</v>
      </c>
      <c r="S55" s="111">
        <v>1</v>
      </c>
      <c r="T55">
        <f>IF(ABS($Q$55*$S$55-$R$55)&lt;3.455,0,1)</f>
        <v>0</v>
      </c>
    </row>
    <row r="56" spans="1:20" ht="26" x14ac:dyDescent="0.2">
      <c r="A56" s="39" t="s">
        <v>2981</v>
      </c>
      <c r="B56" s="18">
        <f>$K$56</f>
        <v>589</v>
      </c>
      <c r="C56" s="18">
        <f>$L$56</f>
        <v>589</v>
      </c>
      <c r="D56" s="18">
        <f t="shared" si="4"/>
        <v>0</v>
      </c>
      <c r="E56" s="18">
        <v>5</v>
      </c>
      <c r="F56" s="115" t="str">
        <f t="shared" si="5"/>
        <v>PASS</v>
      </c>
      <c r="G56" s="22" t="s">
        <v>2982</v>
      </c>
      <c r="J56" t="s">
        <v>2981</v>
      </c>
      <c r="K56" s="111">
        <v>589</v>
      </c>
      <c r="L56" s="111">
        <v>589</v>
      </c>
      <c r="N56" s="111">
        <v>0</v>
      </c>
      <c r="P56" t="s">
        <v>2983</v>
      </c>
      <c r="Q56" s="111">
        <v>12</v>
      </c>
      <c r="R56" s="111">
        <v>12</v>
      </c>
      <c r="S56" s="111">
        <v>1</v>
      </c>
      <c r="T56">
        <f>IF(ABS($Q$56*$S$56-$R$56)&lt;1,0,1)</f>
        <v>0</v>
      </c>
    </row>
    <row r="57" spans="1:20" ht="26" x14ac:dyDescent="0.2">
      <c r="A57" s="39" t="s">
        <v>2984</v>
      </c>
      <c r="B57" s="18">
        <f>$K$57</f>
        <v>160</v>
      </c>
      <c r="C57" s="18">
        <f>$L$57</f>
        <v>160</v>
      </c>
      <c r="D57" s="18">
        <f t="shared" si="4"/>
        <v>0</v>
      </c>
      <c r="E57" s="18">
        <v>5</v>
      </c>
      <c r="F57" s="115" t="str">
        <f t="shared" si="5"/>
        <v>PASS</v>
      </c>
      <c r="G57" s="22" t="s">
        <v>2985</v>
      </c>
      <c r="J57" t="s">
        <v>2984</v>
      </c>
      <c r="K57" s="111">
        <v>160</v>
      </c>
      <c r="L57" s="111">
        <v>160</v>
      </c>
      <c r="N57" s="111">
        <v>0</v>
      </c>
      <c r="P57" t="s">
        <v>2986</v>
      </c>
      <c r="Q57" s="111">
        <v>12</v>
      </c>
      <c r="R57" s="111">
        <v>12</v>
      </c>
      <c r="S57" s="111">
        <v>1</v>
      </c>
      <c r="T57">
        <f>IF(ABS($Q$57*$S$57-$R$57)&lt;1,0,1)</f>
        <v>0</v>
      </c>
    </row>
    <row r="58" spans="1:20" ht="26" x14ac:dyDescent="0.2">
      <c r="A58" s="39" t="s">
        <v>2987</v>
      </c>
      <c r="B58" s="18">
        <f>$K$58</f>
        <v>380</v>
      </c>
      <c r="C58" s="18">
        <f>$L$58</f>
        <v>380</v>
      </c>
      <c r="D58" s="18">
        <f t="shared" si="4"/>
        <v>0</v>
      </c>
      <c r="E58" s="18">
        <v>5</v>
      </c>
      <c r="F58" s="115" t="str">
        <f t="shared" si="5"/>
        <v>PASS</v>
      </c>
      <c r="G58" s="22" t="s">
        <v>2988</v>
      </c>
      <c r="J58" t="s">
        <v>2987</v>
      </c>
      <c r="K58" s="111">
        <v>380</v>
      </c>
      <c r="L58" s="111">
        <v>380</v>
      </c>
      <c r="N58" s="111">
        <v>0</v>
      </c>
      <c r="P58" t="s">
        <v>2989</v>
      </c>
      <c r="Q58" s="111">
        <v>1843</v>
      </c>
      <c r="R58" s="111">
        <v>23959</v>
      </c>
      <c r="S58" s="111">
        <v>13</v>
      </c>
      <c r="T58">
        <f>IF(ABS($Q$58*$S$58-$R$58)&lt;119.795,0,1)</f>
        <v>0</v>
      </c>
    </row>
    <row r="59" spans="1:20" ht="26" x14ac:dyDescent="0.2">
      <c r="A59" s="39" t="s">
        <v>2990</v>
      </c>
      <c r="B59" s="18">
        <f>$K$59</f>
        <v>280</v>
      </c>
      <c r="C59" s="18">
        <f>$L$59</f>
        <v>280</v>
      </c>
      <c r="D59" s="18">
        <f t="shared" si="4"/>
        <v>0</v>
      </c>
      <c r="E59" s="18">
        <v>5</v>
      </c>
      <c r="F59" s="115" t="str">
        <f t="shared" si="5"/>
        <v>PASS</v>
      </c>
      <c r="G59" s="22" t="s">
        <v>2991</v>
      </c>
      <c r="J59" t="s">
        <v>2990</v>
      </c>
      <c r="K59" s="111">
        <v>280</v>
      </c>
      <c r="L59" s="111">
        <v>280</v>
      </c>
      <c r="N59" s="111">
        <v>0</v>
      </c>
      <c r="P59" t="s">
        <v>2992</v>
      </c>
      <c r="Q59" s="111">
        <v>1843</v>
      </c>
      <c r="R59" s="111">
        <v>1843</v>
      </c>
      <c r="S59" s="111">
        <v>1</v>
      </c>
      <c r="T59">
        <f>IF(ABS($Q$59*$S$59-$R$59)&lt;9.215,0,1)</f>
        <v>0</v>
      </c>
    </row>
    <row r="60" spans="1:20" ht="26" x14ac:dyDescent="0.2">
      <c r="A60" s="39" t="s">
        <v>2993</v>
      </c>
      <c r="B60" s="18">
        <f>$K$60</f>
        <v>850</v>
      </c>
      <c r="C60" s="18">
        <f>$L$60</f>
        <v>850</v>
      </c>
      <c r="D60" s="18">
        <f t="shared" si="4"/>
        <v>0</v>
      </c>
      <c r="E60" s="18">
        <v>5</v>
      </c>
      <c r="F60" s="115" t="str">
        <f t="shared" si="5"/>
        <v>PASS</v>
      </c>
      <c r="G60" s="22" t="s">
        <v>2994</v>
      </c>
      <c r="J60" t="s">
        <v>2993</v>
      </c>
      <c r="K60" s="111">
        <v>850</v>
      </c>
      <c r="L60" s="111">
        <v>850</v>
      </c>
      <c r="N60" s="111">
        <v>0</v>
      </c>
      <c r="P60" t="s">
        <v>2995</v>
      </c>
      <c r="Q60" s="111">
        <v>1843</v>
      </c>
      <c r="R60" s="111">
        <v>5529</v>
      </c>
      <c r="S60" s="111">
        <v>3</v>
      </c>
      <c r="T60">
        <f>IF(ABS($Q$60*$S$60-$R$60)&lt;27.645,0,1)</f>
        <v>0</v>
      </c>
    </row>
    <row r="61" spans="1:20" ht="26" x14ac:dyDescent="0.2">
      <c r="A61" s="39" t="s">
        <v>2996</v>
      </c>
      <c r="B61" s="18">
        <f>$K$61</f>
        <v>393</v>
      </c>
      <c r="C61" s="18">
        <f>$L$61</f>
        <v>393.05</v>
      </c>
      <c r="D61" s="18">
        <f t="shared" si="4"/>
        <v>-5.0000000000011369E-2</v>
      </c>
      <c r="E61" s="18">
        <v>5</v>
      </c>
      <c r="F61" s="115" t="str">
        <f t="shared" si="5"/>
        <v>PASS</v>
      </c>
      <c r="G61" s="22" t="s">
        <v>2997</v>
      </c>
      <c r="J61" t="s">
        <v>2996</v>
      </c>
      <c r="K61" s="111">
        <v>393</v>
      </c>
      <c r="L61" s="111">
        <v>393.05</v>
      </c>
      <c r="N61" s="111">
        <v>0</v>
      </c>
      <c r="P61" t="s">
        <v>2998</v>
      </c>
      <c r="Q61" s="111">
        <v>2800</v>
      </c>
      <c r="R61" s="111">
        <v>2800</v>
      </c>
      <c r="S61" s="111">
        <v>1</v>
      </c>
      <c r="T61">
        <f>IF(ABS($Q$61*$S$61-$R$61)&lt;14,0,1)</f>
        <v>0</v>
      </c>
    </row>
    <row r="62" spans="1:20" ht="65" x14ac:dyDescent="0.2">
      <c r="A62" s="39" t="s">
        <v>2999</v>
      </c>
      <c r="B62" s="18">
        <f>$K$62</f>
        <v>200</v>
      </c>
      <c r="C62" s="18">
        <f>$L$62</f>
        <v>200</v>
      </c>
      <c r="D62" s="18">
        <f t="shared" si="4"/>
        <v>0</v>
      </c>
      <c r="E62" s="18">
        <v>5</v>
      </c>
      <c r="F62" s="115" t="str">
        <f t="shared" si="5"/>
        <v>PASS</v>
      </c>
      <c r="G62" s="22" t="s">
        <v>3000</v>
      </c>
      <c r="J62" t="s">
        <v>2999</v>
      </c>
      <c r="K62" s="111">
        <v>200</v>
      </c>
      <c r="L62" s="111">
        <v>200</v>
      </c>
      <c r="N62" s="111">
        <v>0</v>
      </c>
      <c r="P62" t="s">
        <v>3001</v>
      </c>
      <c r="Q62" s="111">
        <v>700</v>
      </c>
      <c r="R62" s="111">
        <v>11900</v>
      </c>
      <c r="S62" s="111">
        <v>17</v>
      </c>
      <c r="T62">
        <f>IF(ABS($Q$62*$S$62-$R$62)&lt;59.5,0,1)</f>
        <v>0</v>
      </c>
    </row>
    <row r="63" spans="1:20" ht="26" x14ac:dyDescent="0.2">
      <c r="A63" s="39" t="s">
        <v>3002</v>
      </c>
      <c r="B63" s="18">
        <f>$K$63</f>
        <v>18</v>
      </c>
      <c r="C63" s="18">
        <f>$L$63</f>
        <v>18</v>
      </c>
      <c r="D63" s="18">
        <f t="shared" si="4"/>
        <v>0</v>
      </c>
      <c r="E63" s="18">
        <v>5</v>
      </c>
      <c r="F63" s="115" t="str">
        <f t="shared" si="5"/>
        <v>PASS</v>
      </c>
      <c r="G63" s="22" t="s">
        <v>3003</v>
      </c>
      <c r="J63" t="s">
        <v>3002</v>
      </c>
      <c r="K63" s="111">
        <v>18</v>
      </c>
      <c r="L63" s="111">
        <v>18</v>
      </c>
      <c r="N63" s="111">
        <v>0</v>
      </c>
      <c r="P63" t="s">
        <v>3004</v>
      </c>
      <c r="Q63" s="111">
        <v>280</v>
      </c>
      <c r="R63" s="111">
        <v>280</v>
      </c>
      <c r="S63" s="111">
        <v>1</v>
      </c>
      <c r="T63">
        <f>IF(ABS($Q$63*$S$63-$R$63)&lt;1.4,0,1)</f>
        <v>0</v>
      </c>
    </row>
    <row r="64" spans="1:20" ht="26" x14ac:dyDescent="0.2">
      <c r="A64" s="39" t="s">
        <v>3005</v>
      </c>
      <c r="B64" s="18">
        <f>$K$64</f>
        <v>393</v>
      </c>
      <c r="C64" s="18">
        <f>$L$64</f>
        <v>393.05</v>
      </c>
      <c r="D64" s="18">
        <f t="shared" si="4"/>
        <v>-5.0000000000011369E-2</v>
      </c>
      <c r="E64" s="18">
        <v>5</v>
      </c>
      <c r="F64" s="115" t="str">
        <f t="shared" si="5"/>
        <v>PASS</v>
      </c>
      <c r="G64" s="22" t="s">
        <v>3006</v>
      </c>
      <c r="J64" t="s">
        <v>3005</v>
      </c>
      <c r="K64" s="111">
        <v>393</v>
      </c>
      <c r="L64" s="111">
        <v>393.05</v>
      </c>
      <c r="N64" s="111">
        <v>0</v>
      </c>
      <c r="P64" t="s">
        <v>3007</v>
      </c>
      <c r="Q64" s="111">
        <v>12</v>
      </c>
      <c r="R64" s="111">
        <v>12</v>
      </c>
      <c r="S64" s="111">
        <v>1</v>
      </c>
      <c r="T64">
        <f>IF(ABS($Q$64*$S$64-$R$64)&lt;1,0,1)</f>
        <v>0</v>
      </c>
    </row>
    <row r="65" spans="1:20" ht="65" x14ac:dyDescent="0.2">
      <c r="A65" s="39" t="s">
        <v>3008</v>
      </c>
      <c r="B65" s="18">
        <f>$K$65</f>
        <v>200</v>
      </c>
      <c r="C65" s="18">
        <f>$L$65</f>
        <v>200</v>
      </c>
      <c r="D65" s="18">
        <f t="shared" si="4"/>
        <v>0</v>
      </c>
      <c r="E65" s="18">
        <v>5</v>
      </c>
      <c r="F65" s="115" t="str">
        <f t="shared" si="5"/>
        <v>PASS</v>
      </c>
      <c r="G65" s="22" t="s">
        <v>3009</v>
      </c>
      <c r="J65" t="s">
        <v>3008</v>
      </c>
      <c r="K65" s="111">
        <v>200</v>
      </c>
      <c r="L65" s="111">
        <v>200</v>
      </c>
      <c r="N65" s="111">
        <v>0</v>
      </c>
      <c r="P65" t="s">
        <v>3010</v>
      </c>
      <c r="Q65" s="111">
        <v>12</v>
      </c>
      <c r="R65" s="111">
        <v>12</v>
      </c>
      <c r="S65" s="111">
        <v>1</v>
      </c>
      <c r="T65">
        <f>IF(ABS($Q$65*$S$65-$R$65)&lt;1,0,1)</f>
        <v>0</v>
      </c>
    </row>
    <row r="66" spans="1:20" ht="26" x14ac:dyDescent="0.2">
      <c r="A66" s="39" t="s">
        <v>3011</v>
      </c>
      <c r="B66" s="18">
        <f>$K$66</f>
        <v>12</v>
      </c>
      <c r="C66" s="18">
        <f>$L$66</f>
        <v>12</v>
      </c>
      <c r="D66" s="18">
        <f t="shared" si="4"/>
        <v>0</v>
      </c>
      <c r="E66" s="18">
        <v>5</v>
      </c>
      <c r="F66" s="115" t="str">
        <f t="shared" si="5"/>
        <v>PASS</v>
      </c>
      <c r="G66" s="22" t="s">
        <v>3012</v>
      </c>
      <c r="J66" t="s">
        <v>3011</v>
      </c>
      <c r="K66" s="111">
        <v>12</v>
      </c>
      <c r="L66" s="111">
        <v>12</v>
      </c>
      <c r="N66" s="111">
        <v>0</v>
      </c>
      <c r="P66" t="s">
        <v>3013</v>
      </c>
      <c r="Q66" s="111">
        <v>691</v>
      </c>
      <c r="R66" s="111">
        <v>691</v>
      </c>
      <c r="S66" s="111">
        <v>1</v>
      </c>
      <c r="T66">
        <f>IF(ABS($Q$66*$S$66-$R$66)&lt;3.455,0,1)</f>
        <v>0</v>
      </c>
    </row>
    <row r="67" spans="1:20" ht="26" x14ac:dyDescent="0.2">
      <c r="A67" s="39" t="s">
        <v>3014</v>
      </c>
      <c r="B67" s="18">
        <f>$K$67</f>
        <v>691</v>
      </c>
      <c r="C67" s="18">
        <f>$L$67</f>
        <v>691</v>
      </c>
      <c r="D67" s="18">
        <f t="shared" si="4"/>
        <v>0</v>
      </c>
      <c r="E67" s="18">
        <v>5</v>
      </c>
      <c r="F67" s="115" t="str">
        <f t="shared" si="5"/>
        <v>PASS</v>
      </c>
      <c r="G67" s="22" t="s">
        <v>3015</v>
      </c>
      <c r="J67" t="s">
        <v>3014</v>
      </c>
      <c r="K67" s="111">
        <v>691</v>
      </c>
      <c r="L67" s="111">
        <v>691</v>
      </c>
      <c r="N67" s="111">
        <v>0</v>
      </c>
      <c r="P67" t="s">
        <v>3016</v>
      </c>
      <c r="Q67" s="111">
        <v>283</v>
      </c>
      <c r="R67" s="111">
        <v>283</v>
      </c>
      <c r="S67" s="111">
        <v>1</v>
      </c>
      <c r="T67">
        <f>IF(ABS($Q$67*$S$67-$R$67)&lt;1.415,0,1)</f>
        <v>0</v>
      </c>
    </row>
    <row r="68" spans="1:20" ht="26" x14ac:dyDescent="0.2">
      <c r="A68" s="39" t="s">
        <v>3017</v>
      </c>
      <c r="B68" s="18">
        <f>$K$68</f>
        <v>12</v>
      </c>
      <c r="C68" s="18">
        <f>$L$68</f>
        <v>12</v>
      </c>
      <c r="D68" s="18">
        <f t="shared" si="4"/>
        <v>0</v>
      </c>
      <c r="E68" s="18">
        <v>5</v>
      </c>
      <c r="F68" s="115" t="str">
        <f t="shared" si="5"/>
        <v>PASS</v>
      </c>
      <c r="G68" s="22" t="s">
        <v>3018</v>
      </c>
      <c r="J68" t="s">
        <v>3017</v>
      </c>
      <c r="K68" s="111">
        <v>12</v>
      </c>
      <c r="L68" s="111">
        <v>12</v>
      </c>
      <c r="N68" s="111">
        <v>0</v>
      </c>
      <c r="P68" t="s">
        <v>3019</v>
      </c>
      <c r="Q68" s="111">
        <v>4250</v>
      </c>
      <c r="R68" s="111">
        <v>4250</v>
      </c>
      <c r="S68" s="111">
        <v>1</v>
      </c>
      <c r="T68">
        <f>IF(ABS($Q$68*$S$68-$R$68)&lt;21.25,0,1)</f>
        <v>0</v>
      </c>
    </row>
    <row r="69" spans="1:20" ht="26" x14ac:dyDescent="0.2">
      <c r="A69" s="39" t="s">
        <v>3020</v>
      </c>
      <c r="B69" s="18">
        <f>$K$69</f>
        <v>12</v>
      </c>
      <c r="C69" s="18">
        <f>$L$69</f>
        <v>12</v>
      </c>
      <c r="D69" s="18">
        <f t="shared" ref="D69:D100" si="6">B69-C69</f>
        <v>0</v>
      </c>
      <c r="E69" s="18">
        <v>5</v>
      </c>
      <c r="F69" s="115" t="str">
        <f t="shared" ref="F69:F100" si="7">IF(N69=1,"RECONCILED — unit-basis (non-blocking)",IF(OR(C69=0,AND(B69/C69&lt;=E69,B69/C69&gt;=1/E69)),"PASS","FAIL"))</f>
        <v>PASS</v>
      </c>
      <c r="G69" s="22" t="s">
        <v>3021</v>
      </c>
      <c r="J69" t="s">
        <v>3020</v>
      </c>
      <c r="K69" s="111">
        <v>12</v>
      </c>
      <c r="L69" s="111">
        <v>12</v>
      </c>
      <c r="N69" s="111">
        <v>0</v>
      </c>
      <c r="P69" t="s">
        <v>3022</v>
      </c>
      <c r="Q69" s="111">
        <v>219</v>
      </c>
      <c r="R69" s="111">
        <v>219</v>
      </c>
      <c r="S69" s="111">
        <v>1</v>
      </c>
      <c r="T69">
        <f>IF(ABS($Q$69*$S$69-$R$69)&lt;1.095,0,1)</f>
        <v>0</v>
      </c>
    </row>
    <row r="70" spans="1:20" ht="26" x14ac:dyDescent="0.2">
      <c r="A70" s="39" t="s">
        <v>3023</v>
      </c>
      <c r="B70" s="18">
        <f>$K$70</f>
        <v>280</v>
      </c>
      <c r="C70" s="18">
        <f>$L$70</f>
        <v>280</v>
      </c>
      <c r="D70" s="18">
        <f t="shared" si="6"/>
        <v>0</v>
      </c>
      <c r="E70" s="18">
        <v>5</v>
      </c>
      <c r="F70" s="115" t="str">
        <f t="shared" si="7"/>
        <v>PASS</v>
      </c>
      <c r="G70" s="22" t="s">
        <v>3024</v>
      </c>
      <c r="J70" t="s">
        <v>3023</v>
      </c>
      <c r="K70" s="111">
        <v>280</v>
      </c>
      <c r="L70" s="111">
        <v>280</v>
      </c>
      <c r="N70" s="111">
        <v>0</v>
      </c>
      <c r="P70" t="s">
        <v>3025</v>
      </c>
      <c r="Q70" s="111">
        <v>250</v>
      </c>
      <c r="R70" s="111">
        <v>250</v>
      </c>
      <c r="S70" s="111">
        <v>1</v>
      </c>
      <c r="T70">
        <f>IF(ABS($Q$70*$S$70-$R$70)&lt;1.25,0,1)</f>
        <v>0</v>
      </c>
    </row>
    <row r="71" spans="1:20" ht="26" x14ac:dyDescent="0.2">
      <c r="A71" s="39" t="s">
        <v>3026</v>
      </c>
      <c r="B71" s="18">
        <f>$K$71</f>
        <v>12</v>
      </c>
      <c r="C71" s="18">
        <f>$L$71</f>
        <v>12</v>
      </c>
      <c r="D71" s="18">
        <f t="shared" si="6"/>
        <v>0</v>
      </c>
      <c r="E71" s="18">
        <v>5</v>
      </c>
      <c r="F71" s="115" t="str">
        <f t="shared" si="7"/>
        <v>PASS</v>
      </c>
      <c r="G71" s="22" t="s">
        <v>3027</v>
      </c>
      <c r="J71" t="s">
        <v>3026</v>
      </c>
      <c r="K71" s="111">
        <v>12</v>
      </c>
      <c r="L71" s="111">
        <v>12</v>
      </c>
      <c r="N71" s="111">
        <v>0</v>
      </c>
      <c r="P71" t="s">
        <v>3028</v>
      </c>
      <c r="Q71" s="111">
        <v>9</v>
      </c>
      <c r="R71" s="111">
        <v>9</v>
      </c>
      <c r="S71" s="111">
        <v>1</v>
      </c>
      <c r="T71">
        <f>IF(ABS($Q$71*$S$71-$R$71)&lt;1,0,1)</f>
        <v>0</v>
      </c>
    </row>
    <row r="72" spans="1:20" ht="26" x14ac:dyDescent="0.2">
      <c r="A72" s="39" t="s">
        <v>3029</v>
      </c>
      <c r="B72" s="18">
        <f>$K$72</f>
        <v>12</v>
      </c>
      <c r="C72" s="18">
        <f>$L$72</f>
        <v>12</v>
      </c>
      <c r="D72" s="18">
        <f t="shared" si="6"/>
        <v>0</v>
      </c>
      <c r="E72" s="18">
        <v>5</v>
      </c>
      <c r="F72" s="115" t="str">
        <f t="shared" si="7"/>
        <v>PASS</v>
      </c>
      <c r="G72" s="22" t="s">
        <v>3030</v>
      </c>
      <c r="J72" t="s">
        <v>3029</v>
      </c>
      <c r="K72" s="111">
        <v>12</v>
      </c>
      <c r="L72" s="111">
        <v>12</v>
      </c>
      <c r="N72" s="111">
        <v>0</v>
      </c>
      <c r="P72" t="s">
        <v>3031</v>
      </c>
      <c r="Q72" s="111">
        <v>9</v>
      </c>
      <c r="R72" s="111">
        <v>9</v>
      </c>
      <c r="S72" s="111">
        <v>1</v>
      </c>
      <c r="T72">
        <f>IF(ABS($Q$72*$S$72-$R$72)&lt;1,0,1)</f>
        <v>0</v>
      </c>
    </row>
    <row r="73" spans="1:20" ht="26" x14ac:dyDescent="0.2">
      <c r="A73" s="39" t="s">
        <v>3032</v>
      </c>
      <c r="B73" s="18">
        <f>$K$73</f>
        <v>691</v>
      </c>
      <c r="C73" s="18">
        <f>$L$73</f>
        <v>691</v>
      </c>
      <c r="D73" s="18">
        <f t="shared" si="6"/>
        <v>0</v>
      </c>
      <c r="E73" s="18">
        <v>5</v>
      </c>
      <c r="F73" s="115" t="str">
        <f t="shared" si="7"/>
        <v>PASS</v>
      </c>
      <c r="G73" s="22" t="s">
        <v>3033</v>
      </c>
      <c r="J73" t="s">
        <v>3032</v>
      </c>
      <c r="K73" s="111">
        <v>691</v>
      </c>
      <c r="L73" s="111">
        <v>691</v>
      </c>
      <c r="N73" s="111">
        <v>0</v>
      </c>
      <c r="P73" t="s">
        <v>3034</v>
      </c>
      <c r="Q73" s="111">
        <v>18</v>
      </c>
      <c r="R73" s="111">
        <v>18</v>
      </c>
      <c r="S73" s="111">
        <v>1</v>
      </c>
      <c r="T73">
        <f>IF(ABS($Q$73*$S$73-$R$73)&lt;1,0,1)</f>
        <v>0</v>
      </c>
    </row>
    <row r="74" spans="1:20" ht="26" x14ac:dyDescent="0.2">
      <c r="A74" s="39" t="s">
        <v>3035</v>
      </c>
      <c r="B74" s="18">
        <f>$K$74</f>
        <v>283</v>
      </c>
      <c r="C74" s="18">
        <f>$L$74</f>
        <v>283</v>
      </c>
      <c r="D74" s="18">
        <f t="shared" si="6"/>
        <v>0</v>
      </c>
      <c r="E74" s="18">
        <v>5</v>
      </c>
      <c r="F74" s="115" t="str">
        <f t="shared" si="7"/>
        <v>PASS</v>
      </c>
      <c r="G74" s="22" t="s">
        <v>3036</v>
      </c>
      <c r="J74" t="s">
        <v>3035</v>
      </c>
      <c r="K74" s="111">
        <v>283</v>
      </c>
      <c r="L74" s="111">
        <v>283</v>
      </c>
      <c r="N74" s="111">
        <v>0</v>
      </c>
      <c r="P74" t="s">
        <v>3037</v>
      </c>
      <c r="Q74" s="111">
        <v>1</v>
      </c>
      <c r="R74" s="111">
        <v>1</v>
      </c>
      <c r="S74" s="111">
        <v>1</v>
      </c>
      <c r="T74">
        <f>IF(ABS($Q$74*$S$74-$R$74)&lt;1,0,1)</f>
        <v>0</v>
      </c>
    </row>
    <row r="75" spans="1:20" ht="26" x14ac:dyDescent="0.2">
      <c r="A75" s="39" t="s">
        <v>3038</v>
      </c>
      <c r="B75" s="18">
        <f>$K$75</f>
        <v>4250</v>
      </c>
      <c r="C75" s="18">
        <f>$L$75</f>
        <v>4250</v>
      </c>
      <c r="D75" s="18">
        <f t="shared" si="6"/>
        <v>0</v>
      </c>
      <c r="E75" s="18">
        <v>5</v>
      </c>
      <c r="F75" s="115" t="str">
        <f t="shared" si="7"/>
        <v>PASS</v>
      </c>
      <c r="G75" s="22" t="s">
        <v>3039</v>
      </c>
      <c r="J75" t="s">
        <v>3038</v>
      </c>
      <c r="K75" s="111">
        <v>4250</v>
      </c>
      <c r="L75" s="111">
        <v>4250</v>
      </c>
      <c r="N75" s="111">
        <v>0</v>
      </c>
      <c r="P75" t="s">
        <v>3040</v>
      </c>
      <c r="Q75" s="111">
        <v>40</v>
      </c>
      <c r="R75" s="111">
        <v>40</v>
      </c>
      <c r="S75" s="111">
        <v>1</v>
      </c>
      <c r="T75">
        <f>IF(ABS($Q$75*$S$75-$R$75)&lt;1,0,1)</f>
        <v>0</v>
      </c>
    </row>
    <row r="76" spans="1:20" ht="26" x14ac:dyDescent="0.2">
      <c r="A76" s="39" t="s">
        <v>3041</v>
      </c>
      <c r="B76" s="18">
        <f>$K$76</f>
        <v>219</v>
      </c>
      <c r="C76" s="18">
        <f>$L$76</f>
        <v>214</v>
      </c>
      <c r="D76" s="18">
        <f t="shared" si="6"/>
        <v>5</v>
      </c>
      <c r="E76" s="18">
        <v>5</v>
      </c>
      <c r="F76" s="115" t="str">
        <f t="shared" si="7"/>
        <v>PASS</v>
      </c>
      <c r="G76" s="22" t="s">
        <v>3042</v>
      </c>
      <c r="J76" t="s">
        <v>3041</v>
      </c>
      <c r="K76" s="111">
        <v>219</v>
      </c>
      <c r="L76" s="111">
        <v>214</v>
      </c>
      <c r="N76" s="111">
        <v>0</v>
      </c>
      <c r="P76" t="s">
        <v>3043</v>
      </c>
      <c r="Q76" s="111">
        <v>11000</v>
      </c>
      <c r="R76" s="111">
        <v>11000</v>
      </c>
      <c r="S76" s="111">
        <v>1</v>
      </c>
      <c r="T76">
        <f>IF(ABS($Q$76*$S$76-$R$76)&lt;55,0,1)</f>
        <v>0</v>
      </c>
    </row>
    <row r="77" spans="1:20" ht="26" x14ac:dyDescent="0.2">
      <c r="A77" s="39" t="s">
        <v>3044</v>
      </c>
      <c r="B77" s="18">
        <f>$K$77</f>
        <v>250</v>
      </c>
      <c r="C77" s="18">
        <f>$L$77</f>
        <v>250.34</v>
      </c>
      <c r="D77" s="18">
        <f t="shared" si="6"/>
        <v>-0.34000000000000341</v>
      </c>
      <c r="E77" s="18">
        <v>5</v>
      </c>
      <c r="F77" s="115" t="str">
        <f t="shared" si="7"/>
        <v>PASS</v>
      </c>
      <c r="G77" s="22" t="s">
        <v>3045</v>
      </c>
      <c r="J77" t="s">
        <v>3044</v>
      </c>
      <c r="K77" s="111">
        <v>250</v>
      </c>
      <c r="L77" s="111">
        <v>250.34</v>
      </c>
      <c r="N77" s="111">
        <v>0</v>
      </c>
      <c r="P77" t="s">
        <v>3046</v>
      </c>
      <c r="Q77" s="111">
        <v>40</v>
      </c>
      <c r="R77" s="111">
        <v>40</v>
      </c>
      <c r="S77" s="111">
        <v>1</v>
      </c>
      <c r="T77">
        <f>IF(ABS($Q$77*$S$77-$R$77)&lt;1,0,1)</f>
        <v>0</v>
      </c>
    </row>
    <row r="78" spans="1:20" ht="26" x14ac:dyDescent="0.2">
      <c r="A78" s="39" t="s">
        <v>3047</v>
      </c>
      <c r="B78" s="18">
        <f>$K$78</f>
        <v>18</v>
      </c>
      <c r="C78" s="18">
        <f>$L$78</f>
        <v>18</v>
      </c>
      <c r="D78" s="18">
        <f t="shared" si="6"/>
        <v>0</v>
      </c>
      <c r="E78" s="18">
        <v>5</v>
      </c>
      <c r="F78" s="115" t="str">
        <f t="shared" si="7"/>
        <v>PASS</v>
      </c>
      <c r="G78" s="22" t="s">
        <v>3048</v>
      </c>
      <c r="J78" t="s">
        <v>3047</v>
      </c>
      <c r="K78" s="111">
        <v>18</v>
      </c>
      <c r="L78" s="111">
        <v>18</v>
      </c>
      <c r="N78" s="111">
        <v>0</v>
      </c>
      <c r="P78" t="s">
        <v>3049</v>
      </c>
      <c r="Q78" s="111">
        <v>40</v>
      </c>
      <c r="R78" s="111">
        <v>40</v>
      </c>
      <c r="S78" s="111">
        <v>1</v>
      </c>
      <c r="T78">
        <f>IF(ABS($Q$78*$S$78-$R$78)&lt;1,0,1)</f>
        <v>0</v>
      </c>
    </row>
    <row r="79" spans="1:20" ht="26" x14ac:dyDescent="0.2">
      <c r="A79" s="39" t="s">
        <v>3050</v>
      </c>
      <c r="B79" s="18">
        <f>$K$79</f>
        <v>18</v>
      </c>
      <c r="C79" s="18">
        <f>$L$79</f>
        <v>18</v>
      </c>
      <c r="D79" s="18">
        <f t="shared" si="6"/>
        <v>0</v>
      </c>
      <c r="E79" s="18">
        <v>5</v>
      </c>
      <c r="F79" s="115" t="str">
        <f t="shared" si="7"/>
        <v>PASS</v>
      </c>
      <c r="G79" s="22" t="s">
        <v>3051</v>
      </c>
      <c r="J79" t="s">
        <v>3050</v>
      </c>
      <c r="K79" s="111">
        <v>18</v>
      </c>
      <c r="L79" s="111">
        <v>18</v>
      </c>
      <c r="N79" s="111">
        <v>0</v>
      </c>
      <c r="P79" t="s">
        <v>3052</v>
      </c>
      <c r="Q79" s="111">
        <v>3</v>
      </c>
      <c r="R79" s="111">
        <v>3</v>
      </c>
      <c r="S79" s="111">
        <v>1</v>
      </c>
      <c r="T79">
        <f>IF(ABS($Q$79*$S$79-$R$79)&lt;1,0,1)</f>
        <v>0</v>
      </c>
    </row>
    <row r="80" spans="1:20" ht="26" x14ac:dyDescent="0.2">
      <c r="A80" s="39" t="s">
        <v>3053</v>
      </c>
      <c r="B80" s="18">
        <f>$K$80</f>
        <v>76</v>
      </c>
      <c r="C80" s="18">
        <f>$L$80</f>
        <v>75.75</v>
      </c>
      <c r="D80" s="18">
        <f t="shared" si="6"/>
        <v>0.25</v>
      </c>
      <c r="E80" s="18">
        <v>5</v>
      </c>
      <c r="F80" s="115" t="str">
        <f t="shared" si="7"/>
        <v>PASS</v>
      </c>
      <c r="G80" s="22" t="s">
        <v>3054</v>
      </c>
      <c r="J80" t="s">
        <v>3053</v>
      </c>
      <c r="K80" s="111">
        <v>76</v>
      </c>
      <c r="L80" s="111">
        <v>75.75</v>
      </c>
      <c r="N80" s="111">
        <v>0</v>
      </c>
      <c r="P80" t="s">
        <v>3055</v>
      </c>
      <c r="Q80" s="111">
        <v>3000</v>
      </c>
      <c r="R80" s="111">
        <v>3000</v>
      </c>
      <c r="S80" s="111">
        <v>1</v>
      </c>
      <c r="T80">
        <f>IF(ABS($Q$80*$S$80-$R$80)&lt;15,0,1)</f>
        <v>0</v>
      </c>
    </row>
    <row r="81" spans="1:20" ht="26" x14ac:dyDescent="0.2">
      <c r="A81" s="39" t="s">
        <v>3056</v>
      </c>
      <c r="B81" s="18">
        <f>$K$81</f>
        <v>76</v>
      </c>
      <c r="C81" s="18">
        <f>$L$81</f>
        <v>75.75</v>
      </c>
      <c r="D81" s="18">
        <f t="shared" si="6"/>
        <v>0.25</v>
      </c>
      <c r="E81" s="18">
        <v>5</v>
      </c>
      <c r="F81" s="115" t="str">
        <f t="shared" si="7"/>
        <v>PASS</v>
      </c>
      <c r="G81" s="22" t="s">
        <v>3057</v>
      </c>
      <c r="J81" t="s">
        <v>3056</v>
      </c>
      <c r="K81" s="111">
        <v>76</v>
      </c>
      <c r="L81" s="111">
        <v>75.75</v>
      </c>
      <c r="N81" s="111">
        <v>0</v>
      </c>
      <c r="P81" t="s">
        <v>3058</v>
      </c>
      <c r="Q81" s="111">
        <v>18</v>
      </c>
      <c r="R81" s="111">
        <v>18</v>
      </c>
      <c r="S81" s="111">
        <v>1</v>
      </c>
      <c r="T81">
        <f>IF(ABS($Q$81*$S$81-$R$81)&lt;1,0,1)</f>
        <v>0</v>
      </c>
    </row>
    <row r="82" spans="1:20" ht="26" x14ac:dyDescent="0.2">
      <c r="A82" s="39" t="s">
        <v>3059</v>
      </c>
      <c r="B82" s="18">
        <f>$K$82</f>
        <v>40</v>
      </c>
      <c r="C82" s="18">
        <f>$L$82</f>
        <v>35</v>
      </c>
      <c r="D82" s="18">
        <f t="shared" si="6"/>
        <v>5</v>
      </c>
      <c r="E82" s="18">
        <v>5</v>
      </c>
      <c r="F82" s="115" t="str">
        <f t="shared" si="7"/>
        <v>PASS</v>
      </c>
      <c r="G82" s="22" t="s">
        <v>3060</v>
      </c>
      <c r="J82" t="s">
        <v>3059</v>
      </c>
      <c r="K82" s="111">
        <v>40</v>
      </c>
      <c r="L82" s="111">
        <v>35</v>
      </c>
      <c r="N82" s="111">
        <v>0</v>
      </c>
      <c r="P82" t="s">
        <v>3061</v>
      </c>
      <c r="Q82" s="111">
        <v>76</v>
      </c>
      <c r="R82" s="111">
        <v>76</v>
      </c>
      <c r="S82" s="111">
        <v>1</v>
      </c>
      <c r="T82">
        <f>IF(ABS($Q$82*$S$82-$R$82)&lt;1,0,1)</f>
        <v>0</v>
      </c>
    </row>
    <row r="83" spans="1:20" ht="26" x14ac:dyDescent="0.2">
      <c r="A83" s="39" t="s">
        <v>3062</v>
      </c>
      <c r="B83" s="18">
        <f>$K$83</f>
        <v>45</v>
      </c>
      <c r="C83" s="18">
        <f>$L$83</f>
        <v>45</v>
      </c>
      <c r="D83" s="18">
        <f t="shared" si="6"/>
        <v>0</v>
      </c>
      <c r="E83" s="18">
        <v>5</v>
      </c>
      <c r="F83" s="115" t="str">
        <f t="shared" si="7"/>
        <v>PASS</v>
      </c>
      <c r="G83" s="22" t="s">
        <v>3063</v>
      </c>
      <c r="J83" t="s">
        <v>3062</v>
      </c>
      <c r="K83" s="111">
        <v>45</v>
      </c>
      <c r="L83" s="111">
        <v>45</v>
      </c>
      <c r="N83" s="111">
        <v>0</v>
      </c>
      <c r="P83" t="s">
        <v>3064</v>
      </c>
      <c r="Q83" s="111">
        <v>76</v>
      </c>
      <c r="R83" s="111">
        <v>76</v>
      </c>
      <c r="S83" s="111">
        <v>1</v>
      </c>
      <c r="T83">
        <f>IF(ABS($Q$83*$S$83-$R$83)&lt;1,0,1)</f>
        <v>0</v>
      </c>
    </row>
    <row r="84" spans="1:20" ht="26" x14ac:dyDescent="0.2">
      <c r="A84" s="39" t="s">
        <v>3065</v>
      </c>
      <c r="B84" s="18">
        <f>$K$84</f>
        <v>6</v>
      </c>
      <c r="C84" s="18">
        <f>$L$84</f>
        <v>6.5</v>
      </c>
      <c r="D84" s="18">
        <f t="shared" si="6"/>
        <v>-0.5</v>
      </c>
      <c r="E84" s="18">
        <v>5</v>
      </c>
      <c r="F84" s="115" t="str">
        <f t="shared" si="7"/>
        <v>PASS</v>
      </c>
      <c r="G84" s="22" t="s">
        <v>3066</v>
      </c>
      <c r="J84" t="s">
        <v>3065</v>
      </c>
      <c r="K84" s="111">
        <v>6</v>
      </c>
      <c r="L84" s="111">
        <v>6.5</v>
      </c>
      <c r="N84" s="111">
        <v>0</v>
      </c>
      <c r="P84" t="s">
        <v>3067</v>
      </c>
      <c r="Q84" s="111">
        <v>40</v>
      </c>
      <c r="R84" s="111">
        <v>40</v>
      </c>
      <c r="S84" s="111">
        <v>1</v>
      </c>
      <c r="T84">
        <f>IF(ABS($Q$84*$S$84-$R$84)&lt;1,0,1)</f>
        <v>0</v>
      </c>
    </row>
    <row r="85" spans="1:20" ht="26" x14ac:dyDescent="0.2">
      <c r="A85" s="39" t="s">
        <v>3068</v>
      </c>
      <c r="B85" s="18">
        <f>$K$85</f>
        <v>40</v>
      </c>
      <c r="C85" s="18">
        <f>$L$85</f>
        <v>35</v>
      </c>
      <c r="D85" s="18">
        <f t="shared" si="6"/>
        <v>5</v>
      </c>
      <c r="E85" s="18">
        <v>5</v>
      </c>
      <c r="F85" s="115" t="str">
        <f t="shared" si="7"/>
        <v>PASS</v>
      </c>
      <c r="G85" s="22" t="s">
        <v>3069</v>
      </c>
      <c r="J85" t="s">
        <v>3068</v>
      </c>
      <c r="K85" s="111">
        <v>40</v>
      </c>
      <c r="L85" s="111">
        <v>35</v>
      </c>
      <c r="N85" s="111">
        <v>0</v>
      </c>
      <c r="P85" t="s">
        <v>3070</v>
      </c>
      <c r="Q85" s="111">
        <v>8023</v>
      </c>
      <c r="R85" s="111">
        <v>8023</v>
      </c>
      <c r="S85" s="111">
        <v>1</v>
      </c>
      <c r="T85">
        <f>IF(ABS($Q$85*$S$85-$R$85)&lt;40.115,0,1)</f>
        <v>0</v>
      </c>
    </row>
    <row r="86" spans="1:20" ht="26" x14ac:dyDescent="0.2">
      <c r="A86" s="39" t="s">
        <v>3071</v>
      </c>
      <c r="B86" s="18">
        <f>$K$86</f>
        <v>12</v>
      </c>
      <c r="C86" s="18">
        <f>$L$86</f>
        <v>12</v>
      </c>
      <c r="D86" s="18">
        <f t="shared" si="6"/>
        <v>0</v>
      </c>
      <c r="E86" s="18">
        <v>5</v>
      </c>
      <c r="F86" s="115" t="str">
        <f t="shared" si="7"/>
        <v>PASS</v>
      </c>
      <c r="G86" s="22" t="s">
        <v>3072</v>
      </c>
      <c r="J86" t="s">
        <v>3071</v>
      </c>
      <c r="K86" s="111">
        <v>12</v>
      </c>
      <c r="L86" s="111">
        <v>12</v>
      </c>
      <c r="N86" s="111">
        <v>0</v>
      </c>
      <c r="P86" t="s">
        <v>3073</v>
      </c>
      <c r="Q86" s="111">
        <v>45</v>
      </c>
      <c r="R86" s="111">
        <v>45</v>
      </c>
      <c r="S86" s="111">
        <v>1</v>
      </c>
      <c r="T86">
        <f>IF(ABS($Q$86*$S$86-$R$86)&lt;1,0,1)</f>
        <v>0</v>
      </c>
    </row>
    <row r="87" spans="1:20" ht="26" x14ac:dyDescent="0.2">
      <c r="A87" s="39" t="s">
        <v>3074</v>
      </c>
      <c r="B87" s="18">
        <f>$K$87</f>
        <v>96</v>
      </c>
      <c r="C87" s="18">
        <f>$L$87</f>
        <v>96</v>
      </c>
      <c r="D87" s="18">
        <f t="shared" si="6"/>
        <v>0</v>
      </c>
      <c r="E87" s="18">
        <v>5</v>
      </c>
      <c r="F87" s="115" t="str">
        <f t="shared" si="7"/>
        <v>PASS</v>
      </c>
      <c r="G87" s="22" t="s">
        <v>3075</v>
      </c>
      <c r="J87" t="s">
        <v>3074</v>
      </c>
      <c r="K87" s="111">
        <v>96</v>
      </c>
      <c r="L87" s="111">
        <v>96</v>
      </c>
      <c r="N87" s="111">
        <v>0</v>
      </c>
      <c r="P87" t="s">
        <v>3076</v>
      </c>
      <c r="Q87" s="111">
        <v>6</v>
      </c>
      <c r="R87" s="111">
        <v>6</v>
      </c>
      <c r="S87" s="111">
        <v>1</v>
      </c>
      <c r="T87">
        <f>IF(ABS($Q$87*$S$87-$R$87)&lt;1,0,1)</f>
        <v>0</v>
      </c>
    </row>
    <row r="88" spans="1:20" ht="26" x14ac:dyDescent="0.2">
      <c r="A88" s="39" t="s">
        <v>3077</v>
      </c>
      <c r="B88" s="18">
        <f>$K$88</f>
        <v>159</v>
      </c>
      <c r="C88" s="18">
        <f>$L$88</f>
        <v>159</v>
      </c>
      <c r="D88" s="18">
        <f t="shared" si="6"/>
        <v>0</v>
      </c>
      <c r="E88" s="18">
        <v>5</v>
      </c>
      <c r="F88" s="115" t="str">
        <f t="shared" si="7"/>
        <v>PASS</v>
      </c>
      <c r="G88" s="22" t="s">
        <v>3078</v>
      </c>
      <c r="J88" t="s">
        <v>3077</v>
      </c>
      <c r="K88" s="111">
        <v>159</v>
      </c>
      <c r="L88" s="111">
        <v>159</v>
      </c>
      <c r="N88" s="111">
        <v>0</v>
      </c>
      <c r="P88" t="s">
        <v>3079</v>
      </c>
      <c r="Q88" s="111">
        <v>40</v>
      </c>
      <c r="R88" s="111">
        <v>40</v>
      </c>
      <c r="S88" s="111">
        <v>1</v>
      </c>
      <c r="T88">
        <f>IF(ABS($Q$88*$S$88-$R$88)&lt;1,0,1)</f>
        <v>0</v>
      </c>
    </row>
    <row r="89" spans="1:20" ht="26" x14ac:dyDescent="0.2">
      <c r="A89" s="39" t="s">
        <v>3080</v>
      </c>
      <c r="B89" s="18">
        <f>$K$89</f>
        <v>2</v>
      </c>
      <c r="C89" s="18">
        <f>$L$89</f>
        <v>2.5</v>
      </c>
      <c r="D89" s="18">
        <f t="shared" si="6"/>
        <v>-0.5</v>
      </c>
      <c r="E89" s="18">
        <v>5</v>
      </c>
      <c r="F89" s="115" t="str">
        <f t="shared" si="7"/>
        <v>PASS</v>
      </c>
      <c r="G89" s="22" t="s">
        <v>3081</v>
      </c>
      <c r="J89" t="s">
        <v>3080</v>
      </c>
      <c r="K89" s="111">
        <v>2</v>
      </c>
      <c r="L89" s="111">
        <v>2.5</v>
      </c>
      <c r="N89" s="111">
        <v>0</v>
      </c>
      <c r="P89" t="s">
        <v>3082</v>
      </c>
      <c r="Q89" s="111">
        <v>12</v>
      </c>
      <c r="R89" s="111">
        <v>12</v>
      </c>
      <c r="S89" s="111">
        <v>1</v>
      </c>
      <c r="T89">
        <f>IF(ABS($Q$89*$S$89-$R$89)&lt;1,0,1)</f>
        <v>0</v>
      </c>
    </row>
    <row r="90" spans="1:20" ht="16" x14ac:dyDescent="0.2">
      <c r="A90" s="39" t="s">
        <v>3083</v>
      </c>
      <c r="B90" s="18">
        <f>$K$90</f>
        <v>815837</v>
      </c>
      <c r="C90" s="18">
        <f>$L$90</f>
        <v>815837</v>
      </c>
      <c r="D90" s="18">
        <f t="shared" si="6"/>
        <v>0</v>
      </c>
      <c r="E90" s="18">
        <v>8158.37</v>
      </c>
      <c r="F90" s="115" t="str">
        <f>IF(ABS(D90)&lt;E90,"PASS","FAIL")</f>
        <v>PASS</v>
      </c>
      <c r="G90" s="22" t="s">
        <v>3084</v>
      </c>
      <c r="J90" t="s">
        <v>3083</v>
      </c>
      <c r="K90" s="111">
        <v>815837</v>
      </c>
      <c r="L90" s="111">
        <v>815837</v>
      </c>
      <c r="P90" t="s">
        <v>3085</v>
      </c>
      <c r="Q90" s="111">
        <v>96</v>
      </c>
      <c r="R90" s="111">
        <v>96</v>
      </c>
      <c r="S90" s="111">
        <v>1</v>
      </c>
      <c r="T90">
        <f>IF(ABS($Q$90*$S$90-$R$90)&lt;1,0,1)</f>
        <v>0</v>
      </c>
    </row>
    <row r="91" spans="1:20" x14ac:dyDescent="0.2">
      <c r="P91" t="s">
        <v>3086</v>
      </c>
      <c r="Q91" s="111">
        <v>159</v>
      </c>
      <c r="R91" s="111">
        <v>159</v>
      </c>
      <c r="S91" s="111">
        <v>1</v>
      </c>
      <c r="T91">
        <f>IF(ABS($Q$91*$S$91-$R$91)&lt;1,0,1)</f>
        <v>0</v>
      </c>
    </row>
    <row r="92" spans="1:20" x14ac:dyDescent="0.2">
      <c r="A92" s="6" t="s">
        <v>3087</v>
      </c>
      <c r="B92" s="6"/>
      <c r="C92" s="6"/>
      <c r="D92" s="6"/>
      <c r="E92" s="6"/>
      <c r="F92" s="6"/>
      <c r="G92" s="6"/>
      <c r="P92" t="s">
        <v>3088</v>
      </c>
      <c r="Q92" s="111">
        <v>2</v>
      </c>
      <c r="R92" s="111">
        <v>2</v>
      </c>
      <c r="S92" s="111">
        <v>1</v>
      </c>
      <c r="T92">
        <f>IF(ABS($Q$92*$S$92-$R$92)&lt;1,0,1)</f>
        <v>0</v>
      </c>
    </row>
    <row r="93" spans="1:20" ht="39" x14ac:dyDescent="0.2">
      <c r="A93" s="39" t="s">
        <v>3089</v>
      </c>
      <c r="B93" s="18">
        <f>$K$93*$M$93</f>
        <v>0.99999999999999956</v>
      </c>
      <c r="C93" s="18">
        <f>$L$93</f>
        <v>0.8</v>
      </c>
      <c r="D93" s="18">
        <f t="shared" ref="D93:D100" si="8">B93-C93</f>
        <v>0.19999999999999951</v>
      </c>
      <c r="E93" s="18">
        <v>0</v>
      </c>
      <c r="F93" s="115" t="str">
        <f>IF(B93&gt;=C93-E93,"PASS","FAIL")</f>
        <v>PASS</v>
      </c>
      <c r="G93" s="22" t="s">
        <v>3090</v>
      </c>
      <c r="J93" t="s">
        <v>3089</v>
      </c>
      <c r="K93" s="111">
        <v>7.1428571428571397E-2</v>
      </c>
      <c r="L93" s="111">
        <v>0.8</v>
      </c>
      <c r="M93" s="111">
        <v>14</v>
      </c>
      <c r="P93" t="s">
        <v>3091</v>
      </c>
      <c r="Q93" s="111">
        <v>4000</v>
      </c>
      <c r="R93" s="111">
        <v>4000</v>
      </c>
      <c r="S93" s="111">
        <v>1</v>
      </c>
      <c r="T93">
        <f>IF(ABS($Q$93*$S$93-$R$93)&lt;20,0,1)</f>
        <v>0</v>
      </c>
    </row>
    <row r="94" spans="1:20" ht="32" x14ac:dyDescent="0.2">
      <c r="A94" s="39" t="s">
        <v>3092</v>
      </c>
      <c r="B94" s="18">
        <f>$K$94*$M$94</f>
        <v>0.99999999999999956</v>
      </c>
      <c r="C94" s="18">
        <f>$L$94</f>
        <v>0.8</v>
      </c>
      <c r="D94" s="18">
        <f t="shared" si="8"/>
        <v>0.19999999999999951</v>
      </c>
      <c r="E94" s="18">
        <v>0</v>
      </c>
      <c r="F94" s="115" t="str">
        <f>IF(B94&gt;=C94-E94,"PASS","FAIL")</f>
        <v>PASS</v>
      </c>
      <c r="G94" s="22" t="s">
        <v>3093</v>
      </c>
      <c r="J94" t="s">
        <v>3092</v>
      </c>
      <c r="K94" s="111">
        <v>7.1428571428571397E-2</v>
      </c>
      <c r="L94" s="111">
        <v>0.8</v>
      </c>
      <c r="M94" s="111">
        <v>14</v>
      </c>
      <c r="P94" t="s">
        <v>3094</v>
      </c>
      <c r="Q94" s="111">
        <v>4000</v>
      </c>
      <c r="R94" s="111">
        <v>4000</v>
      </c>
      <c r="S94" s="111">
        <v>1</v>
      </c>
      <c r="T94">
        <f>IF(ABS($Q$94*$S$94-$R$94)&lt;20,0,1)</f>
        <v>0</v>
      </c>
    </row>
    <row r="95" spans="1:20" ht="65" x14ac:dyDescent="0.2">
      <c r="A95" s="39" t="s">
        <v>3095</v>
      </c>
      <c r="B95" s="18">
        <f>$K$95</f>
        <v>0</v>
      </c>
      <c r="C95" s="18">
        <f>$L$95</f>
        <v>0</v>
      </c>
      <c r="D95" s="18">
        <f t="shared" si="8"/>
        <v>0</v>
      </c>
      <c r="E95" s="18">
        <v>0</v>
      </c>
      <c r="F95" s="115" t="str">
        <f>IF(B95&lt;=C95+E95,"PASS","FAIL")</f>
        <v>PASS</v>
      </c>
      <c r="G95" s="22" t="s">
        <v>3096</v>
      </c>
      <c r="J95" t="s">
        <v>3095</v>
      </c>
      <c r="K95" s="111">
        <v>0</v>
      </c>
      <c r="L95" s="111">
        <v>0</v>
      </c>
      <c r="P95" t="s">
        <v>3097</v>
      </c>
      <c r="Q95" s="111">
        <v>9</v>
      </c>
      <c r="R95" s="111">
        <v>9</v>
      </c>
      <c r="S95" s="111">
        <v>1</v>
      </c>
      <c r="T95">
        <f>IF(ABS($Q$95*$S$95-$R$95)&lt;1,0,1)</f>
        <v>0</v>
      </c>
    </row>
    <row r="96" spans="1:20" ht="52" x14ac:dyDescent="0.2">
      <c r="A96" s="39" t="s">
        <v>3098</v>
      </c>
      <c r="B96" s="18">
        <f>$K$96</f>
        <v>0</v>
      </c>
      <c r="C96" s="18">
        <f>$L$96</f>
        <v>0</v>
      </c>
      <c r="D96" s="18">
        <f t="shared" si="8"/>
        <v>0</v>
      </c>
      <c r="E96" s="18">
        <v>0</v>
      </c>
      <c r="F96" s="115" t="str">
        <f>IF(B96&lt;=C96+E96,"PASS","FAIL")</f>
        <v>PASS</v>
      </c>
      <c r="G96" s="22" t="s">
        <v>3099</v>
      </c>
      <c r="J96" t="s">
        <v>3098</v>
      </c>
      <c r="K96" s="111">
        <v>0</v>
      </c>
      <c r="L96" s="111">
        <v>0</v>
      </c>
      <c r="P96" t="s">
        <v>3100</v>
      </c>
      <c r="Q96" s="111">
        <v>905</v>
      </c>
      <c r="R96" s="111">
        <v>905</v>
      </c>
      <c r="S96" s="111">
        <v>1</v>
      </c>
      <c r="T96">
        <f>IF(ABS($Q$96*$S$96-$R$96)&lt;4.525,0,1)</f>
        <v>0</v>
      </c>
    </row>
    <row r="97" spans="1:20" ht="26" x14ac:dyDescent="0.2">
      <c r="A97" s="39" t="s">
        <v>3101</v>
      </c>
      <c r="B97" s="18">
        <f>$K$97</f>
        <v>0</v>
      </c>
      <c r="C97" s="18">
        <f>$L$97</f>
        <v>0</v>
      </c>
      <c r="D97" s="18">
        <f t="shared" si="8"/>
        <v>0</v>
      </c>
      <c r="E97" s="18">
        <v>0</v>
      </c>
      <c r="F97" s="115" t="str">
        <f>IF(B97&lt;=C97,"PASS","FAIL")</f>
        <v>PASS</v>
      </c>
      <c r="G97" s="22" t="s">
        <v>3102</v>
      </c>
      <c r="J97" t="s">
        <v>3101</v>
      </c>
      <c r="K97" s="111">
        <v>0</v>
      </c>
      <c r="L97" s="111">
        <v>0</v>
      </c>
      <c r="P97" t="s">
        <v>3103</v>
      </c>
      <c r="Q97" s="111">
        <v>911</v>
      </c>
      <c r="R97" s="111">
        <v>911</v>
      </c>
      <c r="S97" s="111">
        <v>1</v>
      </c>
      <c r="T97">
        <f>IF(ABS($Q$97*$S$97-$R$97)&lt;4.555,0,1)</f>
        <v>0</v>
      </c>
    </row>
    <row r="98" spans="1:20" ht="26" x14ac:dyDescent="0.2">
      <c r="A98" s="39" t="s">
        <v>3104</v>
      </c>
      <c r="B98" s="18">
        <f>$K$98</f>
        <v>1.4570000000000001</v>
      </c>
      <c r="C98" s="18">
        <f>$L$98</f>
        <v>3</v>
      </c>
      <c r="D98" s="18">
        <f t="shared" si="8"/>
        <v>-1.5429999999999999</v>
      </c>
      <c r="E98" s="18">
        <v>0</v>
      </c>
      <c r="F98" s="115" t="str">
        <f>IF(B98&lt;=C98+E98,"PASS","FAIL")</f>
        <v>PASS</v>
      </c>
      <c r="G98" s="22" t="s">
        <v>3105</v>
      </c>
      <c r="J98" t="s">
        <v>3104</v>
      </c>
      <c r="K98" s="111">
        <v>1.4570000000000001</v>
      </c>
      <c r="L98" s="111">
        <v>3</v>
      </c>
      <c r="P98" t="s">
        <v>3106</v>
      </c>
      <c r="Q98" s="111">
        <v>1614</v>
      </c>
      <c r="R98" s="111">
        <v>1614</v>
      </c>
      <c r="S98" s="111">
        <v>1</v>
      </c>
      <c r="T98">
        <f>IF(ABS($Q$98*$S$98-$R$98)&lt;8.07,0,1)</f>
        <v>0</v>
      </c>
    </row>
    <row r="99" spans="1:20" ht="52" x14ac:dyDescent="0.2">
      <c r="A99" s="39" t="s">
        <v>3107</v>
      </c>
      <c r="B99" s="18">
        <f>$K$99</f>
        <v>41.8</v>
      </c>
      <c r="C99" s="18">
        <f>$L$99</f>
        <v>61.5</v>
      </c>
      <c r="D99" s="18">
        <f t="shared" si="8"/>
        <v>-19.700000000000003</v>
      </c>
      <c r="E99" s="18">
        <v>0</v>
      </c>
      <c r="F99" s="115" t="str">
        <f>IF(B99&lt;=C99+E99,"PASS","FAIL")</f>
        <v>PASS</v>
      </c>
      <c r="G99" s="22" t="s">
        <v>3108</v>
      </c>
      <c r="J99" t="s">
        <v>3107</v>
      </c>
      <c r="K99" s="111">
        <v>41.8</v>
      </c>
      <c r="L99" s="111">
        <v>61.5</v>
      </c>
      <c r="P99" t="s">
        <v>3109</v>
      </c>
      <c r="Q99" s="111">
        <v>975</v>
      </c>
      <c r="R99" s="111">
        <v>975</v>
      </c>
      <c r="S99" s="111">
        <v>1</v>
      </c>
      <c r="T99">
        <f>IF(ABS($Q$99*$S$99-$R$99)&lt;4.875,0,1)</f>
        <v>0</v>
      </c>
    </row>
    <row r="100" spans="1:20" ht="39" x14ac:dyDescent="0.2">
      <c r="A100" s="39" t="s">
        <v>3110</v>
      </c>
      <c r="B100" s="18">
        <f>$K$100</f>
        <v>654</v>
      </c>
      <c r="C100" s="18">
        <f>$L$100</f>
        <v>2008</v>
      </c>
      <c r="D100" s="18">
        <f t="shared" si="8"/>
        <v>-1354</v>
      </c>
      <c r="E100" s="18">
        <v>0</v>
      </c>
      <c r="F100" s="115" t="str">
        <f>IF(B100&lt;=C100+E100,"PASS","FAIL")</f>
        <v>PASS</v>
      </c>
      <c r="G100" s="22" t="s">
        <v>3111</v>
      </c>
      <c r="J100" t="s">
        <v>3110</v>
      </c>
      <c r="K100" s="111">
        <v>654</v>
      </c>
      <c r="L100" s="111">
        <v>2008</v>
      </c>
      <c r="P100" t="s">
        <v>3112</v>
      </c>
      <c r="Q100" s="111">
        <v>2232</v>
      </c>
      <c r="R100" s="111">
        <v>2232</v>
      </c>
      <c r="S100" s="111">
        <v>1</v>
      </c>
      <c r="T100">
        <f>IF(ABS($Q$100*$S$100-$R$100)&lt;11.16,0,1)</f>
        <v>0</v>
      </c>
    </row>
    <row r="101" spans="1:20" x14ac:dyDescent="0.2">
      <c r="P101" t="s">
        <v>3113</v>
      </c>
      <c r="Q101" s="111">
        <v>1443</v>
      </c>
      <c r="R101" s="111">
        <v>1443</v>
      </c>
      <c r="S101" s="111">
        <v>1</v>
      </c>
      <c r="T101">
        <f>IF(ABS($Q$101*$S$101-$R$101)&lt;7.215,0,1)</f>
        <v>0</v>
      </c>
    </row>
    <row r="102" spans="1:20" x14ac:dyDescent="0.2">
      <c r="A102" s="6" t="s">
        <v>3114</v>
      </c>
      <c r="B102" s="6"/>
      <c r="C102" s="6"/>
      <c r="D102" s="6"/>
      <c r="E102" s="6"/>
      <c r="F102" s="6"/>
      <c r="G102" s="6"/>
      <c r="P102" t="s">
        <v>3115</v>
      </c>
      <c r="Q102" s="111">
        <v>1403</v>
      </c>
      <c r="R102" s="111">
        <v>1403</v>
      </c>
      <c r="S102" s="111">
        <v>1</v>
      </c>
      <c r="T102">
        <f>IF(ABS($Q$102*$S$102-$R$102)&lt;7.015,0,1)</f>
        <v>0</v>
      </c>
    </row>
    <row r="103" spans="1:20" ht="39" x14ac:dyDescent="0.2">
      <c r="A103" s="39" t="s">
        <v>3116</v>
      </c>
      <c r="B103" s="18">
        <f>$K$103</f>
        <v>90</v>
      </c>
      <c r="C103" s="18">
        <f>$L$103</f>
        <v>45</v>
      </c>
      <c r="D103" s="18">
        <f>B103-C103</f>
        <v>45</v>
      </c>
      <c r="E103" s="18">
        <v>2.25</v>
      </c>
      <c r="F103" s="115" t="str">
        <f>IF(B103&gt;=C103-E103,"PASS","FAIL")</f>
        <v>PASS</v>
      </c>
      <c r="G103" s="22" t="s">
        <v>3117</v>
      </c>
      <c r="J103" t="s">
        <v>3116</v>
      </c>
      <c r="K103" s="111">
        <v>90</v>
      </c>
      <c r="L103" s="111">
        <v>45</v>
      </c>
      <c r="P103" t="s">
        <v>3118</v>
      </c>
      <c r="Q103" s="111">
        <v>1014</v>
      </c>
      <c r="R103" s="111">
        <v>1014</v>
      </c>
      <c r="S103" s="111">
        <v>1</v>
      </c>
      <c r="T103">
        <f>IF(ABS($Q$103*$S$103-$R$103)&lt;5.07,0,1)</f>
        <v>0</v>
      </c>
    </row>
    <row r="104" spans="1:20" ht="39" x14ac:dyDescent="0.2">
      <c r="A104" s="39" t="s">
        <v>3119</v>
      </c>
      <c r="B104" s="18">
        <f>$K$104</f>
        <v>8</v>
      </c>
      <c r="C104" s="18">
        <f>$L$104</f>
        <v>8</v>
      </c>
      <c r="D104" s="18">
        <f>B104-C104</f>
        <v>0</v>
      </c>
      <c r="E104" s="18">
        <v>0.4</v>
      </c>
      <c r="F104" s="115" t="str">
        <f>IF(B104&gt;=C104-E104,"PASS","FAIL")</f>
        <v>PASS</v>
      </c>
      <c r="G104" s="22" t="s">
        <v>3120</v>
      </c>
      <c r="J104" t="s">
        <v>3119</v>
      </c>
      <c r="K104" s="111">
        <v>8</v>
      </c>
      <c r="L104" s="111">
        <v>8</v>
      </c>
      <c r="P104" t="s">
        <v>3121</v>
      </c>
      <c r="Q104" s="111">
        <v>1559</v>
      </c>
      <c r="R104" s="111">
        <v>1559</v>
      </c>
      <c r="S104" s="111">
        <v>1</v>
      </c>
      <c r="T104">
        <f>IF(ABS($Q$104*$S$104-$R$104)&lt;7.795,0,1)</f>
        <v>0</v>
      </c>
    </row>
    <row r="105" spans="1:20" ht="26" x14ac:dyDescent="0.2">
      <c r="A105" s="39" t="s">
        <v>3122</v>
      </c>
      <c r="B105" s="18">
        <f>$K$105</f>
        <v>75</v>
      </c>
      <c r="C105" s="18">
        <f>$L$105</f>
        <v>75</v>
      </c>
      <c r="D105" s="18">
        <f>B105-C105</f>
        <v>0</v>
      </c>
      <c r="E105" s="18">
        <v>3.75</v>
      </c>
      <c r="F105" s="115" t="str">
        <f>IF(B105&gt;=C105-E105,"PASS","FAIL")</f>
        <v>PASS</v>
      </c>
      <c r="G105" s="22" t="s">
        <v>3123</v>
      </c>
      <c r="J105" t="s">
        <v>3122</v>
      </c>
      <c r="K105" s="111">
        <v>75</v>
      </c>
      <c r="L105" s="111">
        <v>75</v>
      </c>
      <c r="P105" t="s">
        <v>3124</v>
      </c>
      <c r="Q105" s="111">
        <v>1243</v>
      </c>
      <c r="R105" s="111">
        <v>1243</v>
      </c>
      <c r="S105" s="111">
        <v>1</v>
      </c>
      <c r="T105">
        <f>IF(ABS($Q$105*$S$105-$R$105)&lt;6.215,0,1)</f>
        <v>0</v>
      </c>
    </row>
    <row r="106" spans="1:20" ht="39" x14ac:dyDescent="0.2">
      <c r="A106" s="39" t="s">
        <v>3125</v>
      </c>
      <c r="B106" s="18">
        <f>$K$106</f>
        <v>120</v>
      </c>
      <c r="C106" s="18">
        <f>$L$106</f>
        <v>120</v>
      </c>
      <c r="D106" s="18">
        <f>B106-C106</f>
        <v>0</v>
      </c>
      <c r="E106" s="18">
        <v>6</v>
      </c>
      <c r="F106" s="115" t="str">
        <f>IF(B106&gt;=C106-E106,"PASS","FAIL")</f>
        <v>PASS</v>
      </c>
      <c r="G106" s="22" t="s">
        <v>3126</v>
      </c>
      <c r="J106" t="s">
        <v>3125</v>
      </c>
      <c r="K106" s="111">
        <v>120</v>
      </c>
      <c r="L106" s="111">
        <v>120</v>
      </c>
      <c r="P106" t="s">
        <v>3127</v>
      </c>
      <c r="Q106" s="111">
        <v>1176</v>
      </c>
      <c r="R106" s="111">
        <v>1176</v>
      </c>
      <c r="S106" s="111">
        <v>1</v>
      </c>
      <c r="T106">
        <f>IF(ABS($Q$106*$S$106-$R$106)&lt;5.88,0,1)</f>
        <v>0</v>
      </c>
    </row>
    <row r="107" spans="1:20" x14ac:dyDescent="0.2">
      <c r="P107" t="s">
        <v>3128</v>
      </c>
      <c r="Q107" s="111">
        <v>601</v>
      </c>
      <c r="R107" s="111">
        <v>601</v>
      </c>
      <c r="S107" s="111">
        <v>1</v>
      </c>
      <c r="T107">
        <f>IF(ABS($Q$107*$S$107-$R$107)&lt;3.005,0,1)</f>
        <v>0</v>
      </c>
    </row>
    <row r="108" spans="1:20" x14ac:dyDescent="0.2">
      <c r="A108" s="6" t="s">
        <v>3129</v>
      </c>
      <c r="B108" s="6"/>
      <c r="C108" s="6"/>
      <c r="D108" s="6"/>
      <c r="E108" s="6"/>
      <c r="F108" s="6"/>
      <c r="G108" s="6"/>
      <c r="P108" t="s">
        <v>3130</v>
      </c>
      <c r="Q108" s="111">
        <v>984</v>
      </c>
      <c r="R108" s="111">
        <v>984</v>
      </c>
      <c r="S108" s="111">
        <v>1</v>
      </c>
      <c r="T108">
        <f>IF(ABS($Q$108*$S$108-$R$108)&lt;4.92,0,1)</f>
        <v>0</v>
      </c>
    </row>
    <row r="109" spans="1:20" ht="26" x14ac:dyDescent="0.2">
      <c r="A109" s="39" t="s">
        <v>3131</v>
      </c>
      <c r="B109" s="18">
        <f>$K$109</f>
        <v>0.74099999999999999</v>
      </c>
      <c r="C109" s="18">
        <f>$L$109</f>
        <v>0.74099999999999999</v>
      </c>
      <c r="D109" s="18">
        <f t="shared" ref="D109:D145" si="9">B109-C109</f>
        <v>0</v>
      </c>
      <c r="E109" s="18">
        <v>1.4999999999999999E-2</v>
      </c>
      <c r="F109" s="115" t="str">
        <f t="shared" ref="F109:F145" si="10">IF(ABS(D109)&lt;E109,"PASS","FAIL")</f>
        <v>PASS</v>
      </c>
      <c r="G109" s="22" t="s">
        <v>3132</v>
      </c>
      <c r="J109" t="s">
        <v>3131</v>
      </c>
      <c r="K109" s="111">
        <v>0.74099999999999999</v>
      </c>
      <c r="L109" s="111">
        <v>0.74099999999999999</v>
      </c>
      <c r="P109" t="s">
        <v>3133</v>
      </c>
      <c r="Q109" s="111">
        <v>1228</v>
      </c>
      <c r="R109" s="111">
        <v>1228</v>
      </c>
      <c r="S109" s="111">
        <v>1</v>
      </c>
      <c r="T109">
        <f>IF(ABS($Q$109*$S$109-$R$109)&lt;6.14,0,1)</f>
        <v>0</v>
      </c>
    </row>
    <row r="110" spans="1:20" ht="26" x14ac:dyDescent="0.2">
      <c r="A110" s="39" t="s">
        <v>3134</v>
      </c>
      <c r="B110" s="18">
        <f>$K$110</f>
        <v>0.29599999999999999</v>
      </c>
      <c r="C110" s="18">
        <f>$L$110</f>
        <v>0.29599999999999999</v>
      </c>
      <c r="D110" s="18">
        <f t="shared" si="9"/>
        <v>0</v>
      </c>
      <c r="E110" s="18">
        <v>0.01</v>
      </c>
      <c r="F110" s="115" t="str">
        <f t="shared" si="10"/>
        <v>PASS</v>
      </c>
      <c r="G110" s="22" t="s">
        <v>3135</v>
      </c>
      <c r="J110" t="s">
        <v>3134</v>
      </c>
      <c r="K110" s="111">
        <v>0.29599999999999999</v>
      </c>
      <c r="L110" s="111">
        <v>0.29599999999999999</v>
      </c>
      <c r="P110" t="s">
        <v>3136</v>
      </c>
      <c r="Q110" s="111">
        <v>826</v>
      </c>
      <c r="R110" s="111">
        <v>826</v>
      </c>
      <c r="S110" s="111">
        <v>1</v>
      </c>
      <c r="T110">
        <f>IF(ABS($Q$110*$S$110-$R$110)&lt;4.13,0,1)</f>
        <v>0</v>
      </c>
    </row>
    <row r="111" spans="1:20" ht="26" x14ac:dyDescent="0.2">
      <c r="A111" s="39" t="s">
        <v>3137</v>
      </c>
      <c r="B111" s="18">
        <f>$K$111</f>
        <v>25</v>
      </c>
      <c r="C111" s="18">
        <f>$L$111</f>
        <v>25</v>
      </c>
      <c r="D111" s="18">
        <f t="shared" si="9"/>
        <v>0</v>
      </c>
      <c r="E111" s="18">
        <v>0.5</v>
      </c>
      <c r="F111" s="115" t="str">
        <f t="shared" si="10"/>
        <v>PASS</v>
      </c>
      <c r="G111" s="22" t="s">
        <v>3138</v>
      </c>
      <c r="J111" t="s">
        <v>3137</v>
      </c>
      <c r="K111" s="111">
        <v>25</v>
      </c>
      <c r="L111" s="111">
        <v>25</v>
      </c>
      <c r="P111" t="s">
        <v>3139</v>
      </c>
      <c r="Q111" s="111">
        <v>508</v>
      </c>
      <c r="R111" s="111">
        <v>508</v>
      </c>
      <c r="S111" s="111">
        <v>1</v>
      </c>
      <c r="T111">
        <f>IF(ABS($Q$111*$S$111-$R$111)&lt;2.54,0,1)</f>
        <v>0</v>
      </c>
    </row>
    <row r="112" spans="1:20" ht="26" x14ac:dyDescent="0.2">
      <c r="A112" s="39" t="s">
        <v>3140</v>
      </c>
      <c r="B112" s="18">
        <f>$K$112</f>
        <v>2.0299999999999998</v>
      </c>
      <c r="C112" s="18">
        <f>$L$112</f>
        <v>2.0299999999999998</v>
      </c>
      <c r="D112" s="18">
        <f t="shared" si="9"/>
        <v>0</v>
      </c>
      <c r="E112" s="18">
        <v>4.1000000000000002E-2</v>
      </c>
      <c r="F112" s="115" t="str">
        <f t="shared" si="10"/>
        <v>PASS</v>
      </c>
      <c r="G112" s="22" t="s">
        <v>3141</v>
      </c>
      <c r="J112" t="s">
        <v>3140</v>
      </c>
      <c r="K112" s="111">
        <v>2.0299999999999998</v>
      </c>
      <c r="L112" s="111">
        <v>2.0299999999999998</v>
      </c>
      <c r="P112" t="s">
        <v>3142</v>
      </c>
      <c r="Q112" s="111">
        <v>1131</v>
      </c>
      <c r="R112" s="111">
        <v>1131</v>
      </c>
      <c r="S112" s="111">
        <v>1</v>
      </c>
      <c r="T112">
        <f>IF(ABS($Q$112*$S$112-$R$112)&lt;5.655,0,1)</f>
        <v>0</v>
      </c>
    </row>
    <row r="113" spans="1:20" ht="26" x14ac:dyDescent="0.2">
      <c r="A113" s="39" t="s">
        <v>3143</v>
      </c>
      <c r="B113" s="18">
        <f>$K$113</f>
        <v>75</v>
      </c>
      <c r="C113" s="18">
        <f>$L$113</f>
        <v>75</v>
      </c>
      <c r="D113" s="18">
        <f t="shared" si="9"/>
        <v>0</v>
      </c>
      <c r="E113" s="18">
        <v>1.5</v>
      </c>
      <c r="F113" s="115" t="str">
        <f t="shared" si="10"/>
        <v>PASS</v>
      </c>
      <c r="G113" s="22" t="s">
        <v>3144</v>
      </c>
      <c r="J113" t="s">
        <v>3143</v>
      </c>
      <c r="K113" s="111">
        <v>75</v>
      </c>
      <c r="L113" s="111">
        <v>75</v>
      </c>
      <c r="P113" t="s">
        <v>3145</v>
      </c>
      <c r="Q113" s="111">
        <v>352</v>
      </c>
      <c r="R113" s="111">
        <v>352</v>
      </c>
      <c r="S113" s="111">
        <v>1</v>
      </c>
      <c r="T113">
        <f>IF(ABS($Q$113*$S$113-$R$113)&lt;1.76,0,1)</f>
        <v>0</v>
      </c>
    </row>
    <row r="114" spans="1:20" ht="26" x14ac:dyDescent="0.2">
      <c r="A114" s="39" t="s">
        <v>3146</v>
      </c>
      <c r="B114" s="18">
        <f>$K$114</f>
        <v>108.25</v>
      </c>
      <c r="C114" s="18">
        <f>$L$114</f>
        <v>108.25</v>
      </c>
      <c r="D114" s="18">
        <f t="shared" si="9"/>
        <v>0</v>
      </c>
      <c r="E114" s="18">
        <v>2.165</v>
      </c>
      <c r="F114" s="115" t="str">
        <f t="shared" si="10"/>
        <v>PASS</v>
      </c>
      <c r="G114" s="22" t="s">
        <v>3147</v>
      </c>
      <c r="J114" t="s">
        <v>3146</v>
      </c>
      <c r="K114" s="111">
        <v>108.25</v>
      </c>
      <c r="L114" s="111">
        <v>108.25</v>
      </c>
      <c r="P114" t="s">
        <v>3148</v>
      </c>
      <c r="Q114" s="111">
        <v>1265</v>
      </c>
      <c r="R114" s="111">
        <v>1265</v>
      </c>
      <c r="S114" s="111">
        <v>1</v>
      </c>
      <c r="T114">
        <f>IF(ABS($Q$114*$S$114-$R$114)&lt;6.325,0,1)</f>
        <v>0</v>
      </c>
    </row>
    <row r="115" spans="1:20" ht="26" x14ac:dyDescent="0.2">
      <c r="A115" s="39" t="s">
        <v>3149</v>
      </c>
      <c r="B115" s="18">
        <f>$K$115</f>
        <v>90</v>
      </c>
      <c r="C115" s="18">
        <f>$L$115</f>
        <v>90</v>
      </c>
      <c r="D115" s="18">
        <f t="shared" si="9"/>
        <v>0</v>
      </c>
      <c r="E115" s="18">
        <v>1.8</v>
      </c>
      <c r="F115" s="115" t="str">
        <f t="shared" si="10"/>
        <v>PASS</v>
      </c>
      <c r="G115" s="22" t="s">
        <v>3150</v>
      </c>
      <c r="J115" t="s">
        <v>3149</v>
      </c>
      <c r="K115" s="111">
        <v>90</v>
      </c>
      <c r="L115" s="111">
        <v>90</v>
      </c>
      <c r="P115" t="s">
        <v>3151</v>
      </c>
      <c r="Q115" s="111">
        <v>1033</v>
      </c>
      <c r="R115" s="111">
        <v>1033</v>
      </c>
      <c r="S115" s="111">
        <v>1</v>
      </c>
      <c r="T115">
        <f>IF(ABS($Q$115*$S$115-$R$115)&lt;5.165,0,1)</f>
        <v>0</v>
      </c>
    </row>
    <row r="116" spans="1:20" ht="26" x14ac:dyDescent="0.2">
      <c r="A116" s="39" t="s">
        <v>3152</v>
      </c>
      <c r="B116" s="18">
        <f>$K$116</f>
        <v>4.0999999999999996</v>
      </c>
      <c r="C116" s="18">
        <f>$L$116</f>
        <v>4.0999999999999996</v>
      </c>
      <c r="D116" s="18">
        <f t="shared" si="9"/>
        <v>0</v>
      </c>
      <c r="E116" s="18">
        <v>8.2000000000000003E-2</v>
      </c>
      <c r="F116" s="115" t="str">
        <f t="shared" si="10"/>
        <v>PASS</v>
      </c>
      <c r="G116" s="22" t="s">
        <v>3153</v>
      </c>
      <c r="J116" t="s">
        <v>3152</v>
      </c>
      <c r="K116" s="111">
        <v>4.0999999999999996</v>
      </c>
      <c r="L116" s="111">
        <v>4.0999999999999996</v>
      </c>
      <c r="P116" t="s">
        <v>3154</v>
      </c>
      <c r="Q116" s="111">
        <v>479</v>
      </c>
      <c r="R116" s="111">
        <v>479</v>
      </c>
      <c r="S116" s="111">
        <v>1</v>
      </c>
      <c r="T116">
        <f>IF(ABS($Q$116*$S$116-$R$116)&lt;2.395,0,1)</f>
        <v>0</v>
      </c>
    </row>
    <row r="117" spans="1:20" ht="26" x14ac:dyDescent="0.2">
      <c r="A117" s="39" t="s">
        <v>3155</v>
      </c>
      <c r="B117" s="18">
        <f>$K$117</f>
        <v>1</v>
      </c>
      <c r="C117" s="18">
        <f>$L$117</f>
        <v>1</v>
      </c>
      <c r="D117" s="18">
        <f t="shared" si="9"/>
        <v>0</v>
      </c>
      <c r="E117" s="18">
        <v>0.02</v>
      </c>
      <c r="F117" s="115" t="str">
        <f t="shared" si="10"/>
        <v>PASS</v>
      </c>
      <c r="G117" s="22" t="s">
        <v>3156</v>
      </c>
      <c r="J117" t="s">
        <v>3155</v>
      </c>
      <c r="K117" s="111">
        <v>1</v>
      </c>
      <c r="L117" s="111">
        <v>1</v>
      </c>
      <c r="P117" t="s">
        <v>3157</v>
      </c>
      <c r="Q117" s="111">
        <v>901</v>
      </c>
      <c r="R117" s="111">
        <v>901</v>
      </c>
      <c r="S117" s="111">
        <v>1</v>
      </c>
      <c r="T117">
        <f>IF(ABS($Q$117*$S$117-$R$117)&lt;4.505,0,1)</f>
        <v>0</v>
      </c>
    </row>
    <row r="118" spans="1:20" ht="26" x14ac:dyDescent="0.2">
      <c r="A118" s="39" t="s">
        <v>3158</v>
      </c>
      <c r="B118" s="18">
        <f>$K$118</f>
        <v>53</v>
      </c>
      <c r="C118" s="18">
        <f>$L$118</f>
        <v>53</v>
      </c>
      <c r="D118" s="18">
        <f t="shared" si="9"/>
        <v>0</v>
      </c>
      <c r="E118" s="18">
        <v>1.06</v>
      </c>
      <c r="F118" s="115" t="str">
        <f t="shared" si="10"/>
        <v>PASS</v>
      </c>
      <c r="G118" s="22" t="s">
        <v>3159</v>
      </c>
      <c r="J118" t="s">
        <v>3158</v>
      </c>
      <c r="K118" s="111">
        <v>53</v>
      </c>
      <c r="L118" s="111">
        <v>53</v>
      </c>
      <c r="P118" t="s">
        <v>3160</v>
      </c>
      <c r="Q118" s="111">
        <v>1032</v>
      </c>
      <c r="R118" s="111">
        <v>1032</v>
      </c>
      <c r="S118" s="111">
        <v>1</v>
      </c>
      <c r="T118">
        <f>IF(ABS($Q$118*$S$118-$R$118)&lt;5.16,0,1)</f>
        <v>0</v>
      </c>
    </row>
    <row r="119" spans="1:20" ht="26" x14ac:dyDescent="0.2">
      <c r="A119" s="39" t="s">
        <v>3161</v>
      </c>
      <c r="B119" s="18">
        <f>$K$119</f>
        <v>90</v>
      </c>
      <c r="C119" s="18">
        <f>$L$119</f>
        <v>90</v>
      </c>
      <c r="D119" s="18">
        <f t="shared" si="9"/>
        <v>0</v>
      </c>
      <c r="E119" s="18">
        <v>1.8</v>
      </c>
      <c r="F119" s="115" t="str">
        <f t="shared" si="10"/>
        <v>PASS</v>
      </c>
      <c r="G119" s="22" t="s">
        <v>3162</v>
      </c>
      <c r="J119" t="s">
        <v>3161</v>
      </c>
      <c r="K119" s="111">
        <v>90</v>
      </c>
      <c r="L119" s="111">
        <v>90</v>
      </c>
      <c r="P119" t="s">
        <v>3163</v>
      </c>
      <c r="Q119" s="111">
        <v>1209</v>
      </c>
      <c r="R119" s="111">
        <v>1209</v>
      </c>
      <c r="S119" s="111">
        <v>1</v>
      </c>
      <c r="T119">
        <f>IF(ABS($Q$119*$S$119-$R$119)&lt;6.045,0,1)</f>
        <v>0</v>
      </c>
    </row>
    <row r="120" spans="1:20" ht="26" x14ac:dyDescent="0.2">
      <c r="A120" s="39" t="s">
        <v>3164</v>
      </c>
      <c r="B120" s="18">
        <f>$K$120</f>
        <v>120</v>
      </c>
      <c r="C120" s="18">
        <f>$L$120</f>
        <v>120</v>
      </c>
      <c r="D120" s="18">
        <f t="shared" si="9"/>
        <v>0</v>
      </c>
      <c r="E120" s="18">
        <v>2.4</v>
      </c>
      <c r="F120" s="115" t="str">
        <f t="shared" si="10"/>
        <v>PASS</v>
      </c>
      <c r="G120" s="22" t="s">
        <v>3165</v>
      </c>
      <c r="J120" t="s">
        <v>3164</v>
      </c>
      <c r="K120" s="111">
        <v>120</v>
      </c>
      <c r="L120" s="111">
        <v>120</v>
      </c>
      <c r="P120" t="s">
        <v>3166</v>
      </c>
      <c r="Q120" s="111">
        <v>1161</v>
      </c>
      <c r="R120" s="111">
        <v>1161</v>
      </c>
      <c r="S120" s="111">
        <v>1</v>
      </c>
      <c r="T120">
        <f>IF(ABS($Q$120*$S$120-$R$120)&lt;5.805,0,1)</f>
        <v>0</v>
      </c>
    </row>
    <row r="121" spans="1:20" ht="26" x14ac:dyDescent="0.2">
      <c r="A121" s="39" t="s">
        <v>3167</v>
      </c>
      <c r="B121" s="18">
        <f>$K$121</f>
        <v>1.5</v>
      </c>
      <c r="C121" s="18">
        <f>$L$121</f>
        <v>1.5</v>
      </c>
      <c r="D121" s="18">
        <f t="shared" si="9"/>
        <v>0</v>
      </c>
      <c r="E121" s="18">
        <v>0.03</v>
      </c>
      <c r="F121" s="115" t="str">
        <f t="shared" si="10"/>
        <v>PASS</v>
      </c>
      <c r="G121" s="22" t="s">
        <v>3168</v>
      </c>
      <c r="J121" t="s">
        <v>3167</v>
      </c>
      <c r="K121" s="111">
        <v>1.5</v>
      </c>
      <c r="L121" s="111">
        <v>1.5</v>
      </c>
      <c r="P121" t="s">
        <v>3169</v>
      </c>
      <c r="Q121" s="111">
        <v>398</v>
      </c>
      <c r="R121" s="111">
        <v>398</v>
      </c>
      <c r="S121" s="111">
        <v>1</v>
      </c>
      <c r="T121">
        <f>IF(ABS($Q$121*$S$121-$R$121)&lt;1.99,0,1)</f>
        <v>0</v>
      </c>
    </row>
    <row r="122" spans="1:20" ht="26" x14ac:dyDescent="0.2">
      <c r="A122" s="39" t="s">
        <v>3170</v>
      </c>
      <c r="B122" s="18">
        <f>$K$122</f>
        <v>90</v>
      </c>
      <c r="C122" s="18">
        <f>$L$122</f>
        <v>90</v>
      </c>
      <c r="D122" s="18">
        <f t="shared" si="9"/>
        <v>0</v>
      </c>
      <c r="E122" s="18">
        <v>1.8</v>
      </c>
      <c r="F122" s="115" t="str">
        <f t="shared" si="10"/>
        <v>PASS</v>
      </c>
      <c r="G122" s="22" t="s">
        <v>3171</v>
      </c>
      <c r="J122" t="s">
        <v>3170</v>
      </c>
      <c r="K122" s="111">
        <v>90</v>
      </c>
      <c r="L122" s="111">
        <v>90</v>
      </c>
      <c r="P122" t="s">
        <v>3172</v>
      </c>
      <c r="Q122" s="111">
        <v>913</v>
      </c>
      <c r="R122" s="111">
        <v>913</v>
      </c>
      <c r="S122" s="111">
        <v>1</v>
      </c>
      <c r="T122">
        <f>IF(ABS($Q$122*$S$122-$R$122)&lt;4.565,0,1)</f>
        <v>0</v>
      </c>
    </row>
    <row r="123" spans="1:20" ht="26" x14ac:dyDescent="0.2">
      <c r="A123" s="39" t="s">
        <v>3173</v>
      </c>
      <c r="B123" s="18">
        <f>$K$123</f>
        <v>53</v>
      </c>
      <c r="C123" s="18">
        <f>$L$123</f>
        <v>53</v>
      </c>
      <c r="D123" s="18">
        <f t="shared" si="9"/>
        <v>0</v>
      </c>
      <c r="E123" s="18">
        <v>1.06</v>
      </c>
      <c r="F123" s="115" t="str">
        <f t="shared" si="10"/>
        <v>PASS</v>
      </c>
      <c r="G123" s="22" t="s">
        <v>3174</v>
      </c>
      <c r="J123" t="s">
        <v>3173</v>
      </c>
      <c r="K123" s="111">
        <v>53</v>
      </c>
      <c r="L123" s="111">
        <v>53</v>
      </c>
      <c r="P123" t="s">
        <v>3175</v>
      </c>
      <c r="Q123" s="111">
        <v>670</v>
      </c>
      <c r="R123" s="111">
        <v>670</v>
      </c>
      <c r="S123" s="111">
        <v>1</v>
      </c>
      <c r="T123">
        <f>IF(ABS($Q$123*$S$123-$R$123)&lt;3.35,0,1)</f>
        <v>0</v>
      </c>
    </row>
    <row r="124" spans="1:20" ht="26" x14ac:dyDescent="0.2">
      <c r="A124" s="39" t="s">
        <v>3176</v>
      </c>
      <c r="B124" s="18">
        <f>$K$124</f>
        <v>106</v>
      </c>
      <c r="C124" s="18">
        <f>$L$124</f>
        <v>106</v>
      </c>
      <c r="D124" s="18">
        <f t="shared" si="9"/>
        <v>0</v>
      </c>
      <c r="E124" s="18">
        <v>2.12</v>
      </c>
      <c r="F124" s="115" t="str">
        <f t="shared" si="10"/>
        <v>PASS</v>
      </c>
      <c r="G124" s="22" t="s">
        <v>3177</v>
      </c>
      <c r="J124" t="s">
        <v>3176</v>
      </c>
      <c r="K124" s="111">
        <v>106</v>
      </c>
      <c r="L124" s="111">
        <v>106</v>
      </c>
      <c r="P124" t="s">
        <v>3178</v>
      </c>
      <c r="Q124" s="111">
        <v>1051</v>
      </c>
      <c r="R124" s="111">
        <v>1051</v>
      </c>
      <c r="S124" s="111">
        <v>1</v>
      </c>
      <c r="T124">
        <f>IF(ABS($Q$124*$S$124-$R$124)&lt;5.255,0,1)</f>
        <v>0</v>
      </c>
    </row>
    <row r="125" spans="1:20" ht="26" x14ac:dyDescent="0.2">
      <c r="A125" s="39" t="s">
        <v>3179</v>
      </c>
      <c r="B125" s="18">
        <f>$K$125</f>
        <v>125</v>
      </c>
      <c r="C125" s="18">
        <f>$L$125</f>
        <v>125</v>
      </c>
      <c r="D125" s="18">
        <f t="shared" si="9"/>
        <v>0</v>
      </c>
      <c r="E125" s="18">
        <v>2.5</v>
      </c>
      <c r="F125" s="115" t="str">
        <f t="shared" si="10"/>
        <v>PASS</v>
      </c>
      <c r="G125" s="22" t="s">
        <v>3180</v>
      </c>
      <c r="J125" t="s">
        <v>3179</v>
      </c>
      <c r="K125" s="111">
        <v>125</v>
      </c>
      <c r="L125" s="111">
        <v>125</v>
      </c>
      <c r="P125" t="s">
        <v>3181</v>
      </c>
      <c r="Q125" s="111">
        <v>358</v>
      </c>
      <c r="R125" s="111">
        <v>358</v>
      </c>
      <c r="S125" s="111">
        <v>1</v>
      </c>
      <c r="T125">
        <f>IF(ABS($Q$125*$S$125-$R$125)&lt;1.79,0,1)</f>
        <v>0</v>
      </c>
    </row>
    <row r="126" spans="1:20" ht="26" x14ac:dyDescent="0.2">
      <c r="A126" s="39" t="s">
        <v>3182</v>
      </c>
      <c r="B126" s="18">
        <f>$K$126</f>
        <v>1.8</v>
      </c>
      <c r="C126" s="18">
        <f>$L$126</f>
        <v>1.8</v>
      </c>
      <c r="D126" s="18">
        <f t="shared" si="9"/>
        <v>0</v>
      </c>
      <c r="E126" s="18">
        <v>3.5999999999999997E-2</v>
      </c>
      <c r="F126" s="115" t="str">
        <f t="shared" si="10"/>
        <v>PASS</v>
      </c>
      <c r="G126" s="22" t="s">
        <v>3183</v>
      </c>
      <c r="J126" t="s">
        <v>3182</v>
      </c>
      <c r="K126" s="111">
        <v>1.8</v>
      </c>
      <c r="L126" s="111">
        <v>1.8</v>
      </c>
      <c r="P126" t="s">
        <v>3184</v>
      </c>
      <c r="Q126" s="111">
        <v>1280</v>
      </c>
      <c r="R126" s="111">
        <v>1280</v>
      </c>
      <c r="S126" s="111">
        <v>1</v>
      </c>
      <c r="T126">
        <f>IF(ABS($Q$126*$S$126-$R$126)&lt;6.4,0,1)</f>
        <v>0</v>
      </c>
    </row>
    <row r="127" spans="1:20" ht="26" x14ac:dyDescent="0.2">
      <c r="A127" s="39" t="s">
        <v>3185</v>
      </c>
      <c r="B127" s="18">
        <f>$K$127</f>
        <v>1.359</v>
      </c>
      <c r="C127" s="18">
        <f>$L$127</f>
        <v>1.359</v>
      </c>
      <c r="D127" s="18">
        <f t="shared" si="9"/>
        <v>0</v>
      </c>
      <c r="E127" s="18">
        <v>2.7E-2</v>
      </c>
      <c r="F127" s="115" t="str">
        <f t="shared" si="10"/>
        <v>PASS</v>
      </c>
      <c r="G127" s="22" t="s">
        <v>3186</v>
      </c>
      <c r="J127" t="s">
        <v>3185</v>
      </c>
      <c r="K127" s="111">
        <v>1.359</v>
      </c>
      <c r="L127" s="111">
        <v>1.359</v>
      </c>
      <c r="P127" t="s">
        <v>3187</v>
      </c>
      <c r="Q127" s="111">
        <v>1299</v>
      </c>
      <c r="R127" s="111">
        <v>1299</v>
      </c>
      <c r="S127" s="111">
        <v>1</v>
      </c>
      <c r="T127">
        <f>IF(ABS($Q$127*$S$127-$R$127)&lt;6.495,0,1)</f>
        <v>0</v>
      </c>
    </row>
    <row r="128" spans="1:20" ht="39" x14ac:dyDescent="0.2">
      <c r="A128" s="39" t="s">
        <v>3188</v>
      </c>
      <c r="B128" s="18">
        <f>$K$128</f>
        <v>46.198999999999998</v>
      </c>
      <c r="C128" s="18">
        <f>$L$128</f>
        <v>46.198999999999998</v>
      </c>
      <c r="D128" s="18">
        <f t="shared" si="9"/>
        <v>0</v>
      </c>
      <c r="E128" s="18">
        <v>0.92400000000000004</v>
      </c>
      <c r="F128" s="115" t="str">
        <f t="shared" si="10"/>
        <v>PASS</v>
      </c>
      <c r="G128" s="22" t="s">
        <v>3189</v>
      </c>
      <c r="J128" t="s">
        <v>3188</v>
      </c>
      <c r="K128" s="111">
        <v>46.198999999999998</v>
      </c>
      <c r="L128" s="111">
        <v>46.198999999999998</v>
      </c>
      <c r="P128" t="s">
        <v>3190</v>
      </c>
      <c r="Q128" s="111">
        <v>1158</v>
      </c>
      <c r="R128" s="111">
        <v>1158</v>
      </c>
      <c r="S128" s="111">
        <v>1</v>
      </c>
      <c r="T128">
        <f>IF(ABS($Q$128*$S$128-$R$128)&lt;5.79,0,1)</f>
        <v>0</v>
      </c>
    </row>
    <row r="129" spans="1:20" ht="32" x14ac:dyDescent="0.2">
      <c r="A129" s="39" t="s">
        <v>3191</v>
      </c>
      <c r="B129" s="18">
        <f>$K$129</f>
        <v>5</v>
      </c>
      <c r="C129" s="18">
        <f>$L$129</f>
        <v>5</v>
      </c>
      <c r="D129" s="18">
        <f t="shared" si="9"/>
        <v>0</v>
      </c>
      <c r="E129" s="18">
        <v>0.1</v>
      </c>
      <c r="F129" s="115" t="str">
        <f t="shared" si="10"/>
        <v>PASS</v>
      </c>
      <c r="G129" s="22" t="s">
        <v>3192</v>
      </c>
      <c r="J129" t="s">
        <v>3191</v>
      </c>
      <c r="K129" s="111">
        <v>5</v>
      </c>
      <c r="L129" s="111">
        <v>5</v>
      </c>
      <c r="P129" t="s">
        <v>3193</v>
      </c>
      <c r="Q129" s="111">
        <v>1493</v>
      </c>
      <c r="R129" s="111">
        <v>1493</v>
      </c>
      <c r="S129" s="111">
        <v>1</v>
      </c>
      <c r="T129">
        <f>IF(ABS($Q$129*$S$129-$R$129)&lt;7.465,0,1)</f>
        <v>0</v>
      </c>
    </row>
    <row r="130" spans="1:20" ht="26" x14ac:dyDescent="0.2">
      <c r="A130" s="39" t="s">
        <v>3194</v>
      </c>
      <c r="B130" s="18">
        <f>$K$130</f>
        <v>9.6530000000000005</v>
      </c>
      <c r="C130" s="18">
        <f>$L$130</f>
        <v>9.6530000000000005</v>
      </c>
      <c r="D130" s="18">
        <f t="shared" si="9"/>
        <v>0</v>
      </c>
      <c r="E130" s="18">
        <v>0.193</v>
      </c>
      <c r="F130" s="115" t="str">
        <f t="shared" si="10"/>
        <v>PASS</v>
      </c>
      <c r="G130" s="22" t="s">
        <v>3195</v>
      </c>
      <c r="J130" t="s">
        <v>3194</v>
      </c>
      <c r="K130" s="111">
        <v>9.6530000000000005</v>
      </c>
      <c r="L130" s="111">
        <v>9.6530000000000005</v>
      </c>
      <c r="P130" t="s">
        <v>3196</v>
      </c>
      <c r="Q130" s="111">
        <v>897</v>
      </c>
      <c r="R130" s="111">
        <v>897</v>
      </c>
      <c r="S130" s="111">
        <v>1</v>
      </c>
      <c r="T130">
        <f>IF(ABS($Q$130*$S$130-$R$130)&lt;4.485,0,1)</f>
        <v>0</v>
      </c>
    </row>
    <row r="131" spans="1:20" ht="26" x14ac:dyDescent="0.2">
      <c r="A131" s="39" t="s">
        <v>3197</v>
      </c>
      <c r="B131" s="18">
        <f>$K$131</f>
        <v>90</v>
      </c>
      <c r="C131" s="18">
        <f>$L$131</f>
        <v>90</v>
      </c>
      <c r="D131" s="18">
        <f t="shared" si="9"/>
        <v>0</v>
      </c>
      <c r="E131" s="18">
        <v>1.8</v>
      </c>
      <c r="F131" s="115" t="str">
        <f t="shared" si="10"/>
        <v>PASS</v>
      </c>
      <c r="G131" s="22" t="s">
        <v>3198</v>
      </c>
      <c r="J131" t="s">
        <v>3197</v>
      </c>
      <c r="K131" s="111">
        <v>90</v>
      </c>
      <c r="L131" s="111">
        <v>90</v>
      </c>
      <c r="P131" t="s">
        <v>3199</v>
      </c>
      <c r="Q131" s="111">
        <v>1004</v>
      </c>
      <c r="R131" s="111">
        <v>1004</v>
      </c>
      <c r="S131" s="111">
        <v>1</v>
      </c>
      <c r="T131">
        <f>IF(ABS($Q$131*$S$131-$R$131)&lt;5.02,0,1)</f>
        <v>0</v>
      </c>
    </row>
    <row r="132" spans="1:20" ht="26" x14ac:dyDescent="0.2">
      <c r="A132" s="39" t="s">
        <v>3200</v>
      </c>
      <c r="B132" s="18">
        <f>$K$132</f>
        <v>1500.8</v>
      </c>
      <c r="C132" s="18">
        <f>$L$132</f>
        <v>1500.8</v>
      </c>
      <c r="D132" s="18">
        <f t="shared" si="9"/>
        <v>0</v>
      </c>
      <c r="E132" s="18">
        <v>30.015999999999998</v>
      </c>
      <c r="F132" s="115" t="str">
        <f t="shared" si="10"/>
        <v>PASS</v>
      </c>
      <c r="G132" s="22" t="s">
        <v>3201</v>
      </c>
      <c r="J132" t="s">
        <v>3200</v>
      </c>
      <c r="K132" s="111">
        <v>1500.8</v>
      </c>
      <c r="L132" s="111">
        <v>1500.8</v>
      </c>
      <c r="P132" t="s">
        <v>3202</v>
      </c>
      <c r="Q132" s="111">
        <v>875</v>
      </c>
      <c r="R132" s="111">
        <v>875</v>
      </c>
      <c r="S132" s="111">
        <v>1</v>
      </c>
      <c r="T132">
        <f>IF(ABS($Q$132*$S$132-$R$132)&lt;4.375,0,1)</f>
        <v>0</v>
      </c>
    </row>
    <row r="133" spans="1:20" ht="26" x14ac:dyDescent="0.2">
      <c r="A133" s="39" t="s">
        <v>3203</v>
      </c>
      <c r="B133" s="18">
        <f>$K$133</f>
        <v>3.4660000000000002</v>
      </c>
      <c r="C133" s="18">
        <f>$L$133</f>
        <v>3.4660000000000002</v>
      </c>
      <c r="D133" s="18">
        <f t="shared" si="9"/>
        <v>0</v>
      </c>
      <c r="E133" s="18">
        <v>6.9000000000000006E-2</v>
      </c>
      <c r="F133" s="115" t="str">
        <f t="shared" si="10"/>
        <v>PASS</v>
      </c>
      <c r="G133" s="22" t="s">
        <v>3204</v>
      </c>
      <c r="J133" t="s">
        <v>3203</v>
      </c>
      <c r="K133" s="111">
        <v>3.4660000000000002</v>
      </c>
      <c r="L133" s="111">
        <v>3.4660000000000002</v>
      </c>
      <c r="P133" t="s">
        <v>3205</v>
      </c>
      <c r="Q133" s="111">
        <v>625</v>
      </c>
      <c r="R133" s="111">
        <v>625</v>
      </c>
      <c r="S133" s="111">
        <v>1</v>
      </c>
      <c r="T133">
        <f>IF(ABS($Q$133*$S$133-$R$133)&lt;3.125,0,1)</f>
        <v>0</v>
      </c>
    </row>
    <row r="134" spans="1:20" ht="26" x14ac:dyDescent="0.2">
      <c r="A134" s="39" t="s">
        <v>3206</v>
      </c>
      <c r="B134" s="18">
        <f>$K$134</f>
        <v>23.082999999999998</v>
      </c>
      <c r="C134" s="18">
        <f>$L$134</f>
        <v>23.082999999999998</v>
      </c>
      <c r="D134" s="18">
        <f t="shared" si="9"/>
        <v>0</v>
      </c>
      <c r="E134" s="18">
        <v>0.46200000000000002</v>
      </c>
      <c r="F134" s="115" t="str">
        <f t="shared" si="10"/>
        <v>PASS</v>
      </c>
      <c r="G134" s="22" t="s">
        <v>3207</v>
      </c>
      <c r="J134" t="s">
        <v>3206</v>
      </c>
      <c r="K134" s="111">
        <v>23.082999999999998</v>
      </c>
      <c r="L134" s="111">
        <v>23.082999999999998</v>
      </c>
      <c r="P134" t="s">
        <v>3208</v>
      </c>
      <c r="Q134" s="111">
        <v>1384</v>
      </c>
      <c r="R134" s="111">
        <v>1384</v>
      </c>
      <c r="S134" s="111">
        <v>1</v>
      </c>
      <c r="T134">
        <f>IF(ABS($Q$134*$S$134-$R$134)&lt;6.92,0,1)</f>
        <v>0</v>
      </c>
    </row>
    <row r="135" spans="1:20" ht="26" x14ac:dyDescent="0.2">
      <c r="A135" s="39" t="s">
        <v>3209</v>
      </c>
      <c r="B135" s="18">
        <f>$K$135</f>
        <v>640</v>
      </c>
      <c r="C135" s="18">
        <f>$L$135</f>
        <v>640</v>
      </c>
      <c r="D135" s="18">
        <f t="shared" si="9"/>
        <v>0</v>
      </c>
      <c r="E135" s="18">
        <v>12.8</v>
      </c>
      <c r="F135" s="115" t="str">
        <f t="shared" si="10"/>
        <v>PASS</v>
      </c>
      <c r="G135" s="22" t="s">
        <v>3210</v>
      </c>
      <c r="J135" t="s">
        <v>3209</v>
      </c>
      <c r="K135" s="111">
        <v>640</v>
      </c>
      <c r="L135" s="111">
        <v>640</v>
      </c>
      <c r="P135" t="s">
        <v>3211</v>
      </c>
      <c r="Q135" s="111">
        <v>406</v>
      </c>
      <c r="R135" s="111">
        <v>406</v>
      </c>
      <c r="S135" s="111">
        <v>1</v>
      </c>
      <c r="T135">
        <f>IF(ABS($Q$135*$S$135-$R$135)&lt;2.03,0,1)</f>
        <v>0</v>
      </c>
    </row>
    <row r="136" spans="1:20" ht="26" x14ac:dyDescent="0.2">
      <c r="A136" s="39" t="s">
        <v>3212</v>
      </c>
      <c r="B136" s="18">
        <f>$K$136</f>
        <v>600.81100000000004</v>
      </c>
      <c r="C136" s="18">
        <f>$L$136</f>
        <v>600.81100000000004</v>
      </c>
      <c r="D136" s="18">
        <f t="shared" si="9"/>
        <v>0</v>
      </c>
      <c r="E136" s="18">
        <v>12.016</v>
      </c>
      <c r="F136" s="115" t="str">
        <f t="shared" si="10"/>
        <v>PASS</v>
      </c>
      <c r="G136" s="22" t="s">
        <v>3213</v>
      </c>
      <c r="J136" t="s">
        <v>3212</v>
      </c>
      <c r="K136" s="111">
        <v>600.81100000000004</v>
      </c>
      <c r="L136" s="111">
        <v>600.81100000000004</v>
      </c>
      <c r="P136" t="s">
        <v>3214</v>
      </c>
      <c r="Q136" s="111">
        <v>1296</v>
      </c>
      <c r="R136" s="111">
        <v>1296</v>
      </c>
      <c r="S136" s="111">
        <v>1</v>
      </c>
      <c r="T136">
        <f>IF(ABS($Q$136*$S$136-$R$136)&lt;6.48,0,1)</f>
        <v>0</v>
      </c>
    </row>
    <row r="137" spans="1:20" ht="26" x14ac:dyDescent="0.2">
      <c r="A137" s="39" t="s">
        <v>3215</v>
      </c>
      <c r="B137" s="18">
        <f>$K$137</f>
        <v>556.12699999999995</v>
      </c>
      <c r="C137" s="18">
        <f>$L$137</f>
        <v>556.12699999999995</v>
      </c>
      <c r="D137" s="18">
        <f t="shared" si="9"/>
        <v>0</v>
      </c>
      <c r="E137" s="18">
        <v>11.122999999999999</v>
      </c>
      <c r="F137" s="115" t="str">
        <f t="shared" si="10"/>
        <v>PASS</v>
      </c>
      <c r="G137" s="22" t="s">
        <v>3216</v>
      </c>
      <c r="J137" t="s">
        <v>3215</v>
      </c>
      <c r="K137" s="111">
        <v>556.12699999999995</v>
      </c>
      <c r="L137" s="111">
        <v>556.12699999999995</v>
      </c>
      <c r="P137" t="s">
        <v>3217</v>
      </c>
      <c r="Q137" s="111">
        <v>41</v>
      </c>
      <c r="R137" s="111">
        <v>41</v>
      </c>
      <c r="S137" s="111">
        <v>1</v>
      </c>
      <c r="T137">
        <f>IF(ABS($Q$137*$S$137-$R$137)&lt;1,0,1)</f>
        <v>0</v>
      </c>
    </row>
    <row r="138" spans="1:20" ht="26" x14ac:dyDescent="0.2">
      <c r="A138" s="39" t="s">
        <v>3218</v>
      </c>
      <c r="B138" s="18">
        <f>$K$138</f>
        <v>7.5</v>
      </c>
      <c r="C138" s="18">
        <f>$L$138</f>
        <v>7.5</v>
      </c>
      <c r="D138" s="18">
        <f t="shared" si="9"/>
        <v>0</v>
      </c>
      <c r="E138" s="18">
        <v>0.15</v>
      </c>
      <c r="F138" s="115" t="str">
        <f t="shared" si="10"/>
        <v>PASS</v>
      </c>
      <c r="G138" s="22" t="s">
        <v>3219</v>
      </c>
      <c r="J138" t="s">
        <v>3218</v>
      </c>
      <c r="K138" s="111">
        <v>7.5</v>
      </c>
      <c r="L138" s="111">
        <v>7.5</v>
      </c>
      <c r="P138" t="s">
        <v>3220</v>
      </c>
      <c r="Q138" s="111">
        <v>36</v>
      </c>
      <c r="R138" s="111">
        <v>36</v>
      </c>
      <c r="S138" s="111">
        <v>1</v>
      </c>
      <c r="T138">
        <f>IF(ABS($Q$138*$S$138-$R$138)&lt;1,0,1)</f>
        <v>0</v>
      </c>
    </row>
    <row r="139" spans="1:20" ht="26" x14ac:dyDescent="0.2">
      <c r="A139" s="39" t="s">
        <v>3221</v>
      </c>
      <c r="B139" s="18">
        <f>$K$139</f>
        <v>1.923</v>
      </c>
      <c r="C139" s="18">
        <f>$L$139</f>
        <v>1.923</v>
      </c>
      <c r="D139" s="18">
        <f t="shared" si="9"/>
        <v>0</v>
      </c>
      <c r="E139" s="18">
        <v>3.7999999999999999E-2</v>
      </c>
      <c r="F139" s="115" t="str">
        <f t="shared" si="10"/>
        <v>PASS</v>
      </c>
      <c r="G139" s="22" t="s">
        <v>3222</v>
      </c>
      <c r="J139" t="s">
        <v>3221</v>
      </c>
      <c r="K139" s="111">
        <v>1.923</v>
      </c>
      <c r="L139" s="111">
        <v>1.923</v>
      </c>
      <c r="P139" t="s">
        <v>3223</v>
      </c>
      <c r="Q139" s="111">
        <v>74</v>
      </c>
      <c r="R139" s="111">
        <v>74</v>
      </c>
      <c r="S139" s="111">
        <v>1</v>
      </c>
      <c r="T139">
        <f>IF(ABS($Q$139*$S$139-$R$139)&lt;1,0,1)</f>
        <v>0</v>
      </c>
    </row>
    <row r="140" spans="1:20" ht="26" x14ac:dyDescent="0.2">
      <c r="A140" s="39" t="s">
        <v>3224</v>
      </c>
      <c r="B140" s="18">
        <f>$K$140</f>
        <v>40</v>
      </c>
      <c r="C140" s="18">
        <f>$L$140</f>
        <v>40</v>
      </c>
      <c r="D140" s="18">
        <f t="shared" si="9"/>
        <v>0</v>
      </c>
      <c r="E140" s="18">
        <v>0.8</v>
      </c>
      <c r="F140" s="115" t="str">
        <f t="shared" si="10"/>
        <v>PASS</v>
      </c>
      <c r="G140" s="22" t="s">
        <v>3225</v>
      </c>
      <c r="J140" t="s">
        <v>3224</v>
      </c>
      <c r="K140" s="111">
        <v>40</v>
      </c>
      <c r="L140" s="111">
        <v>40</v>
      </c>
      <c r="P140" t="s">
        <v>3226</v>
      </c>
      <c r="Q140" s="111">
        <v>28</v>
      </c>
      <c r="R140" s="111">
        <v>28</v>
      </c>
      <c r="S140" s="111">
        <v>1</v>
      </c>
      <c r="T140">
        <f>IF(ABS($Q$140*$S$140-$R$140)&lt;1,0,1)</f>
        <v>0</v>
      </c>
    </row>
    <row r="141" spans="1:20" ht="26" x14ac:dyDescent="0.2">
      <c r="A141" s="39" t="s">
        <v>3227</v>
      </c>
      <c r="B141" s="18">
        <f>$K$141</f>
        <v>40</v>
      </c>
      <c r="C141" s="18">
        <f>$L$141</f>
        <v>40</v>
      </c>
      <c r="D141" s="18">
        <f t="shared" si="9"/>
        <v>0</v>
      </c>
      <c r="E141" s="18">
        <v>0.8</v>
      </c>
      <c r="F141" s="115" t="str">
        <f t="shared" si="10"/>
        <v>PASS</v>
      </c>
      <c r="G141" s="22" t="s">
        <v>3228</v>
      </c>
      <c r="J141" t="s">
        <v>3227</v>
      </c>
      <c r="K141" s="111">
        <v>40</v>
      </c>
      <c r="L141" s="111">
        <v>40</v>
      </c>
      <c r="P141" t="s">
        <v>3229</v>
      </c>
      <c r="Q141" s="111">
        <v>29</v>
      </c>
      <c r="R141" s="111">
        <v>29</v>
      </c>
      <c r="S141" s="111">
        <v>1</v>
      </c>
      <c r="T141">
        <f>IF(ABS($Q$141*$S$141-$R$141)&lt;1,0,1)</f>
        <v>0</v>
      </c>
    </row>
    <row r="142" spans="1:20" ht="26" x14ac:dyDescent="0.2">
      <c r="A142" s="39" t="s">
        <v>3230</v>
      </c>
      <c r="B142" s="18">
        <f>$K$142</f>
        <v>261.60000000000002</v>
      </c>
      <c r="C142" s="18">
        <f>$L$142</f>
        <v>261.60000000000002</v>
      </c>
      <c r="D142" s="18">
        <f t="shared" si="9"/>
        <v>0</v>
      </c>
      <c r="E142" s="18">
        <v>5.2320000000000002</v>
      </c>
      <c r="F142" s="115" t="str">
        <f t="shared" si="10"/>
        <v>PASS</v>
      </c>
      <c r="G142" s="22" t="s">
        <v>3231</v>
      </c>
      <c r="J142" t="s">
        <v>3230</v>
      </c>
      <c r="K142" s="111">
        <v>261.60000000000002</v>
      </c>
      <c r="L142" s="111">
        <v>261.60000000000002</v>
      </c>
      <c r="P142" t="s">
        <v>3232</v>
      </c>
      <c r="Q142" s="111">
        <v>102</v>
      </c>
      <c r="R142" s="111">
        <v>102</v>
      </c>
      <c r="S142" s="111">
        <v>1</v>
      </c>
      <c r="T142">
        <f>IF(ABS($Q$142*$S$142-$R$142)&lt;1,0,1)</f>
        <v>0</v>
      </c>
    </row>
    <row r="143" spans="1:20" ht="26" x14ac:dyDescent="0.2">
      <c r="A143" s="39" t="s">
        <v>3233</v>
      </c>
      <c r="B143" s="18">
        <f>$K$143</f>
        <v>363.6</v>
      </c>
      <c r="C143" s="18">
        <f>$L$143</f>
        <v>363.6</v>
      </c>
      <c r="D143" s="18">
        <f t="shared" si="9"/>
        <v>0</v>
      </c>
      <c r="E143" s="18">
        <v>7.2720000000000002</v>
      </c>
      <c r="F143" s="115" t="str">
        <f t="shared" si="10"/>
        <v>PASS</v>
      </c>
      <c r="G143" s="22" t="s">
        <v>3234</v>
      </c>
      <c r="J143" t="s">
        <v>3233</v>
      </c>
      <c r="K143" s="111">
        <v>363.6</v>
      </c>
      <c r="L143" s="111">
        <v>363.6</v>
      </c>
      <c r="P143" t="s">
        <v>3235</v>
      </c>
      <c r="Q143" s="111">
        <v>38</v>
      </c>
      <c r="R143" s="111">
        <v>38</v>
      </c>
      <c r="S143" s="111">
        <v>1</v>
      </c>
      <c r="T143">
        <f>IF(ABS($Q$143*$S$143-$R$143)&lt;1,0,1)</f>
        <v>0</v>
      </c>
    </row>
    <row r="144" spans="1:20" ht="26" x14ac:dyDescent="0.2">
      <c r="A144" s="39" t="s">
        <v>3236</v>
      </c>
      <c r="B144" s="18">
        <f>$K$144</f>
        <v>8</v>
      </c>
      <c r="C144" s="18">
        <f>$L$144</f>
        <v>8</v>
      </c>
      <c r="D144" s="18">
        <f t="shared" si="9"/>
        <v>0</v>
      </c>
      <c r="E144" s="18">
        <v>0.16</v>
      </c>
      <c r="F144" s="115" t="str">
        <f t="shared" si="10"/>
        <v>PASS</v>
      </c>
      <c r="G144" s="22" t="s">
        <v>3237</v>
      </c>
      <c r="J144" t="s">
        <v>3236</v>
      </c>
      <c r="K144" s="111">
        <v>8</v>
      </c>
      <c r="L144" s="111">
        <v>8</v>
      </c>
      <c r="P144" t="s">
        <v>3238</v>
      </c>
      <c r="Q144" s="111">
        <v>121</v>
      </c>
      <c r="R144" s="111">
        <v>121</v>
      </c>
      <c r="S144" s="111">
        <v>1</v>
      </c>
      <c r="T144">
        <f>IF(ABS($Q$144*$S$144-$R$144)&lt;1,0,1)</f>
        <v>0</v>
      </c>
    </row>
    <row r="145" spans="1:20" ht="26" x14ac:dyDescent="0.2">
      <c r="A145" s="39" t="s">
        <v>3239</v>
      </c>
      <c r="B145" s="18">
        <f>$K$145</f>
        <v>115727</v>
      </c>
      <c r="C145" s="18">
        <f>$L$145</f>
        <v>115727</v>
      </c>
      <c r="D145" s="18">
        <f t="shared" si="9"/>
        <v>0</v>
      </c>
      <c r="E145" s="18">
        <v>2314.54</v>
      </c>
      <c r="F145" s="115" t="str">
        <f t="shared" si="10"/>
        <v>PASS</v>
      </c>
      <c r="G145" s="22" t="s">
        <v>3240</v>
      </c>
      <c r="J145" t="s">
        <v>3239</v>
      </c>
      <c r="K145" s="111">
        <v>115727</v>
      </c>
      <c r="L145" s="111">
        <v>115727</v>
      </c>
      <c r="P145" t="s">
        <v>3241</v>
      </c>
      <c r="Q145" s="111">
        <v>74</v>
      </c>
      <c r="R145" s="111">
        <v>74</v>
      </c>
      <c r="S145" s="111">
        <v>1</v>
      </c>
      <c r="T145">
        <f>IF(ABS($Q$145*$S$145-$R$145)&lt;1,0,1)</f>
        <v>0</v>
      </c>
    </row>
    <row r="146" spans="1:20" x14ac:dyDescent="0.2">
      <c r="P146" t="s">
        <v>3242</v>
      </c>
      <c r="Q146" s="111">
        <v>91</v>
      </c>
      <c r="R146" s="111">
        <v>91</v>
      </c>
      <c r="S146" s="111">
        <v>1</v>
      </c>
      <c r="T146">
        <f>IF(ABS($Q$146*$S$146-$R$146)&lt;1,0,1)</f>
        <v>0</v>
      </c>
    </row>
    <row r="147" spans="1:20" x14ac:dyDescent="0.2">
      <c r="P147" t="s">
        <v>3243</v>
      </c>
      <c r="Q147" s="111">
        <v>112</v>
      </c>
      <c r="R147" s="111">
        <v>112</v>
      </c>
      <c r="S147" s="111">
        <v>1</v>
      </c>
      <c r="T147">
        <f>IF(ABS($Q$147*$S$147-$R$147)&lt;1,0,1)</f>
        <v>0</v>
      </c>
    </row>
    <row r="148" spans="1:20" x14ac:dyDescent="0.2">
      <c r="P148" t="s">
        <v>3244</v>
      </c>
      <c r="Q148" s="111">
        <v>125</v>
      </c>
      <c r="R148" s="111">
        <v>125</v>
      </c>
      <c r="S148" s="111">
        <v>1</v>
      </c>
      <c r="T148">
        <f>IF(ABS($Q$148*$S$148-$R$148)&lt;1,0,1)</f>
        <v>0</v>
      </c>
    </row>
    <row r="149" spans="1:20" ht="24" customHeight="1" x14ac:dyDescent="0.2">
      <c r="A149" s="12" t="s">
        <v>3245</v>
      </c>
      <c r="B149" s="12"/>
      <c r="C149" s="12"/>
      <c r="D149" s="12"/>
      <c r="E149" s="12"/>
      <c r="F149" s="12"/>
      <c r="G149" s="12"/>
      <c r="H149" s="12"/>
      <c r="P149" t="s">
        <v>3246</v>
      </c>
      <c r="Q149" s="111">
        <v>129</v>
      </c>
      <c r="R149" s="111">
        <v>129</v>
      </c>
      <c r="S149" s="111">
        <v>1</v>
      </c>
      <c r="T149">
        <f>IF(ABS($Q$149*$S$149-$R$149)&lt;1,0,1)</f>
        <v>0</v>
      </c>
    </row>
    <row r="150" spans="1:20" x14ac:dyDescent="0.2">
      <c r="P150" t="s">
        <v>3247</v>
      </c>
      <c r="Q150" s="111">
        <v>86</v>
      </c>
      <c r="R150" s="111">
        <v>86</v>
      </c>
      <c r="S150" s="111">
        <v>1</v>
      </c>
      <c r="T150">
        <f>IF(ABS($Q$150*$S$150-$R$150)&lt;1,0,1)</f>
        <v>0</v>
      </c>
    </row>
    <row r="151" spans="1:20" ht="48" x14ac:dyDescent="0.2">
      <c r="A151" s="16" t="s">
        <v>13</v>
      </c>
      <c r="B151" s="16" t="s">
        <v>14</v>
      </c>
      <c r="C151" s="16" t="s">
        <v>15</v>
      </c>
      <c r="D151" s="16" t="s">
        <v>16</v>
      </c>
      <c r="E151" s="16" t="s">
        <v>17</v>
      </c>
      <c r="F151" s="16" t="s">
        <v>18</v>
      </c>
      <c r="G151" s="16" t="s">
        <v>9</v>
      </c>
      <c r="H151" s="16" t="s">
        <v>19</v>
      </c>
      <c r="I151" s="17" t="s">
        <v>20</v>
      </c>
      <c r="P151" t="s">
        <v>3248</v>
      </c>
      <c r="Q151" s="111">
        <v>77</v>
      </c>
      <c r="R151" s="111">
        <v>77</v>
      </c>
      <c r="S151" s="111">
        <v>1</v>
      </c>
      <c r="T151">
        <f>IF(ABS($Q$151*$S$151-$R$151)&lt;1,0,1)</f>
        <v>0</v>
      </c>
    </row>
    <row r="152" spans="1:20" ht="91" x14ac:dyDescent="0.2">
      <c r="A152" s="18" t="s">
        <v>21</v>
      </c>
      <c r="B152" s="19">
        <v>45</v>
      </c>
      <c r="C152" s="18" t="s">
        <v>22</v>
      </c>
      <c r="D152" s="18" t="s">
        <v>23</v>
      </c>
      <c r="E152" s="20">
        <v>90</v>
      </c>
      <c r="F152" s="18" t="s">
        <v>24</v>
      </c>
      <c r="G152" s="21" t="str">
        <f>IF(E152&gt;=B152-0.9,"PASS","FAIL")</f>
        <v>PASS</v>
      </c>
      <c r="H152" s="22" t="s">
        <v>25</v>
      </c>
      <c r="I152" s="23" t="str">
        <f t="shared" ref="I152:I157" si="11">IF(AND(LEN(TRIM(A152&amp;""))&gt;0,TRIM(A152&amp;"")&lt;&gt;"—",LEN(TRIM(B152&amp;""))&gt;0,TRIM(B152&amp;"")&lt;&gt;"—",LEN(TRIM(G152&amp;""))&gt;0,TRIM(G152&amp;"")&lt;&gt;"—"),"PASS","⚠ FAIL — "&amp;"a required cell is empty/placeholder or wrong type")</f>
        <v>PASS</v>
      </c>
      <c r="P152" t="s">
        <v>3249</v>
      </c>
      <c r="Q152" s="111">
        <v>920</v>
      </c>
      <c r="R152" s="111">
        <v>920</v>
      </c>
      <c r="S152" s="111">
        <v>1</v>
      </c>
      <c r="T152">
        <f>IF(ABS($Q$152*$S$152-$R$152)&lt;4.6,0,1)</f>
        <v>0</v>
      </c>
    </row>
    <row r="153" spans="1:20" ht="78" x14ac:dyDescent="0.2">
      <c r="A153" s="18" t="s">
        <v>26</v>
      </c>
      <c r="B153" s="19">
        <v>6000</v>
      </c>
      <c r="C153" s="18" t="s">
        <v>27</v>
      </c>
      <c r="D153" s="18" t="s">
        <v>28</v>
      </c>
      <c r="E153" s="20">
        <v>6000</v>
      </c>
      <c r="F153" s="18" t="s">
        <v>24</v>
      </c>
      <c r="G153" s="21" t="str">
        <f>IF(E153&gt;=B153-120,"PASS","FAIL")</f>
        <v>PASS</v>
      </c>
      <c r="H153" s="22" t="s">
        <v>29</v>
      </c>
      <c r="I153" s="23" t="str">
        <f t="shared" si="11"/>
        <v>PASS</v>
      </c>
      <c r="P153" t="s">
        <v>3250</v>
      </c>
      <c r="Q153" s="111">
        <v>3550</v>
      </c>
      <c r="R153" s="111">
        <v>3550</v>
      </c>
      <c r="S153" s="111">
        <v>1</v>
      </c>
      <c r="T153">
        <f>IF(ABS($Q$153*$S$153-$R$153)&lt;17.75,0,1)</f>
        <v>0</v>
      </c>
    </row>
    <row r="154" spans="1:20" ht="91" x14ac:dyDescent="0.2">
      <c r="A154" s="18" t="s">
        <v>30</v>
      </c>
      <c r="B154" s="19">
        <v>8</v>
      </c>
      <c r="C154" s="18" t="s">
        <v>22</v>
      </c>
      <c r="D154" s="18" t="s">
        <v>30</v>
      </c>
      <c r="E154" s="20">
        <v>8</v>
      </c>
      <c r="F154" s="18" t="s">
        <v>24</v>
      </c>
      <c r="G154" s="21" t="str">
        <f>IF(E154&gt;=B154-0.16,"PASS","FAIL")</f>
        <v>PASS</v>
      </c>
      <c r="H154" s="22" t="s">
        <v>31</v>
      </c>
      <c r="I154" s="23" t="str">
        <f t="shared" si="11"/>
        <v>PASS</v>
      </c>
      <c r="P154" t="s">
        <v>3251</v>
      </c>
      <c r="Q154" s="111">
        <v>1872</v>
      </c>
      <c r="R154" s="111">
        <v>1872</v>
      </c>
      <c r="S154" s="111">
        <v>1</v>
      </c>
      <c r="T154">
        <f>IF(ABS($Q$154*$S$154-$R$154)&lt;9.36,0,1)</f>
        <v>0</v>
      </c>
    </row>
    <row r="155" spans="1:20" ht="65" x14ac:dyDescent="0.2">
      <c r="A155" s="18" t="s">
        <v>32</v>
      </c>
      <c r="B155" s="19">
        <v>75</v>
      </c>
      <c r="C155" s="18" t="s">
        <v>33</v>
      </c>
      <c r="D155" s="18" t="s">
        <v>32</v>
      </c>
      <c r="E155" s="20">
        <v>75</v>
      </c>
      <c r="F155" s="18" t="s">
        <v>24</v>
      </c>
      <c r="G155" s="21" t="str">
        <f>IF(E155&gt;=B155-1.5,"PASS","FAIL")</f>
        <v>PASS</v>
      </c>
      <c r="H155" s="22" t="s">
        <v>34</v>
      </c>
      <c r="I155" s="23" t="str">
        <f t="shared" si="11"/>
        <v>PASS</v>
      </c>
      <c r="P155" t="s">
        <v>3252</v>
      </c>
      <c r="Q155" s="111">
        <v>1308</v>
      </c>
      <c r="R155" s="111">
        <v>1308</v>
      </c>
      <c r="S155" s="111">
        <v>1</v>
      </c>
      <c r="T155">
        <f>IF(ABS($Q$155*$S$155-$R$155)&lt;6.54,0,1)</f>
        <v>0</v>
      </c>
    </row>
    <row r="156" spans="1:20" ht="91" x14ac:dyDescent="0.2">
      <c r="A156" s="18" t="s">
        <v>35</v>
      </c>
      <c r="B156" s="19">
        <v>120</v>
      </c>
      <c r="C156" s="18" t="s">
        <v>36</v>
      </c>
      <c r="D156" s="18" t="s">
        <v>35</v>
      </c>
      <c r="E156" s="20">
        <v>120</v>
      </c>
      <c r="F156" s="18" t="s">
        <v>24</v>
      </c>
      <c r="G156" s="21" t="str">
        <f>IF(E156&gt;=B156-2.4,"PASS","FAIL")</f>
        <v>PASS</v>
      </c>
      <c r="H156" s="22" t="s">
        <v>37</v>
      </c>
      <c r="I156" s="23" t="str">
        <f t="shared" si="11"/>
        <v>PASS</v>
      </c>
      <c r="P156" t="s">
        <v>3253</v>
      </c>
      <c r="Q156" s="111">
        <v>1344</v>
      </c>
      <c r="R156" s="111">
        <v>1344</v>
      </c>
      <c r="S156" s="111">
        <v>1</v>
      </c>
      <c r="T156">
        <f>IF(ABS($Q$156*$S$156-$R$156)&lt;6.72,0,1)</f>
        <v>0</v>
      </c>
    </row>
    <row r="157" spans="1:20" ht="78" x14ac:dyDescent="0.2">
      <c r="A157" s="18" t="s">
        <v>38</v>
      </c>
      <c r="B157" s="19">
        <v>200</v>
      </c>
      <c r="C157" s="18" t="s">
        <v>27</v>
      </c>
      <c r="D157" s="18" t="s">
        <v>39</v>
      </c>
      <c r="E157" s="20">
        <v>200</v>
      </c>
      <c r="F157" s="18" t="s">
        <v>24</v>
      </c>
      <c r="G157" s="21" t="str">
        <f>IF(E157&gt;=B157-4,"PASS","FAIL")</f>
        <v>PASS</v>
      </c>
      <c r="H157" s="22" t="s">
        <v>40</v>
      </c>
      <c r="I157" s="23" t="str">
        <f t="shared" si="11"/>
        <v>PASS</v>
      </c>
      <c r="P157" t="s">
        <v>3254</v>
      </c>
      <c r="Q157" s="111">
        <v>596</v>
      </c>
      <c r="R157" s="111">
        <v>596</v>
      </c>
      <c r="S157" s="111">
        <v>1</v>
      </c>
      <c r="T157">
        <f>IF(ABS($Q$157*$S$157-$R$157)&lt;2.98,0,1)</f>
        <v>0</v>
      </c>
    </row>
    <row r="158" spans="1:20" x14ac:dyDescent="0.2">
      <c r="P158" t="s">
        <v>3255</v>
      </c>
      <c r="Q158" s="111">
        <v>35</v>
      </c>
      <c r="R158" s="111">
        <v>35</v>
      </c>
      <c r="S158" s="111">
        <v>1</v>
      </c>
      <c r="T158">
        <f>IF(ABS($Q$158*$S$158-$R$158)&lt;1,0,1)</f>
        <v>0</v>
      </c>
    </row>
    <row r="159" spans="1:20" ht="24" customHeight="1" x14ac:dyDescent="0.2">
      <c r="A159" s="12" t="s">
        <v>3256</v>
      </c>
      <c r="B159" s="12"/>
      <c r="C159" s="12"/>
      <c r="D159" s="12"/>
      <c r="E159" s="12"/>
      <c r="F159" s="12"/>
      <c r="G159" s="12"/>
      <c r="H159" s="12"/>
      <c r="P159" t="s">
        <v>3257</v>
      </c>
      <c r="Q159" s="111">
        <v>21</v>
      </c>
      <c r="R159" s="111">
        <v>21</v>
      </c>
      <c r="S159" s="111">
        <v>1</v>
      </c>
      <c r="T159">
        <f>IF(ABS($Q$159*$S$159-$R$159)&lt;1,0,1)</f>
        <v>0</v>
      </c>
    </row>
    <row r="160" spans="1:20" x14ac:dyDescent="0.2">
      <c r="P160" t="s">
        <v>3258</v>
      </c>
      <c r="Q160" s="111">
        <v>35</v>
      </c>
      <c r="R160" s="111">
        <v>35</v>
      </c>
      <c r="S160" s="111">
        <v>1</v>
      </c>
      <c r="T160">
        <f>IF(ABS($Q$160*$S$160-$R$160)&lt;1,0,1)</f>
        <v>0</v>
      </c>
    </row>
    <row r="161" spans="1:20" ht="32" x14ac:dyDescent="0.2">
      <c r="A161" s="16" t="s">
        <v>3259</v>
      </c>
      <c r="B161" s="16" t="s">
        <v>3260</v>
      </c>
      <c r="C161" s="16" t="s">
        <v>144</v>
      </c>
      <c r="D161" s="16" t="s">
        <v>15</v>
      </c>
      <c r="E161" s="16" t="s">
        <v>3261</v>
      </c>
      <c r="F161" s="16" t="s">
        <v>3262</v>
      </c>
      <c r="G161" s="16" t="s">
        <v>2520</v>
      </c>
      <c r="H161" s="17" t="s">
        <v>20</v>
      </c>
      <c r="P161" t="s">
        <v>3263</v>
      </c>
      <c r="Q161" s="111">
        <v>19</v>
      </c>
      <c r="R161" s="111">
        <v>19</v>
      </c>
      <c r="S161" s="111">
        <v>1</v>
      </c>
      <c r="T161">
        <f>IF(ABS($Q$161*$S$161-$R$161)&lt;1,0,1)</f>
        <v>0</v>
      </c>
    </row>
    <row r="162" spans="1:20" ht="26" x14ac:dyDescent="0.2">
      <c r="A162" s="18" t="s">
        <v>3264</v>
      </c>
      <c r="B162" s="18" t="s">
        <v>3265</v>
      </c>
      <c r="C162" s="84">
        <v>0.74099999999999999</v>
      </c>
      <c r="D162" s="18" t="s">
        <v>3266</v>
      </c>
      <c r="E162" s="22" t="s">
        <v>3267</v>
      </c>
      <c r="F162" s="18" t="s">
        <v>3268</v>
      </c>
      <c r="G162" s="21" t="s">
        <v>3269</v>
      </c>
      <c r="H162" s="23" t="str">
        <f t="shared" ref="H162:H198" si="12">IF(AND(LEN(TRIM(A162&amp;""))&gt;0,TRIM(A162&amp;"")&lt;&gt;"—",LEN(TRIM(B162&amp;""))&gt;0,TRIM(B162&amp;"")&lt;&gt;"—",LEN(TRIM(C162&amp;""))&gt;0,TRIM(C162&amp;"")&lt;&gt;"—",LEN(TRIM(G162&amp;""))&gt;0,TRIM(G162&amp;"")&lt;&gt;"—"),"PASS","⚠ FAIL — "&amp;"a required cell is empty/placeholder or wrong type")</f>
        <v>PASS</v>
      </c>
      <c r="P162" t="s">
        <v>3270</v>
      </c>
      <c r="Q162" s="111">
        <v>34</v>
      </c>
      <c r="R162" s="111">
        <v>34</v>
      </c>
      <c r="S162" s="111">
        <v>1</v>
      </c>
      <c r="T162">
        <f>IF(ABS($Q$162*$S$162-$R$162)&lt;1,0,1)</f>
        <v>0</v>
      </c>
    </row>
    <row r="163" spans="1:20" ht="26" x14ac:dyDescent="0.2">
      <c r="A163" s="18" t="s">
        <v>3271</v>
      </c>
      <c r="B163" s="18" t="s">
        <v>3272</v>
      </c>
      <c r="C163" s="84">
        <v>0.29646400000000001</v>
      </c>
      <c r="D163" s="18"/>
      <c r="E163" s="22" t="s">
        <v>3267</v>
      </c>
      <c r="F163" s="18" t="s">
        <v>3273</v>
      </c>
      <c r="G163" s="21" t="s">
        <v>3269</v>
      </c>
      <c r="H163" s="23" t="str">
        <f t="shared" si="12"/>
        <v>PASS</v>
      </c>
      <c r="P163" t="s">
        <v>3274</v>
      </c>
      <c r="Q163" s="111">
        <v>34</v>
      </c>
      <c r="R163" s="111">
        <v>34</v>
      </c>
      <c r="S163" s="111">
        <v>1</v>
      </c>
      <c r="T163">
        <f>IF(ABS($Q$163*$S$163-$R$163)&lt;1,0,1)</f>
        <v>0</v>
      </c>
    </row>
    <row r="164" spans="1:20" ht="52" x14ac:dyDescent="0.2">
      <c r="A164" s="18" t="s">
        <v>3275</v>
      </c>
      <c r="B164" s="18" t="s">
        <v>3276</v>
      </c>
      <c r="C164" s="84">
        <v>25</v>
      </c>
      <c r="D164" s="18" t="s">
        <v>3277</v>
      </c>
      <c r="E164" s="22" t="s">
        <v>3278</v>
      </c>
      <c r="F164" s="18" t="s">
        <v>3279</v>
      </c>
      <c r="G164" s="21" t="s">
        <v>3269</v>
      </c>
      <c r="H164" s="23" t="str">
        <f t="shared" si="12"/>
        <v>PASS</v>
      </c>
      <c r="P164" t="s">
        <v>3280</v>
      </c>
      <c r="Q164" s="111">
        <v>112</v>
      </c>
      <c r="R164" s="111">
        <v>112</v>
      </c>
      <c r="S164" s="111">
        <v>1</v>
      </c>
      <c r="T164">
        <f>IF(ABS($Q$164*$S$164-$R$164)&lt;1,0,1)</f>
        <v>0</v>
      </c>
    </row>
    <row r="165" spans="1:20" ht="52" x14ac:dyDescent="0.2">
      <c r="A165" s="18" t="s">
        <v>3275</v>
      </c>
      <c r="B165" s="18" t="s">
        <v>3281</v>
      </c>
      <c r="C165" s="84">
        <v>2.0299999999999998</v>
      </c>
      <c r="D165" s="18" t="s">
        <v>33</v>
      </c>
      <c r="E165" s="22" t="s">
        <v>3278</v>
      </c>
      <c r="F165" s="18" t="s">
        <v>3282</v>
      </c>
      <c r="G165" s="21" t="s">
        <v>3269</v>
      </c>
      <c r="H165" s="23" t="str">
        <f t="shared" si="12"/>
        <v>PASS</v>
      </c>
      <c r="P165" t="s">
        <v>3283</v>
      </c>
      <c r="Q165" s="111">
        <v>100</v>
      </c>
      <c r="R165" s="111">
        <v>100</v>
      </c>
      <c r="S165" s="111">
        <v>1</v>
      </c>
      <c r="T165">
        <f>IF(ABS($Q$165*$S$165-$R$165)&lt;1,0,1)</f>
        <v>0</v>
      </c>
    </row>
    <row r="166" spans="1:20" ht="26" x14ac:dyDescent="0.2">
      <c r="A166" s="18" t="s">
        <v>3284</v>
      </c>
      <c r="B166" s="18" t="s">
        <v>3285</v>
      </c>
      <c r="C166" s="84">
        <v>75</v>
      </c>
      <c r="D166" s="18" t="s">
        <v>1904</v>
      </c>
      <c r="E166" s="22" t="s">
        <v>3267</v>
      </c>
      <c r="F166" s="18" t="s">
        <v>3286</v>
      </c>
      <c r="G166" s="21" t="s">
        <v>3269</v>
      </c>
      <c r="H166" s="23" t="str">
        <f t="shared" si="12"/>
        <v>PASS</v>
      </c>
      <c r="P166" t="s">
        <v>3287</v>
      </c>
      <c r="Q166" s="111">
        <v>36</v>
      </c>
      <c r="R166" s="111">
        <v>36</v>
      </c>
      <c r="S166" s="111">
        <v>1</v>
      </c>
      <c r="T166">
        <f>IF(ABS($Q$166*$S$166-$R$166)&lt;1,0,1)</f>
        <v>0</v>
      </c>
    </row>
    <row r="167" spans="1:20" ht="26" x14ac:dyDescent="0.2">
      <c r="A167" s="18" t="s">
        <v>3284</v>
      </c>
      <c r="B167" s="18" t="s">
        <v>3288</v>
      </c>
      <c r="C167" s="84">
        <v>108.25</v>
      </c>
      <c r="D167" s="18" t="s">
        <v>1886</v>
      </c>
      <c r="E167" s="22" t="s">
        <v>3267</v>
      </c>
      <c r="F167" s="18" t="s">
        <v>3289</v>
      </c>
      <c r="G167" s="21" t="s">
        <v>3269</v>
      </c>
      <c r="H167" s="23" t="str">
        <f t="shared" si="12"/>
        <v>PASS</v>
      </c>
      <c r="P167" t="s">
        <v>3290</v>
      </c>
      <c r="Q167" s="111">
        <v>20.8</v>
      </c>
      <c r="R167" s="111">
        <v>4451</v>
      </c>
      <c r="S167" s="111">
        <v>214</v>
      </c>
      <c r="T167">
        <f>IF(ABS($Q$167*$S$167-$R$167)&lt;22.255,0,1)</f>
        <v>0</v>
      </c>
    </row>
    <row r="168" spans="1:20" ht="169" x14ac:dyDescent="0.2">
      <c r="A168" s="18" t="s">
        <v>3291</v>
      </c>
      <c r="B168" s="18" t="s">
        <v>3292</v>
      </c>
      <c r="C168" s="84">
        <v>90</v>
      </c>
      <c r="D168" s="18" t="s">
        <v>1893</v>
      </c>
      <c r="E168" s="22" t="s">
        <v>3293</v>
      </c>
      <c r="F168" s="18" t="s">
        <v>3294</v>
      </c>
      <c r="G168" s="21" t="s">
        <v>3269</v>
      </c>
      <c r="H168" s="23" t="str">
        <f t="shared" si="12"/>
        <v>PASS</v>
      </c>
      <c r="P168" t="s">
        <v>3295</v>
      </c>
      <c r="Q168" s="111">
        <v>20.8</v>
      </c>
      <c r="R168" s="111">
        <v>5824</v>
      </c>
      <c r="S168" s="111">
        <v>280</v>
      </c>
      <c r="T168">
        <f>IF(ABS($Q$168*$S$168-$R$168)&lt;29.12,0,1)</f>
        <v>0</v>
      </c>
    </row>
    <row r="169" spans="1:20" ht="117" x14ac:dyDescent="0.2">
      <c r="A169" s="18" t="s">
        <v>3291</v>
      </c>
      <c r="B169" s="18" t="s">
        <v>3296</v>
      </c>
      <c r="C169" s="84">
        <v>4.0999999999999996</v>
      </c>
      <c r="D169" s="18" t="s">
        <v>1907</v>
      </c>
      <c r="E169" s="22" t="s">
        <v>3297</v>
      </c>
      <c r="F169" s="18" t="s">
        <v>3298</v>
      </c>
      <c r="G169" s="21" t="s">
        <v>3269</v>
      </c>
      <c r="H169" s="23" t="str">
        <f t="shared" si="12"/>
        <v>PASS</v>
      </c>
      <c r="P169" t="s">
        <v>3299</v>
      </c>
      <c r="Q169" s="111">
        <v>13.2</v>
      </c>
      <c r="R169" s="111">
        <v>109296</v>
      </c>
      <c r="S169" s="111">
        <v>8280</v>
      </c>
      <c r="T169">
        <f>IF(ABS($Q$169*$S$169-$R$169)&lt;546.48,0,1)</f>
        <v>0</v>
      </c>
    </row>
    <row r="170" spans="1:20" ht="130" x14ac:dyDescent="0.2">
      <c r="A170" s="18" t="s">
        <v>3291</v>
      </c>
      <c r="B170" s="18" t="s">
        <v>3300</v>
      </c>
      <c r="C170" s="84">
        <v>1</v>
      </c>
      <c r="D170" s="18" t="s">
        <v>3301</v>
      </c>
      <c r="E170" s="22" t="s">
        <v>3302</v>
      </c>
      <c r="F170" s="18" t="s">
        <v>3303</v>
      </c>
      <c r="G170" s="21" t="s">
        <v>3269</v>
      </c>
      <c r="H170" s="23" t="str">
        <f t="shared" si="12"/>
        <v>PASS</v>
      </c>
      <c r="P170" t="s">
        <v>3304</v>
      </c>
      <c r="Q170" s="111">
        <v>20.8</v>
      </c>
      <c r="R170" s="111">
        <v>87360</v>
      </c>
      <c r="S170" s="111">
        <v>4200</v>
      </c>
      <c r="T170">
        <f>IF(ABS($Q$170*$S$170-$R$170)&lt;436.8,0,1)</f>
        <v>0</v>
      </c>
    </row>
    <row r="171" spans="1:20" ht="156" x14ac:dyDescent="0.2">
      <c r="A171" s="18" t="s">
        <v>3305</v>
      </c>
      <c r="B171" s="18" t="s">
        <v>3306</v>
      </c>
      <c r="C171" s="84">
        <v>53</v>
      </c>
      <c r="D171" s="18" t="s">
        <v>1907</v>
      </c>
      <c r="E171" s="22" t="s">
        <v>3307</v>
      </c>
      <c r="F171" s="18" t="s">
        <v>3308</v>
      </c>
      <c r="G171" s="21" t="s">
        <v>3269</v>
      </c>
      <c r="H171" s="23" t="str">
        <f t="shared" si="12"/>
        <v>PASS</v>
      </c>
      <c r="P171" t="s">
        <v>3309</v>
      </c>
      <c r="Q171" s="111">
        <v>20.8</v>
      </c>
      <c r="R171" s="111">
        <v>34445</v>
      </c>
      <c r="S171" s="111">
        <v>1656</v>
      </c>
      <c r="T171">
        <f>IF(ABS($Q$171*$S$171-$R$171)&lt;172.225,0,1)</f>
        <v>0</v>
      </c>
    </row>
    <row r="172" spans="1:20" ht="130" x14ac:dyDescent="0.2">
      <c r="A172" s="18" t="s">
        <v>3310</v>
      </c>
      <c r="B172" s="18" t="s">
        <v>3311</v>
      </c>
      <c r="C172" s="84">
        <v>90</v>
      </c>
      <c r="D172" s="18" t="s">
        <v>1893</v>
      </c>
      <c r="E172" s="22" t="s">
        <v>3312</v>
      </c>
      <c r="F172" s="18" t="s">
        <v>3313</v>
      </c>
      <c r="G172" s="21" t="s">
        <v>3269</v>
      </c>
      <c r="H172" s="23" t="str">
        <f t="shared" si="12"/>
        <v>PASS</v>
      </c>
      <c r="P172" t="s">
        <v>3314</v>
      </c>
      <c r="Q172" s="111">
        <v>35.200000000000003</v>
      </c>
      <c r="R172" s="111">
        <v>7533</v>
      </c>
      <c r="S172" s="111">
        <v>214</v>
      </c>
      <c r="T172">
        <f>IF(ABS($Q$172*$S$172-$R$172)&lt;37.665,0,1)</f>
        <v>0</v>
      </c>
    </row>
    <row r="173" spans="1:20" ht="91" x14ac:dyDescent="0.2">
      <c r="A173" s="18" t="s">
        <v>3310</v>
      </c>
      <c r="B173" s="18" t="s">
        <v>3315</v>
      </c>
      <c r="C173" s="84">
        <v>120</v>
      </c>
      <c r="D173" s="18" t="s">
        <v>3316</v>
      </c>
      <c r="E173" s="22" t="s">
        <v>3317</v>
      </c>
      <c r="F173" s="18" t="s">
        <v>3318</v>
      </c>
      <c r="G173" s="21" t="s">
        <v>3269</v>
      </c>
      <c r="H173" s="23" t="str">
        <f t="shared" si="12"/>
        <v>PASS</v>
      </c>
      <c r="P173" t="s">
        <v>3319</v>
      </c>
      <c r="Q173" s="111">
        <v>16.399999999999999</v>
      </c>
      <c r="R173" s="111">
        <v>7019</v>
      </c>
      <c r="S173" s="111">
        <v>428</v>
      </c>
      <c r="T173">
        <f>IF(ABS($Q$173*$S$173-$R$173)&lt;35.095,0,1)</f>
        <v>0</v>
      </c>
    </row>
    <row r="174" spans="1:20" ht="65" x14ac:dyDescent="0.2">
      <c r="A174" s="18" t="s">
        <v>3310</v>
      </c>
      <c r="B174" s="18" t="s">
        <v>3320</v>
      </c>
      <c r="C174" s="84">
        <v>1.5</v>
      </c>
      <c r="D174" s="18" t="s">
        <v>3316</v>
      </c>
      <c r="E174" s="22" t="s">
        <v>3321</v>
      </c>
      <c r="F174" s="18" t="s">
        <v>3322</v>
      </c>
      <c r="G174" s="21" t="s">
        <v>3269</v>
      </c>
      <c r="H174" s="23" t="str">
        <f t="shared" si="12"/>
        <v>PASS</v>
      </c>
      <c r="P174" t="s">
        <v>3323</v>
      </c>
      <c r="Q174" s="111">
        <v>6</v>
      </c>
      <c r="R174" s="111">
        <v>36000</v>
      </c>
      <c r="S174" s="111">
        <v>6000</v>
      </c>
      <c r="T174">
        <f>IF(ABS($Q$174*$S$174-$R$174)&lt;180,0,1)</f>
        <v>0</v>
      </c>
    </row>
    <row r="175" spans="1:20" ht="91" x14ac:dyDescent="0.2">
      <c r="A175" s="18" t="s">
        <v>3310</v>
      </c>
      <c r="B175" s="18" t="s">
        <v>3324</v>
      </c>
      <c r="C175" s="84">
        <v>90</v>
      </c>
      <c r="D175" s="18" t="s">
        <v>1893</v>
      </c>
      <c r="E175" s="22" t="s">
        <v>3325</v>
      </c>
      <c r="F175" s="18" t="s">
        <v>3326</v>
      </c>
      <c r="G175" s="21" t="s">
        <v>3269</v>
      </c>
      <c r="H175" s="23" t="str">
        <f t="shared" si="12"/>
        <v>PASS</v>
      </c>
      <c r="P175" t="s">
        <v>3327</v>
      </c>
      <c r="Q175" s="111">
        <v>9</v>
      </c>
      <c r="R175" s="111">
        <v>27000</v>
      </c>
      <c r="S175" s="111">
        <v>3000</v>
      </c>
      <c r="T175">
        <f>IF(ABS($Q$175*$S$175-$R$175)&lt;135,0,1)</f>
        <v>0</v>
      </c>
    </row>
    <row r="176" spans="1:20" ht="78" x14ac:dyDescent="0.2">
      <c r="A176" s="18" t="s">
        <v>3310</v>
      </c>
      <c r="B176" s="18" t="s">
        <v>3328</v>
      </c>
      <c r="C176" s="84">
        <v>53</v>
      </c>
      <c r="D176" s="18" t="s">
        <v>1907</v>
      </c>
      <c r="E176" s="22" t="s">
        <v>3329</v>
      </c>
      <c r="F176" s="18" t="s">
        <v>3330</v>
      </c>
      <c r="G176" s="21" t="s">
        <v>3269</v>
      </c>
      <c r="H176" s="23" t="str">
        <f t="shared" si="12"/>
        <v>PASS</v>
      </c>
      <c r="P176" t="s">
        <v>3331</v>
      </c>
      <c r="Q176" s="111">
        <v>40</v>
      </c>
      <c r="R176" s="111">
        <v>8000</v>
      </c>
      <c r="S176" s="111">
        <v>200</v>
      </c>
      <c r="T176">
        <f>IF(ABS($Q$176*$S$176-$R$176)&lt;40,0,1)</f>
        <v>0</v>
      </c>
    </row>
    <row r="177" spans="1:20" ht="169" x14ac:dyDescent="0.2">
      <c r="A177" s="18" t="s">
        <v>3310</v>
      </c>
      <c r="B177" s="18" t="s">
        <v>3332</v>
      </c>
      <c r="C177" s="84">
        <v>106</v>
      </c>
      <c r="D177" s="18" t="s">
        <v>1886</v>
      </c>
      <c r="E177" s="22" t="s">
        <v>3333</v>
      </c>
      <c r="F177" s="18" t="s">
        <v>3334</v>
      </c>
      <c r="G177" s="21" t="s">
        <v>3269</v>
      </c>
      <c r="H177" s="23" t="str">
        <f t="shared" si="12"/>
        <v>PASS</v>
      </c>
      <c r="P177" t="s">
        <v>3335</v>
      </c>
      <c r="Q177" s="111">
        <v>45</v>
      </c>
      <c r="R177" s="111">
        <v>1980</v>
      </c>
      <c r="S177" s="111">
        <v>44</v>
      </c>
      <c r="T177">
        <f>IF(ABS($Q$177*$S$177-$R$177)&lt;9.9,0,1)</f>
        <v>0</v>
      </c>
    </row>
    <row r="178" spans="1:20" ht="169" x14ac:dyDescent="0.2">
      <c r="A178" s="18" t="s">
        <v>3310</v>
      </c>
      <c r="B178" s="18" t="s">
        <v>3336</v>
      </c>
      <c r="C178" s="84">
        <v>125</v>
      </c>
      <c r="D178" s="18" t="s">
        <v>1886</v>
      </c>
      <c r="E178" s="22" t="s">
        <v>3333</v>
      </c>
      <c r="F178" s="18" t="s">
        <v>3337</v>
      </c>
      <c r="G178" s="21" t="s">
        <v>3269</v>
      </c>
      <c r="H178" s="23" t="str">
        <f t="shared" si="12"/>
        <v>PASS</v>
      </c>
      <c r="P178" t="s">
        <v>3338</v>
      </c>
      <c r="Q178" s="111">
        <v>17540</v>
      </c>
      <c r="R178" s="111">
        <v>17540</v>
      </c>
      <c r="T178">
        <f>IF(ABS($Q$178-$R$178)&lt;175.4,0,1)</f>
        <v>0</v>
      </c>
    </row>
    <row r="179" spans="1:20" ht="78" x14ac:dyDescent="0.2">
      <c r="A179" s="18" t="s">
        <v>3339</v>
      </c>
      <c r="B179" s="18" t="s">
        <v>3340</v>
      </c>
      <c r="C179" s="84">
        <v>1.8</v>
      </c>
      <c r="D179" s="18" t="s">
        <v>3316</v>
      </c>
      <c r="E179" s="22" t="s">
        <v>3341</v>
      </c>
      <c r="F179" s="18" t="s">
        <v>3342</v>
      </c>
      <c r="G179" s="21" t="s">
        <v>3269</v>
      </c>
      <c r="H179" s="23" t="str">
        <f t="shared" si="12"/>
        <v>PASS</v>
      </c>
      <c r="P179" t="s">
        <v>3343</v>
      </c>
      <c r="Q179" s="111">
        <v>16000</v>
      </c>
      <c r="R179" s="111">
        <v>16000</v>
      </c>
      <c r="T179">
        <f>IF(ABS($Q$179-$R$179)&lt;160,0,1)</f>
        <v>0</v>
      </c>
    </row>
    <row r="180" spans="1:20" ht="26" x14ac:dyDescent="0.2">
      <c r="A180" s="18" t="s">
        <v>3344</v>
      </c>
      <c r="B180" s="18" t="s">
        <v>3345</v>
      </c>
      <c r="C180" s="84">
        <v>1.3587484461319499</v>
      </c>
      <c r="D180" s="18" t="s">
        <v>3346</v>
      </c>
      <c r="E180" s="22" t="s">
        <v>3267</v>
      </c>
      <c r="F180" s="18" t="s">
        <v>3347</v>
      </c>
      <c r="G180" s="21" t="s">
        <v>3269</v>
      </c>
      <c r="H180" s="23" t="str">
        <f t="shared" si="12"/>
        <v>PASS</v>
      </c>
      <c r="P180" t="s">
        <v>3348</v>
      </c>
      <c r="Q180" s="111">
        <v>17268</v>
      </c>
      <c r="R180" s="111">
        <v>17268</v>
      </c>
      <c r="T180">
        <f>IF(ABS($Q$180-$R$180)&lt;172.68,0,1)</f>
        <v>0</v>
      </c>
    </row>
    <row r="181" spans="1:20" ht="26" x14ac:dyDescent="0.2">
      <c r="A181" s="18" t="s">
        <v>3349</v>
      </c>
      <c r="B181" s="18" t="s">
        <v>3350</v>
      </c>
      <c r="C181" s="84">
        <v>46.199326468750002</v>
      </c>
      <c r="D181" s="18" t="s">
        <v>3351</v>
      </c>
      <c r="E181" s="22" t="s">
        <v>3267</v>
      </c>
      <c r="F181" s="18" t="s">
        <v>3352</v>
      </c>
      <c r="G181" s="21" t="s">
        <v>3269</v>
      </c>
      <c r="H181" s="23" t="str">
        <f t="shared" si="12"/>
        <v>PASS</v>
      </c>
      <c r="P181" t="s">
        <v>3353</v>
      </c>
      <c r="Q181" s="111">
        <v>22755</v>
      </c>
      <c r="R181" s="111">
        <v>22752</v>
      </c>
      <c r="T181">
        <f>IF(ABS($Q$181-$R$181)&lt;227.52,0,1)</f>
        <v>0</v>
      </c>
    </row>
    <row r="182" spans="1:20" ht="26" x14ac:dyDescent="0.2">
      <c r="A182" s="18" t="s">
        <v>3354</v>
      </c>
      <c r="B182" s="18" t="s">
        <v>3355</v>
      </c>
      <c r="C182" s="84">
        <v>5</v>
      </c>
      <c r="D182" s="18" t="s">
        <v>36</v>
      </c>
      <c r="E182" s="22" t="s">
        <v>3267</v>
      </c>
      <c r="F182" s="18" t="s">
        <v>3356</v>
      </c>
      <c r="G182" s="21" t="s">
        <v>3269</v>
      </c>
      <c r="H182" s="23" t="str">
        <f t="shared" si="12"/>
        <v>PASS</v>
      </c>
      <c r="P182" t="s">
        <v>3357</v>
      </c>
      <c r="Q182" s="111">
        <v>2500</v>
      </c>
      <c r="R182" s="111">
        <v>2500</v>
      </c>
      <c r="T182">
        <f>IF(ABS($Q$182-$R$182)&lt;25,0,1)</f>
        <v>0</v>
      </c>
    </row>
    <row r="183" spans="1:20" ht="65" x14ac:dyDescent="0.2">
      <c r="A183" s="18" t="s">
        <v>3358</v>
      </c>
      <c r="B183" s="18" t="s">
        <v>3359</v>
      </c>
      <c r="C183" s="84">
        <v>9.6530000000000005</v>
      </c>
      <c r="D183" s="18" t="s">
        <v>1907</v>
      </c>
      <c r="E183" s="22" t="s">
        <v>3360</v>
      </c>
      <c r="F183" s="18" t="s">
        <v>3361</v>
      </c>
      <c r="G183" s="21" t="s">
        <v>3269</v>
      </c>
      <c r="H183" s="23" t="str">
        <f t="shared" si="12"/>
        <v>PASS</v>
      </c>
      <c r="P183" t="s">
        <v>3362</v>
      </c>
      <c r="Q183" s="111">
        <v>9367</v>
      </c>
      <c r="R183" s="111">
        <v>9366</v>
      </c>
      <c r="T183">
        <f>IF(ABS($Q$183-$R$183)&lt;93.66,0,1)</f>
        <v>0</v>
      </c>
    </row>
    <row r="184" spans="1:20" ht="65" x14ac:dyDescent="0.2">
      <c r="A184" s="18" t="s">
        <v>3358</v>
      </c>
      <c r="B184" s="18" t="s">
        <v>3363</v>
      </c>
      <c r="C184" s="84">
        <v>90</v>
      </c>
      <c r="D184" s="18" t="s">
        <v>22</v>
      </c>
      <c r="E184" s="22" t="s">
        <v>3360</v>
      </c>
      <c r="F184" s="18" t="s">
        <v>3364</v>
      </c>
      <c r="G184" s="21" t="s">
        <v>3269</v>
      </c>
      <c r="H184" s="23" t="str">
        <f t="shared" si="12"/>
        <v>PASS</v>
      </c>
      <c r="P184" t="s">
        <v>3365</v>
      </c>
      <c r="Q184" s="111">
        <v>3700</v>
      </c>
      <c r="R184" s="111">
        <v>3700</v>
      </c>
      <c r="T184">
        <f>IF(ABS($Q$184-$R$184)&lt;37,0,1)</f>
        <v>0</v>
      </c>
    </row>
    <row r="185" spans="1:20" ht="78" x14ac:dyDescent="0.2">
      <c r="A185" s="18" t="s">
        <v>3366</v>
      </c>
      <c r="B185" s="18" t="s">
        <v>3367</v>
      </c>
      <c r="C185" s="84">
        <v>1500.8</v>
      </c>
      <c r="D185" s="18" t="s">
        <v>3351</v>
      </c>
      <c r="E185" s="22" t="s">
        <v>3368</v>
      </c>
      <c r="F185" s="18" t="s">
        <v>3369</v>
      </c>
      <c r="G185" s="21" t="s">
        <v>3269</v>
      </c>
      <c r="H185" s="23" t="str">
        <f t="shared" si="12"/>
        <v>PASS</v>
      </c>
      <c r="P185" t="s">
        <v>3370</v>
      </c>
      <c r="Q185" s="111">
        <v>16540</v>
      </c>
      <c r="R185" s="111">
        <v>16540</v>
      </c>
      <c r="T185">
        <f>IF(ABS($Q$185-$R$185)&lt;165.4,0,1)</f>
        <v>0</v>
      </c>
    </row>
    <row r="186" spans="1:20" ht="26" x14ac:dyDescent="0.2">
      <c r="A186" s="18" t="s">
        <v>3371</v>
      </c>
      <c r="B186" s="18" t="s">
        <v>3372</v>
      </c>
      <c r="C186" s="84">
        <v>3.46572421577573</v>
      </c>
      <c r="D186" s="18" t="s">
        <v>3373</v>
      </c>
      <c r="E186" s="22" t="s">
        <v>3267</v>
      </c>
      <c r="F186" s="18" t="s">
        <v>3374</v>
      </c>
      <c r="G186" s="21" t="s">
        <v>3269</v>
      </c>
      <c r="H186" s="23" t="str">
        <f t="shared" si="12"/>
        <v>PASS</v>
      </c>
      <c r="P186" t="s">
        <v>3375</v>
      </c>
      <c r="Q186" s="111">
        <v>14825</v>
      </c>
      <c r="R186" s="111">
        <v>14825</v>
      </c>
      <c r="T186">
        <f>IF(ABS($Q$186-$R$186)&lt;148.25,0,1)</f>
        <v>0</v>
      </c>
    </row>
    <row r="187" spans="1:20" ht="26" x14ac:dyDescent="0.2">
      <c r="A187" s="18" t="s">
        <v>3371</v>
      </c>
      <c r="B187" s="18" t="s">
        <v>3376</v>
      </c>
      <c r="C187" s="84">
        <v>23.083198494515401</v>
      </c>
      <c r="D187" s="18" t="s">
        <v>3377</v>
      </c>
      <c r="E187" s="22" t="s">
        <v>3267</v>
      </c>
      <c r="F187" s="18" t="s">
        <v>3378</v>
      </c>
      <c r="G187" s="21" t="s">
        <v>3269</v>
      </c>
      <c r="H187" s="23" t="str">
        <f t="shared" si="12"/>
        <v>PASS</v>
      </c>
      <c r="P187" t="s">
        <v>3379</v>
      </c>
      <c r="Q187" s="111">
        <v>9413</v>
      </c>
      <c r="R187" s="111">
        <v>9413</v>
      </c>
      <c r="T187">
        <f>IF(ABS($Q$187-$R$187)&lt;94.13,0,1)</f>
        <v>0</v>
      </c>
    </row>
    <row r="188" spans="1:20" ht="26" x14ac:dyDescent="0.2">
      <c r="A188" s="18" t="s">
        <v>3380</v>
      </c>
      <c r="B188" s="18" t="s">
        <v>3381</v>
      </c>
      <c r="C188" s="84">
        <v>640</v>
      </c>
      <c r="D188" s="18" t="s">
        <v>3382</v>
      </c>
      <c r="E188" s="22" t="s">
        <v>3267</v>
      </c>
      <c r="F188" s="18" t="s">
        <v>3383</v>
      </c>
      <c r="G188" s="21" t="s">
        <v>3269</v>
      </c>
      <c r="H188" s="23" t="str">
        <f t="shared" si="12"/>
        <v>PASS</v>
      </c>
      <c r="P188" t="s">
        <v>3384</v>
      </c>
      <c r="Q188" s="111">
        <v>8737</v>
      </c>
      <c r="R188" s="111">
        <v>8737</v>
      </c>
      <c r="T188">
        <f>IF(ABS($Q$188-$R$188)&lt;87.37,0,1)</f>
        <v>0</v>
      </c>
    </row>
    <row r="189" spans="1:20" ht="65" x14ac:dyDescent="0.2">
      <c r="A189" s="18" t="s">
        <v>3385</v>
      </c>
      <c r="B189" s="18" t="s">
        <v>3386</v>
      </c>
      <c r="C189" s="84">
        <v>600.81100000000004</v>
      </c>
      <c r="D189" s="18" t="s">
        <v>3351</v>
      </c>
      <c r="E189" s="22" t="s">
        <v>3387</v>
      </c>
      <c r="F189" s="18" t="s">
        <v>3388</v>
      </c>
      <c r="G189" s="21" t="s">
        <v>3269</v>
      </c>
      <c r="H189" s="23" t="str">
        <f t="shared" si="12"/>
        <v>PASS</v>
      </c>
      <c r="P189" t="s">
        <v>3389</v>
      </c>
      <c r="Q189" s="111">
        <v>3850</v>
      </c>
      <c r="R189" s="111">
        <v>3850</v>
      </c>
      <c r="T189">
        <f>IF(ABS($Q$189-$R$189)&lt;38.5,0,1)</f>
        <v>0</v>
      </c>
    </row>
    <row r="190" spans="1:20" ht="65" x14ac:dyDescent="0.2">
      <c r="A190" s="18" t="s">
        <v>3385</v>
      </c>
      <c r="B190" s="18" t="s">
        <v>3386</v>
      </c>
      <c r="C190" s="84">
        <v>556.12699999999995</v>
      </c>
      <c r="D190" s="18" t="s">
        <v>3351</v>
      </c>
      <c r="E190" s="22" t="s">
        <v>3387</v>
      </c>
      <c r="F190" s="18" t="s">
        <v>3390</v>
      </c>
      <c r="G190" s="21" t="s">
        <v>3269</v>
      </c>
      <c r="H190" s="23" t="str">
        <f t="shared" si="12"/>
        <v>PASS</v>
      </c>
      <c r="P190" t="s">
        <v>3391</v>
      </c>
      <c r="Q190" s="111">
        <v>18</v>
      </c>
      <c r="R190" s="111">
        <v>18</v>
      </c>
      <c r="T190">
        <f>IF(ABS($Q$190-$R$190)&lt;5,0,1)</f>
        <v>0</v>
      </c>
    </row>
    <row r="191" spans="1:20" ht="26" x14ac:dyDescent="0.2">
      <c r="A191" s="18" t="s">
        <v>3392</v>
      </c>
      <c r="B191" s="18" t="s">
        <v>3359</v>
      </c>
      <c r="C191" s="84">
        <v>7.5</v>
      </c>
      <c r="D191" s="18" t="s">
        <v>1907</v>
      </c>
      <c r="E191" s="22" t="s">
        <v>3267</v>
      </c>
      <c r="F191" s="18" t="s">
        <v>3393</v>
      </c>
      <c r="G191" s="21" t="s">
        <v>3269</v>
      </c>
      <c r="H191" s="23" t="str">
        <f t="shared" si="12"/>
        <v>PASS</v>
      </c>
      <c r="P191" t="s">
        <v>3394</v>
      </c>
      <c r="Q191" s="111">
        <v>13615</v>
      </c>
      <c r="R191" s="111">
        <v>13615</v>
      </c>
      <c r="T191">
        <f>IF(ABS($Q$191-$R$191)&lt;136.15,0,1)</f>
        <v>0</v>
      </c>
    </row>
    <row r="192" spans="1:20" ht="26" x14ac:dyDescent="0.2">
      <c r="A192" s="18" t="s">
        <v>3392</v>
      </c>
      <c r="B192" s="18" t="s">
        <v>3359</v>
      </c>
      <c r="C192" s="84">
        <v>1.923</v>
      </c>
      <c r="D192" s="18" t="s">
        <v>1907</v>
      </c>
      <c r="E192" s="22" t="s">
        <v>3267</v>
      </c>
      <c r="F192" s="18" t="s">
        <v>3395</v>
      </c>
      <c r="G192" s="21" t="s">
        <v>3269</v>
      </c>
      <c r="H192" s="23" t="str">
        <f t="shared" si="12"/>
        <v>PASS</v>
      </c>
      <c r="P192" t="s">
        <v>3396</v>
      </c>
      <c r="Q192" s="111">
        <v>27231</v>
      </c>
      <c r="R192" s="111">
        <v>27230</v>
      </c>
      <c r="T192">
        <f>IF(ABS($Q$192-$R$192)&lt;272.3,0,1)</f>
        <v>0</v>
      </c>
    </row>
    <row r="193" spans="1:20" ht="104" x14ac:dyDescent="0.2">
      <c r="A193" s="18" t="s">
        <v>3397</v>
      </c>
      <c r="B193" s="18" t="s">
        <v>3398</v>
      </c>
      <c r="C193" s="84">
        <v>40</v>
      </c>
      <c r="D193" s="18" t="s">
        <v>36</v>
      </c>
      <c r="E193" s="22" t="s">
        <v>3399</v>
      </c>
      <c r="F193" s="18" t="s">
        <v>3400</v>
      </c>
      <c r="G193" s="21" t="s">
        <v>3269</v>
      </c>
      <c r="H193" s="23" t="str">
        <f t="shared" si="12"/>
        <v>PASS</v>
      </c>
      <c r="P193" t="s">
        <v>3401</v>
      </c>
      <c r="Q193" s="111">
        <v>4000</v>
      </c>
      <c r="R193" s="111">
        <v>4000</v>
      </c>
      <c r="T193">
        <f>IF(ABS($Q$193-$R$193)&lt;40,0,1)</f>
        <v>0</v>
      </c>
    </row>
    <row r="194" spans="1:20" ht="104" x14ac:dyDescent="0.2">
      <c r="A194" s="18" t="s">
        <v>3397</v>
      </c>
      <c r="B194" s="18" t="s">
        <v>3402</v>
      </c>
      <c r="C194" s="84">
        <v>40</v>
      </c>
      <c r="D194" s="18" t="s">
        <v>36</v>
      </c>
      <c r="E194" s="22" t="s">
        <v>3399</v>
      </c>
      <c r="F194" s="18" t="s">
        <v>3403</v>
      </c>
      <c r="G194" s="21" t="s">
        <v>3269</v>
      </c>
      <c r="H194" s="23" t="str">
        <f t="shared" si="12"/>
        <v>PASS</v>
      </c>
      <c r="P194" t="s">
        <v>3404</v>
      </c>
      <c r="Q194" s="111">
        <v>4000</v>
      </c>
      <c r="R194" s="111">
        <v>4000</v>
      </c>
      <c r="T194">
        <f>IF(ABS($Q$194-$R$194)&lt;40,0,1)</f>
        <v>0</v>
      </c>
    </row>
    <row r="195" spans="1:20" ht="104" x14ac:dyDescent="0.2">
      <c r="A195" s="18" t="s">
        <v>3397</v>
      </c>
      <c r="B195" s="18" t="s">
        <v>3405</v>
      </c>
      <c r="C195" s="84">
        <v>261.60000000000002</v>
      </c>
      <c r="D195" s="18" t="s">
        <v>36</v>
      </c>
      <c r="E195" s="22" t="s">
        <v>3399</v>
      </c>
      <c r="F195" s="18" t="s">
        <v>3406</v>
      </c>
      <c r="G195" s="21" t="s">
        <v>3269</v>
      </c>
      <c r="H195" s="23" t="str">
        <f t="shared" si="12"/>
        <v>PASS</v>
      </c>
    </row>
    <row r="196" spans="1:20" ht="26" x14ac:dyDescent="0.2">
      <c r="A196" s="18" t="s">
        <v>3407</v>
      </c>
      <c r="B196" s="18" t="s">
        <v>3408</v>
      </c>
      <c r="C196" s="84">
        <v>363.6</v>
      </c>
      <c r="D196" s="18" t="s">
        <v>3373</v>
      </c>
      <c r="E196" s="22" t="s">
        <v>3267</v>
      </c>
      <c r="F196" s="18" t="s">
        <v>3409</v>
      </c>
      <c r="G196" s="21" t="s">
        <v>3269</v>
      </c>
      <c r="H196" s="23" t="str">
        <f t="shared" si="12"/>
        <v>PASS</v>
      </c>
    </row>
    <row r="197" spans="1:20" ht="26" x14ac:dyDescent="0.2">
      <c r="A197" s="18" t="s">
        <v>3407</v>
      </c>
      <c r="B197" s="18" t="s">
        <v>3410</v>
      </c>
      <c r="C197" s="84">
        <v>8</v>
      </c>
      <c r="D197" s="18" t="s">
        <v>22</v>
      </c>
      <c r="E197" s="22" t="s">
        <v>3267</v>
      </c>
      <c r="F197" s="18" t="s">
        <v>3411</v>
      </c>
      <c r="G197" s="21" t="s">
        <v>3269</v>
      </c>
      <c r="H197" s="23" t="str">
        <f t="shared" si="12"/>
        <v>PASS</v>
      </c>
    </row>
    <row r="198" spans="1:20" ht="26" x14ac:dyDescent="0.2">
      <c r="A198" s="18" t="s">
        <v>3407</v>
      </c>
      <c r="B198" s="18" t="s">
        <v>3412</v>
      </c>
      <c r="C198" s="84">
        <v>115727</v>
      </c>
      <c r="D198" s="18" t="s">
        <v>151</v>
      </c>
      <c r="E198" s="22" t="s">
        <v>3267</v>
      </c>
      <c r="F198" s="18" t="s">
        <v>3413</v>
      </c>
      <c r="G198" s="21" t="s">
        <v>3269</v>
      </c>
      <c r="H198" s="23" t="str">
        <f t="shared" si="12"/>
        <v>PASS</v>
      </c>
    </row>
  </sheetData>
  <mergeCells count="11">
    <mergeCell ref="A159:H159"/>
    <mergeCell ref="A36:G36"/>
    <mergeCell ref="A92:G92"/>
    <mergeCell ref="A102:G102"/>
    <mergeCell ref="A108:G108"/>
    <mergeCell ref="A149:H149"/>
    <mergeCell ref="A1:G1"/>
    <mergeCell ref="A2:G2"/>
    <mergeCell ref="A3:G3"/>
    <mergeCell ref="A5:G5"/>
    <mergeCell ref="A14:G14"/>
  </mergeCells>
  <conditionalFormatting sqref="F5:F146">
    <cfRule type="cellIs" dxfId="8" priority="2" operator="equal">
      <formula>"FAIL"</formula>
    </cfRule>
    <cfRule type="cellIs" dxfId="7" priority="3" operator="equal">
      <formula>"PASS"</formula>
    </cfRule>
  </conditionalFormatting>
  <conditionalFormatting sqref="G152:G157">
    <cfRule type="cellIs" dxfId="6" priority="4" operator="equal">
      <formula>"FAIL"</formula>
    </cfRule>
    <cfRule type="cellIs" dxfId="5" priority="5" operator="equal">
      <formula>"PASS"</formula>
    </cfRule>
  </conditionalFormatting>
  <hyperlinks>
    <hyperlink ref="H1" location="'Contents'!A1" display="↑ Contents" xr:uid="{00000000-0004-0000-1900-000000000000}"/>
  </hyperlink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F7F7F"/>
  </sheetPr>
  <dimension ref="A1:I84"/>
  <sheetViews>
    <sheetView zoomScaleNormal="100" workbookViewId="0">
      <pane ySplit="5" topLeftCell="A6" activePane="bottomLeft" state="frozen"/>
      <selection pane="bottomLeft" sqref="A1:F1"/>
    </sheetView>
  </sheetViews>
  <sheetFormatPr baseColWidth="10" defaultColWidth="8.6640625" defaultRowHeight="15" x14ac:dyDescent="0.2"/>
  <cols>
    <col min="1" max="1" width="38" customWidth="1"/>
    <col min="2" max="2" width="12" customWidth="1"/>
    <col min="3" max="3" width="10" customWidth="1"/>
    <col min="4" max="5" width="46" customWidth="1"/>
    <col min="6" max="6" width="22" customWidth="1"/>
    <col min="7" max="7" width="13" customWidth="1"/>
    <col min="8" max="8" width="30" customWidth="1"/>
  </cols>
  <sheetData>
    <row r="1" spans="1:9" ht="25.5" customHeight="1" x14ac:dyDescent="0.2">
      <c r="A1" s="12" t="s">
        <v>3414</v>
      </c>
      <c r="B1" s="12"/>
      <c r="C1" s="12"/>
      <c r="D1" s="12"/>
      <c r="E1" s="12"/>
      <c r="F1" s="12"/>
      <c r="G1" s="30" t="s">
        <v>140</v>
      </c>
    </row>
    <row r="2" spans="1:9" ht="30" customHeight="1" x14ac:dyDescent="0.2">
      <c r="A2" s="11" t="str">
        <f>"⬤ TAB QUALITY "&amp;IF(ISNUMBER('Quality &amp; Audit'!$B$40),IF('Quality &amp; Audit'!$B$40=INT('Quality &amp; Audit'!$B$40),TEXT('Quality &amp; Audit'!$B$40,"0"),TEXT('Quality &amp; Audit'!$B$40,"0.0")),"—")&amp;"/10 · "&amp;IF(ISNUMBER('Quality &amp; Audit'!$B$40),IF('Quality &amp; Audit'!$B$40&gt;=8,"PASS","FAIL"),"UNSCORED")&amp;" (target ≥8, live from the Quality &amp; Audit score cell)"&amp;" · resolved-endpoint fraction (every ← / → tag must exist) + per-row status — connection rows carry a computed OK status (0 unresolved endpoints, no missing-tie evidence) 4…"&amp;" · full audit: Quality &amp; Audit tab"</f>
        <v>⬤ TAB QUALITY 10/10 · PASS (target ≥8, live from the Quality &amp; Audit score cell) · resolved-endpoint fraction (every ← / → tag must exist) + per-row status — connection rows carry a computed OK status (0 unresolved endpoints, no missing-tie evidence) 4… · full audit: Quality &amp; Audit tab</v>
      </c>
      <c r="B2" s="11"/>
      <c r="C2" s="11"/>
      <c r="D2" s="11"/>
      <c r="E2" s="11"/>
      <c r="F2" s="11"/>
    </row>
    <row r="3" spans="1:9" ht="54" customHeight="1" x14ac:dyDescent="0.2">
      <c r="A3" s="10" t="s">
        <v>3415</v>
      </c>
      <c r="B3" s="10"/>
      <c r="C3" s="10"/>
      <c r="D3" s="10"/>
      <c r="E3" s="10"/>
      <c r="F3" s="10"/>
    </row>
    <row r="4" spans="1:9" x14ac:dyDescent="0.2">
      <c r="A4" s="6" t="s">
        <v>3416</v>
      </c>
      <c r="B4" s="6"/>
      <c r="C4" s="6"/>
      <c r="D4" s="6"/>
      <c r="E4" s="6"/>
      <c r="F4" s="6"/>
    </row>
    <row r="5" spans="1:9" ht="16" x14ac:dyDescent="0.2">
      <c r="A5" s="16" t="s">
        <v>3417</v>
      </c>
      <c r="B5" s="16" t="s">
        <v>304</v>
      </c>
      <c r="C5" s="16" t="s">
        <v>2520</v>
      </c>
      <c r="D5" s="16" t="s">
        <v>3418</v>
      </c>
      <c r="E5" s="16" t="s">
        <v>3419</v>
      </c>
      <c r="F5" s="16" t="s">
        <v>3420</v>
      </c>
      <c r="G5" s="87" t="s">
        <v>3421</v>
      </c>
      <c r="H5" s="87" t="s">
        <v>3422</v>
      </c>
      <c r="I5" s="17" t="s">
        <v>20</v>
      </c>
    </row>
    <row r="6" spans="1:9" ht="16" x14ac:dyDescent="0.2">
      <c r="A6" s="18" t="str">
        <f>'Part names'!$B$6</f>
        <v>3 Phase Power Input</v>
      </c>
      <c r="B6" s="18" t="str">
        <f>'Part names'!$A$6</f>
        <v>D-101</v>
      </c>
      <c r="C6" s="116" t="str">
        <f t="shared" ref="C6:C37" si="0">IF(AND($G6=0,LEN(TRIM($H6&amp;""))=0),"✓ OK","✗ ISSUE — "&amp;TRIM(IF($G6&gt;0,$G6&amp;" unresolved endpoint(s)","")&amp;IF(AND($G6&gt;0,LEN(TRIM($H6&amp;""))&gt;0),"; ","")&amp;TRIM($H6&amp;"")))</f>
        <v>✓ OK</v>
      </c>
      <c r="D6" s="39" t="str">
        <f>A36</f>
        <v>Motor Control Center</v>
      </c>
      <c r="E6" s="39" t="s">
        <v>374</v>
      </c>
      <c r="F6" s="18" t="s">
        <v>3423</v>
      </c>
      <c r="G6" s="87">
        <v>0</v>
      </c>
      <c r="H6" s="78"/>
      <c r="I6" s="23" t="str">
        <f t="shared" ref="I6:I37" si="1">IF(AND(LEN(TRIM(A6&amp;""))&gt;0,TRIM(A6&amp;"")&lt;&gt;"—",LEN(TRIM(C6&amp;""))&gt;0,TRIM(C6&amp;"")&lt;&gt;"—"),"PASS","⚠ FAIL — "&amp;"a required cell is empty/placeholder or wrong type")</f>
        <v>PASS</v>
      </c>
    </row>
    <row r="7" spans="1:9" ht="16" x14ac:dyDescent="0.2">
      <c r="A7" s="18" t="str">
        <f>'Part names'!$B$9</f>
        <v>Chlorine Sensor</v>
      </c>
      <c r="B7" s="18" t="str">
        <f>'Part names'!$A$9</f>
        <v>I-109</v>
      </c>
      <c r="C7" s="116" t="str">
        <f t="shared" si="0"/>
        <v>✓ OK</v>
      </c>
      <c r="D7" s="39" t="s">
        <v>374</v>
      </c>
      <c r="E7" s="39" t="str">
        <f>A45</f>
        <v>SCADA / Plant Control System</v>
      </c>
      <c r="F7" s="18" t="s">
        <v>3424</v>
      </c>
      <c r="G7" s="87">
        <v>0</v>
      </c>
      <c r="H7" s="78"/>
      <c r="I7" s="23" t="str">
        <f t="shared" si="1"/>
        <v>PASS</v>
      </c>
    </row>
    <row r="8" spans="1:9" ht="32" x14ac:dyDescent="0.2">
      <c r="A8" s="18" t="str">
        <f>'Part names'!$B$10&amp;" (TK-101)"</f>
        <v>Cip Tank (TK-101)</v>
      </c>
      <c r="B8" s="18" t="s">
        <v>383</v>
      </c>
      <c r="C8" s="116" t="str">
        <f t="shared" si="0"/>
        <v>✓ OK</v>
      </c>
      <c r="D8" s="39" t="str">
        <f>A18&amp;", "&amp;A39&amp;", "&amp;A17</f>
        <v>Drain Transfer Pump, Permeate Outlet, Drain Collection Sump</v>
      </c>
      <c r="E8" s="39" t="str">
        <f>A9&amp;", "&amp;A17</f>
        <v>Cip Tank (TK-102), Drain Collection Sump</v>
      </c>
      <c r="F8" s="18" t="s">
        <v>3425</v>
      </c>
      <c r="G8" s="87">
        <v>0</v>
      </c>
      <c r="H8" s="78"/>
      <c r="I8" s="23" t="str">
        <f t="shared" si="1"/>
        <v>PASS</v>
      </c>
    </row>
    <row r="9" spans="1:9" ht="16" x14ac:dyDescent="0.2">
      <c r="A9" s="18" t="str">
        <f>'Part names'!$B$10&amp;" (TK-102)"</f>
        <v>Cip Tank (TK-102)</v>
      </c>
      <c r="B9" s="18" t="s">
        <v>388</v>
      </c>
      <c r="C9" s="116" t="str">
        <f t="shared" si="0"/>
        <v>✓ OK</v>
      </c>
      <c r="D9" s="39" t="str">
        <f>A8&amp;", "&amp;A17</f>
        <v>Cip Tank (TK-101), Drain Collection Sump</v>
      </c>
      <c r="E9" s="39" t="str">
        <f>A25&amp;", "&amp;A17</f>
        <v>Fresh Water Tank, Drain Collection Sump</v>
      </c>
      <c r="F9" s="18" t="s">
        <v>3425</v>
      </c>
      <c r="G9" s="87">
        <v>0</v>
      </c>
      <c r="H9" s="78"/>
      <c r="I9" s="23" t="str">
        <f t="shared" si="1"/>
        <v>PASS</v>
      </c>
    </row>
    <row r="10" spans="1:9" ht="32" x14ac:dyDescent="0.2">
      <c r="A10" s="18" t="str">
        <f>'Part names'!$B$12</f>
        <v>Cloth Filter</v>
      </c>
      <c r="B10" s="18" t="str">
        <f>'Part names'!$A$12</f>
        <v>V-104</v>
      </c>
      <c r="C10" s="116" t="str">
        <f t="shared" si="0"/>
        <v>✓ OK</v>
      </c>
      <c r="D10" s="39" t="str">
        <f>A51&amp;", "&amp;A36&amp;", "&amp;A17</f>
        <v>Toray HFU-2020AN RO Membrane Elements, Motor Control Center, Drain Collection Sump</v>
      </c>
      <c r="E10" s="39" t="str">
        <f>A26&amp;", "&amp;A17</f>
        <v>Gac Filter, Drain Collection Sump</v>
      </c>
      <c r="F10" s="18" t="s">
        <v>3426</v>
      </c>
      <c r="G10" s="87">
        <v>0</v>
      </c>
      <c r="H10" s="78"/>
      <c r="I10" s="23" t="str">
        <f t="shared" si="1"/>
        <v>PASS</v>
      </c>
    </row>
    <row r="11" spans="1:9" ht="16" x14ac:dyDescent="0.2">
      <c r="A11" s="18" t="str">
        <f>'Part names'!$B$14</f>
        <v>Concentrate Outlet</v>
      </c>
      <c r="B11" s="18" t="str">
        <f>'Part names'!$A$14</f>
        <v>X-105</v>
      </c>
      <c r="C11" s="116" t="str">
        <f t="shared" si="0"/>
        <v>✓ OK</v>
      </c>
      <c r="D11" s="39" t="str">
        <f>A36</f>
        <v>Motor Control Center</v>
      </c>
      <c r="E11" s="39" t="s">
        <v>374</v>
      </c>
      <c r="F11" s="18" t="s">
        <v>3423</v>
      </c>
      <c r="G11" s="87">
        <v>0</v>
      </c>
      <c r="H11" s="78"/>
      <c r="I11" s="23" t="str">
        <f t="shared" si="1"/>
        <v>PASS</v>
      </c>
    </row>
    <row r="12" spans="1:9" ht="16" x14ac:dyDescent="0.2">
      <c r="A12" s="18" t="str">
        <f>'Part names'!$B$15</f>
        <v>Conductivity Sensor</v>
      </c>
      <c r="B12" s="18" t="str">
        <f>'Part names'!$A$15</f>
        <v>I-104</v>
      </c>
      <c r="C12" s="116" t="str">
        <f t="shared" si="0"/>
        <v>✓ OK</v>
      </c>
      <c r="D12" s="39" t="s">
        <v>374</v>
      </c>
      <c r="E12" s="39" t="str">
        <f>A45</f>
        <v>SCADA / Plant Control System</v>
      </c>
      <c r="F12" s="18" t="s">
        <v>3424</v>
      </c>
      <c r="G12" s="87">
        <v>0</v>
      </c>
      <c r="H12" s="78"/>
      <c r="I12" s="23" t="str">
        <f t="shared" si="1"/>
        <v>PASS</v>
      </c>
    </row>
    <row r="13" spans="1:9" ht="16" x14ac:dyDescent="0.2">
      <c r="A13" s="18" t="str">
        <f>'Part names'!$B$16</f>
        <v>Control + Instrument UPS</v>
      </c>
      <c r="B13" s="18" t="str">
        <f>'Part names'!$A$16</f>
        <v>U-201</v>
      </c>
      <c r="C13" s="116" t="str">
        <f t="shared" si="0"/>
        <v>✓ OK</v>
      </c>
      <c r="D13" s="39" t="str">
        <f>A36</f>
        <v>Motor Control Center</v>
      </c>
      <c r="E13" s="39" t="str">
        <f>A14</f>
        <v>Digital Control Panel</v>
      </c>
      <c r="F13" s="18" t="s">
        <v>3427</v>
      </c>
      <c r="G13" s="87">
        <v>0</v>
      </c>
      <c r="H13" s="78"/>
      <c r="I13" s="23" t="str">
        <f t="shared" si="1"/>
        <v>PASS</v>
      </c>
    </row>
    <row r="14" spans="1:9" ht="32" x14ac:dyDescent="0.2">
      <c r="A14" s="18" t="str">
        <f>'Part names'!$B$19</f>
        <v>Digital Control Panel</v>
      </c>
      <c r="B14" s="18" t="str">
        <f>'Part names'!$A$19</f>
        <v>I-103</v>
      </c>
      <c r="C14" s="116" t="str">
        <f t="shared" si="0"/>
        <v>✓ OK</v>
      </c>
      <c r="D14" s="39" t="str">
        <f>A22&amp;", "&amp;A13&amp;", "&amp;A36&amp;", "&amp;A21</f>
        <v>Electrical Control Panel, Control + Instrument UPS, Motor Control Center, Electrical Control Cabinet</v>
      </c>
      <c r="E14" s="39" t="s">
        <v>374</v>
      </c>
      <c r="F14" s="18" t="s">
        <v>3427</v>
      </c>
      <c r="G14" s="87">
        <v>0</v>
      </c>
      <c r="H14" s="78"/>
      <c r="I14" s="23" t="str">
        <f t="shared" si="1"/>
        <v>PASS</v>
      </c>
    </row>
    <row r="15" spans="1:9" ht="16" x14ac:dyDescent="0.2">
      <c r="A15" s="18" t="str">
        <f>'Part names'!$B$20</f>
        <v>Distribution Manifold</v>
      </c>
      <c r="B15" s="18" t="str">
        <f>'Part names'!$A$20</f>
        <v>M-101</v>
      </c>
      <c r="C15" s="116" t="str">
        <f t="shared" si="0"/>
        <v>✓ OK</v>
      </c>
      <c r="D15" s="39" t="str">
        <f>A31</f>
        <v>Irrigation Pump</v>
      </c>
      <c r="E15" s="39" t="str">
        <f>A17</f>
        <v>Drain Collection Sump</v>
      </c>
      <c r="F15" s="18" t="s">
        <v>3425</v>
      </c>
      <c r="G15" s="87">
        <v>0</v>
      </c>
      <c r="H15" s="78"/>
      <c r="I15" s="23" t="str">
        <f t="shared" si="1"/>
        <v>PASS</v>
      </c>
    </row>
    <row r="16" spans="1:9" ht="16" x14ac:dyDescent="0.2">
      <c r="A16" s="18" t="str">
        <f>'Part names'!$B$21</f>
        <v>Distribution Transformer</v>
      </c>
      <c r="B16" s="18" t="str">
        <f>'Part names'!$A$21</f>
        <v>TX-102</v>
      </c>
      <c r="C16" s="116" t="str">
        <f t="shared" si="0"/>
        <v>✓ OK</v>
      </c>
      <c r="D16" s="39" t="str">
        <f>A49</f>
        <v>Standby Diesel Generator</v>
      </c>
      <c r="E16" s="39" t="str">
        <f>A34</f>
        <v>Main Switchboard</v>
      </c>
      <c r="F16" s="18" t="s">
        <v>3423</v>
      </c>
      <c r="G16" s="87">
        <v>0</v>
      </c>
      <c r="H16" s="78"/>
      <c r="I16" s="23" t="str">
        <f t="shared" si="1"/>
        <v>PASS</v>
      </c>
    </row>
    <row r="17" spans="1:9" ht="80" x14ac:dyDescent="0.2">
      <c r="A17" s="18" t="str">
        <f>'Part names'!$B$22</f>
        <v>Drain Collection Sump</v>
      </c>
      <c r="B17" s="18" t="str">
        <f>'Part names'!$A$22</f>
        <v>TK-114</v>
      </c>
      <c r="C17" s="116" t="str">
        <f t="shared" si="0"/>
        <v>✓ OK</v>
      </c>
      <c r="D17" s="39" t="str">
        <f>A54&amp;", "&amp;A25&amp;", "&amp;A23&amp;", "&amp;A37&amp;", "&amp;A29&amp;", "&amp;A10&amp;", "&amp;A27&amp;", "&amp;A31&amp;", "&amp;A15&amp;", "&amp;A43&amp;", "&amp;A44&amp;", "&amp;A26&amp;", "&amp;A52&amp;", "&amp;A9&amp;", "&amp;A8</f>
        <v>Uv Disinfection, Fresh Water Tank, Fertigation Dosing Pump, Nutrient Tank, Hand Watering Pump, Cloth Filter, Gac Softener, Irrigation Pump, Distribution Manifold, Reverse Osmosis Skid, Ro High Pressure Pump, Gac Filter, Uf Module Bank, Cip Tank (TK-102), Cip Tank (TK-101)</v>
      </c>
      <c r="E17" s="39" t="str">
        <f>A19&amp;", "&amp;A20&amp;", "&amp;A54&amp;", "&amp;A29&amp;", "&amp;A10&amp;", "&amp;A27&amp;", "&amp;A31&amp;", "&amp;A43&amp;", "&amp;A44&amp;", "&amp;A26&amp;", "&amp;A52&amp;", "&amp;A9&amp;", "&amp;A8</f>
        <v>Drain Water Tank, Effluent / disposal — battery limit, Uv Disinfection, Hand Watering Pump, Cloth Filter, Gac Softener, Irrigation Pump, Reverse Osmosis Skid, Ro High Pressure Pump, Gac Filter, Uf Module Bank, Cip Tank (TK-102), Cip Tank (TK-101)</v>
      </c>
      <c r="F17" s="18" t="s">
        <v>3425</v>
      </c>
      <c r="G17" s="87">
        <v>0</v>
      </c>
      <c r="H17" s="78"/>
      <c r="I17" s="23" t="str">
        <f t="shared" si="1"/>
        <v>PASS</v>
      </c>
    </row>
    <row r="18" spans="1:9" ht="16" x14ac:dyDescent="0.2">
      <c r="A18" s="18" t="str">
        <f>'Part names'!$B$23</f>
        <v>Drain Transfer Pump</v>
      </c>
      <c r="B18" s="18" t="str">
        <f>'Part names'!$A$23</f>
        <v>P-104</v>
      </c>
      <c r="C18" s="116" t="str">
        <f t="shared" si="0"/>
        <v>✓ OK</v>
      </c>
      <c r="D18" s="39" t="str">
        <f>A19&amp;", "&amp;A36&amp;", "&amp;A25</f>
        <v>Drain Water Tank, Motor Control Center, Fresh Water Tank</v>
      </c>
      <c r="E18" s="39" t="str">
        <f>A8&amp;", "&amp;A20</f>
        <v>Cip Tank (TK-101), Effluent / disposal — battery limit</v>
      </c>
      <c r="F18" s="18" t="s">
        <v>3426</v>
      </c>
      <c r="G18" s="87">
        <v>0</v>
      </c>
      <c r="H18" s="78"/>
      <c r="I18" s="23" t="str">
        <f t="shared" si="1"/>
        <v>PASS</v>
      </c>
    </row>
    <row r="19" spans="1:9" ht="16" x14ac:dyDescent="0.2">
      <c r="A19" s="18" t="str">
        <f>'Part names'!$B$24</f>
        <v>Drain Water Tank</v>
      </c>
      <c r="B19" s="18" t="str">
        <f>'Part names'!$A$24</f>
        <v>TK-106</v>
      </c>
      <c r="C19" s="116" t="str">
        <f t="shared" si="0"/>
        <v>✓ OK</v>
      </c>
      <c r="D19" s="39" t="str">
        <f>A17&amp;", "&amp;A25</f>
        <v>Drain Collection Sump, Fresh Water Tank</v>
      </c>
      <c r="E19" s="39" t="str">
        <f>A18&amp;", "&amp;A20</f>
        <v>Drain Transfer Pump, Effluent / disposal — battery limit</v>
      </c>
      <c r="F19" s="18" t="s">
        <v>3425</v>
      </c>
      <c r="G19" s="87">
        <v>0</v>
      </c>
      <c r="H19" s="78"/>
      <c r="I19" s="23" t="str">
        <f t="shared" si="1"/>
        <v>PASS</v>
      </c>
    </row>
    <row r="20" spans="1:9" ht="32" x14ac:dyDescent="0.2">
      <c r="A20" s="18" t="s">
        <v>3428</v>
      </c>
      <c r="B20" s="18"/>
      <c r="C20" s="116" t="str">
        <f t="shared" si="0"/>
        <v>✓ OK</v>
      </c>
      <c r="D20" s="39" t="str">
        <f>A17&amp;", "&amp;A18&amp;", "&amp;A19</f>
        <v>Drain Collection Sump, Drain Transfer Pump, Drain Water Tank</v>
      </c>
      <c r="E20" s="39" t="s">
        <v>374</v>
      </c>
      <c r="F20" s="18" t="s">
        <v>3425</v>
      </c>
      <c r="G20" s="87">
        <v>0</v>
      </c>
      <c r="H20" s="78"/>
      <c r="I20" s="23" t="str">
        <f t="shared" si="1"/>
        <v>PASS</v>
      </c>
    </row>
    <row r="21" spans="1:9" ht="16" x14ac:dyDescent="0.2">
      <c r="A21" s="18" t="str">
        <f>'Part names'!$B$25</f>
        <v>Electrical Control Cabinet</v>
      </c>
      <c r="B21" s="18" t="str">
        <f>'Part names'!$A$25</f>
        <v>I-102</v>
      </c>
      <c r="C21" s="116" t="str">
        <f t="shared" si="0"/>
        <v>✓ OK</v>
      </c>
      <c r="D21" s="39" t="str">
        <f>A36</f>
        <v>Motor Control Center</v>
      </c>
      <c r="E21" s="39" t="str">
        <f>A14</f>
        <v>Digital Control Panel</v>
      </c>
      <c r="F21" s="18" t="s">
        <v>3427</v>
      </c>
      <c r="G21" s="87">
        <v>0</v>
      </c>
      <c r="H21" s="78"/>
      <c r="I21" s="23" t="str">
        <f t="shared" si="1"/>
        <v>PASS</v>
      </c>
    </row>
    <row r="22" spans="1:9" ht="16" x14ac:dyDescent="0.2">
      <c r="A22" s="18" t="str">
        <f>'Part names'!$B$26</f>
        <v>Electrical Control Panel</v>
      </c>
      <c r="B22" s="18" t="str">
        <f>'Part names'!$A$26</f>
        <v>X-104</v>
      </c>
      <c r="C22" s="116" t="str">
        <f t="shared" si="0"/>
        <v>✓ OK</v>
      </c>
      <c r="D22" s="39" t="str">
        <f>A36</f>
        <v>Motor Control Center</v>
      </c>
      <c r="E22" s="39" t="str">
        <f>A14</f>
        <v>Digital Control Panel</v>
      </c>
      <c r="F22" s="18" t="s">
        <v>3427</v>
      </c>
      <c r="G22" s="87">
        <v>0</v>
      </c>
      <c r="H22" s="78"/>
      <c r="I22" s="23" t="str">
        <f t="shared" si="1"/>
        <v>PASS</v>
      </c>
    </row>
    <row r="23" spans="1:9" ht="16" x14ac:dyDescent="0.2">
      <c r="A23" s="18" t="str">
        <f>'Part names'!$B$30</f>
        <v>Fertigation Dosing Pump</v>
      </c>
      <c r="B23" s="18" t="str">
        <f>'Part names'!$A$30</f>
        <v>P-106</v>
      </c>
      <c r="C23" s="116" t="str">
        <f t="shared" si="0"/>
        <v>✓ OK</v>
      </c>
      <c r="D23" s="39" t="str">
        <f>A36</f>
        <v>Motor Control Center</v>
      </c>
      <c r="E23" s="39" t="str">
        <f>A29&amp;", "&amp;A17</f>
        <v>Hand Watering Pump, Drain Collection Sump</v>
      </c>
      <c r="F23" s="18" t="s">
        <v>3426</v>
      </c>
      <c r="G23" s="87">
        <v>0</v>
      </c>
      <c r="H23" s="78"/>
      <c r="I23" s="23" t="str">
        <f t="shared" si="1"/>
        <v>PASS</v>
      </c>
    </row>
    <row r="24" spans="1:9" ht="16" x14ac:dyDescent="0.2">
      <c r="A24" s="18" t="str">
        <f>'Part names'!$B$33&amp;" (I-105)"</f>
        <v>Flow Meter (I-105)</v>
      </c>
      <c r="B24" s="18" t="s">
        <v>3429</v>
      </c>
      <c r="C24" s="116" t="str">
        <f t="shared" si="0"/>
        <v>✓ OK</v>
      </c>
      <c r="D24" s="39" t="s">
        <v>374</v>
      </c>
      <c r="E24" s="39" t="str">
        <f>A45</f>
        <v>SCADA / Plant Control System</v>
      </c>
      <c r="F24" s="18" t="s">
        <v>3424</v>
      </c>
      <c r="G24" s="87">
        <v>0</v>
      </c>
      <c r="H24" s="78"/>
      <c r="I24" s="23" t="str">
        <f t="shared" si="1"/>
        <v>PASS</v>
      </c>
    </row>
    <row r="25" spans="1:9" ht="32" x14ac:dyDescent="0.2">
      <c r="A25" s="18" t="str">
        <f>'Part names'!$B$34</f>
        <v>Fresh Water Tank</v>
      </c>
      <c r="B25" s="18" t="str">
        <f>'Part names'!$A$34</f>
        <v>TK-108</v>
      </c>
      <c r="C25" s="116" t="str">
        <f t="shared" si="0"/>
        <v>✓ OK</v>
      </c>
      <c r="D25" s="39" t="str">
        <f>A9&amp;", "&amp;A53</f>
        <v>Cip Tank (TK-102), Ultrafiltration Module</v>
      </c>
      <c r="E25" s="39" t="str">
        <f>A37&amp;", "&amp;A39&amp;", "&amp;A47&amp;", "&amp;A17&amp;", "&amp;A18&amp;", "&amp;A19</f>
        <v>Nutrient Tank, Permeate Outlet, Softener Vessel, Drain Collection Sump, Drain Transfer Pump, Drain Water Tank</v>
      </c>
      <c r="F25" s="18" t="s">
        <v>3425</v>
      </c>
      <c r="G25" s="87">
        <v>0</v>
      </c>
      <c r="H25" s="78"/>
      <c r="I25" s="23" t="str">
        <f t="shared" si="1"/>
        <v>PASS</v>
      </c>
    </row>
    <row r="26" spans="1:9" ht="16" x14ac:dyDescent="0.2">
      <c r="A26" s="18" t="str">
        <f>'Part names'!$B$35</f>
        <v>Gac Filter</v>
      </c>
      <c r="B26" s="18" t="str">
        <f>'Part names'!$A$35</f>
        <v>V-101</v>
      </c>
      <c r="C26" s="116" t="str">
        <f t="shared" si="0"/>
        <v>✓ OK</v>
      </c>
      <c r="D26" s="39" t="str">
        <f>A10&amp;", "&amp;A36&amp;", "&amp;A17</f>
        <v>Cloth Filter, Motor Control Center, Drain Collection Sump</v>
      </c>
      <c r="E26" s="39" t="str">
        <f>A54&amp;", "&amp;A17</f>
        <v>Uv Disinfection, Drain Collection Sump</v>
      </c>
      <c r="F26" s="18" t="s">
        <v>3426</v>
      </c>
      <c r="G26" s="87">
        <v>0</v>
      </c>
      <c r="H26" s="78"/>
      <c r="I26" s="23" t="str">
        <f t="shared" si="1"/>
        <v>PASS</v>
      </c>
    </row>
    <row r="27" spans="1:9" ht="16" x14ac:dyDescent="0.2">
      <c r="A27" s="18" t="str">
        <f>'Part names'!$B$36</f>
        <v>Gac Softener</v>
      </c>
      <c r="B27" s="18" t="str">
        <f>'Part names'!$A$36</f>
        <v>V-103</v>
      </c>
      <c r="C27" s="116" t="str">
        <f t="shared" si="0"/>
        <v>✓ OK</v>
      </c>
      <c r="D27" s="39" t="str">
        <f>A17</f>
        <v>Drain Collection Sump</v>
      </c>
      <c r="E27" s="39" t="str">
        <f>A47&amp;", "&amp;A17</f>
        <v>Softener Vessel, Drain Collection Sump</v>
      </c>
      <c r="F27" s="18" t="s">
        <v>3425</v>
      </c>
      <c r="G27" s="87">
        <v>0</v>
      </c>
      <c r="H27" s="78"/>
      <c r="I27" s="23" t="str">
        <f t="shared" si="1"/>
        <v>PASS</v>
      </c>
    </row>
    <row r="28" spans="1:9" ht="16" x14ac:dyDescent="0.2">
      <c r="A28" s="18" t="str">
        <f>'Part names'!$B$37</f>
        <v>Grp Membrane Housings</v>
      </c>
      <c r="B28" s="18" t="str">
        <f>'Part names'!$A$37</f>
        <v>F-3</v>
      </c>
      <c r="C28" s="116" t="str">
        <f t="shared" si="0"/>
        <v>✓ OK</v>
      </c>
      <c r="D28" s="39" t="str">
        <f>A47</f>
        <v>Softener Vessel</v>
      </c>
      <c r="E28" s="39" t="str">
        <f>A52</f>
        <v>Uf Module Bank</v>
      </c>
      <c r="F28" s="18" t="s">
        <v>3425</v>
      </c>
      <c r="G28" s="87">
        <v>0</v>
      </c>
      <c r="H28" s="78"/>
      <c r="I28" s="23" t="str">
        <f t="shared" si="1"/>
        <v>PASS</v>
      </c>
    </row>
    <row r="29" spans="1:9" ht="32" x14ac:dyDescent="0.2">
      <c r="A29" s="18" t="str">
        <f>'Part names'!$B$38</f>
        <v>Hand Watering Pump</v>
      </c>
      <c r="B29" s="18" t="str">
        <f>'Part names'!$A$38</f>
        <v>P-102</v>
      </c>
      <c r="C29" s="116" t="str">
        <f t="shared" si="0"/>
        <v>✓ OK</v>
      </c>
      <c r="D29" s="39" t="str">
        <f>A23&amp;", "&amp;A36&amp;", "&amp;A17</f>
        <v>Fertigation Dosing Pump, Motor Control Center, Drain Collection Sump</v>
      </c>
      <c r="E29" s="39" t="str">
        <f>A31&amp;", "&amp;A17</f>
        <v>Irrigation Pump, Drain Collection Sump</v>
      </c>
      <c r="F29" s="18" t="s">
        <v>3426</v>
      </c>
      <c r="G29" s="87">
        <v>0</v>
      </c>
      <c r="H29" s="78"/>
      <c r="I29" s="23" t="str">
        <f t="shared" si="1"/>
        <v>PASS</v>
      </c>
    </row>
    <row r="30" spans="1:9" ht="16" x14ac:dyDescent="0.2">
      <c r="A30" s="18" t="str">
        <f>'Part names'!$B$44</f>
        <v>Inlet Flow Control Valve</v>
      </c>
      <c r="B30" s="18" t="str">
        <f>'Part names'!$A$44</f>
        <v>FCV-201–202</v>
      </c>
      <c r="C30" s="116" t="str">
        <f t="shared" si="0"/>
        <v>✓ OK</v>
      </c>
      <c r="D30" s="39" t="str">
        <f>A47</f>
        <v>Softener Vessel</v>
      </c>
      <c r="E30" s="39" t="s">
        <v>374</v>
      </c>
      <c r="F30" s="18" t="s">
        <v>3425</v>
      </c>
      <c r="G30" s="87">
        <v>0</v>
      </c>
      <c r="H30" s="78"/>
      <c r="I30" s="23" t="str">
        <f t="shared" si="1"/>
        <v>PASS</v>
      </c>
    </row>
    <row r="31" spans="1:9" ht="32" x14ac:dyDescent="0.2">
      <c r="A31" s="18" t="str">
        <f>'Part names'!$B$45</f>
        <v>Irrigation Pump</v>
      </c>
      <c r="B31" s="18" t="str">
        <f>'Part names'!$A$45</f>
        <v>P-103</v>
      </c>
      <c r="C31" s="116" t="str">
        <f t="shared" si="0"/>
        <v>✓ OK</v>
      </c>
      <c r="D31" s="39" t="str">
        <f>A29&amp;", "&amp;A36&amp;", "&amp;A17</f>
        <v>Hand Watering Pump, Motor Control Center, Drain Collection Sump</v>
      </c>
      <c r="E31" s="39" t="str">
        <f>A15&amp;", "&amp;A17</f>
        <v>Distribution Manifold, Drain Collection Sump</v>
      </c>
      <c r="F31" s="18" t="s">
        <v>3426</v>
      </c>
      <c r="G31" s="87">
        <v>0</v>
      </c>
      <c r="H31" s="78"/>
      <c r="I31" s="23" t="str">
        <f t="shared" si="1"/>
        <v>PASS</v>
      </c>
    </row>
    <row r="32" spans="1:9" ht="16" x14ac:dyDescent="0.2">
      <c r="A32" s="18" t="str">
        <f>'Part names'!$B$46</f>
        <v>Leak Detection Sensor</v>
      </c>
      <c r="B32" s="18" t="str">
        <f>'Part names'!$A$46</f>
        <v>I-113</v>
      </c>
      <c r="C32" s="116" t="str">
        <f t="shared" si="0"/>
        <v>✓ OK</v>
      </c>
      <c r="D32" s="39" t="s">
        <v>374</v>
      </c>
      <c r="E32" s="39" t="str">
        <f>A45</f>
        <v>SCADA / Plant Control System</v>
      </c>
      <c r="F32" s="18" t="s">
        <v>3424</v>
      </c>
      <c r="G32" s="87">
        <v>0</v>
      </c>
      <c r="H32" s="78"/>
      <c r="I32" s="23" t="str">
        <f t="shared" si="1"/>
        <v>PASS</v>
      </c>
    </row>
    <row r="33" spans="1:9" ht="16" x14ac:dyDescent="0.2">
      <c r="A33" s="18" t="str">
        <f>'Part names'!$B$47</f>
        <v>Level Transmitter</v>
      </c>
      <c r="B33" s="18" t="str">
        <f>'Part names'!$A$47</f>
        <v>LT-201–213</v>
      </c>
      <c r="C33" s="116" t="str">
        <f t="shared" si="0"/>
        <v>✓ OK</v>
      </c>
      <c r="D33" s="39" t="s">
        <v>374</v>
      </c>
      <c r="E33" s="39" t="str">
        <f>A45</f>
        <v>SCADA / Plant Control System</v>
      </c>
      <c r="F33" s="18" t="s">
        <v>3424</v>
      </c>
      <c r="G33" s="87">
        <v>0</v>
      </c>
      <c r="H33" s="78"/>
      <c r="I33" s="23" t="str">
        <f t="shared" si="1"/>
        <v>PASS</v>
      </c>
    </row>
    <row r="34" spans="1:9" ht="16" x14ac:dyDescent="0.2">
      <c r="A34" s="18" t="str">
        <f>'Part names'!$B$50</f>
        <v>Main Switchboard</v>
      </c>
      <c r="B34" s="18" t="str">
        <f>'Part names'!$A$50</f>
        <v>EP-101</v>
      </c>
      <c r="C34" s="116" t="str">
        <f t="shared" si="0"/>
        <v>✓ OK</v>
      </c>
      <c r="D34" s="39" t="str">
        <f>A16</f>
        <v>Distribution Transformer</v>
      </c>
      <c r="E34" s="39" t="str">
        <f>A36</f>
        <v>Motor Control Center</v>
      </c>
      <c r="F34" s="18" t="s">
        <v>3423</v>
      </c>
      <c r="G34" s="87">
        <v>0</v>
      </c>
      <c r="H34" s="78"/>
      <c r="I34" s="23" t="str">
        <f t="shared" si="1"/>
        <v>PASS</v>
      </c>
    </row>
    <row r="35" spans="1:9" ht="16" x14ac:dyDescent="0.2">
      <c r="A35" s="18" t="str">
        <f>'Part names'!$B$51</f>
        <v>Mains Incomer</v>
      </c>
      <c r="B35" s="18" t="str">
        <f>'Part names'!$A$51</f>
        <v>EP-102</v>
      </c>
      <c r="C35" s="116" t="str">
        <f t="shared" si="0"/>
        <v>✓ OK</v>
      </c>
      <c r="D35" s="39" t="s">
        <v>374</v>
      </c>
      <c r="E35" s="39" t="str">
        <f>A49</f>
        <v>Standby Diesel Generator</v>
      </c>
      <c r="F35" s="18" t="s">
        <v>3423</v>
      </c>
      <c r="G35" s="87">
        <v>0</v>
      </c>
      <c r="H35" s="78"/>
      <c r="I35" s="23" t="str">
        <f t="shared" si="1"/>
        <v>PASS</v>
      </c>
    </row>
    <row r="36" spans="1:9" ht="112" x14ac:dyDescent="0.2">
      <c r="A36" s="18" t="str">
        <f>'Part names'!$B$53</f>
        <v>Motor Control Center</v>
      </c>
      <c r="B36" s="18" t="str">
        <f>'Part names'!$A$53</f>
        <v>EP-104</v>
      </c>
      <c r="C36" s="116" t="str">
        <f t="shared" si="0"/>
        <v>✓ OK</v>
      </c>
      <c r="D36" s="39" t="str">
        <f>A34</f>
        <v>Main Switchboard</v>
      </c>
      <c r="E36" s="39" t="str">
        <f>A22&amp;", "&amp;A6&amp;", "&amp;A13&amp;", "&amp;A45&amp;", "&amp;A14&amp;", "&amp;A54&amp;", "&amp;A23&amp;", "&amp;A29&amp;", "&amp;A18&amp;", "&amp;A10&amp;", "&amp;A31&amp;", "&amp;A44&amp;", "&amp;A26&amp;", "&amp;A39&amp;", "&amp;A11&amp;", "&amp;A21</f>
        <v>Electrical Control Panel, 3 Phase Power Input, Control + Instrument UPS, SCADA / Plant Control System, Digital Control Panel, Uv Disinfection, Fertigation Dosing Pump, Hand Watering Pump, Drain Transfer Pump, Cloth Filter, Irrigation Pump, Ro High Pressure Pump, Gac Filter, Permeate Outlet, Concentrate Outlet, Electrical Control Cabinet</v>
      </c>
      <c r="F36" s="18" t="s">
        <v>3427</v>
      </c>
      <c r="G36" s="87">
        <v>0</v>
      </c>
      <c r="H36" s="78"/>
      <c r="I36" s="23" t="str">
        <f t="shared" si="1"/>
        <v>PASS</v>
      </c>
    </row>
    <row r="37" spans="1:9" ht="16" x14ac:dyDescent="0.2">
      <c r="A37" s="18" t="str">
        <f>'Part names'!$B$55</f>
        <v>Nutrient Tank</v>
      </c>
      <c r="B37" s="18" t="str">
        <f>'Part names'!$A$55</f>
        <v>TK-103</v>
      </c>
      <c r="C37" s="116" t="str">
        <f t="shared" si="0"/>
        <v>✓ OK</v>
      </c>
      <c r="D37" s="39" t="str">
        <f>A25</f>
        <v>Fresh Water Tank</v>
      </c>
      <c r="E37" s="39" t="str">
        <f>A17</f>
        <v>Drain Collection Sump</v>
      </c>
      <c r="F37" s="18" t="s">
        <v>3425</v>
      </c>
      <c r="G37" s="87">
        <v>0</v>
      </c>
      <c r="H37" s="78"/>
      <c r="I37" s="23" t="str">
        <f t="shared" si="1"/>
        <v>PASS</v>
      </c>
    </row>
    <row r="38" spans="1:9" ht="16" x14ac:dyDescent="0.2">
      <c r="A38" s="18" t="str">
        <f>'Part names'!$B$56</f>
        <v>Orp Sensor</v>
      </c>
      <c r="B38" s="18" t="str">
        <f>'Part names'!$A$56</f>
        <v>I-107</v>
      </c>
      <c r="C38" s="116" t="str">
        <f t="shared" ref="C38:C54" si="2">IF(AND($G38=0,LEN(TRIM($H38&amp;""))=0),"✓ OK","✗ ISSUE — "&amp;TRIM(IF($G38&gt;0,$G38&amp;" unresolved endpoint(s)","")&amp;IF(AND($G38&gt;0,LEN(TRIM($H38&amp;""))&gt;0),"; ","")&amp;TRIM($H38&amp;"")))</f>
        <v>✓ OK</v>
      </c>
      <c r="D38" s="39" t="s">
        <v>374</v>
      </c>
      <c r="E38" s="39" t="str">
        <f>A45</f>
        <v>SCADA / Plant Control System</v>
      </c>
      <c r="F38" s="18" t="s">
        <v>3424</v>
      </c>
      <c r="G38" s="87">
        <v>0</v>
      </c>
      <c r="H38" s="78"/>
      <c r="I38" s="23" t="str">
        <f t="shared" ref="I38:I54" si="3">IF(AND(LEN(TRIM(A38&amp;""))&gt;0,TRIM(A38&amp;"")&lt;&gt;"—",LEN(TRIM(C38&amp;""))&gt;0,TRIM(C38&amp;"")&lt;&gt;"—"),"PASS","⚠ FAIL — "&amp;"a required cell is empty/placeholder or wrong type")</f>
        <v>PASS</v>
      </c>
    </row>
    <row r="39" spans="1:9" ht="16" x14ac:dyDescent="0.2">
      <c r="A39" s="18" t="str">
        <f>'Part names'!$B$60</f>
        <v>Permeate Outlet</v>
      </c>
      <c r="B39" s="18" t="str">
        <f>'Part names'!$A$60</f>
        <v>X-106</v>
      </c>
      <c r="C39" s="116" t="str">
        <f t="shared" si="2"/>
        <v>✓ OK</v>
      </c>
      <c r="D39" s="39" t="str">
        <f>A25&amp;", "&amp;A36</f>
        <v>Fresh Water Tank, Motor Control Center</v>
      </c>
      <c r="E39" s="39" t="str">
        <f>A8</f>
        <v>Cip Tank (TK-101)</v>
      </c>
      <c r="F39" s="18" t="s">
        <v>3426</v>
      </c>
      <c r="G39" s="87">
        <v>0</v>
      </c>
      <c r="H39" s="78"/>
      <c r="I39" s="23" t="str">
        <f t="shared" si="3"/>
        <v>PASS</v>
      </c>
    </row>
    <row r="40" spans="1:9" ht="16" x14ac:dyDescent="0.2">
      <c r="A40" s="18" t="str">
        <f>'Part names'!$B$61</f>
        <v>pH Analyser</v>
      </c>
      <c r="B40" s="18" t="str">
        <f>'Part names'!$A$61</f>
        <v>AT-201</v>
      </c>
      <c r="C40" s="116" t="str">
        <f t="shared" si="2"/>
        <v>✓ OK</v>
      </c>
      <c r="D40" s="39" t="s">
        <v>374</v>
      </c>
      <c r="E40" s="39" t="str">
        <f>A45</f>
        <v>SCADA / Plant Control System</v>
      </c>
      <c r="F40" s="18" t="s">
        <v>3424</v>
      </c>
      <c r="G40" s="87">
        <v>0</v>
      </c>
      <c r="H40" s="78"/>
      <c r="I40" s="23" t="str">
        <f t="shared" si="3"/>
        <v>PASS</v>
      </c>
    </row>
    <row r="41" spans="1:9" ht="16" x14ac:dyDescent="0.2">
      <c r="A41" s="18" t="str">
        <f>'Part names'!$B$62</f>
        <v>Ph Sensor</v>
      </c>
      <c r="B41" s="18" t="str">
        <f>'Part names'!$A$62</f>
        <v>I-106</v>
      </c>
      <c r="C41" s="116" t="str">
        <f t="shared" si="2"/>
        <v>✓ OK</v>
      </c>
      <c r="D41" s="39" t="s">
        <v>374</v>
      </c>
      <c r="E41" s="39" t="str">
        <f>A45</f>
        <v>SCADA / Plant Control System</v>
      </c>
      <c r="F41" s="18" t="s">
        <v>3424</v>
      </c>
      <c r="G41" s="87">
        <v>0</v>
      </c>
      <c r="H41" s="78"/>
      <c r="I41" s="23" t="str">
        <f t="shared" si="3"/>
        <v>PASS</v>
      </c>
    </row>
    <row r="42" spans="1:9" ht="16" x14ac:dyDescent="0.2">
      <c r="A42" s="18" t="str">
        <f>'Part names'!$B$68</f>
        <v>Pressure Transmitter</v>
      </c>
      <c r="B42" s="18" t="str">
        <f>'Part names'!$A$68</f>
        <v>PT-201–217</v>
      </c>
      <c r="C42" s="116" t="str">
        <f t="shared" si="2"/>
        <v>✓ OK</v>
      </c>
      <c r="D42" s="39" t="s">
        <v>374</v>
      </c>
      <c r="E42" s="39" t="str">
        <f>A45</f>
        <v>SCADA / Plant Control System</v>
      </c>
      <c r="F42" s="18" t="s">
        <v>3424</v>
      </c>
      <c r="G42" s="87">
        <v>0</v>
      </c>
      <c r="H42" s="78"/>
      <c r="I42" s="23" t="str">
        <f t="shared" si="3"/>
        <v>PASS</v>
      </c>
    </row>
    <row r="43" spans="1:9" ht="32" x14ac:dyDescent="0.2">
      <c r="A43" s="18" t="str">
        <f>'Part names'!$B$70</f>
        <v>Reverse Osmosis Skid</v>
      </c>
      <c r="B43" s="18" t="str">
        <f>'Part names'!$A$70</f>
        <v>Z-101</v>
      </c>
      <c r="C43" s="116" t="str">
        <f t="shared" si="2"/>
        <v>✓ OK</v>
      </c>
      <c r="D43" s="39" t="str">
        <f>A44&amp;", "&amp;A17</f>
        <v>Ro High Pressure Pump, Drain Collection Sump</v>
      </c>
      <c r="E43" s="39" t="str">
        <f>A51&amp;", "&amp;A17</f>
        <v>Toray HFU-2020AN RO Membrane Elements, Drain Collection Sump</v>
      </c>
      <c r="F43" s="18" t="s">
        <v>3425</v>
      </c>
      <c r="G43" s="87">
        <v>0</v>
      </c>
      <c r="H43" s="78"/>
      <c r="I43" s="23" t="str">
        <f t="shared" si="3"/>
        <v>PASS</v>
      </c>
    </row>
    <row r="44" spans="1:9" ht="32" x14ac:dyDescent="0.2">
      <c r="A44" s="18" t="str">
        <f>'Part names'!$B$71</f>
        <v>Ro High Pressure Pump</v>
      </c>
      <c r="B44" s="18" t="str">
        <f>'Part names'!$A$71</f>
        <v>P-101</v>
      </c>
      <c r="C44" s="116" t="str">
        <f t="shared" si="2"/>
        <v>✓ OK</v>
      </c>
      <c r="D44" s="39" t="str">
        <f>A52&amp;", "&amp;A36&amp;", "&amp;A17</f>
        <v>Uf Module Bank, Motor Control Center, Drain Collection Sump</v>
      </c>
      <c r="E44" s="39" t="str">
        <f>A43&amp;", "&amp;A17</f>
        <v>Reverse Osmosis Skid, Drain Collection Sump</v>
      </c>
      <c r="F44" s="18" t="s">
        <v>3426</v>
      </c>
      <c r="G44" s="87">
        <v>0</v>
      </c>
      <c r="H44" s="78"/>
      <c r="I44" s="23" t="str">
        <f t="shared" si="3"/>
        <v>PASS</v>
      </c>
    </row>
    <row r="45" spans="1:9" ht="64" x14ac:dyDescent="0.2">
      <c r="A45" s="18" t="str">
        <f>'Part names'!$B$73</f>
        <v>SCADA / Plant Control System</v>
      </c>
      <c r="B45" s="18" t="str">
        <f>'Part names'!$A$73</f>
        <v>EP-103</v>
      </c>
      <c r="C45" s="116" t="str">
        <f t="shared" si="2"/>
        <v>✓ OK</v>
      </c>
      <c r="D45" s="39" t="str">
        <f>A12&amp;", "&amp;A24&amp;", "&amp;A41&amp;", "&amp;A38&amp;", "&amp;A33&amp;", "&amp;A40&amp;", "&amp;A42&amp;", "&amp;A46&amp;", "&amp;A7&amp;", "&amp;A50&amp;", "&amp;A32&amp;", "&amp;A36</f>
        <v>Conductivity Sensor, Flow Meter (I-105), Ph Sensor, Orp Sensor, Level Transmitter, pH Analyser, Pressure Transmitter, Silica Analyzer, Chlorine Sensor, Tds Sensor, Leak Detection Sensor, Motor Control Center</v>
      </c>
      <c r="E45" s="39" t="s">
        <v>374</v>
      </c>
      <c r="F45" s="18" t="s">
        <v>3427</v>
      </c>
      <c r="G45" s="87">
        <v>0</v>
      </c>
      <c r="H45" s="78"/>
      <c r="I45" s="23" t="str">
        <f t="shared" si="3"/>
        <v>PASS</v>
      </c>
    </row>
    <row r="46" spans="1:9" ht="16" x14ac:dyDescent="0.2">
      <c r="A46" s="18" t="str">
        <f>'Part names'!$B$74</f>
        <v>Silica Analyzer</v>
      </c>
      <c r="B46" s="18" t="str">
        <f>'Part names'!$A$74</f>
        <v>I-108</v>
      </c>
      <c r="C46" s="116" t="str">
        <f t="shared" si="2"/>
        <v>✓ OK</v>
      </c>
      <c r="D46" s="39" t="s">
        <v>374</v>
      </c>
      <c r="E46" s="39" t="str">
        <f>A45</f>
        <v>SCADA / Plant Control System</v>
      </c>
      <c r="F46" s="18" t="s">
        <v>3424</v>
      </c>
      <c r="G46" s="87">
        <v>0</v>
      </c>
      <c r="H46" s="78"/>
      <c r="I46" s="23" t="str">
        <f t="shared" si="3"/>
        <v>PASS</v>
      </c>
    </row>
    <row r="47" spans="1:9" ht="32" x14ac:dyDescent="0.2">
      <c r="A47" s="18" t="str">
        <f>'Part names'!$B$75</f>
        <v>Softener Vessel</v>
      </c>
      <c r="B47" s="18" t="str">
        <f>'Part names'!$A$75</f>
        <v>V-106</v>
      </c>
      <c r="C47" s="116" t="str">
        <f t="shared" si="2"/>
        <v>✓ OK</v>
      </c>
      <c r="D47" s="39" t="str">
        <f>A27&amp;", "&amp;A25</f>
        <v>Gac Softener, Fresh Water Tank</v>
      </c>
      <c r="E47" s="39" t="str">
        <f>A28&amp;", "&amp;A30&amp;", "&amp;A48&amp;", "&amp;A53</f>
        <v>Grp Membrane Housings, Inlet Flow Control Valve, Solenoid Valve (X-124), Ultrafiltration Module</v>
      </c>
      <c r="F47" s="18" t="s">
        <v>3425</v>
      </c>
      <c r="G47" s="87">
        <v>0</v>
      </c>
      <c r="H47" s="78"/>
      <c r="I47" s="23" t="str">
        <f t="shared" si="3"/>
        <v>PASS</v>
      </c>
    </row>
    <row r="48" spans="1:9" ht="16" x14ac:dyDescent="0.2">
      <c r="A48" s="18" t="str">
        <f>'Part names'!$B$76&amp;" (X-124)"</f>
        <v>Solenoid Valve (X-124)</v>
      </c>
      <c r="B48" s="18" t="s">
        <v>3430</v>
      </c>
      <c r="C48" s="116" t="str">
        <f t="shared" si="2"/>
        <v>✓ OK</v>
      </c>
      <c r="D48" s="39" t="str">
        <f>A47</f>
        <v>Softener Vessel</v>
      </c>
      <c r="E48" s="39" t="s">
        <v>374</v>
      </c>
      <c r="F48" s="18" t="s">
        <v>3425</v>
      </c>
      <c r="G48" s="87">
        <v>0</v>
      </c>
      <c r="H48" s="78"/>
      <c r="I48" s="23" t="str">
        <f t="shared" si="3"/>
        <v>PASS</v>
      </c>
    </row>
    <row r="49" spans="1:9" ht="16" x14ac:dyDescent="0.2">
      <c r="A49" s="18" t="str">
        <f>'Part names'!$B$78</f>
        <v>Standby Diesel Generator</v>
      </c>
      <c r="B49" s="18" t="str">
        <f>'Part names'!$A$78</f>
        <v>G-201</v>
      </c>
      <c r="C49" s="116" t="str">
        <f t="shared" si="2"/>
        <v>✓ OK</v>
      </c>
      <c r="D49" s="39" t="str">
        <f>A35</f>
        <v>Mains Incomer</v>
      </c>
      <c r="E49" s="39" t="str">
        <f>A16</f>
        <v>Distribution Transformer</v>
      </c>
      <c r="F49" s="18" t="s">
        <v>3423</v>
      </c>
      <c r="G49" s="87">
        <v>0</v>
      </c>
      <c r="H49" s="78"/>
      <c r="I49" s="23" t="str">
        <f t="shared" si="3"/>
        <v>PASS</v>
      </c>
    </row>
    <row r="50" spans="1:9" ht="16" x14ac:dyDescent="0.2">
      <c r="A50" s="18" t="str">
        <f>'Part names'!$B$80</f>
        <v>Tds Sensor</v>
      </c>
      <c r="B50" s="18" t="str">
        <f>'Part names'!$A$80</f>
        <v>I-110</v>
      </c>
      <c r="C50" s="116" t="str">
        <f t="shared" si="2"/>
        <v>✓ OK</v>
      </c>
      <c r="D50" s="39" t="s">
        <v>374</v>
      </c>
      <c r="E50" s="39" t="str">
        <f>A45</f>
        <v>SCADA / Plant Control System</v>
      </c>
      <c r="F50" s="18" t="s">
        <v>3424</v>
      </c>
      <c r="G50" s="87">
        <v>0</v>
      </c>
      <c r="H50" s="78"/>
      <c r="I50" s="23" t="str">
        <f t="shared" si="3"/>
        <v>PASS</v>
      </c>
    </row>
    <row r="51" spans="1:9" ht="16" x14ac:dyDescent="0.2">
      <c r="A51" s="18" t="str">
        <f>'Part names'!$B$82</f>
        <v>Toray HFU-2020AN RO Membrane Elements</v>
      </c>
      <c r="B51" s="18" t="str">
        <f>'Part names'!$A$82</f>
        <v>F-1</v>
      </c>
      <c r="C51" s="116" t="str">
        <f t="shared" si="2"/>
        <v>✓ OK</v>
      </c>
      <c r="D51" s="39" t="str">
        <f>A43</f>
        <v>Reverse Osmosis Skid</v>
      </c>
      <c r="E51" s="39" t="str">
        <f>A10</f>
        <v>Cloth Filter</v>
      </c>
      <c r="F51" s="18" t="s">
        <v>3425</v>
      </c>
      <c r="G51" s="87">
        <v>0</v>
      </c>
      <c r="H51" s="78"/>
      <c r="I51" s="23" t="str">
        <f t="shared" si="3"/>
        <v>PASS</v>
      </c>
    </row>
    <row r="52" spans="1:9" ht="16" x14ac:dyDescent="0.2">
      <c r="A52" s="18" t="str">
        <f>'Part names'!$B$85</f>
        <v>Uf Module Bank</v>
      </c>
      <c r="B52" s="18" t="str">
        <f>'Part names'!$A$85</f>
        <v>Z-102</v>
      </c>
      <c r="C52" s="116" t="str">
        <f t="shared" si="2"/>
        <v>✓ OK</v>
      </c>
      <c r="D52" s="39" t="str">
        <f>A28&amp;", "&amp;A17</f>
        <v>Grp Membrane Housings, Drain Collection Sump</v>
      </c>
      <c r="E52" s="39" t="str">
        <f>A44&amp;", "&amp;A17</f>
        <v>Ro High Pressure Pump, Drain Collection Sump</v>
      </c>
      <c r="F52" s="18" t="s">
        <v>3425</v>
      </c>
      <c r="G52" s="87">
        <v>0</v>
      </c>
      <c r="H52" s="78"/>
      <c r="I52" s="23" t="str">
        <f t="shared" si="3"/>
        <v>PASS</v>
      </c>
    </row>
    <row r="53" spans="1:9" ht="16" x14ac:dyDescent="0.2">
      <c r="A53" s="18" t="str">
        <f>'Part names'!$B$86</f>
        <v>Ultrafiltration Module</v>
      </c>
      <c r="B53" s="18" t="str">
        <f>'Part names'!$A$86</f>
        <v>Z-103</v>
      </c>
      <c r="C53" s="116" t="str">
        <f t="shared" si="2"/>
        <v>✓ OK</v>
      </c>
      <c r="D53" s="39" t="str">
        <f>A47</f>
        <v>Softener Vessel</v>
      </c>
      <c r="E53" s="39" t="str">
        <f>A25</f>
        <v>Fresh Water Tank</v>
      </c>
      <c r="F53" s="18" t="s">
        <v>3425</v>
      </c>
      <c r="G53" s="87">
        <v>0</v>
      </c>
      <c r="H53" s="78"/>
      <c r="I53" s="23" t="str">
        <f t="shared" si="3"/>
        <v>PASS</v>
      </c>
    </row>
    <row r="54" spans="1:9" ht="16" x14ac:dyDescent="0.2">
      <c r="A54" s="18" t="str">
        <f>'Part names'!$B$87</f>
        <v>Uv Disinfection</v>
      </c>
      <c r="B54" s="18" t="str">
        <f>'Part names'!$A$87</f>
        <v>V-102</v>
      </c>
      <c r="C54" s="116" t="str">
        <f t="shared" si="2"/>
        <v>✓ OK</v>
      </c>
      <c r="D54" s="39" t="str">
        <f>A26&amp;", "&amp;A36&amp;", "&amp;A17</f>
        <v>Gac Filter, Motor Control Center, Drain Collection Sump</v>
      </c>
      <c r="E54" s="39" t="str">
        <f>A17</f>
        <v>Drain Collection Sump</v>
      </c>
      <c r="F54" s="18" t="s">
        <v>3426</v>
      </c>
      <c r="G54" s="87">
        <v>0</v>
      </c>
      <c r="H54" s="78"/>
      <c r="I54" s="23" t="str">
        <f t="shared" si="3"/>
        <v>PASS</v>
      </c>
    </row>
    <row r="56" spans="1:9" ht="24" customHeight="1" x14ac:dyDescent="0.2">
      <c r="A56" s="12" t="s">
        <v>3431</v>
      </c>
      <c r="B56" s="12"/>
      <c r="C56" s="12"/>
      <c r="D56" s="12"/>
      <c r="E56" s="12"/>
      <c r="F56" s="12"/>
    </row>
    <row r="58" spans="1:9" x14ac:dyDescent="0.2">
      <c r="A58" s="6" t="s">
        <v>3432</v>
      </c>
      <c r="B58" s="6"/>
      <c r="C58" s="6"/>
      <c r="D58" s="6"/>
      <c r="E58" s="6"/>
      <c r="F58" s="6"/>
    </row>
    <row r="59" spans="1:9" x14ac:dyDescent="0.2">
      <c r="A59" s="143" t="s">
        <v>3433</v>
      </c>
      <c r="B59" s="143"/>
      <c r="C59" s="143"/>
      <c r="D59" s="143"/>
      <c r="E59" s="143"/>
      <c r="F59" s="143"/>
    </row>
    <row r="60" spans="1:9" ht="16" x14ac:dyDescent="0.2">
      <c r="A60" s="16" t="s">
        <v>3434</v>
      </c>
      <c r="B60" s="16" t="s">
        <v>304</v>
      </c>
      <c r="C60" s="16" t="s">
        <v>3435</v>
      </c>
      <c r="D60" s="16" t="s">
        <v>3418</v>
      </c>
      <c r="E60" s="16" t="s">
        <v>3419</v>
      </c>
      <c r="F60" s="16" t="s">
        <v>3436</v>
      </c>
      <c r="G60" s="87" t="s">
        <v>3437</v>
      </c>
      <c r="H60" s="87" t="s">
        <v>3438</v>
      </c>
      <c r="I60" s="17" t="s">
        <v>20</v>
      </c>
    </row>
    <row r="61" spans="1:9" ht="16" x14ac:dyDescent="0.2">
      <c r="A61" s="18" t="s">
        <v>3439</v>
      </c>
      <c r="B61" s="18" t="s">
        <v>3440</v>
      </c>
      <c r="C61" s="18" t="s">
        <v>3441</v>
      </c>
      <c r="D61" s="39" t="s">
        <v>374</v>
      </c>
      <c r="E61" s="39" t="s">
        <v>374</v>
      </c>
      <c r="F61" s="117" t="str">
        <f>IF($G61+$H61&gt;0,"✓ "&amp;$G61&amp;" in / "&amp;$H61&amp;" out","✗ unconnected ("&amp;$G61&amp;" in / "&amp;$H61&amp;" out)")</f>
        <v>✗ unconnected (0 in / 0 out)</v>
      </c>
      <c r="G61" s="87">
        <v>0</v>
      </c>
      <c r="H61" s="87">
        <v>0</v>
      </c>
      <c r="I61" s="23" t="str">
        <f>IF(AND(LEN(TRIM(A61&amp;""))&gt;0,TRIM(A61&amp;"")&lt;&gt;"—",LEN(TRIM(C61&amp;""))&gt;0,TRIM(C61&amp;"")&lt;&gt;"—"),"PASS","⚠ FAIL — "&amp;"a required cell is empty/placeholder or wrong type")</f>
        <v>PASS</v>
      </c>
    </row>
    <row r="62" spans="1:9" ht="16" x14ac:dyDescent="0.2">
      <c r="A62" s="18" t="s">
        <v>1172</v>
      </c>
      <c r="B62" s="18" t="s">
        <v>3442</v>
      </c>
      <c r="C62" s="18" t="s">
        <v>3443</v>
      </c>
      <c r="D62" s="39" t="s">
        <v>374</v>
      </c>
      <c r="E62" s="39" t="s">
        <v>374</v>
      </c>
      <c r="F62" s="117" t="str">
        <f>IF($G62+$H62&gt;0,"✓ "&amp;$G62&amp;" in / "&amp;$H62&amp;" out","✗ unconnected ("&amp;$G62&amp;" in / "&amp;$H62&amp;" out)")</f>
        <v>✗ unconnected (0 in / 0 out)</v>
      </c>
      <c r="G62" s="87">
        <v>0</v>
      </c>
      <c r="H62" s="87">
        <v>0</v>
      </c>
      <c r="I62" s="23" t="str">
        <f>IF(AND(LEN(TRIM(A62&amp;""))&gt;0,TRIM(A62&amp;"")&lt;&gt;"—",LEN(TRIM(C62&amp;""))&gt;0,TRIM(C62&amp;"")&lt;&gt;"—"),"PASS","⚠ FAIL — "&amp;"a required cell is empty/placeholder or wrong type")</f>
        <v>PASS</v>
      </c>
    </row>
    <row r="63" spans="1:9" ht="16" x14ac:dyDescent="0.2">
      <c r="A63" s="18" t="s">
        <v>1227</v>
      </c>
      <c r="B63" s="18" t="s">
        <v>3444</v>
      </c>
      <c r="C63" s="18" t="s">
        <v>3443</v>
      </c>
      <c r="D63" s="39" t="s">
        <v>374</v>
      </c>
      <c r="E63" s="39" t="s">
        <v>374</v>
      </c>
      <c r="F63" s="117" t="str">
        <f>IF($G63+$H63&gt;0,"✓ "&amp;$G63&amp;" in / "&amp;$H63&amp;" out","✗ unconnected ("&amp;$G63&amp;" in / "&amp;$H63&amp;" out)")</f>
        <v>✗ unconnected (0 in / 0 out)</v>
      </c>
      <c r="G63" s="87">
        <v>0</v>
      </c>
      <c r="H63" s="87">
        <v>0</v>
      </c>
      <c r="I63" s="23" t="str">
        <f>IF(AND(LEN(TRIM(A63&amp;""))&gt;0,TRIM(A63&amp;"")&lt;&gt;"—",LEN(TRIM(C63&amp;""))&gt;0,TRIM(C63&amp;"")&lt;&gt;"—"),"PASS","⚠ FAIL — "&amp;"a required cell is empty/placeholder or wrong type")</f>
        <v>PASS</v>
      </c>
    </row>
    <row r="64" spans="1:9" ht="16" x14ac:dyDescent="0.2">
      <c r="A64" s="18" t="s">
        <v>1229</v>
      </c>
      <c r="B64" s="18" t="s">
        <v>3445</v>
      </c>
      <c r="C64" s="18" t="s">
        <v>3441</v>
      </c>
      <c r="D64" s="39" t="s">
        <v>374</v>
      </c>
      <c r="E64" s="39" t="s">
        <v>374</v>
      </c>
      <c r="F64" s="118" t="str">
        <f>IF($G64+$H64&gt;0,"✓ "&amp;$G64&amp;" in / "&amp;$H64&amp;" out","✗ unconnected ("&amp;$G64&amp;" in / "&amp;$H64&amp;" out)")</f>
        <v>✗ unconnected (0 in / 0 out)</v>
      </c>
      <c r="G64" s="87">
        <v>0</v>
      </c>
      <c r="H64" s="87">
        <v>0</v>
      </c>
      <c r="I64" s="23" t="str">
        <f>IF(AND(LEN(TRIM(A64&amp;""))&gt;0,TRIM(A64&amp;"")&lt;&gt;"—",LEN(TRIM(C64&amp;""))&gt;0,TRIM(C64&amp;"")&lt;&gt;"—"),"PASS","⚠ FAIL — "&amp;"a required cell is empty/placeholder or wrong type")</f>
        <v>PASS</v>
      </c>
    </row>
    <row r="66" spans="1:8" x14ac:dyDescent="0.2">
      <c r="A66" s="143" t="s">
        <v>3446</v>
      </c>
      <c r="B66" s="143"/>
      <c r="C66" s="143"/>
      <c r="D66" s="143"/>
      <c r="E66" s="143"/>
      <c r="F66" s="143"/>
    </row>
    <row r="67" spans="1:8" ht="16" x14ac:dyDescent="0.2">
      <c r="A67" s="16" t="s">
        <v>3434</v>
      </c>
      <c r="B67" s="16" t="s">
        <v>304</v>
      </c>
      <c r="C67" s="16" t="s">
        <v>3435</v>
      </c>
      <c r="D67" s="16" t="s">
        <v>3418</v>
      </c>
      <c r="E67" s="16" t="s">
        <v>3419</v>
      </c>
      <c r="F67" s="16" t="s">
        <v>3436</v>
      </c>
      <c r="G67" s="87" t="s">
        <v>3437</v>
      </c>
      <c r="H67" s="87" t="s">
        <v>3438</v>
      </c>
    </row>
    <row r="68" spans="1:8" x14ac:dyDescent="0.2">
      <c r="A68" s="140" t="s">
        <v>3447</v>
      </c>
      <c r="B68" s="140"/>
      <c r="C68" s="140"/>
      <c r="D68" s="140"/>
      <c r="E68" s="140"/>
      <c r="F68" s="140"/>
    </row>
    <row r="70" spans="1:8" x14ac:dyDescent="0.2">
      <c r="A70" s="144" t="s">
        <v>3448</v>
      </c>
      <c r="B70" s="144"/>
      <c r="C70" s="144"/>
      <c r="D70" s="144"/>
      <c r="E70" s="144"/>
      <c r="F70" s="144"/>
    </row>
    <row r="71" spans="1:8" ht="16" x14ac:dyDescent="0.2">
      <c r="A71" s="16" t="s">
        <v>3434</v>
      </c>
      <c r="B71" s="16" t="s">
        <v>304</v>
      </c>
      <c r="C71" s="16" t="s">
        <v>3435</v>
      </c>
      <c r="D71" s="16" t="s">
        <v>3418</v>
      </c>
      <c r="E71" s="16" t="s">
        <v>3419</v>
      </c>
      <c r="F71" s="16" t="s">
        <v>3436</v>
      </c>
      <c r="G71" s="87" t="s">
        <v>3437</v>
      </c>
      <c r="H71" s="87" t="s">
        <v>3438</v>
      </c>
    </row>
    <row r="72" spans="1:8" x14ac:dyDescent="0.2">
      <c r="A72" s="140" t="s">
        <v>3447</v>
      </c>
      <c r="B72" s="140"/>
      <c r="C72" s="140"/>
      <c r="D72" s="140"/>
      <c r="E72" s="140"/>
      <c r="F72" s="140"/>
    </row>
    <row r="74" spans="1:8" x14ac:dyDescent="0.2">
      <c r="A74" s="143" t="s">
        <v>3449</v>
      </c>
      <c r="B74" s="143"/>
      <c r="C74" s="143"/>
      <c r="D74" s="143"/>
      <c r="E74" s="143"/>
      <c r="F74" s="143"/>
    </row>
    <row r="75" spans="1:8" ht="16" x14ac:dyDescent="0.2">
      <c r="A75" s="16" t="s">
        <v>3434</v>
      </c>
      <c r="B75" s="16" t="s">
        <v>304</v>
      </c>
      <c r="C75" s="16" t="s">
        <v>3435</v>
      </c>
      <c r="D75" s="16" t="s">
        <v>3418</v>
      </c>
      <c r="E75" s="16" t="s">
        <v>3419</v>
      </c>
      <c r="F75" s="16" t="s">
        <v>3436</v>
      </c>
      <c r="G75" s="87" t="s">
        <v>3437</v>
      </c>
      <c r="H75" s="87" t="s">
        <v>3438</v>
      </c>
    </row>
    <row r="76" spans="1:8" x14ac:dyDescent="0.2">
      <c r="A76" s="140" t="s">
        <v>3447</v>
      </c>
      <c r="B76" s="140"/>
      <c r="C76" s="140"/>
      <c r="D76" s="140"/>
      <c r="E76" s="140"/>
      <c r="F76" s="140"/>
    </row>
    <row r="78" spans="1:8" x14ac:dyDescent="0.2">
      <c r="A78" s="143" t="s">
        <v>3450</v>
      </c>
      <c r="B78" s="143"/>
      <c r="C78" s="143"/>
      <c r="D78" s="143"/>
      <c r="E78" s="143"/>
      <c r="F78" s="143"/>
    </row>
    <row r="79" spans="1:8" ht="16" x14ac:dyDescent="0.2">
      <c r="A79" s="16" t="s">
        <v>3434</v>
      </c>
      <c r="B79" s="16" t="s">
        <v>304</v>
      </c>
      <c r="C79" s="16" t="s">
        <v>3435</v>
      </c>
      <c r="D79" s="16" t="s">
        <v>3418</v>
      </c>
      <c r="E79" s="16" t="s">
        <v>3419</v>
      </c>
      <c r="F79" s="16" t="s">
        <v>3436</v>
      </c>
      <c r="G79" s="87" t="s">
        <v>3437</v>
      </c>
      <c r="H79" s="87" t="s">
        <v>3438</v>
      </c>
    </row>
    <row r="80" spans="1:8" x14ac:dyDescent="0.2">
      <c r="A80" s="140" t="s">
        <v>3447</v>
      </c>
      <c r="B80" s="140"/>
      <c r="C80" s="140"/>
      <c r="D80" s="140"/>
      <c r="E80" s="140"/>
      <c r="F80" s="140"/>
    </row>
    <row r="82" spans="1:8" x14ac:dyDescent="0.2">
      <c r="A82" s="143" t="s">
        <v>3451</v>
      </c>
      <c r="B82" s="143"/>
      <c r="C82" s="143"/>
      <c r="D82" s="143"/>
      <c r="E82" s="143"/>
      <c r="F82" s="143"/>
    </row>
    <row r="83" spans="1:8" ht="16" x14ac:dyDescent="0.2">
      <c r="A83" s="16" t="s">
        <v>3434</v>
      </c>
      <c r="B83" s="16" t="s">
        <v>304</v>
      </c>
      <c r="C83" s="16" t="s">
        <v>3435</v>
      </c>
      <c r="D83" s="16" t="s">
        <v>3418</v>
      </c>
      <c r="E83" s="16" t="s">
        <v>3419</v>
      </c>
      <c r="F83" s="16" t="s">
        <v>3436</v>
      </c>
      <c r="G83" s="87" t="s">
        <v>3437</v>
      </c>
      <c r="H83" s="87" t="s">
        <v>3438</v>
      </c>
    </row>
    <row r="84" spans="1:8" x14ac:dyDescent="0.2">
      <c r="A84" s="140" t="s">
        <v>3447</v>
      </c>
      <c r="B84" s="140"/>
      <c r="C84" s="140"/>
      <c r="D84" s="140"/>
      <c r="E84" s="140"/>
      <c r="F84" s="140"/>
    </row>
  </sheetData>
  <autoFilter ref="A5:F54" xr:uid="{00000000-0009-0000-0000-00001A000000}"/>
  <mergeCells count="17">
    <mergeCell ref="A82:F82"/>
    <mergeCell ref="A84:F84"/>
    <mergeCell ref="A72:F72"/>
    <mergeCell ref="A74:F74"/>
    <mergeCell ref="A76:F76"/>
    <mergeCell ref="A78:F78"/>
    <mergeCell ref="A80:F80"/>
    <mergeCell ref="A58:F58"/>
    <mergeCell ref="A59:F59"/>
    <mergeCell ref="A66:F66"/>
    <mergeCell ref="A68:F68"/>
    <mergeCell ref="A70:F70"/>
    <mergeCell ref="A1:F1"/>
    <mergeCell ref="A2:F2"/>
    <mergeCell ref="A3:F3"/>
    <mergeCell ref="A4:F4"/>
    <mergeCell ref="A56:F56"/>
  </mergeCells>
  <conditionalFormatting sqref="C6:C54">
    <cfRule type="cellIs" dxfId="4" priority="2" operator="equal">
      <formula>"PASS"</formula>
    </cfRule>
  </conditionalFormatting>
  <hyperlinks>
    <hyperlink ref="G1" location="'Contents'!A1" display="↑ Contents" xr:uid="{00000000-0004-0000-1A00-000000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F7F7F"/>
  </sheetPr>
  <dimension ref="A1:I117"/>
  <sheetViews>
    <sheetView zoomScaleNormal="100" workbookViewId="0">
      <pane ySplit="4" topLeftCell="A5" activePane="bottomLeft" state="frozen"/>
      <selection pane="bottomLeft" sqref="A1:H1"/>
    </sheetView>
  </sheetViews>
  <sheetFormatPr baseColWidth="10" defaultColWidth="8.6640625" defaultRowHeight="15" x14ac:dyDescent="0.2"/>
  <cols>
    <col min="1" max="1" width="34" customWidth="1"/>
    <col min="2" max="2" width="14" customWidth="1"/>
    <col min="3" max="3" width="10" customWidth="1"/>
    <col min="4" max="4" width="14" customWidth="1"/>
    <col min="5" max="5" width="12" customWidth="1"/>
    <col min="6" max="6" width="50" customWidth="1"/>
    <col min="7" max="8" width="34" customWidth="1"/>
    <col min="9" max="9" width="13" customWidth="1"/>
  </cols>
  <sheetData>
    <row r="1" spans="1:9" ht="25.5" customHeight="1" x14ac:dyDescent="0.2">
      <c r="A1" s="12" t="s">
        <v>3452</v>
      </c>
      <c r="B1" s="12"/>
      <c r="C1" s="12"/>
      <c r="D1" s="12"/>
      <c r="E1" s="12"/>
      <c r="F1" s="12"/>
      <c r="G1" s="12"/>
      <c r="H1" s="12"/>
      <c r="I1" s="30" t="s">
        <v>140</v>
      </c>
    </row>
    <row r="2" spans="1:9" ht="30" customHeight="1" x14ac:dyDescent="0.2">
      <c r="A2" s="11" t="str">
        <f>"⬤ TAB QUALITY "&amp;IF(ISNUMBER('Quality &amp; Audit'!$B$35),IF('Quality &amp; Audit'!$B$35=INT('Quality &amp; Audit'!$B$35),TEXT('Quality &amp; Audit'!$B$35,"0"),TEXT('Quality &amp; Audit'!$B$35,"0.0")),"—")&amp;"/10 · "&amp;IF(ISNUMBER('Quality &amp; Audit'!$B$35),IF('Quality &amp; Audit'!$B$35&gt;=8,"PASS","FAIL"),"UNSCORED")&amp;" (target ≥8, live from the Quality &amp; Audit score cell)"&amp;" · quantity provenance (source + where-from + used-by per row) — provenance-verified quantity rows 113/113; cell completeness+type contract 339/339 · score = min over check…"&amp;" · full audit: Quality &amp; Audit tab"</f>
        <v>⬤ TAB QUALITY 10/10 · PASS (target ≥8, live from the Quality &amp; Audit score cell) · quantity provenance (source + where-from + used-by per row) — provenance-verified quantity rows 113/113; cell completeness+type contract 339/339 · score = min over check… · full audit: Quality &amp; Audit tab</v>
      </c>
      <c r="B2" s="11"/>
      <c r="C2" s="11"/>
      <c r="D2" s="11"/>
      <c r="E2" s="11"/>
      <c r="F2" s="11"/>
      <c r="G2" s="11"/>
      <c r="H2" s="11"/>
    </row>
    <row r="3" spans="1:9" ht="40.5" customHeight="1" x14ac:dyDescent="0.2">
      <c r="A3" s="10" t="s">
        <v>3453</v>
      </c>
      <c r="B3" s="10"/>
      <c r="C3" s="10"/>
      <c r="D3" s="10"/>
      <c r="E3" s="10"/>
      <c r="F3" s="10"/>
      <c r="G3" s="10"/>
      <c r="H3" s="10"/>
    </row>
    <row r="4" spans="1:9" ht="16" x14ac:dyDescent="0.2">
      <c r="A4" s="16" t="s">
        <v>3454</v>
      </c>
      <c r="B4" s="16" t="s">
        <v>144</v>
      </c>
      <c r="C4" s="16" t="s">
        <v>15</v>
      </c>
      <c r="D4" s="16" t="s">
        <v>3455</v>
      </c>
      <c r="E4" s="16" t="s">
        <v>2473</v>
      </c>
      <c r="F4" s="16" t="s">
        <v>3456</v>
      </c>
      <c r="G4" s="16" t="s">
        <v>3457</v>
      </c>
      <c r="H4" s="16" t="s">
        <v>3458</v>
      </c>
      <c r="I4" s="17" t="s">
        <v>20</v>
      </c>
    </row>
    <row r="5" spans="1:9" ht="39" x14ac:dyDescent="0.2">
      <c r="A5" s="18" t="s">
        <v>3459</v>
      </c>
      <c r="B5" s="84">
        <v>8</v>
      </c>
      <c r="C5" s="18" t="s">
        <v>1893</v>
      </c>
      <c r="D5" s="18" t="s">
        <v>3460</v>
      </c>
      <c r="E5" s="18" t="s">
        <v>152</v>
      </c>
      <c r="F5" s="22" t="s">
        <v>3461</v>
      </c>
      <c r="G5" s="22" t="s">
        <v>3462</v>
      </c>
      <c r="H5" s="22" t="s">
        <v>3463</v>
      </c>
      <c r="I5" s="23" t="str">
        <f t="shared" ref="I5:I36" si="0">IF(AND(LEN(TRIM(A5&amp;""))&gt;0,TRIM(A5&amp;"")&lt;&gt;"—",LEN(TRIM(B5&amp;""))&gt;0,TRIM(B5&amp;"")&lt;&gt;"—",LEN(TRIM(E5&amp;""))&gt;0,TRIM(E5&amp;"")&lt;&gt;"—"),"PASS","⚠ FAIL — "&amp;"a required cell is empty/placeholder or wrong type")</f>
        <v>PASS</v>
      </c>
    </row>
    <row r="6" spans="1:9" ht="39" x14ac:dyDescent="0.2">
      <c r="A6" s="18" t="s">
        <v>3311</v>
      </c>
      <c r="B6" s="84">
        <v>90</v>
      </c>
      <c r="C6" s="18" t="s">
        <v>1893</v>
      </c>
      <c r="D6" s="18" t="s">
        <v>3460</v>
      </c>
      <c r="E6" s="18" t="s">
        <v>3464</v>
      </c>
      <c r="F6" s="22" t="s">
        <v>3465</v>
      </c>
      <c r="G6" s="22" t="s">
        <v>3312</v>
      </c>
      <c r="H6" s="22" t="s">
        <v>3466</v>
      </c>
      <c r="I6" s="23" t="str">
        <f t="shared" si="0"/>
        <v>PASS</v>
      </c>
    </row>
    <row r="7" spans="1:9" ht="39" x14ac:dyDescent="0.2">
      <c r="A7" s="18" t="s">
        <v>3292</v>
      </c>
      <c r="B7" s="84">
        <f>B6</f>
        <v>90</v>
      </c>
      <c r="C7" s="18" t="s">
        <v>1893</v>
      </c>
      <c r="D7" s="18" t="s">
        <v>3460</v>
      </c>
      <c r="E7" s="18" t="s">
        <v>3464</v>
      </c>
      <c r="F7" s="22" t="s">
        <v>3467</v>
      </c>
      <c r="G7" s="22" t="s">
        <v>3293</v>
      </c>
      <c r="H7" s="22" t="s">
        <v>3468</v>
      </c>
      <c r="I7" s="23" t="str">
        <f t="shared" si="0"/>
        <v>PASS</v>
      </c>
    </row>
    <row r="8" spans="1:9" ht="26" x14ac:dyDescent="0.2">
      <c r="A8" s="18" t="s">
        <v>3296</v>
      </c>
      <c r="B8" s="84">
        <f>B7*0.045</f>
        <v>4.05</v>
      </c>
      <c r="C8" s="18" t="s">
        <v>1907</v>
      </c>
      <c r="D8" s="18" t="s">
        <v>3423</v>
      </c>
      <c r="E8" s="18" t="s">
        <v>3464</v>
      </c>
      <c r="F8" s="22" t="s">
        <v>3469</v>
      </c>
      <c r="G8" s="22" t="s">
        <v>3297</v>
      </c>
      <c r="H8" s="22" t="s">
        <v>3470</v>
      </c>
      <c r="I8" s="23" t="str">
        <f t="shared" si="0"/>
        <v>PASS</v>
      </c>
    </row>
    <row r="9" spans="1:9" ht="39" x14ac:dyDescent="0.2">
      <c r="A9" s="18" t="s">
        <v>3300</v>
      </c>
      <c r="B9" s="84">
        <v>1</v>
      </c>
      <c r="C9" s="18" t="s">
        <v>3301</v>
      </c>
      <c r="D9" s="18" t="s">
        <v>27</v>
      </c>
      <c r="E9" s="18" t="s">
        <v>3464</v>
      </c>
      <c r="F9" s="22" t="s">
        <v>3471</v>
      </c>
      <c r="G9" s="22" t="s">
        <v>3302</v>
      </c>
      <c r="H9" s="22" t="s">
        <v>3470</v>
      </c>
      <c r="I9" s="23" t="str">
        <f t="shared" si="0"/>
        <v>PASS</v>
      </c>
    </row>
    <row r="10" spans="1:9" ht="26" x14ac:dyDescent="0.2">
      <c r="A10" s="18" t="s">
        <v>3472</v>
      </c>
      <c r="B10" s="84">
        <v>3</v>
      </c>
      <c r="C10" s="18" t="s">
        <v>3473</v>
      </c>
      <c r="D10" s="18" t="s">
        <v>3474</v>
      </c>
      <c r="E10" s="18" t="s">
        <v>152</v>
      </c>
      <c r="F10" s="22" t="s">
        <v>3461</v>
      </c>
      <c r="G10" s="22" t="s">
        <v>3475</v>
      </c>
      <c r="H10" s="22" t="s">
        <v>3476</v>
      </c>
      <c r="I10" s="23" t="str">
        <f t="shared" si="0"/>
        <v>PASS</v>
      </c>
    </row>
    <row r="11" spans="1:9" ht="39" x14ac:dyDescent="0.2">
      <c r="A11" s="18" t="s">
        <v>3398</v>
      </c>
      <c r="B11" s="84">
        <v>40</v>
      </c>
      <c r="C11" s="18" t="s">
        <v>36</v>
      </c>
      <c r="D11" s="18" t="s">
        <v>3477</v>
      </c>
      <c r="E11" s="18" t="s">
        <v>152</v>
      </c>
      <c r="F11" s="22" t="s">
        <v>3478</v>
      </c>
      <c r="G11" s="22" t="s">
        <v>3479</v>
      </c>
      <c r="H11" s="22" t="s">
        <v>3476</v>
      </c>
      <c r="I11" s="23" t="str">
        <f t="shared" si="0"/>
        <v>PASS</v>
      </c>
    </row>
    <row r="12" spans="1:9" ht="26" x14ac:dyDescent="0.2">
      <c r="A12" s="18" t="s">
        <v>3315</v>
      </c>
      <c r="B12" s="84">
        <f>B21*(B22+B24)</f>
        <v>120</v>
      </c>
      <c r="C12" s="18" t="s">
        <v>3316</v>
      </c>
      <c r="D12" s="18" t="s">
        <v>3477</v>
      </c>
      <c r="E12" s="18" t="s">
        <v>3464</v>
      </c>
      <c r="F12" s="22" t="s">
        <v>3480</v>
      </c>
      <c r="G12" s="22" t="s">
        <v>3317</v>
      </c>
      <c r="H12" s="22" t="s">
        <v>3481</v>
      </c>
      <c r="I12" s="23" t="str">
        <f t="shared" si="0"/>
        <v>PASS</v>
      </c>
    </row>
    <row r="13" spans="1:9" ht="39" x14ac:dyDescent="0.2">
      <c r="A13" s="18" t="s">
        <v>3482</v>
      </c>
      <c r="B13" s="84">
        <v>10</v>
      </c>
      <c r="C13" s="18" t="s">
        <v>3316</v>
      </c>
      <c r="D13" s="18" t="s">
        <v>3477</v>
      </c>
      <c r="E13" s="18" t="s">
        <v>152</v>
      </c>
      <c r="F13" s="22" t="s">
        <v>3461</v>
      </c>
      <c r="G13" s="22" t="s">
        <v>3483</v>
      </c>
      <c r="H13" s="22" t="s">
        <v>3484</v>
      </c>
      <c r="I13" s="23" t="str">
        <f t="shared" si="0"/>
        <v>PASS</v>
      </c>
    </row>
    <row r="14" spans="1:9" x14ac:dyDescent="0.2">
      <c r="A14" s="18" t="s">
        <v>3485</v>
      </c>
      <c r="B14" s="84">
        <v>1</v>
      </c>
      <c r="C14" s="18"/>
      <c r="D14" s="18" t="s">
        <v>3486</v>
      </c>
      <c r="E14" s="18" t="s">
        <v>152</v>
      </c>
      <c r="F14" s="22" t="s">
        <v>3461</v>
      </c>
      <c r="G14" s="22" t="s">
        <v>3487</v>
      </c>
      <c r="H14" s="22" t="s">
        <v>3484</v>
      </c>
      <c r="I14" s="23" t="str">
        <f t="shared" si="0"/>
        <v>PASS</v>
      </c>
    </row>
    <row r="15" spans="1:9" ht="65" x14ac:dyDescent="0.2">
      <c r="A15" s="18" t="s">
        <v>3488</v>
      </c>
      <c r="B15" s="84">
        <v>11</v>
      </c>
      <c r="C15" s="18" t="s">
        <v>1893</v>
      </c>
      <c r="D15" s="18" t="s">
        <v>3460</v>
      </c>
      <c r="E15" s="18" t="s">
        <v>152</v>
      </c>
      <c r="F15" s="22" t="s">
        <v>3461</v>
      </c>
      <c r="G15" s="22" t="s">
        <v>3489</v>
      </c>
      <c r="H15" s="22" t="s">
        <v>3490</v>
      </c>
      <c r="I15" s="23" t="str">
        <f t="shared" si="0"/>
        <v>PASS</v>
      </c>
    </row>
    <row r="16" spans="1:9" ht="52" x14ac:dyDescent="0.2">
      <c r="A16" s="18" t="s">
        <v>3491</v>
      </c>
      <c r="B16" s="84">
        <v>4.2</v>
      </c>
      <c r="C16" s="18" t="s">
        <v>1907</v>
      </c>
      <c r="D16" s="18" t="s">
        <v>3423</v>
      </c>
      <c r="E16" s="18" t="s">
        <v>152</v>
      </c>
      <c r="F16" s="22" t="s">
        <v>3461</v>
      </c>
      <c r="G16" s="22" t="s">
        <v>3492</v>
      </c>
      <c r="H16" s="22" t="s">
        <v>3493</v>
      </c>
      <c r="I16" s="23" t="str">
        <f t="shared" si="0"/>
        <v>PASS</v>
      </c>
    </row>
    <row r="17" spans="1:9" ht="52" x14ac:dyDescent="0.2">
      <c r="A17" s="18" t="s">
        <v>3494</v>
      </c>
      <c r="B17" s="84">
        <v>1</v>
      </c>
      <c r="C17" s="18"/>
      <c r="D17" s="18" t="s">
        <v>3486</v>
      </c>
      <c r="E17" s="18" t="s">
        <v>152</v>
      </c>
      <c r="F17" s="22" t="s">
        <v>3461</v>
      </c>
      <c r="G17" s="22" t="s">
        <v>3495</v>
      </c>
      <c r="H17" s="22" t="s">
        <v>3493</v>
      </c>
      <c r="I17" s="23" t="str">
        <f t="shared" si="0"/>
        <v>PASS</v>
      </c>
    </row>
    <row r="18" spans="1:9" ht="26" x14ac:dyDescent="0.2">
      <c r="A18" s="18" t="s">
        <v>3340</v>
      </c>
      <c r="B18" s="84">
        <v>1.8</v>
      </c>
      <c r="C18" s="18" t="s">
        <v>3316</v>
      </c>
      <c r="D18" s="18" t="s">
        <v>3477</v>
      </c>
      <c r="E18" s="18" t="s">
        <v>3464</v>
      </c>
      <c r="F18" s="22" t="s">
        <v>3496</v>
      </c>
      <c r="G18" s="22" t="s">
        <v>3341</v>
      </c>
      <c r="H18" s="22" t="s">
        <v>3476</v>
      </c>
      <c r="I18" s="23" t="str">
        <f t="shared" si="0"/>
        <v>PASS</v>
      </c>
    </row>
    <row r="19" spans="1:9" ht="26" x14ac:dyDescent="0.2">
      <c r="A19" s="18" t="s">
        <v>3320</v>
      </c>
      <c r="B19" s="84">
        <v>1.5</v>
      </c>
      <c r="C19" s="18" t="s">
        <v>3316</v>
      </c>
      <c r="D19" s="18" t="s">
        <v>3477</v>
      </c>
      <c r="E19" s="18" t="s">
        <v>3464</v>
      </c>
      <c r="F19" s="22" t="s">
        <v>3465</v>
      </c>
      <c r="G19" s="22" t="s">
        <v>3321</v>
      </c>
      <c r="H19" s="22" t="s">
        <v>3497</v>
      </c>
      <c r="I19" s="23" t="str">
        <f t="shared" si="0"/>
        <v>PASS</v>
      </c>
    </row>
    <row r="20" spans="1:9" x14ac:dyDescent="0.2">
      <c r="A20" s="18" t="s">
        <v>3498</v>
      </c>
      <c r="B20" s="84">
        <v>2</v>
      </c>
      <c r="C20" s="18"/>
      <c r="D20" s="18" t="s">
        <v>3486</v>
      </c>
      <c r="E20" s="18" t="s">
        <v>152</v>
      </c>
      <c r="F20" s="22" t="s">
        <v>3461</v>
      </c>
      <c r="G20" s="22" t="s">
        <v>3499</v>
      </c>
      <c r="H20" s="22" t="s">
        <v>3497</v>
      </c>
      <c r="I20" s="23" t="str">
        <f t="shared" si="0"/>
        <v>PASS</v>
      </c>
    </row>
    <row r="21" spans="1:9" ht="26" x14ac:dyDescent="0.2">
      <c r="A21" s="18" t="s">
        <v>3500</v>
      </c>
      <c r="B21" s="84">
        <v>40</v>
      </c>
      <c r="C21" s="18" t="s">
        <v>3316</v>
      </c>
      <c r="D21" s="18" t="s">
        <v>3477</v>
      </c>
      <c r="E21" s="18" t="s">
        <v>152</v>
      </c>
      <c r="F21" s="22" t="s">
        <v>3461</v>
      </c>
      <c r="G21" s="22" t="s">
        <v>3501</v>
      </c>
      <c r="H21" s="22" t="s">
        <v>3502</v>
      </c>
      <c r="I21" s="23" t="str">
        <f t="shared" si="0"/>
        <v>PASS</v>
      </c>
    </row>
    <row r="22" spans="1:9" ht="26" x14ac:dyDescent="0.2">
      <c r="A22" s="18" t="s">
        <v>3503</v>
      </c>
      <c r="B22" s="84">
        <v>1</v>
      </c>
      <c r="C22" s="18"/>
      <c r="D22" s="18" t="s">
        <v>3486</v>
      </c>
      <c r="E22" s="18" t="s">
        <v>152</v>
      </c>
      <c r="F22" s="22" t="s">
        <v>3461</v>
      </c>
      <c r="G22" s="22" t="s">
        <v>3504</v>
      </c>
      <c r="H22" s="22" t="s">
        <v>3502</v>
      </c>
      <c r="I22" s="23" t="str">
        <f t="shared" si="0"/>
        <v>PASS</v>
      </c>
    </row>
    <row r="23" spans="1:9" ht="65" x14ac:dyDescent="0.2">
      <c r="A23" s="18" t="s">
        <v>3402</v>
      </c>
      <c r="B23" s="84">
        <v>40</v>
      </c>
      <c r="C23" s="18" t="s">
        <v>36</v>
      </c>
      <c r="D23" s="18" t="s">
        <v>3477</v>
      </c>
      <c r="E23" s="18" t="s">
        <v>152</v>
      </c>
      <c r="F23" s="22" t="s">
        <v>3478</v>
      </c>
      <c r="G23" s="22" t="s">
        <v>3505</v>
      </c>
      <c r="H23" s="22" t="s">
        <v>3506</v>
      </c>
      <c r="I23" s="23" t="str">
        <f t="shared" si="0"/>
        <v>PASS</v>
      </c>
    </row>
    <row r="24" spans="1:9" ht="26" x14ac:dyDescent="0.2">
      <c r="A24" s="18" t="s">
        <v>3507</v>
      </c>
      <c r="B24" s="84">
        <v>2</v>
      </c>
      <c r="C24" s="18"/>
      <c r="D24" s="18" t="s">
        <v>3486</v>
      </c>
      <c r="E24" s="18" t="s">
        <v>152</v>
      </c>
      <c r="F24" s="22" t="s">
        <v>3461</v>
      </c>
      <c r="G24" s="22" t="s">
        <v>3508</v>
      </c>
      <c r="H24" s="22" t="s">
        <v>3509</v>
      </c>
      <c r="I24" s="23" t="str">
        <f t="shared" si="0"/>
        <v>PASS</v>
      </c>
    </row>
    <row r="25" spans="1:9" ht="91" x14ac:dyDescent="0.2">
      <c r="A25" s="18" t="s">
        <v>3510</v>
      </c>
      <c r="B25" s="84">
        <v>45</v>
      </c>
      <c r="C25" s="18" t="s">
        <v>1893</v>
      </c>
      <c r="D25" s="18" t="s">
        <v>3460</v>
      </c>
      <c r="E25" s="18" t="s">
        <v>152</v>
      </c>
      <c r="F25" s="22" t="s">
        <v>3461</v>
      </c>
      <c r="G25" s="22" t="s">
        <v>3511</v>
      </c>
      <c r="H25" s="22" t="s">
        <v>3512</v>
      </c>
      <c r="I25" s="23" t="str">
        <f t="shared" si="0"/>
        <v>PASS</v>
      </c>
    </row>
    <row r="26" spans="1:9" ht="78" x14ac:dyDescent="0.2">
      <c r="A26" s="18" t="s">
        <v>3513</v>
      </c>
      <c r="B26" s="84">
        <v>7.5</v>
      </c>
      <c r="C26" s="18" t="s">
        <v>1907</v>
      </c>
      <c r="D26" s="18" t="s">
        <v>3423</v>
      </c>
      <c r="E26" s="18" t="s">
        <v>152</v>
      </c>
      <c r="F26" s="22" t="s">
        <v>3514</v>
      </c>
      <c r="G26" s="22" t="s">
        <v>3515</v>
      </c>
      <c r="H26" s="22" t="s">
        <v>3516</v>
      </c>
      <c r="I26" s="23" t="str">
        <f t="shared" si="0"/>
        <v>PASS</v>
      </c>
    </row>
    <row r="27" spans="1:9" ht="91" x14ac:dyDescent="0.2">
      <c r="A27" s="18" t="s">
        <v>3517</v>
      </c>
      <c r="B27" s="84">
        <v>2</v>
      </c>
      <c r="C27" s="18"/>
      <c r="D27" s="18" t="s">
        <v>3486</v>
      </c>
      <c r="E27" s="18" t="s">
        <v>152</v>
      </c>
      <c r="F27" s="22" t="s">
        <v>3461</v>
      </c>
      <c r="G27" s="22" t="s">
        <v>3518</v>
      </c>
      <c r="H27" s="22" t="s">
        <v>3519</v>
      </c>
      <c r="I27" s="23" t="str">
        <f t="shared" si="0"/>
        <v>PASS</v>
      </c>
    </row>
    <row r="28" spans="1:9" ht="65" x14ac:dyDescent="0.2">
      <c r="A28" s="18" t="s">
        <v>3324</v>
      </c>
      <c r="B28" s="84">
        <f>B25*B27</f>
        <v>90</v>
      </c>
      <c r="C28" s="18" t="s">
        <v>1893</v>
      </c>
      <c r="D28" s="18" t="s">
        <v>3460</v>
      </c>
      <c r="E28" s="18" t="s">
        <v>3464</v>
      </c>
      <c r="F28" s="22" t="s">
        <v>3520</v>
      </c>
      <c r="G28" s="22" t="s">
        <v>3325</v>
      </c>
      <c r="H28" s="22" t="s">
        <v>3521</v>
      </c>
      <c r="I28" s="23" t="str">
        <f t="shared" si="0"/>
        <v>PASS</v>
      </c>
    </row>
    <row r="29" spans="1:9" ht="26" x14ac:dyDescent="0.2">
      <c r="A29" s="18" t="s">
        <v>3522</v>
      </c>
      <c r="B29" s="84">
        <v>0.04</v>
      </c>
      <c r="C29" s="18" t="s">
        <v>1893</v>
      </c>
      <c r="D29" s="18" t="s">
        <v>3460</v>
      </c>
      <c r="E29" s="18" t="s">
        <v>152</v>
      </c>
      <c r="F29" s="22" t="s">
        <v>3461</v>
      </c>
      <c r="G29" s="22" t="s">
        <v>3523</v>
      </c>
      <c r="H29" s="22" t="s">
        <v>3476</v>
      </c>
      <c r="I29" s="23" t="str">
        <f t="shared" si="0"/>
        <v>PASS</v>
      </c>
    </row>
    <row r="30" spans="1:9" ht="26" x14ac:dyDescent="0.2">
      <c r="A30" s="18" t="s">
        <v>3524</v>
      </c>
      <c r="B30" s="84">
        <v>0.04</v>
      </c>
      <c r="C30" s="18" t="s">
        <v>1907</v>
      </c>
      <c r="D30" s="18" t="s">
        <v>3423</v>
      </c>
      <c r="E30" s="18" t="s">
        <v>152</v>
      </c>
      <c r="F30" s="22" t="s">
        <v>3461</v>
      </c>
      <c r="G30" s="22" t="s">
        <v>3525</v>
      </c>
      <c r="H30" s="22" t="s">
        <v>3476</v>
      </c>
      <c r="I30" s="23" t="str">
        <f t="shared" si="0"/>
        <v>PASS</v>
      </c>
    </row>
    <row r="31" spans="1:9" ht="26" x14ac:dyDescent="0.2">
      <c r="A31" s="18" t="s">
        <v>3526</v>
      </c>
      <c r="B31" s="84">
        <v>2</v>
      </c>
      <c r="C31" s="18"/>
      <c r="D31" s="18" t="s">
        <v>3486</v>
      </c>
      <c r="E31" s="18" t="s">
        <v>152</v>
      </c>
      <c r="F31" s="22" t="s">
        <v>3461</v>
      </c>
      <c r="G31" s="22" t="s">
        <v>3527</v>
      </c>
      <c r="H31" s="22" t="s">
        <v>3476</v>
      </c>
      <c r="I31" s="23" t="str">
        <f t="shared" si="0"/>
        <v>PASS</v>
      </c>
    </row>
    <row r="32" spans="1:9" ht="26" x14ac:dyDescent="0.2">
      <c r="A32" s="18" t="s">
        <v>3528</v>
      </c>
      <c r="B32" s="84">
        <v>0.04</v>
      </c>
      <c r="C32" s="18" t="s">
        <v>1893</v>
      </c>
      <c r="D32" s="18" t="s">
        <v>3460</v>
      </c>
      <c r="E32" s="18" t="s">
        <v>152</v>
      </c>
      <c r="F32" s="22" t="s">
        <v>3461</v>
      </c>
      <c r="G32" s="22" t="s">
        <v>3529</v>
      </c>
      <c r="H32" s="22" t="s">
        <v>3476</v>
      </c>
      <c r="I32" s="23" t="str">
        <f t="shared" si="0"/>
        <v>PASS</v>
      </c>
    </row>
    <row r="33" spans="1:9" ht="26" x14ac:dyDescent="0.2">
      <c r="A33" s="18" t="s">
        <v>3530</v>
      </c>
      <c r="B33" s="84">
        <v>0.04</v>
      </c>
      <c r="C33" s="18" t="s">
        <v>1907</v>
      </c>
      <c r="D33" s="18" t="s">
        <v>3423</v>
      </c>
      <c r="E33" s="18" t="s">
        <v>152</v>
      </c>
      <c r="F33" s="22" t="s">
        <v>3461</v>
      </c>
      <c r="G33" s="22" t="s">
        <v>3531</v>
      </c>
      <c r="H33" s="22" t="s">
        <v>3476</v>
      </c>
      <c r="I33" s="23" t="str">
        <f t="shared" si="0"/>
        <v>PASS</v>
      </c>
    </row>
    <row r="34" spans="1:9" ht="26" x14ac:dyDescent="0.2">
      <c r="A34" s="18" t="s">
        <v>3532</v>
      </c>
      <c r="B34" s="84">
        <v>2</v>
      </c>
      <c r="C34" s="18"/>
      <c r="D34" s="18" t="s">
        <v>3486</v>
      </c>
      <c r="E34" s="18" t="s">
        <v>152</v>
      </c>
      <c r="F34" s="22" t="s">
        <v>3461</v>
      </c>
      <c r="G34" s="22" t="s">
        <v>3533</v>
      </c>
      <c r="H34" s="22" t="s">
        <v>3476</v>
      </c>
      <c r="I34" s="23" t="str">
        <f t="shared" si="0"/>
        <v>PASS</v>
      </c>
    </row>
    <row r="35" spans="1:9" ht="26" x14ac:dyDescent="0.2">
      <c r="A35" s="18" t="s">
        <v>3534</v>
      </c>
      <c r="B35" s="84">
        <v>1</v>
      </c>
      <c r="C35" s="18" t="s">
        <v>3316</v>
      </c>
      <c r="D35" s="18" t="s">
        <v>3477</v>
      </c>
      <c r="E35" s="18" t="s">
        <v>152</v>
      </c>
      <c r="F35" s="22" t="s">
        <v>3461</v>
      </c>
      <c r="G35" s="22" t="s">
        <v>3535</v>
      </c>
      <c r="H35" s="22" t="s">
        <v>3536</v>
      </c>
      <c r="I35" s="23" t="str">
        <f t="shared" si="0"/>
        <v>PASS</v>
      </c>
    </row>
    <row r="36" spans="1:9" x14ac:dyDescent="0.2">
      <c r="A36" s="18" t="s">
        <v>3537</v>
      </c>
      <c r="B36" s="84">
        <v>8</v>
      </c>
      <c r="C36" s="18"/>
      <c r="D36" s="18" t="s">
        <v>3486</v>
      </c>
      <c r="E36" s="18" t="s">
        <v>152</v>
      </c>
      <c r="F36" s="22" t="s">
        <v>3461</v>
      </c>
      <c r="G36" s="22" t="s">
        <v>3538</v>
      </c>
      <c r="H36" s="22" t="s">
        <v>3536</v>
      </c>
      <c r="I36" s="23" t="str">
        <f t="shared" si="0"/>
        <v>PASS</v>
      </c>
    </row>
    <row r="37" spans="1:9" ht="117" x14ac:dyDescent="0.2">
      <c r="A37" s="18" t="s">
        <v>3539</v>
      </c>
      <c r="B37" s="84">
        <v>25</v>
      </c>
      <c r="C37" s="18" t="s">
        <v>1893</v>
      </c>
      <c r="D37" s="18" t="s">
        <v>3460</v>
      </c>
      <c r="E37" s="18" t="s">
        <v>152</v>
      </c>
      <c r="F37" s="22" t="s">
        <v>3461</v>
      </c>
      <c r="G37" s="22" t="s">
        <v>3540</v>
      </c>
      <c r="H37" s="22" t="s">
        <v>3541</v>
      </c>
      <c r="I37" s="23" t="str">
        <f t="shared" ref="I37:I68" si="1">IF(AND(LEN(TRIM(A37&amp;""))&gt;0,TRIM(A37&amp;"")&lt;&gt;"—",LEN(TRIM(B37&amp;""))&gt;0,TRIM(B37&amp;"")&lt;&gt;"—",LEN(TRIM(E37&amp;""))&gt;0,TRIM(E37&amp;"")&lt;&gt;"—"),"PASS","⚠ FAIL — "&amp;"a required cell is empty/placeholder or wrong type")</f>
        <v>PASS</v>
      </c>
    </row>
    <row r="38" spans="1:9" ht="78" x14ac:dyDescent="0.2">
      <c r="A38" s="18" t="s">
        <v>3542</v>
      </c>
      <c r="B38" s="84">
        <v>1</v>
      </c>
      <c r="C38" s="18"/>
      <c r="D38" s="18" t="s">
        <v>3486</v>
      </c>
      <c r="E38" s="18" t="s">
        <v>152</v>
      </c>
      <c r="F38" s="22" t="s">
        <v>3461</v>
      </c>
      <c r="G38" s="22" t="s">
        <v>3543</v>
      </c>
      <c r="H38" s="22" t="s">
        <v>3544</v>
      </c>
      <c r="I38" s="23" t="str">
        <f t="shared" si="1"/>
        <v>PASS</v>
      </c>
    </row>
    <row r="39" spans="1:9" ht="52" x14ac:dyDescent="0.2">
      <c r="A39" s="18" t="s">
        <v>3355</v>
      </c>
      <c r="B39" s="84">
        <v>5</v>
      </c>
      <c r="C39" s="18" t="s">
        <v>36</v>
      </c>
      <c r="D39" s="18" t="s">
        <v>3477</v>
      </c>
      <c r="E39" s="18" t="s">
        <v>152</v>
      </c>
      <c r="F39" s="22" t="s">
        <v>3545</v>
      </c>
      <c r="G39" s="22" t="s">
        <v>3546</v>
      </c>
      <c r="H39" s="22" t="s">
        <v>3547</v>
      </c>
      <c r="I39" s="23" t="str">
        <f t="shared" si="1"/>
        <v>PASS</v>
      </c>
    </row>
    <row r="40" spans="1:9" x14ac:dyDescent="0.2">
      <c r="A40" s="18" t="s">
        <v>3548</v>
      </c>
      <c r="B40" s="84">
        <v>2</v>
      </c>
      <c r="C40" s="18"/>
      <c r="D40" s="18" t="s">
        <v>3486</v>
      </c>
      <c r="E40" s="18" t="s">
        <v>152</v>
      </c>
      <c r="F40" s="22" t="s">
        <v>3461</v>
      </c>
      <c r="G40" s="22" t="s">
        <v>3549</v>
      </c>
      <c r="H40" s="22" t="s">
        <v>3547</v>
      </c>
      <c r="I40" s="23" t="str">
        <f t="shared" si="1"/>
        <v>PASS</v>
      </c>
    </row>
    <row r="41" spans="1:9" ht="104" x14ac:dyDescent="0.2">
      <c r="A41" s="18" t="s">
        <v>3550</v>
      </c>
      <c r="B41" s="84">
        <v>45</v>
      </c>
      <c r="C41" s="18" t="s">
        <v>1893</v>
      </c>
      <c r="D41" s="18" t="s">
        <v>3460</v>
      </c>
      <c r="E41" s="18" t="s">
        <v>152</v>
      </c>
      <c r="F41" s="22" t="s">
        <v>3461</v>
      </c>
      <c r="G41" s="22" t="s">
        <v>3551</v>
      </c>
      <c r="H41" s="22" t="s">
        <v>3552</v>
      </c>
      <c r="I41" s="23" t="str">
        <f t="shared" si="1"/>
        <v>PASS</v>
      </c>
    </row>
    <row r="42" spans="1:9" ht="78" x14ac:dyDescent="0.2">
      <c r="A42" s="18" t="s">
        <v>3553</v>
      </c>
      <c r="B42" s="84">
        <v>2</v>
      </c>
      <c r="C42" s="18"/>
      <c r="D42" s="18" t="s">
        <v>3486</v>
      </c>
      <c r="E42" s="18" t="s">
        <v>152</v>
      </c>
      <c r="F42" s="22" t="s">
        <v>3461</v>
      </c>
      <c r="G42" s="22" t="s">
        <v>3554</v>
      </c>
      <c r="H42" s="22" t="s">
        <v>3555</v>
      </c>
      <c r="I42" s="23" t="str">
        <f t="shared" si="1"/>
        <v>PASS</v>
      </c>
    </row>
    <row r="43" spans="1:9" ht="26" x14ac:dyDescent="0.2">
      <c r="A43" s="18" t="s">
        <v>3556</v>
      </c>
      <c r="B43" s="84">
        <v>80</v>
      </c>
      <c r="C43" s="18" t="s">
        <v>1893</v>
      </c>
      <c r="D43" s="18" t="s">
        <v>3460</v>
      </c>
      <c r="E43" s="18" t="s">
        <v>152</v>
      </c>
      <c r="F43" s="22" t="s">
        <v>3461</v>
      </c>
      <c r="G43" s="22" t="s">
        <v>3557</v>
      </c>
      <c r="H43" s="22" t="s">
        <v>3558</v>
      </c>
      <c r="I43" s="23" t="str">
        <f t="shared" si="1"/>
        <v>PASS</v>
      </c>
    </row>
    <row r="44" spans="1:9" x14ac:dyDescent="0.2">
      <c r="A44" s="18" t="s">
        <v>3559</v>
      </c>
      <c r="B44" s="84">
        <v>2</v>
      </c>
      <c r="C44" s="18"/>
      <c r="D44" s="18" t="s">
        <v>3486</v>
      </c>
      <c r="E44" s="18" t="s">
        <v>152</v>
      </c>
      <c r="F44" s="22" t="s">
        <v>3461</v>
      </c>
      <c r="G44" s="22" t="s">
        <v>3560</v>
      </c>
      <c r="H44" s="22" t="s">
        <v>3558</v>
      </c>
      <c r="I44" s="23" t="str">
        <f t="shared" si="1"/>
        <v>PASS</v>
      </c>
    </row>
    <row r="45" spans="1:9" ht="39" x14ac:dyDescent="0.2">
      <c r="A45" s="18" t="s">
        <v>3561</v>
      </c>
      <c r="B45" s="84">
        <v>6000</v>
      </c>
      <c r="C45" s="18"/>
      <c r="D45" s="18" t="s">
        <v>3486</v>
      </c>
      <c r="E45" s="18" t="s">
        <v>152</v>
      </c>
      <c r="F45" s="22" t="s">
        <v>3461</v>
      </c>
      <c r="G45" s="22" t="s">
        <v>3562</v>
      </c>
      <c r="H45" s="22" t="s">
        <v>3476</v>
      </c>
      <c r="I45" s="23" t="str">
        <f t="shared" si="1"/>
        <v>PASS</v>
      </c>
    </row>
    <row r="46" spans="1:9" ht="234" x14ac:dyDescent="0.2">
      <c r="A46" s="18" t="s">
        <v>3563</v>
      </c>
      <c r="B46" s="84">
        <v>200</v>
      </c>
      <c r="C46" s="18"/>
      <c r="D46" s="18" t="s">
        <v>3486</v>
      </c>
      <c r="E46" s="18" t="s">
        <v>152</v>
      </c>
      <c r="F46" s="22" t="s">
        <v>3461</v>
      </c>
      <c r="G46" s="22" t="s">
        <v>3564</v>
      </c>
      <c r="H46" s="22" t="s">
        <v>3565</v>
      </c>
      <c r="I46" s="23" t="str">
        <f t="shared" si="1"/>
        <v>PASS</v>
      </c>
    </row>
    <row r="47" spans="1:9" ht="39" x14ac:dyDescent="0.2">
      <c r="A47" s="18" t="s">
        <v>3566</v>
      </c>
      <c r="B47" s="84">
        <v>2</v>
      </c>
      <c r="C47" s="18"/>
      <c r="D47" s="18" t="s">
        <v>3486</v>
      </c>
      <c r="E47" s="18" t="s">
        <v>152</v>
      </c>
      <c r="F47" s="22" t="s">
        <v>3461</v>
      </c>
      <c r="G47" s="22" t="s">
        <v>3567</v>
      </c>
      <c r="H47" s="22" t="s">
        <v>3568</v>
      </c>
      <c r="I47" s="23" t="str">
        <f t="shared" si="1"/>
        <v>PASS</v>
      </c>
    </row>
    <row r="48" spans="1:9" ht="26" x14ac:dyDescent="0.2">
      <c r="A48" s="18" t="s">
        <v>3568</v>
      </c>
      <c r="B48" s="84">
        <f>B47*10</f>
        <v>20</v>
      </c>
      <c r="C48" s="18"/>
      <c r="D48" s="18" t="s">
        <v>3486</v>
      </c>
      <c r="E48" s="18" t="s">
        <v>152</v>
      </c>
      <c r="F48" s="22" t="s">
        <v>3461</v>
      </c>
      <c r="G48" s="22" t="s">
        <v>3569</v>
      </c>
      <c r="H48" s="22" t="s">
        <v>3476</v>
      </c>
      <c r="I48" s="23" t="str">
        <f t="shared" si="1"/>
        <v>PASS</v>
      </c>
    </row>
    <row r="49" spans="1:9" ht="26" x14ac:dyDescent="0.2">
      <c r="A49" s="18" t="s">
        <v>3570</v>
      </c>
      <c r="B49" s="84">
        <v>5</v>
      </c>
      <c r="C49" s="18"/>
      <c r="D49" s="18" t="s">
        <v>3486</v>
      </c>
      <c r="E49" s="18" t="s">
        <v>152</v>
      </c>
      <c r="F49" s="22" t="s">
        <v>3461</v>
      </c>
      <c r="G49" s="22" t="s">
        <v>3571</v>
      </c>
      <c r="H49" s="22" t="s">
        <v>3476</v>
      </c>
      <c r="I49" s="23" t="str">
        <f t="shared" si="1"/>
        <v>PASS</v>
      </c>
    </row>
    <row r="50" spans="1:9" ht="26" x14ac:dyDescent="0.2">
      <c r="A50" s="18" t="s">
        <v>3572</v>
      </c>
      <c r="B50" s="84">
        <v>2</v>
      </c>
      <c r="C50" s="18"/>
      <c r="D50" s="18" t="s">
        <v>3486</v>
      </c>
      <c r="E50" s="18" t="s">
        <v>152</v>
      </c>
      <c r="F50" s="22" t="s">
        <v>3461</v>
      </c>
      <c r="G50" s="22" t="s">
        <v>3573</v>
      </c>
      <c r="H50" s="22" t="s">
        <v>3476</v>
      </c>
      <c r="I50" s="23" t="str">
        <f t="shared" si="1"/>
        <v>PASS</v>
      </c>
    </row>
    <row r="51" spans="1:9" ht="26" x14ac:dyDescent="0.2">
      <c r="A51" s="18" t="s">
        <v>3574</v>
      </c>
      <c r="B51" s="84">
        <v>30</v>
      </c>
      <c r="C51" s="18"/>
      <c r="D51" s="18" t="s">
        <v>3486</v>
      </c>
      <c r="E51" s="18" t="s">
        <v>152</v>
      </c>
      <c r="F51" s="22" t="s">
        <v>3461</v>
      </c>
      <c r="G51" s="22" t="s">
        <v>3575</v>
      </c>
      <c r="H51" s="22" t="s">
        <v>3476</v>
      </c>
      <c r="I51" s="23" t="str">
        <f t="shared" si="1"/>
        <v>PASS</v>
      </c>
    </row>
    <row r="52" spans="1:9" ht="39" x14ac:dyDescent="0.2">
      <c r="A52" s="18" t="s">
        <v>3576</v>
      </c>
      <c r="B52" s="84">
        <v>2</v>
      </c>
      <c r="C52" s="18"/>
      <c r="D52" s="18" t="s">
        <v>3486</v>
      </c>
      <c r="E52" s="18" t="s">
        <v>152</v>
      </c>
      <c r="F52" s="22" t="s">
        <v>3461</v>
      </c>
      <c r="G52" s="22" t="s">
        <v>3577</v>
      </c>
      <c r="H52" s="22" t="s">
        <v>3476</v>
      </c>
      <c r="I52" s="23" t="str">
        <f t="shared" si="1"/>
        <v>PASS</v>
      </c>
    </row>
    <row r="53" spans="1:9" ht="26" x14ac:dyDescent="0.2">
      <c r="A53" s="18" t="s">
        <v>3578</v>
      </c>
      <c r="B53" s="84">
        <v>2760</v>
      </c>
      <c r="C53" s="18" t="s">
        <v>1889</v>
      </c>
      <c r="D53" s="18" t="s">
        <v>3579</v>
      </c>
      <c r="E53" s="18" t="s">
        <v>152</v>
      </c>
      <c r="F53" s="22" t="s">
        <v>3461</v>
      </c>
      <c r="G53" s="22" t="s">
        <v>3580</v>
      </c>
      <c r="H53" s="22" t="s">
        <v>3476</v>
      </c>
      <c r="I53" s="23" t="str">
        <f t="shared" si="1"/>
        <v>PASS</v>
      </c>
    </row>
    <row r="54" spans="1:9" ht="26" x14ac:dyDescent="0.2">
      <c r="A54" s="18" t="s">
        <v>3581</v>
      </c>
      <c r="B54" s="84">
        <v>1290</v>
      </c>
      <c r="C54" s="18" t="s">
        <v>1889</v>
      </c>
      <c r="D54" s="18" t="s">
        <v>3579</v>
      </c>
      <c r="E54" s="18" t="s">
        <v>152</v>
      </c>
      <c r="F54" s="22" t="s">
        <v>3461</v>
      </c>
      <c r="G54" s="22" t="s">
        <v>3582</v>
      </c>
      <c r="H54" s="22" t="s">
        <v>3476</v>
      </c>
      <c r="I54" s="23" t="str">
        <f t="shared" si="1"/>
        <v>PASS</v>
      </c>
    </row>
    <row r="55" spans="1:9" ht="26" x14ac:dyDescent="0.2">
      <c r="A55" s="18" t="s">
        <v>3583</v>
      </c>
      <c r="B55" s="84">
        <v>65</v>
      </c>
      <c r="C55" s="18" t="s">
        <v>1889</v>
      </c>
      <c r="D55" s="18" t="s">
        <v>3584</v>
      </c>
      <c r="E55" s="18" t="s">
        <v>152</v>
      </c>
      <c r="F55" s="22" t="s">
        <v>3461</v>
      </c>
      <c r="G55" s="22" t="s">
        <v>3585</v>
      </c>
      <c r="H55" s="22" t="s">
        <v>3476</v>
      </c>
      <c r="I55" s="23" t="str">
        <f t="shared" si="1"/>
        <v>PASS</v>
      </c>
    </row>
    <row r="56" spans="1:9" x14ac:dyDescent="0.2">
      <c r="A56" s="18" t="s">
        <v>3586</v>
      </c>
      <c r="B56" s="84">
        <v>75</v>
      </c>
      <c r="C56" s="18" t="s">
        <v>33</v>
      </c>
      <c r="D56" s="18" t="s">
        <v>3486</v>
      </c>
      <c r="E56" s="18" t="s">
        <v>152</v>
      </c>
      <c r="F56" s="22" t="s">
        <v>3461</v>
      </c>
      <c r="G56" s="22" t="s">
        <v>3587</v>
      </c>
      <c r="H56" s="22" t="s">
        <v>3588</v>
      </c>
      <c r="I56" s="23" t="str">
        <f t="shared" si="1"/>
        <v>PASS</v>
      </c>
    </row>
    <row r="57" spans="1:9" ht="39" x14ac:dyDescent="0.2">
      <c r="A57" s="18" t="s">
        <v>3589</v>
      </c>
      <c r="B57" s="84">
        <v>14.5</v>
      </c>
      <c r="C57" s="18" t="s">
        <v>1893</v>
      </c>
      <c r="D57" s="18" t="s">
        <v>3460</v>
      </c>
      <c r="E57" s="18" t="s">
        <v>152</v>
      </c>
      <c r="F57" s="22" t="s">
        <v>3461</v>
      </c>
      <c r="G57" s="22" t="s">
        <v>3590</v>
      </c>
      <c r="H57" s="22" t="s">
        <v>3591</v>
      </c>
      <c r="I57" s="23" t="str">
        <f t="shared" si="1"/>
        <v>PASS</v>
      </c>
    </row>
    <row r="58" spans="1:9" ht="39" x14ac:dyDescent="0.2">
      <c r="A58" s="18" t="s">
        <v>3306</v>
      </c>
      <c r="B58" s="84">
        <v>53</v>
      </c>
      <c r="C58" s="18" t="s">
        <v>1907</v>
      </c>
      <c r="D58" s="18" t="s">
        <v>3423</v>
      </c>
      <c r="E58" s="18" t="s">
        <v>3464</v>
      </c>
      <c r="F58" s="22" t="s">
        <v>3592</v>
      </c>
      <c r="G58" s="22" t="s">
        <v>3307</v>
      </c>
      <c r="H58" s="22" t="s">
        <v>3593</v>
      </c>
      <c r="I58" s="23" t="str">
        <f t="shared" si="1"/>
        <v>PASS</v>
      </c>
    </row>
    <row r="59" spans="1:9" ht="39" x14ac:dyDescent="0.2">
      <c r="A59" s="18" t="s">
        <v>3594</v>
      </c>
      <c r="B59" s="84">
        <v>1</v>
      </c>
      <c r="C59" s="18"/>
      <c r="D59" s="18" t="s">
        <v>3486</v>
      </c>
      <c r="E59" s="18" t="s">
        <v>152</v>
      </c>
      <c r="F59" s="22" t="s">
        <v>3461</v>
      </c>
      <c r="G59" s="22" t="s">
        <v>3595</v>
      </c>
      <c r="H59" s="22" t="s">
        <v>3476</v>
      </c>
      <c r="I59" s="23" t="str">
        <f t="shared" si="1"/>
        <v>PASS</v>
      </c>
    </row>
    <row r="60" spans="1:9" ht="78" x14ac:dyDescent="0.2">
      <c r="A60" s="18" t="s">
        <v>3328</v>
      </c>
      <c r="B60" s="84">
        <v>53</v>
      </c>
      <c r="C60" s="18" t="s">
        <v>1907</v>
      </c>
      <c r="D60" s="18" t="s">
        <v>3423</v>
      </c>
      <c r="E60" s="18" t="s">
        <v>3596</v>
      </c>
      <c r="F60" s="22" t="s">
        <v>3597</v>
      </c>
      <c r="G60" s="22" t="s">
        <v>3598</v>
      </c>
      <c r="H60" s="22" t="s">
        <v>3599</v>
      </c>
      <c r="I60" s="23" t="str">
        <f t="shared" si="1"/>
        <v>PASS</v>
      </c>
    </row>
    <row r="61" spans="1:9" ht="26" x14ac:dyDescent="0.2">
      <c r="A61" s="18" t="s">
        <v>3265</v>
      </c>
      <c r="B61" s="84">
        <v>0.74099999999999999</v>
      </c>
      <c r="C61" s="18" t="s">
        <v>3266</v>
      </c>
      <c r="D61" s="18" t="s">
        <v>3600</v>
      </c>
      <c r="E61" s="18" t="s">
        <v>3601</v>
      </c>
      <c r="F61" s="22" t="s">
        <v>3602</v>
      </c>
      <c r="G61" s="22" t="s">
        <v>3603</v>
      </c>
      <c r="H61" s="22" t="s">
        <v>3588</v>
      </c>
      <c r="I61" s="23" t="str">
        <f t="shared" si="1"/>
        <v>PASS</v>
      </c>
    </row>
    <row r="62" spans="1:9" ht="26" x14ac:dyDescent="0.2">
      <c r="A62" s="18" t="s">
        <v>3604</v>
      </c>
      <c r="B62" s="84">
        <v>0.29646400000000001</v>
      </c>
      <c r="C62" s="18"/>
      <c r="D62" s="18" t="s">
        <v>3486</v>
      </c>
      <c r="E62" s="18" t="s">
        <v>3605</v>
      </c>
      <c r="F62" s="22" t="s">
        <v>3606</v>
      </c>
      <c r="G62" s="22" t="s">
        <v>3607</v>
      </c>
      <c r="H62" s="22" t="s">
        <v>3476</v>
      </c>
      <c r="I62" s="23" t="str">
        <f t="shared" si="1"/>
        <v>PASS</v>
      </c>
    </row>
    <row r="63" spans="1:9" ht="26" x14ac:dyDescent="0.2">
      <c r="A63" s="18" t="s">
        <v>3285</v>
      </c>
      <c r="B63" s="84">
        <v>75</v>
      </c>
      <c r="C63" s="18" t="s">
        <v>1904</v>
      </c>
      <c r="D63" s="18" t="s">
        <v>3423</v>
      </c>
      <c r="E63" s="18" t="s">
        <v>3608</v>
      </c>
      <c r="F63" s="22" t="s">
        <v>3609</v>
      </c>
      <c r="G63" s="22" t="s">
        <v>3610</v>
      </c>
      <c r="H63" s="22" t="s">
        <v>3611</v>
      </c>
      <c r="I63" s="23" t="str">
        <f t="shared" si="1"/>
        <v>PASS</v>
      </c>
    </row>
    <row r="64" spans="1:9" ht="26" x14ac:dyDescent="0.2">
      <c r="A64" s="18" t="s">
        <v>3288</v>
      </c>
      <c r="B64" s="84">
        <v>108.25</v>
      </c>
      <c r="C64" s="18" t="s">
        <v>1886</v>
      </c>
      <c r="D64" s="18" t="s">
        <v>3612</v>
      </c>
      <c r="E64" s="18" t="s">
        <v>3608</v>
      </c>
      <c r="F64" s="22" t="s">
        <v>3609</v>
      </c>
      <c r="G64" s="22" t="s">
        <v>3610</v>
      </c>
      <c r="H64" s="22" t="s">
        <v>3611</v>
      </c>
      <c r="I64" s="23" t="str">
        <f t="shared" si="1"/>
        <v>PASS</v>
      </c>
    </row>
    <row r="65" spans="1:9" ht="26" x14ac:dyDescent="0.2">
      <c r="A65" s="18" t="s">
        <v>3276</v>
      </c>
      <c r="B65" s="84">
        <v>25</v>
      </c>
      <c r="C65" s="18" t="s">
        <v>3277</v>
      </c>
      <c r="D65" s="18" t="s">
        <v>3600</v>
      </c>
      <c r="E65" s="18" t="s">
        <v>3613</v>
      </c>
      <c r="F65" s="22" t="s">
        <v>3614</v>
      </c>
      <c r="G65" s="22" t="s">
        <v>3615</v>
      </c>
      <c r="H65" s="22" t="s">
        <v>3588</v>
      </c>
      <c r="I65" s="23" t="str">
        <f t="shared" si="1"/>
        <v>PASS</v>
      </c>
    </row>
    <row r="66" spans="1:9" ht="26" x14ac:dyDescent="0.2">
      <c r="A66" s="18" t="s">
        <v>3281</v>
      </c>
      <c r="B66" s="84">
        <v>2.0299999999999998</v>
      </c>
      <c r="C66" s="18" t="s">
        <v>33</v>
      </c>
      <c r="D66" s="18" t="s">
        <v>3486</v>
      </c>
      <c r="E66" s="18" t="s">
        <v>3613</v>
      </c>
      <c r="F66" s="22" t="s">
        <v>3614</v>
      </c>
      <c r="G66" s="22" t="s">
        <v>3615</v>
      </c>
      <c r="H66" s="22" t="s">
        <v>3616</v>
      </c>
      <c r="I66" s="23" t="str">
        <f t="shared" si="1"/>
        <v>PASS</v>
      </c>
    </row>
    <row r="67" spans="1:9" ht="26" x14ac:dyDescent="0.2">
      <c r="A67" s="18" t="s">
        <v>3345</v>
      </c>
      <c r="B67" s="84">
        <v>1.3587484461319499</v>
      </c>
      <c r="C67" s="18" t="s">
        <v>3346</v>
      </c>
      <c r="D67" s="18" t="s">
        <v>3579</v>
      </c>
      <c r="E67" s="18" t="s">
        <v>3617</v>
      </c>
      <c r="F67" s="22" t="s">
        <v>3618</v>
      </c>
      <c r="G67" s="22" t="s">
        <v>3619</v>
      </c>
      <c r="H67" s="22" t="s">
        <v>3588</v>
      </c>
      <c r="I67" s="23" t="str">
        <f t="shared" si="1"/>
        <v>PASS</v>
      </c>
    </row>
    <row r="68" spans="1:9" ht="26" x14ac:dyDescent="0.2">
      <c r="A68" s="18" t="s">
        <v>3350</v>
      </c>
      <c r="B68" s="84">
        <v>46.199326468750002</v>
      </c>
      <c r="C68" s="18" t="s">
        <v>3351</v>
      </c>
      <c r="D68" s="18" t="s">
        <v>3620</v>
      </c>
      <c r="E68" s="18" t="s">
        <v>3621</v>
      </c>
      <c r="F68" s="22" t="s">
        <v>3622</v>
      </c>
      <c r="G68" s="22" t="s">
        <v>3623</v>
      </c>
      <c r="H68" s="22" t="s">
        <v>3476</v>
      </c>
      <c r="I68" s="23" t="str">
        <f t="shared" si="1"/>
        <v>PASS</v>
      </c>
    </row>
    <row r="69" spans="1:9" ht="26" x14ac:dyDescent="0.2">
      <c r="A69" s="18" t="s">
        <v>3624</v>
      </c>
      <c r="B69" s="84">
        <v>9.6530000000000005</v>
      </c>
      <c r="C69" s="18" t="s">
        <v>1907</v>
      </c>
      <c r="D69" s="18" t="s">
        <v>3423</v>
      </c>
      <c r="E69" s="18" t="s">
        <v>3625</v>
      </c>
      <c r="F69" s="22" t="s">
        <v>3626</v>
      </c>
      <c r="G69" s="22" t="s">
        <v>3627</v>
      </c>
      <c r="H69" s="22" t="s">
        <v>3367</v>
      </c>
      <c r="I69" s="23" t="str">
        <f t="shared" ref="I69:I100" si="2">IF(AND(LEN(TRIM(A69&amp;""))&gt;0,TRIM(A69&amp;"")&lt;&gt;"—",LEN(TRIM(B69&amp;""))&gt;0,TRIM(B69&amp;"")&lt;&gt;"—",LEN(TRIM(E69&amp;""))&gt;0,TRIM(E69&amp;"")&lt;&gt;"—"),"PASS","⚠ FAIL — "&amp;"a required cell is empty/placeholder or wrong type")</f>
        <v>PASS</v>
      </c>
    </row>
    <row r="70" spans="1:9" ht="26" x14ac:dyDescent="0.2">
      <c r="A70" s="18" t="s">
        <v>3628</v>
      </c>
      <c r="B70" s="84">
        <v>90</v>
      </c>
      <c r="C70" s="18" t="s">
        <v>22</v>
      </c>
      <c r="D70" s="18" t="s">
        <v>3629</v>
      </c>
      <c r="E70" s="18" t="s">
        <v>3625</v>
      </c>
      <c r="F70" s="22" t="s">
        <v>3626</v>
      </c>
      <c r="G70" s="22" t="s">
        <v>3627</v>
      </c>
      <c r="H70" s="22" t="s">
        <v>3476</v>
      </c>
      <c r="I70" s="23" t="str">
        <f t="shared" si="2"/>
        <v>PASS</v>
      </c>
    </row>
    <row r="71" spans="1:9" ht="26" x14ac:dyDescent="0.2">
      <c r="A71" s="18" t="s">
        <v>3372</v>
      </c>
      <c r="B71" s="84">
        <v>3.46572421577573</v>
      </c>
      <c r="C71" s="18" t="s">
        <v>3373</v>
      </c>
      <c r="D71" s="18" t="s">
        <v>3600</v>
      </c>
      <c r="E71" s="18" t="s">
        <v>3630</v>
      </c>
      <c r="F71" s="22" t="s">
        <v>3631</v>
      </c>
      <c r="G71" s="22" t="s">
        <v>3632</v>
      </c>
      <c r="H71" s="22" t="s">
        <v>3588</v>
      </c>
      <c r="I71" s="23" t="str">
        <f t="shared" si="2"/>
        <v>PASS</v>
      </c>
    </row>
    <row r="72" spans="1:9" ht="26" x14ac:dyDescent="0.2">
      <c r="A72" s="18" t="s">
        <v>3376</v>
      </c>
      <c r="B72" s="84">
        <v>23.083198494515401</v>
      </c>
      <c r="C72" s="18" t="s">
        <v>3377</v>
      </c>
      <c r="D72" s="18" t="s">
        <v>3633</v>
      </c>
      <c r="E72" s="18" t="s">
        <v>3630</v>
      </c>
      <c r="F72" s="22" t="s">
        <v>3631</v>
      </c>
      <c r="G72" s="22" t="s">
        <v>3632</v>
      </c>
      <c r="H72" s="22" t="s">
        <v>3634</v>
      </c>
      <c r="I72" s="23" t="str">
        <f t="shared" si="2"/>
        <v>PASS</v>
      </c>
    </row>
    <row r="73" spans="1:9" x14ac:dyDescent="0.2">
      <c r="A73" s="18" t="s">
        <v>3381</v>
      </c>
      <c r="B73" s="84">
        <v>640</v>
      </c>
      <c r="C73" s="18" t="s">
        <v>3382</v>
      </c>
      <c r="D73" s="18" t="s">
        <v>3629</v>
      </c>
      <c r="E73" s="18" t="s">
        <v>3635</v>
      </c>
      <c r="F73" s="22" t="s">
        <v>3636</v>
      </c>
      <c r="G73" s="22" t="s">
        <v>3637</v>
      </c>
      <c r="H73" s="22" t="s">
        <v>3588</v>
      </c>
      <c r="I73" s="23" t="str">
        <f t="shared" si="2"/>
        <v>PASS</v>
      </c>
    </row>
    <row r="74" spans="1:9" ht="26" x14ac:dyDescent="0.2">
      <c r="A74" s="18" t="s">
        <v>3638</v>
      </c>
      <c r="B74" s="84">
        <v>600.81100000000004</v>
      </c>
      <c r="C74" s="18" t="s">
        <v>3351</v>
      </c>
      <c r="D74" s="18" t="s">
        <v>3620</v>
      </c>
      <c r="E74" s="18" t="s">
        <v>3639</v>
      </c>
      <c r="F74" s="22" t="s">
        <v>3640</v>
      </c>
      <c r="G74" s="22" t="s">
        <v>3641</v>
      </c>
      <c r="H74" s="22" t="s">
        <v>3588</v>
      </c>
      <c r="I74" s="23" t="str">
        <f t="shared" si="2"/>
        <v>PASS</v>
      </c>
    </row>
    <row r="75" spans="1:9" ht="26" x14ac:dyDescent="0.2">
      <c r="A75" s="18" t="s">
        <v>3367</v>
      </c>
      <c r="B75" s="84">
        <v>1500.8</v>
      </c>
      <c r="C75" s="18" t="s">
        <v>3351</v>
      </c>
      <c r="D75" s="18" t="s">
        <v>3620</v>
      </c>
      <c r="E75" s="18" t="s">
        <v>3642</v>
      </c>
      <c r="F75" s="22" t="s">
        <v>3643</v>
      </c>
      <c r="G75" s="22" t="s">
        <v>3644</v>
      </c>
      <c r="H75" s="22" t="s">
        <v>3588</v>
      </c>
      <c r="I75" s="23" t="str">
        <f t="shared" si="2"/>
        <v>PASS</v>
      </c>
    </row>
    <row r="76" spans="1:9" ht="26" x14ac:dyDescent="0.2">
      <c r="A76" s="18" t="s">
        <v>3408</v>
      </c>
      <c r="B76" s="84">
        <v>363.6</v>
      </c>
      <c r="C76" s="18" t="s">
        <v>3373</v>
      </c>
      <c r="D76" s="18" t="s">
        <v>3600</v>
      </c>
      <c r="E76" s="18" t="s">
        <v>3645</v>
      </c>
      <c r="F76" s="22" t="s">
        <v>3646</v>
      </c>
      <c r="G76" s="22" t="s">
        <v>3647</v>
      </c>
      <c r="H76" s="22" t="s">
        <v>3588</v>
      </c>
      <c r="I76" s="23" t="str">
        <f t="shared" si="2"/>
        <v>PASS</v>
      </c>
    </row>
    <row r="77" spans="1:9" ht="26" x14ac:dyDescent="0.2">
      <c r="A77" s="18" t="s">
        <v>3648</v>
      </c>
      <c r="B77" s="84">
        <v>8</v>
      </c>
      <c r="C77" s="18" t="s">
        <v>22</v>
      </c>
      <c r="D77" s="18" t="s">
        <v>3629</v>
      </c>
      <c r="E77" s="18" t="s">
        <v>3645</v>
      </c>
      <c r="F77" s="22" t="s">
        <v>3646</v>
      </c>
      <c r="G77" s="22" t="s">
        <v>3647</v>
      </c>
      <c r="H77" s="22" t="s">
        <v>3476</v>
      </c>
      <c r="I77" s="23" t="str">
        <f t="shared" si="2"/>
        <v>PASS</v>
      </c>
    </row>
    <row r="78" spans="1:9" ht="26" x14ac:dyDescent="0.2">
      <c r="A78" s="18" t="s">
        <v>3412</v>
      </c>
      <c r="B78" s="84">
        <v>115727</v>
      </c>
      <c r="C78" s="18" t="s">
        <v>151</v>
      </c>
      <c r="D78" s="18" t="s">
        <v>3649</v>
      </c>
      <c r="E78" s="18" t="s">
        <v>3645</v>
      </c>
      <c r="F78" s="22" t="s">
        <v>3646</v>
      </c>
      <c r="G78" s="22" t="s">
        <v>3647</v>
      </c>
      <c r="H78" s="22" t="s">
        <v>3588</v>
      </c>
      <c r="I78" s="23" t="str">
        <f t="shared" si="2"/>
        <v>PASS</v>
      </c>
    </row>
    <row r="79" spans="1:9" ht="26" x14ac:dyDescent="0.2">
      <c r="A79" s="18" t="s">
        <v>3405</v>
      </c>
      <c r="B79" s="84">
        <v>261.60000000000002</v>
      </c>
      <c r="C79" s="18" t="s">
        <v>36</v>
      </c>
      <c r="D79" s="18" t="s">
        <v>3477</v>
      </c>
      <c r="E79" s="18" t="s">
        <v>3650</v>
      </c>
      <c r="F79" s="22" t="s">
        <v>3478</v>
      </c>
      <c r="G79" s="22" t="s">
        <v>3651</v>
      </c>
      <c r="H79" s="22" t="s">
        <v>3476</v>
      </c>
      <c r="I79" s="23" t="str">
        <f t="shared" si="2"/>
        <v>PASS</v>
      </c>
    </row>
    <row r="80" spans="1:9" ht="78" x14ac:dyDescent="0.2">
      <c r="A80" s="18" t="s">
        <v>3652</v>
      </c>
      <c r="B80" s="84">
        <v>1.923</v>
      </c>
      <c r="C80" s="18" t="s">
        <v>1907</v>
      </c>
      <c r="D80" s="18" t="s">
        <v>3423</v>
      </c>
      <c r="E80" s="18" t="s">
        <v>3653</v>
      </c>
      <c r="F80" s="22" t="s">
        <v>3514</v>
      </c>
      <c r="G80" s="22" t="s">
        <v>3654</v>
      </c>
      <c r="H80" s="22" t="s">
        <v>3655</v>
      </c>
      <c r="I80" s="23" t="str">
        <f t="shared" si="2"/>
        <v>PASS</v>
      </c>
    </row>
    <row r="81" spans="1:9" ht="26" x14ac:dyDescent="0.2">
      <c r="A81" s="18" t="s">
        <v>3656</v>
      </c>
      <c r="B81" s="84">
        <v>556.12699999999995</v>
      </c>
      <c r="C81" s="18" t="s">
        <v>3351</v>
      </c>
      <c r="D81" s="18" t="s">
        <v>3620</v>
      </c>
      <c r="E81" s="18" t="s">
        <v>3639</v>
      </c>
      <c r="F81" s="22" t="s">
        <v>3640</v>
      </c>
      <c r="G81" s="22" t="s">
        <v>3641</v>
      </c>
      <c r="H81" s="22" t="s">
        <v>3588</v>
      </c>
      <c r="I81" s="23" t="str">
        <f t="shared" si="2"/>
        <v>PASS</v>
      </c>
    </row>
    <row r="82" spans="1:9" ht="65" x14ac:dyDescent="0.2">
      <c r="A82" s="18" t="s">
        <v>3657</v>
      </c>
      <c r="B82" s="84">
        <v>2.8</v>
      </c>
      <c r="C82" s="18" t="s">
        <v>1907</v>
      </c>
      <c r="D82" s="18" t="s">
        <v>3423</v>
      </c>
      <c r="E82" s="18" t="s">
        <v>3658</v>
      </c>
      <c r="F82" s="22" t="s">
        <v>3659</v>
      </c>
      <c r="G82" s="22" t="s">
        <v>3660</v>
      </c>
      <c r="H82" s="22" t="s">
        <v>3476</v>
      </c>
      <c r="I82" s="23" t="str">
        <f t="shared" si="2"/>
        <v>PASS</v>
      </c>
    </row>
    <row r="83" spans="1:9" ht="52" x14ac:dyDescent="0.2">
      <c r="A83" s="18" t="s">
        <v>3661</v>
      </c>
      <c r="B83" s="84">
        <v>8</v>
      </c>
      <c r="C83" s="18" t="s">
        <v>22</v>
      </c>
      <c r="D83" s="18" t="s">
        <v>3460</v>
      </c>
      <c r="E83" s="18" t="s">
        <v>3658</v>
      </c>
      <c r="F83" s="22" t="s">
        <v>3662</v>
      </c>
      <c r="G83" s="22" t="s">
        <v>3663</v>
      </c>
      <c r="H83" s="22" t="s">
        <v>3476</v>
      </c>
      <c r="I83" s="23" t="str">
        <f t="shared" si="2"/>
        <v>PASS</v>
      </c>
    </row>
    <row r="84" spans="1:9" ht="78" x14ac:dyDescent="0.2">
      <c r="A84" s="18" t="s">
        <v>3664</v>
      </c>
      <c r="B84" s="84">
        <v>45</v>
      </c>
      <c r="C84" s="18" t="s">
        <v>22</v>
      </c>
      <c r="D84" s="18" t="s">
        <v>3460</v>
      </c>
      <c r="E84" s="18" t="s">
        <v>3658</v>
      </c>
      <c r="F84" s="22" t="s">
        <v>3665</v>
      </c>
      <c r="G84" s="22" t="s">
        <v>3666</v>
      </c>
      <c r="H84" s="22" t="s">
        <v>3476</v>
      </c>
      <c r="I84" s="23" t="str">
        <f t="shared" si="2"/>
        <v>PASS</v>
      </c>
    </row>
    <row r="85" spans="1:9" ht="78" x14ac:dyDescent="0.2">
      <c r="A85" s="18" t="s">
        <v>3667</v>
      </c>
      <c r="B85" s="84">
        <v>11</v>
      </c>
      <c r="C85" s="18" t="s">
        <v>22</v>
      </c>
      <c r="D85" s="18" t="s">
        <v>3460</v>
      </c>
      <c r="E85" s="18" t="s">
        <v>3658</v>
      </c>
      <c r="F85" s="22" t="s">
        <v>3668</v>
      </c>
      <c r="G85" s="22" t="s">
        <v>3669</v>
      </c>
      <c r="H85" s="22" t="s">
        <v>3476</v>
      </c>
      <c r="I85" s="23" t="str">
        <f t="shared" si="2"/>
        <v>PASS</v>
      </c>
    </row>
    <row r="86" spans="1:9" ht="65" x14ac:dyDescent="0.2">
      <c r="A86" s="18" t="s">
        <v>3670</v>
      </c>
      <c r="B86" s="84">
        <v>8</v>
      </c>
      <c r="C86" s="18" t="s">
        <v>22</v>
      </c>
      <c r="D86" s="18" t="s">
        <v>3460</v>
      </c>
      <c r="E86" s="18" t="s">
        <v>3658</v>
      </c>
      <c r="F86" s="22" t="s">
        <v>3662</v>
      </c>
      <c r="G86" s="22" t="s">
        <v>3671</v>
      </c>
      <c r="H86" s="22" t="s">
        <v>3476</v>
      </c>
      <c r="I86" s="23" t="str">
        <f t="shared" si="2"/>
        <v>PASS</v>
      </c>
    </row>
    <row r="87" spans="1:9" ht="65" x14ac:dyDescent="0.2">
      <c r="A87" s="18" t="s">
        <v>3672</v>
      </c>
      <c r="B87" s="84">
        <v>4</v>
      </c>
      <c r="C87" s="18" t="s">
        <v>22</v>
      </c>
      <c r="D87" s="18" t="s">
        <v>3460</v>
      </c>
      <c r="E87" s="18" t="s">
        <v>3658</v>
      </c>
      <c r="F87" s="22" t="s">
        <v>3673</v>
      </c>
      <c r="G87" s="22" t="s">
        <v>3674</v>
      </c>
      <c r="H87" s="22" t="s">
        <v>3476</v>
      </c>
      <c r="I87" s="23" t="str">
        <f t="shared" si="2"/>
        <v>PASS</v>
      </c>
    </row>
    <row r="88" spans="1:9" ht="65" x14ac:dyDescent="0.2">
      <c r="A88" s="18" t="s">
        <v>3675</v>
      </c>
      <c r="B88" s="84">
        <v>4</v>
      </c>
      <c r="C88" s="18" t="s">
        <v>22</v>
      </c>
      <c r="D88" s="18" t="s">
        <v>3460</v>
      </c>
      <c r="E88" s="18" t="s">
        <v>3658</v>
      </c>
      <c r="F88" s="22" t="s">
        <v>3673</v>
      </c>
      <c r="G88" s="22" t="s">
        <v>3676</v>
      </c>
      <c r="H88" s="22" t="s">
        <v>3476</v>
      </c>
      <c r="I88" s="23" t="str">
        <f t="shared" si="2"/>
        <v>PASS</v>
      </c>
    </row>
    <row r="89" spans="1:9" ht="91" x14ac:dyDescent="0.2">
      <c r="A89" s="18" t="s">
        <v>3481</v>
      </c>
      <c r="B89" s="84">
        <v>120</v>
      </c>
      <c r="C89" s="18" t="s">
        <v>36</v>
      </c>
      <c r="D89" s="18" t="s">
        <v>3677</v>
      </c>
      <c r="E89" s="18" t="s">
        <v>3658</v>
      </c>
      <c r="F89" s="22" t="s">
        <v>3678</v>
      </c>
      <c r="G89" s="22" t="s">
        <v>3679</v>
      </c>
      <c r="H89" s="22" t="s">
        <v>3476</v>
      </c>
      <c r="I89" s="23" t="str">
        <f t="shared" si="2"/>
        <v>PASS</v>
      </c>
    </row>
    <row r="90" spans="1:9" ht="91" x14ac:dyDescent="0.2">
      <c r="A90" s="18" t="s">
        <v>3680</v>
      </c>
      <c r="B90" s="84">
        <v>90</v>
      </c>
      <c r="C90" s="18" t="s">
        <v>22</v>
      </c>
      <c r="D90" s="18" t="s">
        <v>3460</v>
      </c>
      <c r="E90" s="18" t="s">
        <v>3658</v>
      </c>
      <c r="F90" s="22" t="s">
        <v>3681</v>
      </c>
      <c r="G90" s="22" t="s">
        <v>3682</v>
      </c>
      <c r="H90" s="22" t="s">
        <v>3521</v>
      </c>
      <c r="I90" s="23" t="str">
        <f t="shared" si="2"/>
        <v>PASS</v>
      </c>
    </row>
    <row r="91" spans="1:9" ht="182" x14ac:dyDescent="0.2">
      <c r="A91" s="18" t="s">
        <v>3683</v>
      </c>
      <c r="B91" s="84">
        <v>214</v>
      </c>
      <c r="C91" s="18" t="s">
        <v>3346</v>
      </c>
      <c r="D91" s="18" t="s">
        <v>3579</v>
      </c>
      <c r="E91" s="18" t="s">
        <v>3658</v>
      </c>
      <c r="F91" s="22" t="s">
        <v>3684</v>
      </c>
      <c r="G91" s="22" t="s">
        <v>3685</v>
      </c>
      <c r="H91" s="22" t="s">
        <v>3588</v>
      </c>
      <c r="I91" s="23" t="str">
        <f t="shared" si="2"/>
        <v>PASS</v>
      </c>
    </row>
    <row r="92" spans="1:9" ht="65" x14ac:dyDescent="0.2">
      <c r="A92" s="18" t="s">
        <v>3686</v>
      </c>
      <c r="B92" s="84">
        <v>125</v>
      </c>
      <c r="C92" s="18" t="s">
        <v>1889</v>
      </c>
      <c r="D92" s="18" t="s">
        <v>3584</v>
      </c>
      <c r="E92" s="18" t="s">
        <v>3658</v>
      </c>
      <c r="F92" s="22" t="s">
        <v>3684</v>
      </c>
      <c r="G92" s="22" t="s">
        <v>3687</v>
      </c>
      <c r="H92" s="22" t="s">
        <v>3476</v>
      </c>
      <c r="I92" s="23" t="str">
        <f t="shared" si="2"/>
        <v>PASS</v>
      </c>
    </row>
    <row r="93" spans="1:9" ht="156" x14ac:dyDescent="0.2">
      <c r="A93" s="18" t="s">
        <v>3688</v>
      </c>
      <c r="B93" s="84">
        <v>280</v>
      </c>
      <c r="C93" s="18" t="s">
        <v>3346</v>
      </c>
      <c r="D93" s="18" t="s">
        <v>3579</v>
      </c>
      <c r="E93" s="18" t="s">
        <v>3658</v>
      </c>
      <c r="F93" s="22" t="s">
        <v>3684</v>
      </c>
      <c r="G93" s="22" t="s">
        <v>3689</v>
      </c>
      <c r="H93" s="22" t="s">
        <v>3588</v>
      </c>
      <c r="I93" s="23" t="str">
        <f t="shared" si="2"/>
        <v>PASS</v>
      </c>
    </row>
    <row r="94" spans="1:9" ht="65" x14ac:dyDescent="0.2">
      <c r="A94" s="18" t="s">
        <v>3690</v>
      </c>
      <c r="B94" s="84">
        <v>125</v>
      </c>
      <c r="C94" s="18" t="s">
        <v>1889</v>
      </c>
      <c r="D94" s="18" t="s">
        <v>3584</v>
      </c>
      <c r="E94" s="18" t="s">
        <v>3658</v>
      </c>
      <c r="F94" s="22" t="s">
        <v>3684</v>
      </c>
      <c r="G94" s="22" t="s">
        <v>3691</v>
      </c>
      <c r="H94" s="22" t="s">
        <v>3476</v>
      </c>
      <c r="I94" s="23" t="str">
        <f t="shared" si="2"/>
        <v>PASS</v>
      </c>
    </row>
    <row r="95" spans="1:9" ht="169" x14ac:dyDescent="0.2">
      <c r="A95" s="18" t="s">
        <v>3692</v>
      </c>
      <c r="B95" s="84">
        <v>8280</v>
      </c>
      <c r="C95" s="18" t="s">
        <v>3346</v>
      </c>
      <c r="D95" s="18" t="s">
        <v>3579</v>
      </c>
      <c r="E95" s="18" t="s">
        <v>3658</v>
      </c>
      <c r="F95" s="22" t="s">
        <v>3684</v>
      </c>
      <c r="G95" s="22" t="s">
        <v>3693</v>
      </c>
      <c r="H95" s="22" t="s">
        <v>3588</v>
      </c>
      <c r="I95" s="23" t="str">
        <f t="shared" si="2"/>
        <v>PASS</v>
      </c>
    </row>
    <row r="96" spans="1:9" ht="65" x14ac:dyDescent="0.2">
      <c r="A96" s="18" t="s">
        <v>3694</v>
      </c>
      <c r="B96" s="84">
        <v>75</v>
      </c>
      <c r="C96" s="18" t="s">
        <v>1889</v>
      </c>
      <c r="D96" s="18" t="s">
        <v>3584</v>
      </c>
      <c r="E96" s="18" t="s">
        <v>3658</v>
      </c>
      <c r="F96" s="22" t="s">
        <v>3684</v>
      </c>
      <c r="G96" s="22" t="s">
        <v>3695</v>
      </c>
      <c r="H96" s="22" t="s">
        <v>3476</v>
      </c>
      <c r="I96" s="23" t="str">
        <f t="shared" si="2"/>
        <v>PASS</v>
      </c>
    </row>
    <row r="97" spans="1:9" ht="169" x14ac:dyDescent="0.2">
      <c r="A97" s="18" t="s">
        <v>3696</v>
      </c>
      <c r="B97" s="84">
        <v>4200</v>
      </c>
      <c r="C97" s="18" t="s">
        <v>3346</v>
      </c>
      <c r="D97" s="18" t="s">
        <v>3579</v>
      </c>
      <c r="E97" s="18" t="s">
        <v>3658</v>
      </c>
      <c r="F97" s="22" t="s">
        <v>3684</v>
      </c>
      <c r="G97" s="22" t="s">
        <v>3697</v>
      </c>
      <c r="H97" s="22" t="s">
        <v>3588</v>
      </c>
      <c r="I97" s="23" t="str">
        <f t="shared" si="2"/>
        <v>PASS</v>
      </c>
    </row>
    <row r="98" spans="1:9" ht="65" x14ac:dyDescent="0.2">
      <c r="A98" s="18" t="s">
        <v>3698</v>
      </c>
      <c r="B98" s="84">
        <v>110</v>
      </c>
      <c r="C98" s="18" t="s">
        <v>1889</v>
      </c>
      <c r="D98" s="18" t="s">
        <v>3584</v>
      </c>
      <c r="E98" s="18" t="s">
        <v>3658</v>
      </c>
      <c r="F98" s="22" t="s">
        <v>3684</v>
      </c>
      <c r="G98" s="22" t="s">
        <v>3699</v>
      </c>
      <c r="H98" s="22" t="s">
        <v>3476</v>
      </c>
      <c r="I98" s="23" t="str">
        <f t="shared" si="2"/>
        <v>PASS</v>
      </c>
    </row>
    <row r="99" spans="1:9" ht="156" x14ac:dyDescent="0.2">
      <c r="A99" s="18" t="s">
        <v>3700</v>
      </c>
      <c r="B99" s="84">
        <v>1656</v>
      </c>
      <c r="C99" s="18" t="s">
        <v>3346</v>
      </c>
      <c r="D99" s="18" t="s">
        <v>3579</v>
      </c>
      <c r="E99" s="18" t="s">
        <v>3658</v>
      </c>
      <c r="F99" s="22" t="s">
        <v>3684</v>
      </c>
      <c r="G99" s="22" t="s">
        <v>3701</v>
      </c>
      <c r="H99" s="22" t="s">
        <v>3588</v>
      </c>
      <c r="I99" s="23" t="str">
        <f t="shared" si="2"/>
        <v>PASS</v>
      </c>
    </row>
    <row r="100" spans="1:9" ht="78" x14ac:dyDescent="0.2">
      <c r="A100" s="18" t="s">
        <v>3702</v>
      </c>
      <c r="B100" s="84">
        <v>110</v>
      </c>
      <c r="C100" s="18" t="s">
        <v>1889</v>
      </c>
      <c r="D100" s="18" t="s">
        <v>3584</v>
      </c>
      <c r="E100" s="18" t="s">
        <v>3658</v>
      </c>
      <c r="F100" s="22" t="s">
        <v>3684</v>
      </c>
      <c r="G100" s="22" t="s">
        <v>3703</v>
      </c>
      <c r="H100" s="22" t="s">
        <v>3476</v>
      </c>
      <c r="I100" s="23" t="str">
        <f t="shared" si="2"/>
        <v>PASS</v>
      </c>
    </row>
    <row r="101" spans="1:9" ht="156" x14ac:dyDescent="0.2">
      <c r="A101" s="18" t="s">
        <v>3704</v>
      </c>
      <c r="B101" s="84">
        <v>214</v>
      </c>
      <c r="C101" s="18" t="s">
        <v>3346</v>
      </c>
      <c r="D101" s="18" t="s">
        <v>3579</v>
      </c>
      <c r="E101" s="18" t="s">
        <v>3658</v>
      </c>
      <c r="F101" s="22" t="s">
        <v>3684</v>
      </c>
      <c r="G101" s="22" t="s">
        <v>3705</v>
      </c>
      <c r="H101" s="22" t="s">
        <v>3588</v>
      </c>
      <c r="I101" s="23" t="str">
        <f t="shared" ref="I101:I117" si="3">IF(AND(LEN(TRIM(A101&amp;""))&gt;0,TRIM(A101&amp;"")&lt;&gt;"—",LEN(TRIM(B101&amp;""))&gt;0,TRIM(B101&amp;"")&lt;&gt;"—",LEN(TRIM(E101&amp;""))&gt;0,TRIM(E101&amp;"")&lt;&gt;"—"),"PASS","⚠ FAIL — "&amp;"a required cell is empty/placeholder or wrong type")</f>
        <v>PASS</v>
      </c>
    </row>
    <row r="102" spans="1:9" ht="65" x14ac:dyDescent="0.2">
      <c r="A102" s="18" t="s">
        <v>3706</v>
      </c>
      <c r="B102" s="84">
        <v>160</v>
      </c>
      <c r="C102" s="18" t="s">
        <v>1889</v>
      </c>
      <c r="D102" s="18" t="s">
        <v>3584</v>
      </c>
      <c r="E102" s="18" t="s">
        <v>3658</v>
      </c>
      <c r="F102" s="22" t="s">
        <v>3684</v>
      </c>
      <c r="G102" s="22" t="s">
        <v>3707</v>
      </c>
      <c r="H102" s="22" t="s">
        <v>3476</v>
      </c>
      <c r="I102" s="23" t="str">
        <f t="shared" si="3"/>
        <v>PASS</v>
      </c>
    </row>
    <row r="103" spans="1:9" ht="169" x14ac:dyDescent="0.2">
      <c r="A103" s="18" t="s">
        <v>3708</v>
      </c>
      <c r="B103" s="84">
        <v>14.843999999999999</v>
      </c>
      <c r="C103" s="18" t="s">
        <v>3709</v>
      </c>
      <c r="D103" s="18" t="s">
        <v>3579</v>
      </c>
      <c r="E103" s="18" t="s">
        <v>3658</v>
      </c>
      <c r="F103" s="22" t="s">
        <v>3684</v>
      </c>
      <c r="G103" s="22" t="s">
        <v>3710</v>
      </c>
      <c r="H103" s="22" t="s">
        <v>3476</v>
      </c>
      <c r="I103" s="23" t="str">
        <f t="shared" si="3"/>
        <v>PASS</v>
      </c>
    </row>
    <row r="104" spans="1:9" ht="52" x14ac:dyDescent="0.2">
      <c r="A104" s="18" t="s">
        <v>3711</v>
      </c>
      <c r="B104" s="84">
        <v>200</v>
      </c>
      <c r="C104" s="18"/>
      <c r="D104" s="18" t="s">
        <v>27</v>
      </c>
      <c r="E104" s="18" t="s">
        <v>3658</v>
      </c>
      <c r="F104" s="22" t="s">
        <v>3684</v>
      </c>
      <c r="G104" s="22" t="s">
        <v>3712</v>
      </c>
      <c r="H104" s="22" t="s">
        <v>3476</v>
      </c>
      <c r="I104" s="23" t="str">
        <f t="shared" si="3"/>
        <v>PASS</v>
      </c>
    </row>
    <row r="105" spans="1:9" ht="52" x14ac:dyDescent="0.2">
      <c r="A105" s="18" t="s">
        <v>3713</v>
      </c>
      <c r="B105" s="84">
        <v>6000</v>
      </c>
      <c r="C105" s="18"/>
      <c r="D105" s="18" t="s">
        <v>27</v>
      </c>
      <c r="E105" s="18" t="s">
        <v>3658</v>
      </c>
      <c r="F105" s="22" t="s">
        <v>3684</v>
      </c>
      <c r="G105" s="22" t="s">
        <v>3714</v>
      </c>
      <c r="H105" s="22" t="s">
        <v>3476</v>
      </c>
      <c r="I105" s="23" t="str">
        <f t="shared" si="3"/>
        <v>PASS</v>
      </c>
    </row>
    <row r="106" spans="1:9" ht="39" x14ac:dyDescent="0.2">
      <c r="A106" s="18" t="s">
        <v>3715</v>
      </c>
      <c r="B106" s="84">
        <v>3000</v>
      </c>
      <c r="C106" s="18"/>
      <c r="D106" s="18" t="s">
        <v>27</v>
      </c>
      <c r="E106" s="18" t="s">
        <v>3658</v>
      </c>
      <c r="F106" s="22" t="s">
        <v>3684</v>
      </c>
      <c r="G106" s="22" t="s">
        <v>3716</v>
      </c>
      <c r="H106" s="22" t="s">
        <v>3476</v>
      </c>
      <c r="I106" s="23" t="str">
        <f t="shared" si="3"/>
        <v>PASS</v>
      </c>
    </row>
    <row r="107" spans="1:9" ht="65" x14ac:dyDescent="0.2">
      <c r="A107" s="18" t="s">
        <v>3717</v>
      </c>
      <c r="B107" s="84">
        <v>2</v>
      </c>
      <c r="C107" s="18"/>
      <c r="D107" s="18" t="s">
        <v>27</v>
      </c>
      <c r="E107" s="18" t="s">
        <v>3658</v>
      </c>
      <c r="F107" s="22" t="s">
        <v>3684</v>
      </c>
      <c r="G107" s="22" t="s">
        <v>3718</v>
      </c>
      <c r="H107" s="22" t="s">
        <v>3719</v>
      </c>
      <c r="I107" s="23" t="str">
        <f t="shared" si="3"/>
        <v>PASS</v>
      </c>
    </row>
    <row r="108" spans="1:9" ht="91" x14ac:dyDescent="0.2">
      <c r="A108" s="18" t="s">
        <v>3720</v>
      </c>
      <c r="B108" s="84">
        <v>45</v>
      </c>
      <c r="C108" s="18" t="s">
        <v>22</v>
      </c>
      <c r="D108" s="18" t="s">
        <v>3460</v>
      </c>
      <c r="E108" s="18" t="s">
        <v>3658</v>
      </c>
      <c r="F108" s="22" t="s">
        <v>3684</v>
      </c>
      <c r="G108" s="22" t="s">
        <v>3721</v>
      </c>
      <c r="H108" s="22" t="s">
        <v>3719</v>
      </c>
      <c r="I108" s="23" t="str">
        <f t="shared" si="3"/>
        <v>PASS</v>
      </c>
    </row>
    <row r="109" spans="1:9" ht="169" x14ac:dyDescent="0.2">
      <c r="A109" s="18" t="s">
        <v>3722</v>
      </c>
      <c r="B109" s="84">
        <v>428</v>
      </c>
      <c r="C109" s="18" t="s">
        <v>3346</v>
      </c>
      <c r="D109" s="18" t="s">
        <v>3579</v>
      </c>
      <c r="E109" s="18" t="s">
        <v>3658</v>
      </c>
      <c r="F109" s="22" t="s">
        <v>3659</v>
      </c>
      <c r="G109" s="22" t="s">
        <v>3723</v>
      </c>
      <c r="H109" s="22" t="s">
        <v>3588</v>
      </c>
      <c r="I109" s="23" t="str">
        <f t="shared" si="3"/>
        <v>PASS</v>
      </c>
    </row>
    <row r="110" spans="1:9" ht="104" x14ac:dyDescent="0.2">
      <c r="A110" s="18" t="s">
        <v>3724</v>
      </c>
      <c r="B110" s="84">
        <v>90</v>
      </c>
      <c r="C110" s="18" t="s">
        <v>1889</v>
      </c>
      <c r="D110" s="18" t="s">
        <v>3584</v>
      </c>
      <c r="E110" s="18" t="s">
        <v>3658</v>
      </c>
      <c r="F110" s="22" t="s">
        <v>3659</v>
      </c>
      <c r="G110" s="22" t="s">
        <v>3725</v>
      </c>
      <c r="H110" s="22" t="s">
        <v>3476</v>
      </c>
      <c r="I110" s="23" t="str">
        <f t="shared" si="3"/>
        <v>PASS</v>
      </c>
    </row>
    <row r="111" spans="1:9" ht="78" x14ac:dyDescent="0.2">
      <c r="A111" s="18" t="s">
        <v>3726</v>
      </c>
      <c r="B111" s="84">
        <v>44</v>
      </c>
      <c r="C111" s="18"/>
      <c r="D111" s="18" t="s">
        <v>27</v>
      </c>
      <c r="E111" s="18" t="s">
        <v>3658</v>
      </c>
      <c r="F111" s="22" t="s">
        <v>3659</v>
      </c>
      <c r="G111" s="22" t="s">
        <v>3727</v>
      </c>
      <c r="H111" s="22" t="s">
        <v>3476</v>
      </c>
      <c r="I111" s="23" t="str">
        <f t="shared" si="3"/>
        <v>PASS</v>
      </c>
    </row>
    <row r="112" spans="1:9" ht="39" x14ac:dyDescent="0.2">
      <c r="A112" s="18" t="s">
        <v>3332</v>
      </c>
      <c r="B112" s="84">
        <f>ROUND(B58*1000/(SQRT(3)*400*0.9)*1.25,0)</f>
        <v>106</v>
      </c>
      <c r="C112" s="18" t="s">
        <v>1886</v>
      </c>
      <c r="D112" s="18" t="s">
        <v>3612</v>
      </c>
      <c r="E112" s="18" t="s">
        <v>3464</v>
      </c>
      <c r="F112" s="22" t="s">
        <v>3728</v>
      </c>
      <c r="G112" s="22" t="s">
        <v>3333</v>
      </c>
      <c r="H112" s="22" t="s">
        <v>3729</v>
      </c>
      <c r="I112" s="23" t="str">
        <f t="shared" si="3"/>
        <v>PASS</v>
      </c>
    </row>
    <row r="113" spans="1:9" ht="39" x14ac:dyDescent="0.2">
      <c r="A113" s="18" t="s">
        <v>3336</v>
      </c>
      <c r="B113" s="84">
        <v>125</v>
      </c>
      <c r="C113" s="18" t="s">
        <v>1886</v>
      </c>
      <c r="D113" s="18" t="s">
        <v>3612</v>
      </c>
      <c r="E113" s="18" t="s">
        <v>3464</v>
      </c>
      <c r="F113" s="22" t="s">
        <v>3730</v>
      </c>
      <c r="G113" s="22" t="s">
        <v>3333</v>
      </c>
      <c r="H113" s="22" t="s">
        <v>3731</v>
      </c>
      <c r="I113" s="23" t="str">
        <f t="shared" si="3"/>
        <v>PASS</v>
      </c>
    </row>
    <row r="114" spans="1:9" ht="65" x14ac:dyDescent="0.2">
      <c r="A114" s="18" t="s">
        <v>3732</v>
      </c>
      <c r="B114" s="84">
        <v>14.5</v>
      </c>
      <c r="C114" s="18" t="s">
        <v>22</v>
      </c>
      <c r="D114" s="18" t="s">
        <v>3460</v>
      </c>
      <c r="E114" s="18" t="s">
        <v>3658</v>
      </c>
      <c r="F114" s="22" t="s">
        <v>3496</v>
      </c>
      <c r="G114" s="22" t="s">
        <v>3733</v>
      </c>
      <c r="H114" s="22" t="s">
        <v>3476</v>
      </c>
      <c r="I114" s="23" t="str">
        <f t="shared" si="3"/>
        <v>PASS</v>
      </c>
    </row>
    <row r="115" spans="1:9" ht="78" x14ac:dyDescent="0.2">
      <c r="A115" s="18" t="s">
        <v>3734</v>
      </c>
      <c r="B115" s="84">
        <v>45</v>
      </c>
      <c r="C115" s="18" t="s">
        <v>22</v>
      </c>
      <c r="D115" s="18" t="s">
        <v>3460</v>
      </c>
      <c r="E115" s="18" t="s">
        <v>3658</v>
      </c>
      <c r="F115" s="22" t="s">
        <v>3665</v>
      </c>
      <c r="G115" s="22" t="s">
        <v>3735</v>
      </c>
      <c r="H115" s="22" t="s">
        <v>3476</v>
      </c>
      <c r="I115" s="23" t="str">
        <f t="shared" si="3"/>
        <v>PASS</v>
      </c>
    </row>
    <row r="116" spans="1:9" x14ac:dyDescent="0.2">
      <c r="A116" s="18" t="s">
        <v>3736</v>
      </c>
      <c r="B116" s="84">
        <v>1050.4000000000001</v>
      </c>
      <c r="C116" s="18" t="s">
        <v>3346</v>
      </c>
      <c r="D116" s="18" t="s">
        <v>3737</v>
      </c>
      <c r="E116" s="18" t="s">
        <v>3738</v>
      </c>
      <c r="F116" s="22" t="s">
        <v>3739</v>
      </c>
      <c r="G116" s="22" t="s">
        <v>3740</v>
      </c>
      <c r="H116" s="22" t="s">
        <v>3588</v>
      </c>
      <c r="I116" s="23" t="str">
        <f t="shared" si="3"/>
        <v>PASS</v>
      </c>
    </row>
    <row r="117" spans="1:9" ht="65" x14ac:dyDescent="0.2">
      <c r="A117" s="18" t="s">
        <v>3599</v>
      </c>
      <c r="B117" s="84">
        <v>75</v>
      </c>
      <c r="C117" s="18" t="s">
        <v>1904</v>
      </c>
      <c r="D117" s="18" t="s">
        <v>3423</v>
      </c>
      <c r="E117" s="18" t="s">
        <v>3741</v>
      </c>
      <c r="F117" s="22" t="s">
        <v>3742</v>
      </c>
      <c r="G117" s="22" t="s">
        <v>3743</v>
      </c>
      <c r="H117" s="22" t="s">
        <v>3588</v>
      </c>
      <c r="I117" s="23" t="str">
        <f t="shared" si="3"/>
        <v>PASS</v>
      </c>
    </row>
  </sheetData>
  <autoFilter ref="A4:H117" xr:uid="{00000000-0009-0000-0000-00001B000000}"/>
  <mergeCells count="3">
    <mergeCell ref="A1:H1"/>
    <mergeCell ref="A2:H2"/>
    <mergeCell ref="A3:H3"/>
  </mergeCells>
  <hyperlinks>
    <hyperlink ref="I1" location="'Contents'!A1" display="↑ Contents" xr:uid="{00000000-0004-0000-1B00-000000000000}"/>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F7F7F"/>
  </sheetPr>
  <dimension ref="A1:I462"/>
  <sheetViews>
    <sheetView zoomScaleNormal="100" workbookViewId="0">
      <pane ySplit="3" topLeftCell="A4" activePane="bottomLeft" state="frozen"/>
      <selection pane="bottomLeft" sqref="A1:H1"/>
    </sheetView>
  </sheetViews>
  <sheetFormatPr baseColWidth="10" defaultColWidth="8.6640625" defaultRowHeight="15" x14ac:dyDescent="0.2"/>
  <cols>
    <col min="1" max="1" width="30" customWidth="1"/>
    <col min="2" max="2" width="18" customWidth="1"/>
    <col min="3" max="3" width="12" customWidth="1"/>
    <col min="4" max="4" width="46" customWidth="1"/>
    <col min="5" max="5" width="16" customWidth="1"/>
    <col min="6" max="6" width="12" customWidth="1"/>
    <col min="7" max="7" width="10" customWidth="1"/>
    <col min="8" max="8" width="64" customWidth="1"/>
    <col min="9" max="9" width="13" customWidth="1"/>
  </cols>
  <sheetData>
    <row r="1" spans="1:9" ht="25.5" customHeight="1" x14ac:dyDescent="0.2">
      <c r="A1" s="12" t="s">
        <v>3744</v>
      </c>
      <c r="B1" s="12"/>
      <c r="C1" s="12"/>
      <c r="D1" s="12"/>
      <c r="E1" s="12"/>
      <c r="F1" s="12"/>
      <c r="G1" s="12"/>
      <c r="H1" s="12"/>
      <c r="I1" s="30" t="s">
        <v>140</v>
      </c>
    </row>
    <row r="2" spans="1:9" ht="30" customHeight="1" x14ac:dyDescent="0.2">
      <c r="A2" s="11" t="str">
        <f>"⬤ TAB QUALITY "&amp;IF(ISNUMBER('Quality &amp; Audit'!$B$36),IF('Quality &amp; Audit'!$B$36=INT('Quality &amp; Audit'!$B$36),TEXT('Quality &amp; Audit'!$B$36,"0"),TEXT('Quality &amp; Audit'!$B$36,"0.0")),"—")&amp;"/10 · "&amp;IF(ISNUMBER('Quality &amp; Audit'!$B$36),IF('Quality &amp; Audit'!$B$36&gt;=8,"PASS","FAIL"),"UNSCORED")&amp;" (target ≥8, live from the Quality &amp; Audit score cell)"&amp;" · worked-calc coverage (every definition resolves to a computed result; inputs populated) + tool-flow consumption — worked-calc definitions resolve to a computed result 13…"&amp;" · full audit: Quality &amp; Audit tab"</f>
        <v>⬤ TAB QUALITY 10/10 · PASS (target ≥8, live from the Quality &amp; Audit score cell) · worked-calc coverage (every definition resolves to a computed result; inputs populated) + tool-flow consumption — worked-calc definitions resolve to a computed result 13… · full audit: Quality &amp; Audit tab</v>
      </c>
      <c r="B2" s="11"/>
      <c r="C2" s="11"/>
      <c r="D2" s="11"/>
      <c r="E2" s="11"/>
      <c r="F2" s="11"/>
      <c r="G2" s="11"/>
      <c r="H2" s="11"/>
    </row>
    <row r="3" spans="1:9" ht="40.5" customHeight="1" x14ac:dyDescent="0.2">
      <c r="A3" s="10" t="s">
        <v>3745</v>
      </c>
      <c r="B3" s="10"/>
      <c r="C3" s="10"/>
      <c r="D3" s="10"/>
      <c r="E3" s="10"/>
      <c r="F3" s="10"/>
      <c r="G3" s="10"/>
      <c r="H3" s="10"/>
    </row>
    <row r="4" spans="1:9" x14ac:dyDescent="0.2">
      <c r="A4" s="6" t="s">
        <v>3746</v>
      </c>
      <c r="B4" s="6"/>
      <c r="C4" s="6"/>
      <c r="D4" s="6"/>
      <c r="E4" s="6"/>
      <c r="F4" s="6"/>
      <c r="G4" s="6"/>
      <c r="H4" s="6"/>
    </row>
    <row r="5" spans="1:9" ht="16" x14ac:dyDescent="0.2">
      <c r="A5" s="16" t="s">
        <v>3747</v>
      </c>
      <c r="B5" s="16" t="s">
        <v>144</v>
      </c>
      <c r="C5" s="16" t="s">
        <v>15</v>
      </c>
      <c r="D5" s="16" t="s">
        <v>19</v>
      </c>
      <c r="E5" s="17" t="s">
        <v>20</v>
      </c>
    </row>
    <row r="6" spans="1:9" x14ac:dyDescent="0.2">
      <c r="A6" s="119" t="s">
        <v>3748</v>
      </c>
      <c r="B6" s="120">
        <v>1000</v>
      </c>
      <c r="C6" t="s">
        <v>1911</v>
      </c>
      <c r="D6" s="17" t="s">
        <v>3749</v>
      </c>
      <c r="E6" s="23" t="str">
        <f>IF(AND(LEN(TRIM(A6&amp;""))&gt;0,TRIM(A6&amp;"")&lt;&gt;"—",LEN(TRIM(B6&amp;""))&gt;0,TRIM(B6&amp;"")&lt;&gt;"—"),"PASS","⚠ FAIL — "&amp;"a required cell is empty/placeholder or wrong type")</f>
        <v>PASS</v>
      </c>
    </row>
    <row r="7" spans="1:9" x14ac:dyDescent="0.2">
      <c r="A7" s="119" t="s">
        <v>3750</v>
      </c>
      <c r="B7" s="120">
        <v>1.2</v>
      </c>
      <c r="C7" t="s">
        <v>1911</v>
      </c>
      <c r="D7" s="17" t="s">
        <v>3751</v>
      </c>
      <c r="E7" s="23" t="str">
        <f>IF(AND(LEN(TRIM(A7&amp;""))&gt;0,TRIM(A7&amp;"")&lt;&gt;"—",LEN(TRIM(B7&amp;""))&gt;0,TRIM(B7&amp;"")&lt;&gt;"—"),"PASS","⚠ FAIL — "&amp;"a required cell is empty/placeholder or wrong type")</f>
        <v>PASS</v>
      </c>
    </row>
    <row r="8" spans="1:9" x14ac:dyDescent="0.2">
      <c r="A8" s="119" t="s">
        <v>3752</v>
      </c>
      <c r="B8" s="120">
        <v>9.8065999999999995</v>
      </c>
      <c r="C8" t="s">
        <v>3753</v>
      </c>
      <c r="D8" s="17" t="s">
        <v>3754</v>
      </c>
      <c r="E8" s="23" t="str">
        <f>IF(AND(LEN(TRIM(A8&amp;""))&gt;0,TRIM(A8&amp;"")&lt;&gt;"—",LEN(TRIM(B8&amp;""))&gt;0,TRIM(B8&amp;"")&lt;&gt;"—"),"PASS","⚠ FAIL — "&amp;"a required cell is empty/placeholder or wrong type")</f>
        <v>PASS</v>
      </c>
    </row>
    <row r="9" spans="1:9" x14ac:dyDescent="0.2">
      <c r="A9" s="119" t="s">
        <v>3755</v>
      </c>
      <c r="B9" s="120">
        <v>3.14159265358979</v>
      </c>
      <c r="C9" t="s">
        <v>3756</v>
      </c>
      <c r="D9" s="17" t="s">
        <v>3757</v>
      </c>
      <c r="E9" s="23" t="str">
        <f>IF(AND(LEN(TRIM(A9&amp;""))&gt;0,TRIM(A9&amp;"")&lt;&gt;"—",LEN(TRIM(B9&amp;""))&gt;0,TRIM(B9&amp;"")&lt;&gt;"—"),"PASS","⚠ FAIL — "&amp;"a required cell is empty/placeholder or wrong type")</f>
        <v>PASS</v>
      </c>
    </row>
    <row r="10" spans="1:9" x14ac:dyDescent="0.2">
      <c r="A10" s="119" t="s">
        <v>3758</v>
      </c>
      <c r="B10" s="120">
        <v>1E-3</v>
      </c>
      <c r="C10" t="s">
        <v>3759</v>
      </c>
      <c r="D10" s="17" t="s">
        <v>3760</v>
      </c>
      <c r="E10" s="23" t="str">
        <f>IF(AND(LEN(TRIM(A10&amp;""))&gt;0,TRIM(A10&amp;"")&lt;&gt;"—",LEN(TRIM(B10&amp;""))&gt;0,TRIM(B10&amp;"")&lt;&gt;"—"),"PASS","⚠ FAIL — "&amp;"a required cell is empty/placeholder or wrong type")</f>
        <v>PASS</v>
      </c>
    </row>
    <row r="12" spans="1:9" ht="24" customHeight="1" x14ac:dyDescent="0.2">
      <c r="A12" s="12" t="s">
        <v>3761</v>
      </c>
      <c r="B12" s="12"/>
      <c r="C12" s="12"/>
      <c r="D12" s="12"/>
      <c r="E12" s="12"/>
      <c r="F12" s="12"/>
      <c r="G12" s="12"/>
      <c r="H12" s="12"/>
    </row>
    <row r="13" spans="1:9" x14ac:dyDescent="0.2">
      <c r="A13" s="17" t="s">
        <v>3762</v>
      </c>
    </row>
    <row r="15" spans="1:9" ht="32" x14ac:dyDescent="0.2">
      <c r="A15" s="16" t="s">
        <v>3259</v>
      </c>
      <c r="B15" s="16" t="s">
        <v>3260</v>
      </c>
      <c r="C15" s="16" t="s">
        <v>144</v>
      </c>
      <c r="D15" s="16" t="s">
        <v>15</v>
      </c>
      <c r="E15" s="16" t="s">
        <v>3261</v>
      </c>
      <c r="F15" s="16" t="s">
        <v>3262</v>
      </c>
      <c r="G15" s="16" t="s">
        <v>2520</v>
      </c>
      <c r="H15" s="17" t="s">
        <v>20</v>
      </c>
    </row>
    <row r="16" spans="1:9" x14ac:dyDescent="0.2">
      <c r="A16" s="18" t="s">
        <v>3264</v>
      </c>
      <c r="B16" s="18" t="s">
        <v>3265</v>
      </c>
      <c r="C16" s="84">
        <f>B61</f>
        <v>0.74137799999999998</v>
      </c>
      <c r="D16" s="18" t="s">
        <v>3266</v>
      </c>
      <c r="E16" s="22" t="s">
        <v>3267</v>
      </c>
      <c r="F16" s="18" t="s">
        <v>3268</v>
      </c>
      <c r="G16" s="21" t="s">
        <v>3269</v>
      </c>
      <c r="H16" s="23" t="str">
        <f t="shared" ref="H16:H52" si="0">IF(AND(LEN(TRIM(A16&amp;""))&gt;0,TRIM(A16&amp;"")&lt;&gt;"—",LEN(TRIM(B16&amp;""))&gt;0,TRIM(B16&amp;"")&lt;&gt;"—",LEN(TRIM(C16&amp;""))&gt;0,TRIM(C16&amp;"")&lt;&gt;"—",LEN(TRIM(G16&amp;""))&gt;0,TRIM(G16&amp;"")&lt;&gt;"—"),"PASS","⚠ FAIL — "&amp;"a required cell is empty/placeholder or wrong type")</f>
        <v>PASS</v>
      </c>
    </row>
    <row r="17" spans="1:8" x14ac:dyDescent="0.2">
      <c r="A17" s="18" t="s">
        <v>3271</v>
      </c>
      <c r="B17" s="18" t="s">
        <v>3272</v>
      </c>
      <c r="C17" s="84">
        <f>B81</f>
        <v>0.296464188576609</v>
      </c>
      <c r="D17" s="18"/>
      <c r="E17" s="22" t="s">
        <v>3267</v>
      </c>
      <c r="F17" s="18" t="s">
        <v>3273</v>
      </c>
      <c r="G17" s="21" t="s">
        <v>3269</v>
      </c>
      <c r="H17" s="23" t="str">
        <f t="shared" si="0"/>
        <v>PASS</v>
      </c>
    </row>
    <row r="18" spans="1:8" ht="39" x14ac:dyDescent="0.2">
      <c r="A18" s="18" t="s">
        <v>3275</v>
      </c>
      <c r="B18" s="18" t="s">
        <v>3276</v>
      </c>
      <c r="C18" s="84">
        <f>B100</f>
        <v>25</v>
      </c>
      <c r="D18" s="18" t="s">
        <v>3277</v>
      </c>
      <c r="E18" s="22" t="s">
        <v>3278</v>
      </c>
      <c r="F18" s="18" t="s">
        <v>3279</v>
      </c>
      <c r="G18" s="21" t="s">
        <v>3269</v>
      </c>
      <c r="H18" s="23" t="str">
        <f t="shared" si="0"/>
        <v>PASS</v>
      </c>
    </row>
    <row r="19" spans="1:8" ht="39" x14ac:dyDescent="0.2">
      <c r="A19" s="18" t="s">
        <v>3275</v>
      </c>
      <c r="B19" s="18" t="s">
        <v>3281</v>
      </c>
      <c r="C19" s="84">
        <f>B112</f>
        <v>2.0297499999999999</v>
      </c>
      <c r="D19" s="18" t="s">
        <v>33</v>
      </c>
      <c r="E19" s="22" t="s">
        <v>3278</v>
      </c>
      <c r="F19" s="18" t="s">
        <v>3282</v>
      </c>
      <c r="G19" s="21" t="s">
        <v>3269</v>
      </c>
      <c r="H19" s="23" t="str">
        <f t="shared" si="0"/>
        <v>PASS</v>
      </c>
    </row>
    <row r="20" spans="1:8" x14ac:dyDescent="0.2">
      <c r="A20" s="18" t="s">
        <v>3284</v>
      </c>
      <c r="B20" s="18" t="s">
        <v>3285</v>
      </c>
      <c r="C20" s="84">
        <f>B129</f>
        <v>75</v>
      </c>
      <c r="D20" s="18" t="s">
        <v>1904</v>
      </c>
      <c r="E20" s="22" t="s">
        <v>3267</v>
      </c>
      <c r="F20" s="18" t="s">
        <v>3286</v>
      </c>
      <c r="G20" s="21" t="s">
        <v>3269</v>
      </c>
      <c r="H20" s="23" t="str">
        <f t="shared" si="0"/>
        <v>PASS</v>
      </c>
    </row>
    <row r="21" spans="1:8" x14ac:dyDescent="0.2">
      <c r="A21" s="18" t="s">
        <v>3284</v>
      </c>
      <c r="B21" s="18" t="s">
        <v>3288</v>
      </c>
      <c r="C21" s="84">
        <f>B139</f>
        <v>108.25317547305499</v>
      </c>
      <c r="D21" s="18" t="s">
        <v>1886</v>
      </c>
      <c r="E21" s="22" t="s">
        <v>3267</v>
      </c>
      <c r="F21" s="18" t="s">
        <v>3289</v>
      </c>
      <c r="G21" s="21" t="s">
        <v>3269</v>
      </c>
      <c r="H21" s="23" t="str">
        <f t="shared" si="0"/>
        <v>PASS</v>
      </c>
    </row>
    <row r="22" spans="1:8" ht="91" x14ac:dyDescent="0.2">
      <c r="A22" s="18" t="s">
        <v>3291</v>
      </c>
      <c r="B22" s="18" t="s">
        <v>3292</v>
      </c>
      <c r="C22" s="84">
        <v>90</v>
      </c>
      <c r="D22" s="18" t="s">
        <v>1893</v>
      </c>
      <c r="E22" s="22" t="s">
        <v>3293</v>
      </c>
      <c r="F22" s="18" t="s">
        <v>3294</v>
      </c>
      <c r="G22" s="21" t="s">
        <v>3269</v>
      </c>
      <c r="H22" s="23" t="str">
        <f t="shared" si="0"/>
        <v>PASS</v>
      </c>
    </row>
    <row r="23" spans="1:8" ht="52" x14ac:dyDescent="0.2">
      <c r="A23" s="18" t="s">
        <v>3291</v>
      </c>
      <c r="B23" s="18" t="s">
        <v>3296</v>
      </c>
      <c r="C23" s="84">
        <v>4.0999999999999996</v>
      </c>
      <c r="D23" s="18" t="s">
        <v>1907</v>
      </c>
      <c r="E23" s="22" t="s">
        <v>3297</v>
      </c>
      <c r="F23" s="18" t="s">
        <v>3298</v>
      </c>
      <c r="G23" s="21" t="s">
        <v>3269</v>
      </c>
      <c r="H23" s="23" t="str">
        <f t="shared" si="0"/>
        <v>PASS</v>
      </c>
    </row>
    <row r="24" spans="1:8" ht="78" x14ac:dyDescent="0.2">
      <c r="A24" s="18" t="s">
        <v>3291</v>
      </c>
      <c r="B24" s="18" t="s">
        <v>3300</v>
      </c>
      <c r="C24" s="84">
        <v>1</v>
      </c>
      <c r="D24" s="18" t="s">
        <v>3301</v>
      </c>
      <c r="E24" s="22" t="s">
        <v>3302</v>
      </c>
      <c r="F24" s="18" t="s">
        <v>3303</v>
      </c>
      <c r="G24" s="21" t="s">
        <v>3269</v>
      </c>
      <c r="H24" s="23" t="str">
        <f t="shared" si="0"/>
        <v>PASS</v>
      </c>
    </row>
    <row r="25" spans="1:8" ht="91" x14ac:dyDescent="0.2">
      <c r="A25" s="18" t="s">
        <v>3305</v>
      </c>
      <c r="B25" s="18" t="s">
        <v>3306</v>
      </c>
      <c r="C25" s="84">
        <v>53</v>
      </c>
      <c r="D25" s="18" t="s">
        <v>1907</v>
      </c>
      <c r="E25" s="22" t="s">
        <v>3307</v>
      </c>
      <c r="F25" s="18" t="s">
        <v>3308</v>
      </c>
      <c r="G25" s="21" t="s">
        <v>3269</v>
      </c>
      <c r="H25" s="23" t="str">
        <f t="shared" si="0"/>
        <v>PASS</v>
      </c>
    </row>
    <row r="26" spans="1:8" ht="65" x14ac:dyDescent="0.2">
      <c r="A26" s="18" t="s">
        <v>3310</v>
      </c>
      <c r="B26" s="18" t="s">
        <v>3311</v>
      </c>
      <c r="C26" s="84">
        <v>90</v>
      </c>
      <c r="D26" s="18" t="s">
        <v>1893</v>
      </c>
      <c r="E26" s="22" t="s">
        <v>3312</v>
      </c>
      <c r="F26" s="18" t="s">
        <v>3313</v>
      </c>
      <c r="G26" s="21" t="s">
        <v>3269</v>
      </c>
      <c r="H26" s="23" t="str">
        <f t="shared" si="0"/>
        <v>PASS</v>
      </c>
    </row>
    <row r="27" spans="1:8" ht="52" x14ac:dyDescent="0.2">
      <c r="A27" s="18" t="s">
        <v>3310</v>
      </c>
      <c r="B27" s="18" t="s">
        <v>3315</v>
      </c>
      <c r="C27" s="84">
        <v>120</v>
      </c>
      <c r="D27" s="18" t="s">
        <v>3316</v>
      </c>
      <c r="E27" s="22" t="s">
        <v>3317</v>
      </c>
      <c r="F27" s="18" t="s">
        <v>3318</v>
      </c>
      <c r="G27" s="21" t="s">
        <v>3269</v>
      </c>
      <c r="H27" s="23" t="str">
        <f t="shared" si="0"/>
        <v>PASS</v>
      </c>
    </row>
    <row r="28" spans="1:8" ht="39" x14ac:dyDescent="0.2">
      <c r="A28" s="18" t="s">
        <v>3310</v>
      </c>
      <c r="B28" s="18" t="s">
        <v>3320</v>
      </c>
      <c r="C28" s="84">
        <v>1.5</v>
      </c>
      <c r="D28" s="18" t="s">
        <v>3316</v>
      </c>
      <c r="E28" s="22" t="s">
        <v>3321</v>
      </c>
      <c r="F28" s="18" t="s">
        <v>3322</v>
      </c>
      <c r="G28" s="21" t="s">
        <v>3269</v>
      </c>
      <c r="H28" s="23" t="str">
        <f t="shared" si="0"/>
        <v>PASS</v>
      </c>
    </row>
    <row r="29" spans="1:8" ht="39" x14ac:dyDescent="0.2">
      <c r="A29" s="18" t="s">
        <v>3310</v>
      </c>
      <c r="B29" s="18" t="s">
        <v>3324</v>
      </c>
      <c r="C29" s="84">
        <v>90</v>
      </c>
      <c r="D29" s="18" t="s">
        <v>1893</v>
      </c>
      <c r="E29" s="22" t="s">
        <v>3325</v>
      </c>
      <c r="F29" s="18" t="s">
        <v>3326</v>
      </c>
      <c r="G29" s="21" t="s">
        <v>3269</v>
      </c>
      <c r="H29" s="23" t="str">
        <f t="shared" si="0"/>
        <v>PASS</v>
      </c>
    </row>
    <row r="30" spans="1:8" ht="39" x14ac:dyDescent="0.2">
      <c r="A30" s="18" t="s">
        <v>3310</v>
      </c>
      <c r="B30" s="18" t="s">
        <v>3328</v>
      </c>
      <c r="C30" s="84">
        <v>53</v>
      </c>
      <c r="D30" s="18" t="s">
        <v>1907</v>
      </c>
      <c r="E30" s="22" t="s">
        <v>3329</v>
      </c>
      <c r="F30" s="18" t="s">
        <v>3330</v>
      </c>
      <c r="G30" s="21" t="s">
        <v>3269</v>
      </c>
      <c r="H30" s="23" t="str">
        <f t="shared" si="0"/>
        <v>PASS</v>
      </c>
    </row>
    <row r="31" spans="1:8" ht="104" x14ac:dyDescent="0.2">
      <c r="A31" s="18" t="s">
        <v>3310</v>
      </c>
      <c r="B31" s="18" t="s">
        <v>3332</v>
      </c>
      <c r="C31" s="84">
        <v>106</v>
      </c>
      <c r="D31" s="18" t="s">
        <v>1886</v>
      </c>
      <c r="E31" s="22" t="s">
        <v>3333</v>
      </c>
      <c r="F31" s="18" t="s">
        <v>3334</v>
      </c>
      <c r="G31" s="21" t="s">
        <v>3269</v>
      </c>
      <c r="H31" s="23" t="str">
        <f t="shared" si="0"/>
        <v>PASS</v>
      </c>
    </row>
    <row r="32" spans="1:8" ht="104" x14ac:dyDescent="0.2">
      <c r="A32" s="18" t="s">
        <v>3310</v>
      </c>
      <c r="B32" s="18" t="s">
        <v>3336</v>
      </c>
      <c r="C32" s="84">
        <v>125</v>
      </c>
      <c r="D32" s="18" t="s">
        <v>1886</v>
      </c>
      <c r="E32" s="22" t="s">
        <v>3333</v>
      </c>
      <c r="F32" s="18" t="s">
        <v>3337</v>
      </c>
      <c r="G32" s="21" t="s">
        <v>3269</v>
      </c>
      <c r="H32" s="23" t="str">
        <f t="shared" si="0"/>
        <v>PASS</v>
      </c>
    </row>
    <row r="33" spans="1:8" ht="52" x14ac:dyDescent="0.2">
      <c r="A33" s="18" t="s">
        <v>3339</v>
      </c>
      <c r="B33" s="18" t="s">
        <v>3340</v>
      </c>
      <c r="C33" s="84">
        <v>1.8</v>
      </c>
      <c r="D33" s="18" t="s">
        <v>3316</v>
      </c>
      <c r="E33" s="22" t="s">
        <v>3341</v>
      </c>
      <c r="F33" s="18" t="s">
        <v>3342</v>
      </c>
      <c r="G33" s="21" t="s">
        <v>3269</v>
      </c>
      <c r="H33" s="23" t="str">
        <f t="shared" si="0"/>
        <v>PASS</v>
      </c>
    </row>
    <row r="34" spans="1:8" x14ac:dyDescent="0.2">
      <c r="A34" s="18" t="s">
        <v>3344</v>
      </c>
      <c r="B34" s="18" t="s">
        <v>3345</v>
      </c>
      <c r="C34" s="84">
        <f>B157</f>
        <v>1.3587468574622801</v>
      </c>
      <c r="D34" s="18" t="s">
        <v>3346</v>
      </c>
      <c r="E34" s="22" t="s">
        <v>3267</v>
      </c>
      <c r="F34" s="18" t="s">
        <v>3347</v>
      </c>
      <c r="G34" s="21" t="s">
        <v>3269</v>
      </c>
      <c r="H34" s="23" t="str">
        <f t="shared" si="0"/>
        <v>PASS</v>
      </c>
    </row>
    <row r="35" spans="1:8" x14ac:dyDescent="0.2">
      <c r="A35" s="18" t="s">
        <v>3349</v>
      </c>
      <c r="B35" s="18" t="s">
        <v>3350</v>
      </c>
      <c r="C35" s="84">
        <f>B187</f>
        <v>46.2</v>
      </c>
      <c r="D35" s="18" t="s">
        <v>3351</v>
      </c>
      <c r="E35" s="22" t="s">
        <v>3267</v>
      </c>
      <c r="F35" s="18" t="s">
        <v>3352</v>
      </c>
      <c r="G35" s="21" t="s">
        <v>3269</v>
      </c>
      <c r="H35" s="23" t="str">
        <f t="shared" si="0"/>
        <v>PASS</v>
      </c>
    </row>
    <row r="36" spans="1:8" x14ac:dyDescent="0.2">
      <c r="A36" s="18" t="s">
        <v>3354</v>
      </c>
      <c r="B36" s="18" t="s">
        <v>3355</v>
      </c>
      <c r="C36" s="84">
        <v>5</v>
      </c>
      <c r="D36" s="18" t="s">
        <v>36</v>
      </c>
      <c r="E36" s="22" t="s">
        <v>3267</v>
      </c>
      <c r="F36" s="18" t="s">
        <v>3356</v>
      </c>
      <c r="G36" s="21" t="s">
        <v>3269</v>
      </c>
      <c r="H36" s="23" t="str">
        <f t="shared" si="0"/>
        <v>PASS</v>
      </c>
    </row>
    <row r="37" spans="1:8" ht="39" x14ac:dyDescent="0.2">
      <c r="A37" s="18" t="s">
        <v>3358</v>
      </c>
      <c r="B37" s="18" t="s">
        <v>3359</v>
      </c>
      <c r="C37" s="84">
        <v>9.6530000000000005</v>
      </c>
      <c r="D37" s="18" t="s">
        <v>1907</v>
      </c>
      <c r="E37" s="22" t="s">
        <v>3360</v>
      </c>
      <c r="F37" s="18" t="s">
        <v>3361</v>
      </c>
      <c r="G37" s="21" t="s">
        <v>3269</v>
      </c>
      <c r="H37" s="23" t="str">
        <f t="shared" si="0"/>
        <v>PASS</v>
      </c>
    </row>
    <row r="38" spans="1:8" ht="39" x14ac:dyDescent="0.2">
      <c r="A38" s="18" t="s">
        <v>3358</v>
      </c>
      <c r="B38" s="18" t="s">
        <v>3363</v>
      </c>
      <c r="C38" s="84">
        <v>90</v>
      </c>
      <c r="D38" s="18" t="s">
        <v>22</v>
      </c>
      <c r="E38" s="22" t="s">
        <v>3360</v>
      </c>
      <c r="F38" s="18" t="s">
        <v>3364</v>
      </c>
      <c r="G38" s="21" t="s">
        <v>3269</v>
      </c>
      <c r="H38" s="23" t="str">
        <f t="shared" si="0"/>
        <v>PASS</v>
      </c>
    </row>
    <row r="39" spans="1:8" ht="52" x14ac:dyDescent="0.2">
      <c r="A39" s="18" t="s">
        <v>3366</v>
      </c>
      <c r="B39" s="18" t="s">
        <v>3367</v>
      </c>
      <c r="C39" s="84">
        <f>B251</f>
        <v>1500.8109999999999</v>
      </c>
      <c r="D39" s="18" t="s">
        <v>3351</v>
      </c>
      <c r="E39" s="22" t="s">
        <v>3368</v>
      </c>
      <c r="F39" s="18" t="s">
        <v>3369</v>
      </c>
      <c r="G39" s="21" t="s">
        <v>3269</v>
      </c>
      <c r="H39" s="23" t="str">
        <f t="shared" si="0"/>
        <v>PASS</v>
      </c>
    </row>
    <row r="40" spans="1:8" x14ac:dyDescent="0.2">
      <c r="A40" s="18" t="s">
        <v>3371</v>
      </c>
      <c r="B40" s="18" t="s">
        <v>3372</v>
      </c>
      <c r="C40" s="84">
        <f>B279</f>
        <v>3.46572421577573</v>
      </c>
      <c r="D40" s="18" t="s">
        <v>3373</v>
      </c>
      <c r="E40" s="22" t="s">
        <v>3267</v>
      </c>
      <c r="F40" s="18" t="s">
        <v>3374</v>
      </c>
      <c r="G40" s="21" t="s">
        <v>3269</v>
      </c>
      <c r="H40" s="23" t="str">
        <f t="shared" si="0"/>
        <v>PASS</v>
      </c>
    </row>
    <row r="41" spans="1:8" x14ac:dyDescent="0.2">
      <c r="A41" s="18" t="s">
        <v>3371</v>
      </c>
      <c r="B41" s="18" t="s">
        <v>3376</v>
      </c>
      <c r="C41" s="84">
        <f>B274</f>
        <v>23.083198494515401</v>
      </c>
      <c r="D41" s="18" t="s">
        <v>3377</v>
      </c>
      <c r="E41" s="22" t="s">
        <v>3267</v>
      </c>
      <c r="F41" s="18" t="s">
        <v>3378</v>
      </c>
      <c r="G41" s="21" t="s">
        <v>3269</v>
      </c>
      <c r="H41" s="23" t="str">
        <f t="shared" si="0"/>
        <v>PASS</v>
      </c>
    </row>
    <row r="42" spans="1:8" x14ac:dyDescent="0.2">
      <c r="A42" s="18" t="s">
        <v>3380</v>
      </c>
      <c r="B42" s="18" t="s">
        <v>3381</v>
      </c>
      <c r="C42" s="84">
        <v>640</v>
      </c>
      <c r="D42" s="18" t="s">
        <v>3382</v>
      </c>
      <c r="E42" s="22" t="s">
        <v>3267</v>
      </c>
      <c r="F42" s="18" t="s">
        <v>3383</v>
      </c>
      <c r="G42" s="21" t="s">
        <v>3269</v>
      </c>
      <c r="H42" s="23" t="str">
        <f t="shared" si="0"/>
        <v>PASS</v>
      </c>
    </row>
    <row r="43" spans="1:8" ht="39" x14ac:dyDescent="0.2">
      <c r="A43" s="18" t="s">
        <v>3385</v>
      </c>
      <c r="B43" s="18" t="s">
        <v>3386</v>
      </c>
      <c r="C43" s="84">
        <v>600.81100000000004</v>
      </c>
      <c r="D43" s="18" t="s">
        <v>3351</v>
      </c>
      <c r="E43" s="22" t="s">
        <v>3387</v>
      </c>
      <c r="F43" s="18" t="s">
        <v>3388</v>
      </c>
      <c r="G43" s="21" t="s">
        <v>3269</v>
      </c>
      <c r="H43" s="23" t="str">
        <f t="shared" si="0"/>
        <v>PASS</v>
      </c>
    </row>
    <row r="44" spans="1:8" ht="39" x14ac:dyDescent="0.2">
      <c r="A44" s="18" t="s">
        <v>3385</v>
      </c>
      <c r="B44" s="18" t="s">
        <v>3386</v>
      </c>
      <c r="C44" s="84">
        <f>B351</f>
        <v>556.12699999999995</v>
      </c>
      <c r="D44" s="18" t="s">
        <v>3351</v>
      </c>
      <c r="E44" s="22" t="s">
        <v>3387</v>
      </c>
      <c r="F44" s="18" t="s">
        <v>3390</v>
      </c>
      <c r="G44" s="21" t="s">
        <v>3269</v>
      </c>
      <c r="H44" s="23" t="str">
        <f t="shared" si="0"/>
        <v>PASS</v>
      </c>
    </row>
    <row r="45" spans="1:8" x14ac:dyDescent="0.2">
      <c r="A45" s="18" t="s">
        <v>3392</v>
      </c>
      <c r="B45" s="18" t="s">
        <v>3359</v>
      </c>
      <c r="C45" s="84">
        <v>7.5</v>
      </c>
      <c r="D45" s="18" t="s">
        <v>1907</v>
      </c>
      <c r="E45" s="22" t="s">
        <v>3267</v>
      </c>
      <c r="F45" s="18" t="s">
        <v>3393</v>
      </c>
      <c r="G45" s="21" t="s">
        <v>3269</v>
      </c>
      <c r="H45" s="23" t="str">
        <f t="shared" si="0"/>
        <v>PASS</v>
      </c>
    </row>
    <row r="46" spans="1:8" x14ac:dyDescent="0.2">
      <c r="A46" s="18" t="s">
        <v>3392</v>
      </c>
      <c r="B46" s="18" t="s">
        <v>3359</v>
      </c>
      <c r="C46" s="84">
        <v>1.923</v>
      </c>
      <c r="D46" s="18" t="s">
        <v>1907</v>
      </c>
      <c r="E46" s="22" t="s">
        <v>3267</v>
      </c>
      <c r="F46" s="18" t="s">
        <v>3395</v>
      </c>
      <c r="G46" s="21" t="s">
        <v>3269</v>
      </c>
      <c r="H46" s="23" t="str">
        <f t="shared" si="0"/>
        <v>PASS</v>
      </c>
    </row>
    <row r="47" spans="1:8" ht="65" x14ac:dyDescent="0.2">
      <c r="A47" s="18" t="s">
        <v>3397</v>
      </c>
      <c r="B47" s="18" t="s">
        <v>3398</v>
      </c>
      <c r="C47" s="84">
        <v>40</v>
      </c>
      <c r="D47" s="18" t="s">
        <v>36</v>
      </c>
      <c r="E47" s="22" t="s">
        <v>3399</v>
      </c>
      <c r="F47" s="18" t="s">
        <v>3400</v>
      </c>
      <c r="G47" s="21" t="s">
        <v>3269</v>
      </c>
      <c r="H47" s="23" t="str">
        <f t="shared" si="0"/>
        <v>PASS</v>
      </c>
    </row>
    <row r="48" spans="1:8" ht="65" x14ac:dyDescent="0.2">
      <c r="A48" s="18" t="s">
        <v>3397</v>
      </c>
      <c r="B48" s="18" t="s">
        <v>3402</v>
      </c>
      <c r="C48" s="84">
        <v>40</v>
      </c>
      <c r="D48" s="18" t="s">
        <v>36</v>
      </c>
      <c r="E48" s="22" t="s">
        <v>3399</v>
      </c>
      <c r="F48" s="18" t="s">
        <v>3403</v>
      </c>
      <c r="G48" s="21" t="s">
        <v>3269</v>
      </c>
      <c r="H48" s="23" t="str">
        <f t="shared" si="0"/>
        <v>PASS</v>
      </c>
    </row>
    <row r="49" spans="1:9" ht="65" x14ac:dyDescent="0.2">
      <c r="A49" s="18" t="s">
        <v>3397</v>
      </c>
      <c r="B49" s="18" t="s">
        <v>3405</v>
      </c>
      <c r="C49" s="84">
        <v>261.60000000000002</v>
      </c>
      <c r="D49" s="18" t="s">
        <v>36</v>
      </c>
      <c r="E49" s="22" t="s">
        <v>3399</v>
      </c>
      <c r="F49" s="18" t="s">
        <v>3406</v>
      </c>
      <c r="G49" s="21" t="s">
        <v>3269</v>
      </c>
      <c r="H49" s="23" t="str">
        <f t="shared" si="0"/>
        <v>PASS</v>
      </c>
    </row>
    <row r="50" spans="1:9" x14ac:dyDescent="0.2">
      <c r="A50" s="18" t="s">
        <v>3407</v>
      </c>
      <c r="B50" s="18" t="s">
        <v>3408</v>
      </c>
      <c r="C50" s="84">
        <v>363.6</v>
      </c>
      <c r="D50" s="18" t="s">
        <v>3373</v>
      </c>
      <c r="E50" s="22" t="s">
        <v>3267</v>
      </c>
      <c r="F50" s="18" t="s">
        <v>3409</v>
      </c>
      <c r="G50" s="21" t="s">
        <v>3269</v>
      </c>
      <c r="H50" s="23" t="str">
        <f t="shared" si="0"/>
        <v>PASS</v>
      </c>
    </row>
    <row r="51" spans="1:9" x14ac:dyDescent="0.2">
      <c r="A51" s="18" t="s">
        <v>3407</v>
      </c>
      <c r="B51" s="18" t="s">
        <v>3410</v>
      </c>
      <c r="C51" s="84">
        <v>8</v>
      </c>
      <c r="D51" s="18" t="s">
        <v>22</v>
      </c>
      <c r="E51" s="22" t="s">
        <v>3267</v>
      </c>
      <c r="F51" s="18" t="s">
        <v>3411</v>
      </c>
      <c r="G51" s="21" t="s">
        <v>3269</v>
      </c>
      <c r="H51" s="23" t="str">
        <f t="shared" si="0"/>
        <v>PASS</v>
      </c>
    </row>
    <row r="52" spans="1:9" x14ac:dyDescent="0.2">
      <c r="A52" s="18" t="s">
        <v>3407</v>
      </c>
      <c r="B52" s="18" t="s">
        <v>3412</v>
      </c>
      <c r="C52" s="84">
        <v>115727</v>
      </c>
      <c r="D52" s="18" t="s">
        <v>151</v>
      </c>
      <c r="E52" s="22" t="s">
        <v>3267</v>
      </c>
      <c r="F52" s="18" t="s">
        <v>3413</v>
      </c>
      <c r="G52" s="21" t="s">
        <v>3269</v>
      </c>
      <c r="H52" s="23" t="str">
        <f t="shared" si="0"/>
        <v>PASS</v>
      </c>
    </row>
    <row r="54" spans="1:9" ht="24" customHeight="1" x14ac:dyDescent="0.2">
      <c r="A54" s="12" t="s">
        <v>3763</v>
      </c>
      <c r="B54" s="12"/>
      <c r="C54" s="12"/>
      <c r="D54" s="12"/>
      <c r="E54" s="12"/>
      <c r="F54" s="12"/>
      <c r="G54" s="12"/>
      <c r="H54" s="12"/>
    </row>
    <row r="56" spans="1:9" x14ac:dyDescent="0.2">
      <c r="A56" s="6" t="s">
        <v>3764</v>
      </c>
      <c r="B56" s="6"/>
      <c r="C56" s="6"/>
      <c r="D56" s="6"/>
      <c r="E56" s="6"/>
      <c r="F56" s="6"/>
      <c r="G56" s="6"/>
      <c r="H56" s="6"/>
    </row>
    <row r="57" spans="1:9" ht="16" x14ac:dyDescent="0.2">
      <c r="A57" s="16" t="s">
        <v>3765</v>
      </c>
      <c r="B57" s="16" t="s">
        <v>3766</v>
      </c>
      <c r="C57" s="16" t="s">
        <v>15</v>
      </c>
      <c r="D57" s="16" t="s">
        <v>3767</v>
      </c>
      <c r="E57" s="16" t="s">
        <v>3768</v>
      </c>
      <c r="F57" s="16" t="s">
        <v>3769</v>
      </c>
      <c r="G57" s="16" t="s">
        <v>15</v>
      </c>
      <c r="H57" s="16" t="s">
        <v>3770</v>
      </c>
      <c r="I57" s="17" t="s">
        <v>20</v>
      </c>
    </row>
    <row r="58" spans="1:9" x14ac:dyDescent="0.2">
      <c r="A58" s="24" t="s">
        <v>3771</v>
      </c>
      <c r="D58" s="119" t="s">
        <v>3772</v>
      </c>
      <c r="I58" s="23" t="str">
        <f>IF(AND(LEN(TRIM(A58&amp;""))&gt;0,TRIM(A58&amp;"")&lt;&gt;"—"),"PASS","⚠ FAIL — "&amp;"a required cell is empty/placeholder or wrong type")</f>
        <v>PASS</v>
      </c>
    </row>
    <row r="59" spans="1:9" x14ac:dyDescent="0.2">
      <c r="A59" s="119" t="s">
        <v>3773</v>
      </c>
      <c r="B59" s="121">
        <v>3.1019999999999999</v>
      </c>
      <c r="C59" t="s">
        <v>3774</v>
      </c>
      <c r="I59" s="23" t="str">
        <f>IF(AND(LEN(TRIM(A59&amp;""))&gt;0,TRIM(A59&amp;"")&lt;&gt;"—"),"PASS","⚠ FAIL — "&amp;"a required cell is empty/placeholder or wrong type")</f>
        <v>PASS</v>
      </c>
    </row>
    <row r="60" spans="1:9" x14ac:dyDescent="0.2">
      <c r="A60" s="119" t="s">
        <v>3775</v>
      </c>
      <c r="B60" s="121">
        <v>0.239006</v>
      </c>
      <c r="C60" t="s">
        <v>3776</v>
      </c>
      <c r="I60" s="23" t="str">
        <f>IF(AND(LEN(TRIM(A60&amp;""))&gt;0,TRIM(A60&amp;"")&lt;&gt;"—"),"PASS","⚠ FAIL — "&amp;"a required cell is empty/placeholder or wrong type")</f>
        <v>PASS</v>
      </c>
    </row>
    <row r="61" spans="1:9" ht="26" x14ac:dyDescent="0.2">
      <c r="A61" s="24" t="s">
        <v>3777</v>
      </c>
      <c r="B61" s="60">
        <v>0.74137799999999998</v>
      </c>
      <c r="C61" t="s">
        <v>3266</v>
      </c>
      <c r="D61" s="119" t="s">
        <v>3778</v>
      </c>
      <c r="E61" s="122">
        <v>0.74099999999999999</v>
      </c>
      <c r="F61" s="122">
        <f>B61-E61</f>
        <v>3.7799999999998946E-4</v>
      </c>
      <c r="G61" t="s">
        <v>3266</v>
      </c>
      <c r="H61" s="14" t="s">
        <v>3779</v>
      </c>
      <c r="I61" s="23" t="str">
        <f>IF(AND(LEN(TRIM(A61&amp;""))&gt;0,TRIM(A61&amp;"")&lt;&gt;"—"),"PASS","⚠ FAIL — "&amp;"a required cell is empty/placeholder or wrong type")</f>
        <v>PASS</v>
      </c>
    </row>
    <row r="64" spans="1:9" x14ac:dyDescent="0.2">
      <c r="A64" s="6" t="s">
        <v>3780</v>
      </c>
      <c r="B64" s="6"/>
      <c r="C64" s="6"/>
      <c r="D64" s="6"/>
      <c r="E64" s="6"/>
      <c r="F64" s="6"/>
      <c r="G64" s="6"/>
      <c r="H64" s="6"/>
    </row>
    <row r="65" spans="1:9" ht="16" x14ac:dyDescent="0.2">
      <c r="A65" s="16" t="s">
        <v>3765</v>
      </c>
      <c r="B65" s="16" t="s">
        <v>3766</v>
      </c>
      <c r="C65" s="16" t="s">
        <v>15</v>
      </c>
      <c r="D65" s="16" t="s">
        <v>3767</v>
      </c>
      <c r="E65" s="16" t="s">
        <v>3768</v>
      </c>
      <c r="F65" s="16" t="s">
        <v>3769</v>
      </c>
      <c r="G65" s="16" t="s">
        <v>15</v>
      </c>
      <c r="H65" s="16" t="s">
        <v>3770</v>
      </c>
      <c r="I65" s="17" t="s">
        <v>20</v>
      </c>
    </row>
    <row r="66" spans="1:9" x14ac:dyDescent="0.2">
      <c r="A66" s="24" t="s">
        <v>3781</v>
      </c>
      <c r="D66" s="119" t="s">
        <v>3782</v>
      </c>
      <c r="I66" s="23" t="str">
        <f>IF(AND(LEN(TRIM(A66&amp;""))&gt;0,TRIM(A66&amp;"")&lt;&gt;"—"),"PASS","⚠ FAIL — "&amp;"a required cell is empty/placeholder or wrong type")</f>
        <v>PASS</v>
      </c>
    </row>
    <row r="67" spans="1:9" x14ac:dyDescent="0.2">
      <c r="A67" s="119" t="s">
        <v>3783</v>
      </c>
      <c r="B67" s="121">
        <v>2.15</v>
      </c>
      <c r="C67" t="s">
        <v>3784</v>
      </c>
      <c r="I67" s="23" t="str">
        <f>IF(AND(LEN(TRIM(A67&amp;""))&gt;0,TRIM(A67&amp;"")&lt;&gt;"—"),"PASS","⚠ FAIL — "&amp;"a required cell is empty/placeholder or wrong type")</f>
        <v>PASS</v>
      </c>
    </row>
    <row r="68" spans="1:9" x14ac:dyDescent="0.2">
      <c r="A68" s="119" t="s">
        <v>3785</v>
      </c>
      <c r="B68" s="121">
        <v>1.06</v>
      </c>
      <c r="C68" t="s">
        <v>3784</v>
      </c>
      <c r="I68" s="23" t="str">
        <f>IF(AND(LEN(TRIM(A68&amp;""))&gt;0,TRIM(A68&amp;"")&lt;&gt;"—"),"PASS","⚠ FAIL — "&amp;"a required cell is empty/placeholder or wrong type")</f>
        <v>PASS</v>
      </c>
    </row>
    <row r="69" spans="1:9" x14ac:dyDescent="0.2">
      <c r="A69" s="24" t="s">
        <v>3777</v>
      </c>
      <c r="B69" s="60">
        <v>1.635</v>
      </c>
      <c r="C69" t="s">
        <v>3784</v>
      </c>
      <c r="D69" s="119" t="s">
        <v>3786</v>
      </c>
      <c r="E69" s="122">
        <v>1.635</v>
      </c>
      <c r="F69" s="122">
        <f>B69-E69</f>
        <v>0</v>
      </c>
      <c r="G69" t="s">
        <v>3784</v>
      </c>
      <c r="H69" s="14" t="s">
        <v>3787</v>
      </c>
      <c r="I69" s="23" t="str">
        <f>IF(AND(LEN(TRIM(A69&amp;""))&gt;0,TRIM(A69&amp;"")&lt;&gt;"—"),"PASS","⚠ FAIL — "&amp;"a required cell is empty/placeholder or wrong type")</f>
        <v>PASS</v>
      </c>
    </row>
    <row r="71" spans="1:9" x14ac:dyDescent="0.2">
      <c r="A71" s="24" t="s">
        <v>3788</v>
      </c>
      <c r="D71" s="119" t="s">
        <v>3789</v>
      </c>
    </row>
    <row r="72" spans="1:9" x14ac:dyDescent="0.2">
      <c r="A72" s="119" t="s">
        <v>3783</v>
      </c>
      <c r="B72" s="121">
        <v>2.15</v>
      </c>
      <c r="C72" t="s">
        <v>3784</v>
      </c>
    </row>
    <row r="73" spans="1:9" x14ac:dyDescent="0.2">
      <c r="A73" s="119" t="s">
        <v>3790</v>
      </c>
      <c r="B73" s="60">
        <f>$B$69</f>
        <v>1.635</v>
      </c>
      <c r="C73" t="s">
        <v>3784</v>
      </c>
      <c r="H73" s="17" t="s">
        <v>3791</v>
      </c>
    </row>
    <row r="74" spans="1:9" x14ac:dyDescent="0.2">
      <c r="A74" s="24" t="s">
        <v>3777</v>
      </c>
      <c r="B74" s="60">
        <v>0.51500000000000001</v>
      </c>
      <c r="C74" t="s">
        <v>3784</v>
      </c>
      <c r="D74" s="119" t="s">
        <v>3792</v>
      </c>
      <c r="E74" s="122">
        <v>0.51500000000000001</v>
      </c>
      <c r="F74" s="122">
        <f>B74-E74</f>
        <v>0</v>
      </c>
      <c r="G74" t="s">
        <v>3784</v>
      </c>
      <c r="H74" s="14" t="s">
        <v>3793</v>
      </c>
    </row>
    <row r="76" spans="1:9" x14ac:dyDescent="0.2">
      <c r="A76" s="24" t="s">
        <v>3794</v>
      </c>
      <c r="D76" s="119" t="s">
        <v>3795</v>
      </c>
    </row>
    <row r="77" spans="1:9" x14ac:dyDescent="0.2">
      <c r="A77" s="119" t="s">
        <v>3796</v>
      </c>
      <c r="B77" s="121">
        <v>1</v>
      </c>
    </row>
    <row r="78" spans="1:9" x14ac:dyDescent="0.2">
      <c r="A78" s="119" t="s">
        <v>3790</v>
      </c>
      <c r="B78" s="60">
        <f>$B$69</f>
        <v>1.635</v>
      </c>
      <c r="C78" t="s">
        <v>3784</v>
      </c>
      <c r="H78" s="17" t="s">
        <v>3791</v>
      </c>
    </row>
    <row r="79" spans="1:9" x14ac:dyDescent="0.2">
      <c r="A79" s="119" t="s">
        <v>3797</v>
      </c>
      <c r="B79" s="60">
        <f>$B$74</f>
        <v>0.51500000000000001</v>
      </c>
      <c r="C79" t="s">
        <v>3784</v>
      </c>
      <c r="H79" s="17" t="s">
        <v>3798</v>
      </c>
    </row>
    <row r="80" spans="1:9" x14ac:dyDescent="0.2">
      <c r="A80" s="119" t="s">
        <v>3799</v>
      </c>
      <c r="B80" s="121">
        <v>5</v>
      </c>
      <c r="C80" t="s">
        <v>3784</v>
      </c>
    </row>
    <row r="81" spans="1:9" x14ac:dyDescent="0.2">
      <c r="A81" s="24" t="s">
        <v>3777</v>
      </c>
      <c r="B81" s="60">
        <v>0.296464188576609</v>
      </c>
      <c r="D81" s="119" t="s">
        <v>3800</v>
      </c>
      <c r="E81" s="122">
        <v>0.29646400000000001</v>
      </c>
      <c r="F81" s="122">
        <f>B81-E81</f>
        <v>1.885766089948504E-7</v>
      </c>
      <c r="H81" s="14" t="s">
        <v>3801</v>
      </c>
    </row>
    <row r="83" spans="1:9" x14ac:dyDescent="0.2">
      <c r="A83" s="24" t="s">
        <v>3802</v>
      </c>
      <c r="D83" s="119" t="s">
        <v>3803</v>
      </c>
    </row>
    <row r="84" spans="1:9" x14ac:dyDescent="0.2">
      <c r="A84" s="119" t="s">
        <v>3804</v>
      </c>
      <c r="B84" s="60">
        <f>$B$81</f>
        <v>0.296464188576609</v>
      </c>
      <c r="H84" s="17" t="s">
        <v>3805</v>
      </c>
    </row>
    <row r="85" spans="1:9" x14ac:dyDescent="0.2">
      <c r="A85" s="119" t="s">
        <v>3806</v>
      </c>
      <c r="B85" s="121">
        <v>1.635</v>
      </c>
      <c r="C85" t="s">
        <v>3784</v>
      </c>
    </row>
    <row r="86" spans="1:9" x14ac:dyDescent="0.2">
      <c r="A86" s="24" t="s">
        <v>3777</v>
      </c>
      <c r="B86" s="60">
        <v>0.18134556574923599</v>
      </c>
      <c r="C86" t="s">
        <v>3807</v>
      </c>
      <c r="D86" s="119" t="s">
        <v>3808</v>
      </c>
      <c r="E86" s="122">
        <v>0.18132400000000001</v>
      </c>
      <c r="F86" s="122">
        <f>B86-E86</f>
        <v>2.1565749235979981E-5</v>
      </c>
      <c r="G86" t="s">
        <v>3807</v>
      </c>
      <c r="H86" s="14" t="s">
        <v>3809</v>
      </c>
    </row>
    <row r="89" spans="1:9" x14ac:dyDescent="0.2">
      <c r="A89" s="6" t="s">
        <v>3810</v>
      </c>
      <c r="B89" s="6"/>
      <c r="C89" s="6"/>
      <c r="D89" s="6"/>
      <c r="E89" s="6"/>
      <c r="F89" s="6"/>
      <c r="G89" s="6"/>
      <c r="H89" s="6"/>
    </row>
    <row r="90" spans="1:9" ht="16" x14ac:dyDescent="0.2">
      <c r="A90" s="16" t="s">
        <v>3765</v>
      </c>
      <c r="B90" s="16" t="s">
        <v>3766</v>
      </c>
      <c r="C90" s="16" t="s">
        <v>15</v>
      </c>
      <c r="D90" s="16" t="s">
        <v>3767</v>
      </c>
      <c r="E90" s="16" t="s">
        <v>3768</v>
      </c>
      <c r="F90" s="16" t="s">
        <v>3769</v>
      </c>
      <c r="G90" s="16" t="s">
        <v>15</v>
      </c>
      <c r="H90" s="16" t="s">
        <v>3770</v>
      </c>
      <c r="I90" s="17" t="s">
        <v>20</v>
      </c>
    </row>
    <row r="91" spans="1:9" x14ac:dyDescent="0.2">
      <c r="A91" s="24" t="s">
        <v>3811</v>
      </c>
      <c r="D91" s="119" t="s">
        <v>3812</v>
      </c>
      <c r="I91" s="23" t="str">
        <f>IF(AND(LEN(TRIM(A91&amp;""))&gt;0,TRIM(A91&amp;"")&lt;&gt;"—"),"PASS","⚠ FAIL — "&amp;"a required cell is empty/placeholder or wrong type")</f>
        <v>PASS</v>
      </c>
    </row>
    <row r="92" spans="1:9" x14ac:dyDescent="0.2">
      <c r="A92" s="119" t="s">
        <v>3813</v>
      </c>
      <c r="B92" s="121">
        <v>108.25</v>
      </c>
      <c r="C92" t="s">
        <v>1886</v>
      </c>
      <c r="I92" s="23" t="str">
        <f>IF(AND(LEN(TRIM(A92&amp;""))&gt;0,TRIM(A92&amp;"")&lt;&gt;"—"),"PASS","⚠ FAIL — "&amp;"a required cell is empty/placeholder or wrong type")</f>
        <v>PASS</v>
      </c>
    </row>
    <row r="93" spans="1:9" x14ac:dyDescent="0.2">
      <c r="A93" s="119" t="s">
        <v>3814</v>
      </c>
      <c r="B93" s="121">
        <v>1</v>
      </c>
      <c r="I93" s="23" t="str">
        <f>IF(AND(LEN(TRIM(A93&amp;""))&gt;0,TRIM(A93&amp;"")&lt;&gt;"—"),"PASS","⚠ FAIL — "&amp;"a required cell is empty/placeholder or wrong type")</f>
        <v>PASS</v>
      </c>
    </row>
    <row r="94" spans="1:9" x14ac:dyDescent="0.2">
      <c r="A94" s="119" t="s">
        <v>3815</v>
      </c>
      <c r="B94" s="121">
        <v>1</v>
      </c>
      <c r="I94" s="23" t="str">
        <f>IF(AND(LEN(TRIM(A94&amp;""))&gt;0,TRIM(A94&amp;"")&lt;&gt;"—"),"PASS","⚠ FAIL — "&amp;"a required cell is empty/placeholder or wrong type")</f>
        <v>PASS</v>
      </c>
    </row>
    <row r="95" spans="1:9" x14ac:dyDescent="0.2">
      <c r="A95" s="24" t="s">
        <v>3777</v>
      </c>
      <c r="B95" s="60">
        <v>108.25</v>
      </c>
      <c r="C95" t="s">
        <v>1886</v>
      </c>
      <c r="D95" s="119" t="s">
        <v>3816</v>
      </c>
      <c r="E95" s="122">
        <v>108.25</v>
      </c>
      <c r="F95" s="122">
        <f>B95-E95</f>
        <v>0</v>
      </c>
      <c r="G95" t="s">
        <v>1886</v>
      </c>
      <c r="H95" s="14" t="s">
        <v>3817</v>
      </c>
      <c r="I95" s="23" t="str">
        <f>IF(AND(LEN(TRIM(A95&amp;""))&gt;0,TRIM(A95&amp;"")&lt;&gt;"—"),"PASS","⚠ FAIL — "&amp;"a required cell is empty/placeholder or wrong type")</f>
        <v>PASS</v>
      </c>
    </row>
    <row r="97" spans="1:8" x14ac:dyDescent="0.2">
      <c r="A97" s="24" t="s">
        <v>3818</v>
      </c>
      <c r="D97" s="119" t="s">
        <v>3819</v>
      </c>
    </row>
    <row r="98" spans="1:8" x14ac:dyDescent="0.2">
      <c r="A98" s="119" t="s">
        <v>3820</v>
      </c>
      <c r="B98" s="60">
        <f>$B$95</f>
        <v>108.25</v>
      </c>
      <c r="C98" t="s">
        <v>1886</v>
      </c>
      <c r="H98" s="17" t="s">
        <v>3821</v>
      </c>
    </row>
    <row r="99" spans="1:8" x14ac:dyDescent="0.2">
      <c r="A99" s="119" t="s">
        <v>3822</v>
      </c>
      <c r="B99" s="121">
        <v>1</v>
      </c>
    </row>
    <row r="100" spans="1:8" x14ac:dyDescent="0.2">
      <c r="A100" s="24" t="s">
        <v>3777</v>
      </c>
      <c r="B100" s="60">
        <v>25</v>
      </c>
      <c r="C100" t="s">
        <v>3277</v>
      </c>
      <c r="D100" s="119" t="s">
        <v>3823</v>
      </c>
      <c r="E100" s="122">
        <v>25</v>
      </c>
      <c r="F100" s="122">
        <f>B100-E100</f>
        <v>0</v>
      </c>
      <c r="G100" t="s">
        <v>3277</v>
      </c>
      <c r="H100" s="14" t="s">
        <v>3824</v>
      </c>
    </row>
    <row r="102" spans="1:8" x14ac:dyDescent="0.2">
      <c r="A102" s="24" t="s">
        <v>3825</v>
      </c>
      <c r="D102" s="119" t="s">
        <v>3826</v>
      </c>
    </row>
    <row r="103" spans="1:8" x14ac:dyDescent="0.2">
      <c r="A103" s="119" t="s">
        <v>3827</v>
      </c>
      <c r="B103" s="121">
        <v>1.5</v>
      </c>
      <c r="C103" t="s">
        <v>3828</v>
      </c>
    </row>
    <row r="104" spans="1:8" x14ac:dyDescent="0.2">
      <c r="A104" s="119" t="s">
        <v>3813</v>
      </c>
      <c r="B104" s="121">
        <v>108.25</v>
      </c>
      <c r="C104" t="s">
        <v>1886</v>
      </c>
    </row>
    <row r="105" spans="1:8" x14ac:dyDescent="0.2">
      <c r="A105" s="119" t="s">
        <v>3799</v>
      </c>
      <c r="B105" s="121">
        <v>50</v>
      </c>
      <c r="C105" t="s">
        <v>3346</v>
      </c>
    </row>
    <row r="106" spans="1:8" x14ac:dyDescent="0.2">
      <c r="A106" s="119" t="s">
        <v>3822</v>
      </c>
      <c r="B106" s="121">
        <v>1</v>
      </c>
    </row>
    <row r="107" spans="1:8" x14ac:dyDescent="0.2">
      <c r="A107" s="24" t="s">
        <v>3777</v>
      </c>
      <c r="B107" s="60">
        <v>8.1187500000000004</v>
      </c>
      <c r="C107" t="s">
        <v>3829</v>
      </c>
      <c r="D107" s="119" t="s">
        <v>3830</v>
      </c>
      <c r="E107" s="122">
        <v>8.1189999999999998</v>
      </c>
      <c r="F107" s="122">
        <f>B107-E107</f>
        <v>-2.4999999999941735E-4</v>
      </c>
      <c r="G107" t="s">
        <v>3829</v>
      </c>
      <c r="H107" s="14" t="s">
        <v>3831</v>
      </c>
    </row>
    <row r="109" spans="1:8" x14ac:dyDescent="0.2">
      <c r="A109" s="24" t="s">
        <v>3832</v>
      </c>
      <c r="D109" s="119" t="s">
        <v>3833</v>
      </c>
    </row>
    <row r="110" spans="1:8" x14ac:dyDescent="0.2">
      <c r="A110" s="119" t="s">
        <v>3834</v>
      </c>
      <c r="B110" s="60">
        <f>$B$107</f>
        <v>8.1187500000000004</v>
      </c>
      <c r="C110" t="s">
        <v>3829</v>
      </c>
      <c r="H110" s="17" t="s">
        <v>3835</v>
      </c>
    </row>
    <row r="111" spans="1:8" x14ac:dyDescent="0.2">
      <c r="A111" s="119" t="s">
        <v>3836</v>
      </c>
      <c r="B111" s="121">
        <v>400</v>
      </c>
      <c r="C111" t="s">
        <v>3829</v>
      </c>
    </row>
    <row r="112" spans="1:8" x14ac:dyDescent="0.2">
      <c r="A112" s="24" t="s">
        <v>3777</v>
      </c>
      <c r="B112" s="60">
        <v>2.0297499999999999</v>
      </c>
      <c r="C112" t="s">
        <v>33</v>
      </c>
      <c r="D112" s="119" t="s">
        <v>3837</v>
      </c>
      <c r="E112" s="122">
        <v>2.0299999999999998</v>
      </c>
      <c r="F112" s="122">
        <f>B112-E112</f>
        <v>-2.4999999999986144E-4</v>
      </c>
      <c r="G112" t="s">
        <v>33</v>
      </c>
      <c r="H112" s="14" t="s">
        <v>3838</v>
      </c>
    </row>
    <row r="115" spans="1:9" x14ac:dyDescent="0.2">
      <c r="A115" s="6" t="s">
        <v>3839</v>
      </c>
      <c r="B115" s="6"/>
      <c r="C115" s="6"/>
      <c r="D115" s="6"/>
      <c r="E115" s="6"/>
      <c r="F115" s="6"/>
      <c r="G115" s="6"/>
      <c r="H115" s="6"/>
    </row>
    <row r="116" spans="1:9" ht="16" x14ac:dyDescent="0.2">
      <c r="A116" s="16" t="s">
        <v>3765</v>
      </c>
      <c r="B116" s="16" t="s">
        <v>3766</v>
      </c>
      <c r="C116" s="16" t="s">
        <v>15</v>
      </c>
      <c r="D116" s="16" t="s">
        <v>3767</v>
      </c>
      <c r="E116" s="16" t="s">
        <v>3768</v>
      </c>
      <c r="F116" s="16" t="s">
        <v>3769</v>
      </c>
      <c r="G116" s="16" t="s">
        <v>15</v>
      </c>
      <c r="H116" s="16" t="s">
        <v>3770</v>
      </c>
      <c r="I116" s="17" t="s">
        <v>20</v>
      </c>
    </row>
    <row r="117" spans="1:9" x14ac:dyDescent="0.2">
      <c r="A117" s="24" t="s">
        <v>3840</v>
      </c>
      <c r="D117" s="119" t="s">
        <v>3841</v>
      </c>
      <c r="I117" s="23" t="str">
        <f>IF(AND(LEN(TRIM(A117&amp;""))&gt;0,TRIM(A117&amp;"")&lt;&gt;"—"),"PASS","⚠ FAIL — "&amp;"a required cell is empty/placeholder or wrong type")</f>
        <v>PASS</v>
      </c>
    </row>
    <row r="118" spans="1:9" x14ac:dyDescent="0.2">
      <c r="A118" s="119" t="s">
        <v>3842</v>
      </c>
      <c r="B118" s="121">
        <v>53</v>
      </c>
      <c r="C118" t="s">
        <v>1907</v>
      </c>
      <c r="I118" s="23" t="str">
        <f>IF(AND(LEN(TRIM(A118&amp;""))&gt;0,TRIM(A118&amp;"")&lt;&gt;"—"),"PASS","⚠ FAIL — "&amp;"a required cell is empty/placeholder or wrong type")</f>
        <v>PASS</v>
      </c>
    </row>
    <row r="119" spans="1:9" x14ac:dyDescent="0.2">
      <c r="A119" s="119" t="s">
        <v>3843</v>
      </c>
      <c r="B119" s="121">
        <v>0.85</v>
      </c>
      <c r="I119" s="23" t="str">
        <f>IF(AND(LEN(TRIM(A119&amp;""))&gt;0,TRIM(A119&amp;"")&lt;&gt;"—"),"PASS","⚠ FAIL — "&amp;"a required cell is empty/placeholder or wrong type")</f>
        <v>PASS</v>
      </c>
    </row>
    <row r="120" spans="1:9" x14ac:dyDescent="0.2">
      <c r="A120" s="24" t="s">
        <v>3777</v>
      </c>
      <c r="B120" s="60">
        <v>62.352941176470601</v>
      </c>
      <c r="C120" t="s">
        <v>1904</v>
      </c>
      <c r="D120" s="119" t="s">
        <v>3844</v>
      </c>
      <c r="E120" s="122">
        <v>62.35</v>
      </c>
      <c r="F120" s="122">
        <f>B120-E120</f>
        <v>2.9411764705997712E-3</v>
      </c>
      <c r="G120" t="s">
        <v>1904</v>
      </c>
      <c r="H120" s="14" t="s">
        <v>3845</v>
      </c>
      <c r="I120" s="23" t="str">
        <f>IF(AND(LEN(TRIM(A120&amp;""))&gt;0,TRIM(A120&amp;"")&lt;&gt;"—"),"PASS","⚠ FAIL — "&amp;"a required cell is empty/placeholder or wrong type")</f>
        <v>PASS</v>
      </c>
    </row>
    <row r="122" spans="1:9" x14ac:dyDescent="0.2">
      <c r="A122" s="24" t="s">
        <v>3846</v>
      </c>
      <c r="D122" s="119" t="s">
        <v>3847</v>
      </c>
    </row>
    <row r="123" spans="1:9" x14ac:dyDescent="0.2">
      <c r="A123" s="119" t="s">
        <v>3842</v>
      </c>
      <c r="B123" s="121">
        <v>53</v>
      </c>
      <c r="C123" t="s">
        <v>1907</v>
      </c>
    </row>
    <row r="124" spans="1:9" x14ac:dyDescent="0.2">
      <c r="A124" s="119" t="s">
        <v>3848</v>
      </c>
      <c r="B124" s="121">
        <v>0.25</v>
      </c>
    </row>
    <row r="125" spans="1:9" x14ac:dyDescent="0.2">
      <c r="A125" s="24" t="s">
        <v>3777</v>
      </c>
      <c r="B125" s="60">
        <v>66.25</v>
      </c>
      <c r="C125" t="s">
        <v>1904</v>
      </c>
      <c r="D125" s="119" t="s">
        <v>3849</v>
      </c>
      <c r="E125" s="122">
        <v>66.25</v>
      </c>
      <c r="F125" s="122">
        <f>B125-E125</f>
        <v>0</v>
      </c>
      <c r="G125" t="s">
        <v>1904</v>
      </c>
      <c r="H125" s="14" t="s">
        <v>3850</v>
      </c>
    </row>
    <row r="127" spans="1:9" x14ac:dyDescent="0.2">
      <c r="A127" s="24" t="s">
        <v>3851</v>
      </c>
      <c r="D127" s="119" t="s">
        <v>3852</v>
      </c>
    </row>
    <row r="128" spans="1:9" x14ac:dyDescent="0.2">
      <c r="A128" s="119" t="s">
        <v>3853</v>
      </c>
      <c r="B128" s="60">
        <f>$B$125</f>
        <v>66.25</v>
      </c>
      <c r="C128" t="s">
        <v>1904</v>
      </c>
      <c r="H128" s="17" t="s">
        <v>3854</v>
      </c>
    </row>
    <row r="129" spans="1:9" ht="26" x14ac:dyDescent="0.2">
      <c r="A129" s="24" t="s">
        <v>3777</v>
      </c>
      <c r="B129" s="60">
        <v>75</v>
      </c>
      <c r="C129" t="s">
        <v>1904</v>
      </c>
      <c r="D129" s="119" t="s">
        <v>3855</v>
      </c>
      <c r="E129" s="122">
        <v>75</v>
      </c>
      <c r="F129" s="122">
        <f>B129-E129</f>
        <v>0</v>
      </c>
      <c r="G129" t="s">
        <v>1904</v>
      </c>
      <c r="H129" s="14" t="s">
        <v>3856</v>
      </c>
    </row>
    <row r="131" spans="1:9" x14ac:dyDescent="0.2">
      <c r="A131" s="24" t="s">
        <v>3857</v>
      </c>
      <c r="D131" s="119" t="s">
        <v>3858</v>
      </c>
    </row>
    <row r="132" spans="1:9" x14ac:dyDescent="0.2">
      <c r="A132" s="119" t="s">
        <v>3859</v>
      </c>
      <c r="B132" s="121">
        <v>75</v>
      </c>
      <c r="C132" t="s">
        <v>1904</v>
      </c>
    </row>
    <row r="133" spans="1:9" x14ac:dyDescent="0.2">
      <c r="A133" s="119" t="s">
        <v>3860</v>
      </c>
      <c r="B133" s="121">
        <v>11000</v>
      </c>
      <c r="C133" t="s">
        <v>3829</v>
      </c>
    </row>
    <row r="134" spans="1:9" x14ac:dyDescent="0.2">
      <c r="A134" s="24" t="s">
        <v>3777</v>
      </c>
      <c r="B134" s="60">
        <v>3.9364791081110901</v>
      </c>
      <c r="C134" t="s">
        <v>1886</v>
      </c>
      <c r="D134" s="119" t="s">
        <v>3861</v>
      </c>
      <c r="E134" s="122">
        <v>3.94</v>
      </c>
      <c r="F134" s="122">
        <f>B134-E134</f>
        <v>-3.5208918889098051E-3</v>
      </c>
      <c r="G134" t="s">
        <v>1886</v>
      </c>
      <c r="H134" s="14" t="s">
        <v>3862</v>
      </c>
    </row>
    <row r="136" spans="1:9" x14ac:dyDescent="0.2">
      <c r="A136" s="24" t="s">
        <v>3863</v>
      </c>
      <c r="D136" s="119" t="s">
        <v>3858</v>
      </c>
    </row>
    <row r="137" spans="1:9" x14ac:dyDescent="0.2">
      <c r="A137" s="119" t="s">
        <v>3859</v>
      </c>
      <c r="B137" s="121">
        <v>75</v>
      </c>
      <c r="C137" t="s">
        <v>1904</v>
      </c>
    </row>
    <row r="138" spans="1:9" x14ac:dyDescent="0.2">
      <c r="A138" s="119" t="s">
        <v>3860</v>
      </c>
      <c r="B138" s="121">
        <v>400</v>
      </c>
      <c r="C138" t="s">
        <v>3829</v>
      </c>
    </row>
    <row r="139" spans="1:9" x14ac:dyDescent="0.2">
      <c r="A139" s="24" t="s">
        <v>3777</v>
      </c>
      <c r="B139" s="60">
        <v>108.25317547305499</v>
      </c>
      <c r="C139" t="s">
        <v>1886</v>
      </c>
      <c r="D139" s="119" t="s">
        <v>3861</v>
      </c>
      <c r="E139" s="122">
        <v>108.25</v>
      </c>
      <c r="F139" s="122">
        <f>B139-E139</f>
        <v>3.1754730549948817E-3</v>
      </c>
      <c r="G139" t="s">
        <v>1886</v>
      </c>
      <c r="H139" s="14" t="s">
        <v>3862</v>
      </c>
    </row>
    <row r="142" spans="1:9" x14ac:dyDescent="0.2">
      <c r="A142" s="6" t="s">
        <v>3864</v>
      </c>
      <c r="B142" s="6"/>
      <c r="C142" s="6"/>
      <c r="D142" s="6"/>
      <c r="E142" s="6"/>
      <c r="F142" s="6"/>
      <c r="G142" s="6"/>
      <c r="H142" s="6"/>
    </row>
    <row r="143" spans="1:9" ht="16" x14ac:dyDescent="0.2">
      <c r="A143" s="16" t="s">
        <v>3765</v>
      </c>
      <c r="B143" s="16" t="s">
        <v>3766</v>
      </c>
      <c r="C143" s="16" t="s">
        <v>15</v>
      </c>
      <c r="D143" s="16" t="s">
        <v>3767</v>
      </c>
      <c r="E143" s="16" t="s">
        <v>3768</v>
      </c>
      <c r="F143" s="16" t="s">
        <v>3769</v>
      </c>
      <c r="G143" s="16" t="s">
        <v>15</v>
      </c>
      <c r="H143" s="16" t="s">
        <v>3770</v>
      </c>
      <c r="I143" s="17" t="s">
        <v>20</v>
      </c>
    </row>
    <row r="144" spans="1:9" x14ac:dyDescent="0.2">
      <c r="A144" s="24" t="s">
        <v>3865</v>
      </c>
      <c r="D144" s="119" t="s">
        <v>3866</v>
      </c>
      <c r="I144" s="23" t="str">
        <f>IF(AND(LEN(TRIM(A144&amp;""))&gt;0,TRIM(A144&amp;"")&lt;&gt;"—"),"PASS","⚠ FAIL — "&amp;"a required cell is empty/placeholder or wrong type")</f>
        <v>PASS</v>
      </c>
    </row>
    <row r="145" spans="1:9" x14ac:dyDescent="0.2">
      <c r="A145" s="119" t="s">
        <v>3867</v>
      </c>
      <c r="B145" s="121">
        <v>14.5</v>
      </c>
      <c r="I145" s="23" t="str">
        <f>IF(AND(LEN(TRIM(A145&amp;""))&gt;0,TRIM(A145&amp;"")&lt;&gt;"—"),"PASS","⚠ FAIL — "&amp;"a required cell is empty/placeholder or wrong type")</f>
        <v>PASS</v>
      </c>
    </row>
    <row r="146" spans="1:9" x14ac:dyDescent="0.2">
      <c r="A146" s="119" t="s">
        <v>3868</v>
      </c>
      <c r="B146" s="121">
        <v>10</v>
      </c>
      <c r="I146" s="23" t="str">
        <f>IF(AND(LEN(TRIM(A146&amp;""))&gt;0,TRIM(A146&amp;"")&lt;&gt;"—"),"PASS","⚠ FAIL — "&amp;"a required cell is empty/placeholder or wrong type")</f>
        <v>PASS</v>
      </c>
    </row>
    <row r="147" spans="1:9" x14ac:dyDescent="0.2">
      <c r="A147" s="24" t="s">
        <v>3777</v>
      </c>
      <c r="B147" s="60">
        <v>2.4166666666666701</v>
      </c>
      <c r="C147" t="s">
        <v>36</v>
      </c>
      <c r="D147" s="119" t="s">
        <v>3866</v>
      </c>
      <c r="E147" s="122">
        <v>2.4166666666666701</v>
      </c>
      <c r="F147" s="122">
        <f>B147-E147</f>
        <v>0</v>
      </c>
      <c r="G147" t="s">
        <v>36</v>
      </c>
      <c r="I147" s="23" t="str">
        <f>IF(AND(LEN(TRIM(A147&amp;""))&gt;0,TRIM(A147&amp;"")&lt;&gt;"—"),"PASS","⚠ FAIL — "&amp;"a required cell is empty/placeholder or wrong type")</f>
        <v>PASS</v>
      </c>
    </row>
    <row r="149" spans="1:9" x14ac:dyDescent="0.2">
      <c r="A149" s="24" t="s">
        <v>3869</v>
      </c>
      <c r="D149" s="119" t="s">
        <v>3870</v>
      </c>
    </row>
    <row r="150" spans="1:9" x14ac:dyDescent="0.2">
      <c r="A150" s="119" t="s">
        <v>3867</v>
      </c>
      <c r="B150" s="121">
        <v>14.5</v>
      </c>
    </row>
    <row r="151" spans="1:9" x14ac:dyDescent="0.2">
      <c r="A151" s="119" t="s">
        <v>3871</v>
      </c>
      <c r="B151" s="121">
        <v>10</v>
      </c>
    </row>
    <row r="152" spans="1:9" x14ac:dyDescent="0.2">
      <c r="A152" s="24" t="s">
        <v>3777</v>
      </c>
      <c r="B152" s="60">
        <v>1.45</v>
      </c>
      <c r="C152" t="s">
        <v>3373</v>
      </c>
      <c r="D152" s="119" t="s">
        <v>3870</v>
      </c>
      <c r="E152" s="122">
        <v>1.45</v>
      </c>
      <c r="F152" s="122">
        <f>B152-E152</f>
        <v>0</v>
      </c>
      <c r="G152" t="s">
        <v>3373</v>
      </c>
    </row>
    <row r="154" spans="1:9" x14ac:dyDescent="0.2">
      <c r="A154" s="24" t="s">
        <v>3872</v>
      </c>
      <c r="D154" s="119" t="s">
        <v>3873</v>
      </c>
    </row>
    <row r="155" spans="1:9" x14ac:dyDescent="0.2">
      <c r="A155" s="119" t="s">
        <v>3874</v>
      </c>
      <c r="B155" s="121">
        <v>1.45</v>
      </c>
    </row>
    <row r="156" spans="1:9" x14ac:dyDescent="0.2">
      <c r="A156" s="119" t="s">
        <v>3875</v>
      </c>
      <c r="B156" s="60">
        <f>$B$9</f>
        <v>3.14159265358979</v>
      </c>
      <c r="H156" s="17" t="s">
        <v>3876</v>
      </c>
    </row>
    <row r="157" spans="1:9" x14ac:dyDescent="0.2">
      <c r="A157" s="24" t="s">
        <v>3777</v>
      </c>
      <c r="B157" s="60">
        <v>1.3587468574622801</v>
      </c>
      <c r="C157" t="s">
        <v>3346</v>
      </c>
      <c r="D157" s="119" t="s">
        <v>3873</v>
      </c>
      <c r="E157" s="122">
        <v>1.3587484461319499</v>
      </c>
      <c r="F157" s="122">
        <f>B157-E157</f>
        <v>-1.5886696698164116E-6</v>
      </c>
      <c r="G157" t="s">
        <v>3346</v>
      </c>
    </row>
    <row r="160" spans="1:9" x14ac:dyDescent="0.2">
      <c r="A160" s="6" t="s">
        <v>3877</v>
      </c>
      <c r="B160" s="6"/>
      <c r="C160" s="6"/>
      <c r="D160" s="6"/>
      <c r="E160" s="6"/>
      <c r="F160" s="6"/>
      <c r="G160" s="6"/>
      <c r="H160" s="6"/>
    </row>
    <row r="161" spans="1:9" ht="16" x14ac:dyDescent="0.2">
      <c r="A161" s="16" t="s">
        <v>3765</v>
      </c>
      <c r="B161" s="16" t="s">
        <v>3766</v>
      </c>
      <c r="C161" s="16" t="s">
        <v>15</v>
      </c>
      <c r="D161" s="16" t="s">
        <v>3767</v>
      </c>
      <c r="E161" s="16" t="s">
        <v>3768</v>
      </c>
      <c r="F161" s="16" t="s">
        <v>3769</v>
      </c>
      <c r="G161" s="16" t="s">
        <v>15</v>
      </c>
      <c r="H161" s="16" t="s">
        <v>3770</v>
      </c>
      <c r="I161" s="17" t="s">
        <v>20</v>
      </c>
    </row>
    <row r="162" spans="1:9" x14ac:dyDescent="0.2">
      <c r="A162" s="24" t="s">
        <v>3878</v>
      </c>
      <c r="D162" s="119" t="s">
        <v>3879</v>
      </c>
      <c r="I162" s="23" t="str">
        <f>IF(AND(LEN(TRIM(A162&amp;""))&gt;0,TRIM(A162&amp;"")&lt;&gt;"—"),"PASS","⚠ FAIL — "&amp;"a required cell is empty/placeholder or wrong type")</f>
        <v>PASS</v>
      </c>
    </row>
    <row r="163" spans="1:9" x14ac:dyDescent="0.2">
      <c r="A163" s="119" t="s">
        <v>3880</v>
      </c>
      <c r="B163" s="121">
        <v>15</v>
      </c>
      <c r="I163" s="23" t="str">
        <f>IF(AND(LEN(TRIM(A163&amp;""))&gt;0,TRIM(A163&amp;"")&lt;&gt;"—"),"PASS","⚠ FAIL — "&amp;"a required cell is empty/placeholder or wrong type")</f>
        <v>PASS</v>
      </c>
    </row>
    <row r="164" spans="1:9" x14ac:dyDescent="0.2">
      <c r="A164" s="119" t="s">
        <v>3881</v>
      </c>
      <c r="B164" s="121">
        <v>0.1</v>
      </c>
      <c r="I164" s="23" t="str">
        <f>IF(AND(LEN(TRIM(A164&amp;""))&gt;0,TRIM(A164&amp;"")&lt;&gt;"—"),"PASS","⚠ FAIL — "&amp;"a required cell is empty/placeholder or wrong type")</f>
        <v>PASS</v>
      </c>
    </row>
    <row r="165" spans="1:9" x14ac:dyDescent="0.2">
      <c r="A165" s="24" t="s">
        <v>3777</v>
      </c>
      <c r="B165" s="60">
        <v>14.9</v>
      </c>
      <c r="C165" t="s">
        <v>3882</v>
      </c>
      <c r="D165" s="119" t="s">
        <v>3879</v>
      </c>
      <c r="E165" s="122">
        <v>14.9</v>
      </c>
      <c r="F165" s="122">
        <f>B165-E165</f>
        <v>0</v>
      </c>
      <c r="G165" t="s">
        <v>3882</v>
      </c>
      <c r="I165" s="23" t="str">
        <f>IF(AND(LEN(TRIM(A165&amp;""))&gt;0,TRIM(A165&amp;"")&lt;&gt;"—"),"PASS","⚠ FAIL — "&amp;"a required cell is empty/placeholder or wrong type")</f>
        <v>PASS</v>
      </c>
    </row>
    <row r="167" spans="1:9" x14ac:dyDescent="0.2">
      <c r="A167" s="24" t="s">
        <v>3883</v>
      </c>
      <c r="D167" s="119" t="s">
        <v>3884</v>
      </c>
    </row>
    <row r="168" spans="1:9" x14ac:dyDescent="0.2">
      <c r="A168" s="119" t="s">
        <v>3867</v>
      </c>
      <c r="B168" s="121">
        <v>10.7</v>
      </c>
    </row>
    <row r="169" spans="1:9" x14ac:dyDescent="0.2">
      <c r="A169" s="119" t="s">
        <v>3885</v>
      </c>
      <c r="B169" s="121">
        <v>14.9</v>
      </c>
    </row>
    <row r="170" spans="1:9" x14ac:dyDescent="0.2">
      <c r="A170" s="119" t="s">
        <v>3886</v>
      </c>
      <c r="B170" s="121">
        <v>0.35665000000000002</v>
      </c>
    </row>
    <row r="171" spans="1:9" x14ac:dyDescent="0.2">
      <c r="A171" s="119" t="s">
        <v>3887</v>
      </c>
      <c r="B171" s="121">
        <v>6.5</v>
      </c>
    </row>
    <row r="172" spans="1:9" x14ac:dyDescent="0.2">
      <c r="A172" s="24" t="s">
        <v>3777</v>
      </c>
      <c r="B172" s="60">
        <v>369.59461175000001</v>
      </c>
      <c r="C172" t="s">
        <v>3888</v>
      </c>
      <c r="D172" s="119" t="s">
        <v>3884</v>
      </c>
      <c r="E172" s="122">
        <v>369.59461175000001</v>
      </c>
      <c r="F172" s="122">
        <f>B172-E172</f>
        <v>0</v>
      </c>
      <c r="G172" t="s">
        <v>3888</v>
      </c>
    </row>
    <row r="174" spans="1:9" x14ac:dyDescent="0.2">
      <c r="A174" s="123" t="s">
        <v>3889</v>
      </c>
      <c r="D174" s="119" t="s">
        <v>3890</v>
      </c>
    </row>
    <row r="175" spans="1:9" x14ac:dyDescent="0.2">
      <c r="A175" s="17" t="s">
        <v>3891</v>
      </c>
      <c r="D175" s="124" t="s">
        <v>3890</v>
      </c>
    </row>
    <row r="176" spans="1:9" x14ac:dyDescent="0.2">
      <c r="A176" s="17" t="s">
        <v>3892</v>
      </c>
      <c r="D176" s="124" t="s">
        <v>3893</v>
      </c>
    </row>
    <row r="177" spans="1:9" x14ac:dyDescent="0.2">
      <c r="A177" s="17" t="s">
        <v>3894</v>
      </c>
      <c r="B177" s="60">
        <v>0.307991666666667</v>
      </c>
      <c r="E177" s="122">
        <v>0.30799550979166701</v>
      </c>
      <c r="F177" s="122">
        <f>B177-E177</f>
        <v>-3.843125000013714E-6</v>
      </c>
      <c r="G177" t="s">
        <v>36</v>
      </c>
      <c r="H177" s="125" t="str">
        <f>IF(OR($E177=0,ABS($F177)&lt;=0.02*ABS($E177)),"✓ maths checks out (live: |Δ| ≤ 2% of the engine value)","⚠ engine result ≠ its own substitution (Δ = "&amp;$F177&amp;")")</f>
        <v>✓ maths checks out (live: |Δ| ≤ 2% of the engine value)</v>
      </c>
    </row>
    <row r="179" spans="1:9" x14ac:dyDescent="0.2">
      <c r="A179" s="123" t="s">
        <v>3895</v>
      </c>
      <c r="D179" s="119" t="s">
        <v>3896</v>
      </c>
    </row>
    <row r="180" spans="1:9" x14ac:dyDescent="0.2">
      <c r="A180" s="17" t="s">
        <v>3891</v>
      </c>
      <c r="D180" s="124" t="s">
        <v>3896</v>
      </c>
    </row>
    <row r="181" spans="1:9" x14ac:dyDescent="0.2">
      <c r="A181" s="17" t="s">
        <v>3892</v>
      </c>
      <c r="D181" s="124" t="s">
        <v>3897</v>
      </c>
    </row>
    <row r="182" spans="1:9" x14ac:dyDescent="0.2">
      <c r="A182" s="17" t="s">
        <v>3894</v>
      </c>
      <c r="B182" s="60">
        <v>0.46200000000000002</v>
      </c>
      <c r="E182" s="122">
        <v>0.46199326468750002</v>
      </c>
      <c r="F182" s="122">
        <f>B182-E182</f>
        <v>6.7353125000058078E-6</v>
      </c>
      <c r="G182" t="s">
        <v>36</v>
      </c>
      <c r="H182" s="125" t="str">
        <f>IF(OR($E182=0,ABS($F182)&lt;=0.02*ABS($E182)),"✓ maths checks out (live: |Δ| ≤ 2% of the engine value)","⚠ engine result ≠ its own substitution (Δ = "&amp;$F182&amp;")")</f>
        <v>✓ maths checks out (live: |Δ| ≤ 2% of the engine value)</v>
      </c>
    </row>
    <row r="184" spans="1:9" x14ac:dyDescent="0.2">
      <c r="A184" s="123" t="s">
        <v>3898</v>
      </c>
      <c r="D184" s="119" t="s">
        <v>3899</v>
      </c>
    </row>
    <row r="185" spans="1:9" x14ac:dyDescent="0.2">
      <c r="A185" s="17" t="s">
        <v>3891</v>
      </c>
      <c r="D185" s="124" t="s">
        <v>3899</v>
      </c>
    </row>
    <row r="186" spans="1:9" x14ac:dyDescent="0.2">
      <c r="A186" s="17" t="s">
        <v>3892</v>
      </c>
      <c r="D186" s="124" t="s">
        <v>3900</v>
      </c>
    </row>
    <row r="187" spans="1:9" ht="30" x14ac:dyDescent="0.2">
      <c r="A187" s="17" t="s">
        <v>3894</v>
      </c>
      <c r="B187" s="60">
        <v>46.2</v>
      </c>
      <c r="E187" s="122">
        <v>46.199326468750002</v>
      </c>
      <c r="F187" s="122">
        <f>B187-E187</f>
        <v>6.7353125000124692E-4</v>
      </c>
      <c r="G187" t="s">
        <v>3351</v>
      </c>
      <c r="H187" s="125" t="str">
        <f>IF(OR($E187=0,ABS($F187)&lt;=0.02*ABS($E187)),"✓ maths checks out (live: |Δ| ≤ 2% of the engine value)· confirmed = design softener_salt_consumption_max_kg_per_regen","⚠ engine result ≠ its own substitution (Δ = "&amp;$F187&amp;")")</f>
        <v>✓ maths checks out (live: |Δ| ≤ 2% of the engine value)· confirmed = design softener_salt_consumption_max_kg_per_regen</v>
      </c>
    </row>
    <row r="190" spans="1:9" x14ac:dyDescent="0.2">
      <c r="A190" s="6" t="s">
        <v>3901</v>
      </c>
      <c r="B190" s="6"/>
      <c r="C190" s="6"/>
      <c r="D190" s="6"/>
      <c r="E190" s="6"/>
      <c r="F190" s="6"/>
      <c r="G190" s="6"/>
      <c r="H190" s="6"/>
    </row>
    <row r="191" spans="1:9" ht="16" x14ac:dyDescent="0.2">
      <c r="A191" s="16" t="s">
        <v>3765</v>
      </c>
      <c r="B191" s="16" t="s">
        <v>3766</v>
      </c>
      <c r="C191" s="16" t="s">
        <v>15</v>
      </c>
      <c r="D191" s="16" t="s">
        <v>3767</v>
      </c>
      <c r="E191" s="16" t="s">
        <v>3768</v>
      </c>
      <c r="F191" s="16" t="s">
        <v>3769</v>
      </c>
      <c r="G191" s="16" t="s">
        <v>15</v>
      </c>
      <c r="H191" s="16" t="s">
        <v>3770</v>
      </c>
      <c r="I191" s="17" t="s">
        <v>20</v>
      </c>
    </row>
    <row r="192" spans="1:9" x14ac:dyDescent="0.2">
      <c r="A192" s="24" t="s">
        <v>3902</v>
      </c>
      <c r="D192" s="119" t="s">
        <v>3903</v>
      </c>
      <c r="I192" s="23" t="str">
        <f>IF(AND(LEN(TRIM(A192&amp;""))&gt;0,TRIM(A192&amp;"")&lt;&gt;"—"),"PASS","⚠ FAIL — "&amp;"a required cell is empty/placeholder or wrong type")</f>
        <v>PASS</v>
      </c>
    </row>
    <row r="193" spans="1:9" x14ac:dyDescent="0.2">
      <c r="A193" s="119" t="s">
        <v>3904</v>
      </c>
      <c r="B193" s="121">
        <v>6000</v>
      </c>
      <c r="I193" s="23" t="str">
        <f>IF(AND(LEN(TRIM(A193&amp;""))&gt;0,TRIM(A193&amp;"")&lt;&gt;"—"),"PASS","⚠ FAIL — "&amp;"a required cell is empty/placeholder or wrong type")</f>
        <v>PASS</v>
      </c>
    </row>
    <row r="194" spans="1:9" x14ac:dyDescent="0.2">
      <c r="A194" s="119" t="s">
        <v>3905</v>
      </c>
      <c r="B194" s="121">
        <v>2</v>
      </c>
      <c r="I194" s="23" t="str">
        <f>IF(AND(LEN(TRIM(A194&amp;""))&gt;0,TRIM(A194&amp;"")&lt;&gt;"—"),"PASS","⚠ FAIL — "&amp;"a required cell is empty/placeholder or wrong type")</f>
        <v>PASS</v>
      </c>
    </row>
    <row r="195" spans="1:9" x14ac:dyDescent="0.2">
      <c r="A195" s="119" t="s">
        <v>3906</v>
      </c>
      <c r="B195" s="121">
        <v>0.05</v>
      </c>
      <c r="I195" s="23" t="str">
        <f>IF(AND(LEN(TRIM(A195&amp;""))&gt;0,TRIM(A195&amp;"")&lt;&gt;"—"),"PASS","⚠ FAIL — "&amp;"a required cell is empty/placeholder or wrong type")</f>
        <v>PASS</v>
      </c>
    </row>
    <row r="196" spans="1:9" x14ac:dyDescent="0.2">
      <c r="A196" s="24" t="s">
        <v>3777</v>
      </c>
      <c r="B196" s="60">
        <v>600</v>
      </c>
      <c r="C196" t="s">
        <v>36</v>
      </c>
      <c r="D196" s="119" t="s">
        <v>3903</v>
      </c>
      <c r="E196" s="122">
        <v>600</v>
      </c>
      <c r="F196" s="122">
        <f>B196-E196</f>
        <v>0</v>
      </c>
      <c r="G196" t="s">
        <v>36</v>
      </c>
      <c r="I196" s="23" t="str">
        <f>IF(AND(LEN(TRIM(A196&amp;""))&gt;0,TRIM(A196&amp;"")&lt;&gt;"—"),"PASS","⚠ FAIL — "&amp;"a required cell is empty/placeholder or wrong type")</f>
        <v>PASS</v>
      </c>
    </row>
    <row r="198" spans="1:9" x14ac:dyDescent="0.2">
      <c r="A198" s="123" t="s">
        <v>3907</v>
      </c>
      <c r="D198" s="119" t="s">
        <v>3908</v>
      </c>
    </row>
    <row r="199" spans="1:9" x14ac:dyDescent="0.2">
      <c r="A199" s="17" t="s">
        <v>3891</v>
      </c>
      <c r="D199" s="124" t="s">
        <v>3908</v>
      </c>
    </row>
    <row r="200" spans="1:9" x14ac:dyDescent="0.2">
      <c r="A200" s="17" t="s">
        <v>3892</v>
      </c>
      <c r="D200" s="124" t="s">
        <v>3909</v>
      </c>
    </row>
    <row r="201" spans="1:9" x14ac:dyDescent="0.2">
      <c r="A201" s="17" t="s">
        <v>3894</v>
      </c>
      <c r="B201" s="60">
        <v>1200</v>
      </c>
      <c r="E201" s="122">
        <v>1200</v>
      </c>
      <c r="F201" s="122">
        <f>B201-E201</f>
        <v>0</v>
      </c>
      <c r="G201" t="s">
        <v>22</v>
      </c>
      <c r="H201" s="125" t="str">
        <f>IF(OR($E201=0,ABS($F201)&lt;=0.02*ABS($E201)),"✓ maths checks out (live: |Δ| ≤ 2% of the engine value)","⚠ engine result ≠ its own substitution (Δ = "&amp;$F201&amp;")")</f>
        <v>✓ maths checks out (live: |Δ| ≤ 2% of the engine value)</v>
      </c>
    </row>
    <row r="203" spans="1:9" x14ac:dyDescent="0.2">
      <c r="A203" s="123" t="s">
        <v>3910</v>
      </c>
      <c r="D203" s="119" t="s">
        <v>3911</v>
      </c>
    </row>
    <row r="204" spans="1:9" x14ac:dyDescent="0.2">
      <c r="A204" s="17" t="s">
        <v>3891</v>
      </c>
      <c r="D204" s="124" t="s">
        <v>3911</v>
      </c>
    </row>
    <row r="205" spans="1:9" x14ac:dyDescent="0.2">
      <c r="A205" s="17" t="s">
        <v>3892</v>
      </c>
      <c r="D205" s="124" t="s">
        <v>3912</v>
      </c>
    </row>
    <row r="206" spans="1:9" x14ac:dyDescent="0.2">
      <c r="A206" s="17" t="s">
        <v>3894</v>
      </c>
      <c r="B206" s="60">
        <v>600</v>
      </c>
      <c r="E206" s="122">
        <v>600</v>
      </c>
      <c r="F206" s="122">
        <f>B206-E206</f>
        <v>0</v>
      </c>
      <c r="G206" t="s">
        <v>36</v>
      </c>
      <c r="H206" s="125" t="str">
        <f>IF(OR($E206=0,ABS($F206)&lt;=0.02*ABS($E206)),"✓ maths checks out (live: |Δ| ≤ 2% of the engine value)","⚠ engine result ≠ its own substitution (Δ = "&amp;$F206&amp;")")</f>
        <v>✓ maths checks out (live: |Δ| ≤ 2% of the engine value)</v>
      </c>
    </row>
    <row r="209" spans="1:9" x14ac:dyDescent="0.2">
      <c r="A209" s="6" t="s">
        <v>3913</v>
      </c>
      <c r="B209" s="6"/>
      <c r="C209" s="6"/>
      <c r="D209" s="6"/>
      <c r="E209" s="6"/>
      <c r="F209" s="6"/>
      <c r="G209" s="6"/>
      <c r="H209" s="6"/>
    </row>
    <row r="210" spans="1:9" ht="16" x14ac:dyDescent="0.2">
      <c r="A210" s="16" t="s">
        <v>3765</v>
      </c>
      <c r="B210" s="16" t="s">
        <v>3766</v>
      </c>
      <c r="C210" s="16" t="s">
        <v>15</v>
      </c>
      <c r="D210" s="16" t="s">
        <v>3767</v>
      </c>
      <c r="E210" s="16" t="s">
        <v>3768</v>
      </c>
      <c r="F210" s="16" t="s">
        <v>3769</v>
      </c>
      <c r="G210" s="16" t="s">
        <v>15</v>
      </c>
      <c r="H210" s="16" t="s">
        <v>3770</v>
      </c>
      <c r="I210" s="17" t="s">
        <v>20</v>
      </c>
    </row>
    <row r="211" spans="1:9" x14ac:dyDescent="0.2">
      <c r="A211" s="24" t="s">
        <v>3914</v>
      </c>
      <c r="D211" s="119" t="s">
        <v>3915</v>
      </c>
    </row>
    <row r="212" spans="1:9" x14ac:dyDescent="0.2">
      <c r="A212" s="119" t="s">
        <v>3916</v>
      </c>
      <c r="B212" s="121">
        <v>90</v>
      </c>
      <c r="C212" t="s">
        <v>22</v>
      </c>
      <c r="I212" s="23" t="str">
        <f>IF(AND(LEN(TRIM(A212&amp;""))&gt;0,TRIM(A212&amp;"")&lt;&gt;"—"),"PASS","⚠ FAIL — "&amp;"a required cell is empty/placeholder or wrong type")</f>
        <v>PASS</v>
      </c>
    </row>
    <row r="213" spans="1:9" ht="26" x14ac:dyDescent="0.2">
      <c r="A213" s="24" t="s">
        <v>3777</v>
      </c>
      <c r="B213" s="60">
        <v>1500</v>
      </c>
      <c r="C213" t="s">
        <v>3917</v>
      </c>
      <c r="D213" s="119" t="s">
        <v>3918</v>
      </c>
      <c r="E213" s="122">
        <v>1500</v>
      </c>
      <c r="F213" s="122">
        <f>B213-E213</f>
        <v>0</v>
      </c>
      <c r="G213" t="s">
        <v>3917</v>
      </c>
      <c r="H213" s="14" t="s">
        <v>3919</v>
      </c>
      <c r="I213" s="23" t="str">
        <f>IF(AND(LEN(TRIM(A213&amp;""))&gt;0,TRIM(A213&amp;"")&lt;&gt;"—"),"PASS","⚠ FAIL — "&amp;"a required cell is empty/placeholder or wrong type")</f>
        <v>PASS</v>
      </c>
    </row>
    <row r="215" spans="1:9" x14ac:dyDescent="0.2">
      <c r="A215" s="24" t="s">
        <v>3920</v>
      </c>
      <c r="D215" s="119" t="s">
        <v>3921</v>
      </c>
    </row>
    <row r="216" spans="1:9" x14ac:dyDescent="0.2">
      <c r="A216" s="119" t="s">
        <v>3922</v>
      </c>
      <c r="B216" s="121">
        <v>5</v>
      </c>
      <c r="C216" t="s">
        <v>3346</v>
      </c>
    </row>
    <row r="217" spans="1:9" x14ac:dyDescent="0.2">
      <c r="A217" s="119" t="s">
        <v>3923</v>
      </c>
      <c r="B217" s="121">
        <v>2.21</v>
      </c>
      <c r="C217" t="s">
        <v>3346</v>
      </c>
    </row>
    <row r="218" spans="1:9" x14ac:dyDescent="0.2">
      <c r="A218" s="119" t="s">
        <v>3924</v>
      </c>
      <c r="B218" s="121">
        <v>15.3</v>
      </c>
      <c r="C218" t="s">
        <v>3346</v>
      </c>
    </row>
    <row r="219" spans="1:9" x14ac:dyDescent="0.2">
      <c r="A219" s="24" t="s">
        <v>3777</v>
      </c>
      <c r="B219" s="60">
        <v>22.51</v>
      </c>
      <c r="C219" t="s">
        <v>3346</v>
      </c>
      <c r="D219" s="119" t="s">
        <v>3925</v>
      </c>
      <c r="E219" s="122">
        <v>22.51</v>
      </c>
      <c r="F219" s="122">
        <f>B219-E219</f>
        <v>0</v>
      </c>
      <c r="G219" t="s">
        <v>3346</v>
      </c>
      <c r="H219" s="14" t="s">
        <v>3926</v>
      </c>
    </row>
    <row r="221" spans="1:9" x14ac:dyDescent="0.2">
      <c r="A221" s="24" t="s">
        <v>3927</v>
      </c>
      <c r="D221" s="119" t="s">
        <v>3928</v>
      </c>
    </row>
    <row r="222" spans="1:9" x14ac:dyDescent="0.2">
      <c r="A222" s="119" t="s">
        <v>3929</v>
      </c>
      <c r="B222" s="121">
        <v>90</v>
      </c>
      <c r="C222" t="s">
        <v>22</v>
      </c>
    </row>
    <row r="223" spans="1:9" x14ac:dyDescent="0.2">
      <c r="A223" s="119" t="s">
        <v>3930</v>
      </c>
      <c r="B223" s="60">
        <f>$B$219</f>
        <v>22.51</v>
      </c>
      <c r="C223" t="s">
        <v>3346</v>
      </c>
      <c r="H223" s="17" t="s">
        <v>3931</v>
      </c>
    </row>
    <row r="224" spans="1:9" x14ac:dyDescent="0.2">
      <c r="A224" s="24" t="s">
        <v>3777</v>
      </c>
      <c r="B224" s="60">
        <v>5520.5775000000003</v>
      </c>
      <c r="C224" t="s">
        <v>3932</v>
      </c>
      <c r="D224" s="119" t="s">
        <v>3933</v>
      </c>
      <c r="E224" s="122">
        <v>5521.7</v>
      </c>
      <c r="F224" s="122">
        <f>B224-E224</f>
        <v>-1.1224999999994907</v>
      </c>
      <c r="G224" t="s">
        <v>3932</v>
      </c>
      <c r="H224" s="14" t="s">
        <v>3934</v>
      </c>
    </row>
    <row r="226" spans="1:8" x14ac:dyDescent="0.2">
      <c r="A226" s="24" t="s">
        <v>3935</v>
      </c>
      <c r="D226" s="119" t="s">
        <v>3936</v>
      </c>
    </row>
    <row r="227" spans="1:8" x14ac:dyDescent="0.2">
      <c r="A227" s="119" t="s">
        <v>3937</v>
      </c>
      <c r="B227" s="60">
        <f>$B$224</f>
        <v>5520.5775000000003</v>
      </c>
      <c r="C227" t="s">
        <v>3932</v>
      </c>
      <c r="H227" s="17" t="s">
        <v>3938</v>
      </c>
    </row>
    <row r="228" spans="1:8" x14ac:dyDescent="0.2">
      <c r="A228" s="119" t="s">
        <v>3939</v>
      </c>
      <c r="B228" s="121">
        <v>0.65</v>
      </c>
    </row>
    <row r="229" spans="1:8" x14ac:dyDescent="0.2">
      <c r="A229" s="24" t="s">
        <v>3777</v>
      </c>
      <c r="B229" s="60">
        <v>8494.9230769230799</v>
      </c>
      <c r="C229" t="s">
        <v>3932</v>
      </c>
      <c r="D229" s="119" t="s">
        <v>3940</v>
      </c>
      <c r="E229" s="122">
        <v>8495</v>
      </c>
      <c r="F229" s="122">
        <f>B229-E229</f>
        <v>-7.6923076920138556E-2</v>
      </c>
      <c r="G229" t="s">
        <v>3932</v>
      </c>
      <c r="H229" s="14" t="s">
        <v>3941</v>
      </c>
    </row>
    <row r="231" spans="1:8" x14ac:dyDescent="0.2">
      <c r="A231" s="24" t="s">
        <v>3942</v>
      </c>
      <c r="D231" s="119" t="s">
        <v>3943</v>
      </c>
    </row>
    <row r="232" spans="1:8" x14ac:dyDescent="0.2">
      <c r="A232" s="119" t="s">
        <v>3944</v>
      </c>
      <c r="B232" s="60">
        <f>$B$229</f>
        <v>8494.9230769230799</v>
      </c>
      <c r="C232" t="s">
        <v>3932</v>
      </c>
      <c r="H232" s="17" t="s">
        <v>3945</v>
      </c>
    </row>
    <row r="233" spans="1:8" x14ac:dyDescent="0.2">
      <c r="A233" s="119" t="s">
        <v>3946</v>
      </c>
      <c r="B233" s="121">
        <v>0.88</v>
      </c>
    </row>
    <row r="234" spans="1:8" x14ac:dyDescent="0.2">
      <c r="A234" s="24" t="s">
        <v>3777</v>
      </c>
      <c r="B234" s="60">
        <v>9653.4090909090901</v>
      </c>
      <c r="C234" t="s">
        <v>3932</v>
      </c>
      <c r="D234" s="119" t="s">
        <v>3947</v>
      </c>
      <c r="E234" s="122">
        <v>9653.4</v>
      </c>
      <c r="F234" s="122">
        <f>B234-E234</f>
        <v>9.0909090904460754E-3</v>
      </c>
      <c r="G234" t="s">
        <v>3932</v>
      </c>
    </row>
    <row r="236" spans="1:8" x14ac:dyDescent="0.2">
      <c r="A236" s="24" t="s">
        <v>3948</v>
      </c>
      <c r="D236" s="119" t="s">
        <v>3949</v>
      </c>
    </row>
    <row r="237" spans="1:8" x14ac:dyDescent="0.2">
      <c r="A237" s="119" t="s">
        <v>3929</v>
      </c>
      <c r="B237" s="121">
        <v>90</v>
      </c>
      <c r="C237" t="s">
        <v>22</v>
      </c>
    </row>
    <row r="238" spans="1:8" x14ac:dyDescent="0.2">
      <c r="A238" s="119" t="s">
        <v>3950</v>
      </c>
      <c r="B238" s="121">
        <v>17671.5</v>
      </c>
      <c r="C238" t="s">
        <v>3277</v>
      </c>
    </row>
    <row r="239" spans="1:8" x14ac:dyDescent="0.2">
      <c r="A239" s="24" t="s">
        <v>3777</v>
      </c>
      <c r="B239" s="60">
        <v>1.4147072970602399</v>
      </c>
      <c r="C239" t="s">
        <v>1853</v>
      </c>
      <c r="D239" s="119" t="s">
        <v>3951</v>
      </c>
      <c r="E239" s="122">
        <v>1.415</v>
      </c>
      <c r="F239" s="122">
        <f>B239-E239</f>
        <v>-2.9270293976013662E-4</v>
      </c>
      <c r="G239" t="s">
        <v>1853</v>
      </c>
      <c r="H239" s="14" t="s">
        <v>3952</v>
      </c>
    </row>
    <row r="242" spans="1:9" x14ac:dyDescent="0.2">
      <c r="A242" s="6" t="s">
        <v>3953</v>
      </c>
      <c r="B242" s="6"/>
      <c r="C242" s="6"/>
      <c r="D242" s="6"/>
      <c r="E242" s="6"/>
      <c r="F242" s="6"/>
      <c r="G242" s="6"/>
      <c r="H242" s="6"/>
    </row>
    <row r="243" spans="1:9" ht="16" x14ac:dyDescent="0.2">
      <c r="A243" s="16" t="s">
        <v>3765</v>
      </c>
      <c r="B243" s="16" t="s">
        <v>3766</v>
      </c>
      <c r="C243" s="16" t="s">
        <v>15</v>
      </c>
      <c r="D243" s="16" t="s">
        <v>3767</v>
      </c>
      <c r="E243" s="16" t="s">
        <v>3768</v>
      </c>
      <c r="F243" s="16" t="s">
        <v>3769</v>
      </c>
      <c r="G243" s="16" t="s">
        <v>15</v>
      </c>
      <c r="H243" s="16" t="s">
        <v>3770</v>
      </c>
      <c r="I243" s="17" t="s">
        <v>20</v>
      </c>
    </row>
    <row r="244" spans="1:9" x14ac:dyDescent="0.2">
      <c r="A244" s="24" t="s">
        <v>3954</v>
      </c>
      <c r="D244" s="119" t="s">
        <v>3955</v>
      </c>
    </row>
    <row r="245" spans="1:9" x14ac:dyDescent="0.2">
      <c r="A245" s="119" t="s">
        <v>3956</v>
      </c>
      <c r="B245" s="121">
        <v>0</v>
      </c>
      <c r="C245" t="s">
        <v>3351</v>
      </c>
      <c r="I245" s="23" t="str">
        <f t="shared" ref="I245:I251" si="1">IF(AND(LEN(TRIM(A245&amp;""))&gt;0,TRIM(A245&amp;"")&lt;&gt;"—"),"PASS","⚠ FAIL — "&amp;"a required cell is empty/placeholder or wrong type")</f>
        <v>PASS</v>
      </c>
    </row>
    <row r="246" spans="1:9" x14ac:dyDescent="0.2">
      <c r="A246" s="119" t="s">
        <v>3957</v>
      </c>
      <c r="B246" s="121">
        <v>500</v>
      </c>
      <c r="C246" t="s">
        <v>3351</v>
      </c>
      <c r="I246" s="23" t="str">
        <f t="shared" si="1"/>
        <v>PASS</v>
      </c>
    </row>
    <row r="247" spans="1:9" x14ac:dyDescent="0.2">
      <c r="A247" s="119" t="s">
        <v>3958</v>
      </c>
      <c r="B247" s="121">
        <v>0</v>
      </c>
      <c r="C247" t="s">
        <v>3351</v>
      </c>
      <c r="I247" s="23" t="str">
        <f t="shared" si="1"/>
        <v>PASS</v>
      </c>
    </row>
    <row r="248" spans="1:9" x14ac:dyDescent="0.2">
      <c r="A248" s="119" t="s">
        <v>3959</v>
      </c>
      <c r="B248" s="121">
        <v>0</v>
      </c>
      <c r="C248" t="s">
        <v>3351</v>
      </c>
      <c r="I248" s="23" t="str">
        <f t="shared" si="1"/>
        <v>PASS</v>
      </c>
    </row>
    <row r="249" spans="1:9" x14ac:dyDescent="0.2">
      <c r="A249" s="119" t="s">
        <v>3960</v>
      </c>
      <c r="B249" s="121">
        <v>0</v>
      </c>
      <c r="C249" t="s">
        <v>3351</v>
      </c>
      <c r="I249" s="23" t="str">
        <f t="shared" si="1"/>
        <v>PASS</v>
      </c>
    </row>
    <row r="250" spans="1:9" x14ac:dyDescent="0.2">
      <c r="A250" s="119" t="s">
        <v>3961</v>
      </c>
      <c r="B250" s="121">
        <v>1000.811</v>
      </c>
      <c r="C250" t="s">
        <v>3351</v>
      </c>
      <c r="I250" s="23" t="str">
        <f t="shared" si="1"/>
        <v>PASS</v>
      </c>
    </row>
    <row r="251" spans="1:9" x14ac:dyDescent="0.2">
      <c r="A251" s="24" t="s">
        <v>3777</v>
      </c>
      <c r="B251" s="60">
        <v>1500.8109999999999</v>
      </c>
      <c r="C251" t="s">
        <v>3351</v>
      </c>
      <c r="D251" s="119" t="s">
        <v>3962</v>
      </c>
      <c r="E251" s="122">
        <v>1500.8</v>
      </c>
      <c r="F251" s="122">
        <f>B251-E251</f>
        <v>1.0999999999967258E-2</v>
      </c>
      <c r="G251" t="s">
        <v>3351</v>
      </c>
      <c r="H251" s="14" t="s">
        <v>3963</v>
      </c>
      <c r="I251" s="23" t="str">
        <f t="shared" si="1"/>
        <v>PASS</v>
      </c>
    </row>
    <row r="253" spans="1:9" x14ac:dyDescent="0.2">
      <c r="A253" s="24" t="s">
        <v>3964</v>
      </c>
      <c r="D253" s="119" t="s">
        <v>3965</v>
      </c>
    </row>
    <row r="254" spans="1:9" x14ac:dyDescent="0.2">
      <c r="A254" s="119" t="s">
        <v>3966</v>
      </c>
      <c r="B254" s="60">
        <f>$B$251</f>
        <v>1500.8109999999999</v>
      </c>
      <c r="C254" t="s">
        <v>3351</v>
      </c>
      <c r="H254" s="17" t="s">
        <v>3967</v>
      </c>
    </row>
    <row r="255" spans="1:9" x14ac:dyDescent="0.2">
      <c r="A255" s="119" t="s">
        <v>3968</v>
      </c>
      <c r="B255" s="111"/>
      <c r="C255" t="s">
        <v>3351</v>
      </c>
    </row>
    <row r="256" spans="1:9" x14ac:dyDescent="0.2">
      <c r="A256" s="24" t="s">
        <v>3777</v>
      </c>
      <c r="C256" t="s">
        <v>33</v>
      </c>
      <c r="D256" s="119" t="s">
        <v>3969</v>
      </c>
      <c r="G256" t="s">
        <v>33</v>
      </c>
      <c r="H256" s="14" t="s">
        <v>3970</v>
      </c>
    </row>
    <row r="258" spans="1:9" x14ac:dyDescent="0.2">
      <c r="A258" s="24" t="s">
        <v>3971</v>
      </c>
      <c r="D258" s="119" t="s">
        <v>3972</v>
      </c>
    </row>
    <row r="259" spans="1:9" x14ac:dyDescent="0.2">
      <c r="A259" s="119" t="s">
        <v>3966</v>
      </c>
      <c r="B259" s="60">
        <f>$B$251</f>
        <v>1500.8109999999999</v>
      </c>
      <c r="C259" t="s">
        <v>3351</v>
      </c>
      <c r="H259" s="17" t="s">
        <v>3967</v>
      </c>
    </row>
    <row r="260" spans="1:9" x14ac:dyDescent="0.2">
      <c r="A260" s="119" t="s">
        <v>3968</v>
      </c>
      <c r="B260" s="111"/>
      <c r="C260" t="s">
        <v>3351</v>
      </c>
    </row>
    <row r="261" spans="1:9" x14ac:dyDescent="0.2">
      <c r="A261" s="24" t="s">
        <v>3777</v>
      </c>
      <c r="C261" t="s">
        <v>3351</v>
      </c>
      <c r="D261" s="119" t="s">
        <v>3973</v>
      </c>
      <c r="G261" t="s">
        <v>3351</v>
      </c>
    </row>
    <row r="263" spans="1:9" x14ac:dyDescent="0.2">
      <c r="A263" s="24" t="s">
        <v>3974</v>
      </c>
      <c r="D263" s="119" t="s">
        <v>3975</v>
      </c>
    </row>
    <row r="264" spans="1:9" x14ac:dyDescent="0.2">
      <c r="A264" s="119" t="s">
        <v>3966</v>
      </c>
      <c r="B264" s="60">
        <f>$B$251</f>
        <v>1500.8109999999999</v>
      </c>
      <c r="C264" t="s">
        <v>3351</v>
      </c>
      <c r="H264" s="17" t="s">
        <v>3967</v>
      </c>
    </row>
    <row r="265" spans="1:9" x14ac:dyDescent="0.2">
      <c r="A265" s="119" t="s">
        <v>3968</v>
      </c>
      <c r="B265" s="111"/>
      <c r="C265" t="s">
        <v>3351</v>
      </c>
    </row>
    <row r="266" spans="1:9" x14ac:dyDescent="0.2">
      <c r="A266" s="24" t="s">
        <v>3777</v>
      </c>
      <c r="D266" s="119" t="s">
        <v>3976</v>
      </c>
      <c r="H266" s="14" t="s">
        <v>3977</v>
      </c>
    </row>
    <row r="269" spans="1:9" x14ac:dyDescent="0.2">
      <c r="A269" s="6" t="s">
        <v>3978</v>
      </c>
      <c r="B269" s="6"/>
      <c r="C269" s="6"/>
      <c r="D269" s="6"/>
      <c r="E269" s="6"/>
      <c r="F269" s="6"/>
      <c r="G269" s="6"/>
      <c r="H269" s="6"/>
    </row>
    <row r="270" spans="1:9" ht="16" x14ac:dyDescent="0.2">
      <c r="A270" s="16" t="s">
        <v>3765</v>
      </c>
      <c r="B270" s="16" t="s">
        <v>3766</v>
      </c>
      <c r="C270" s="16" t="s">
        <v>15</v>
      </c>
      <c r="D270" s="16" t="s">
        <v>3767</v>
      </c>
      <c r="E270" s="16" t="s">
        <v>3768</v>
      </c>
      <c r="F270" s="16" t="s">
        <v>3769</v>
      </c>
      <c r="G270" s="16" t="s">
        <v>15</v>
      </c>
      <c r="H270" s="16" t="s">
        <v>3770</v>
      </c>
      <c r="I270" s="17" t="s">
        <v>20</v>
      </c>
    </row>
    <row r="271" spans="1:9" x14ac:dyDescent="0.2">
      <c r="A271" s="24" t="s">
        <v>3979</v>
      </c>
      <c r="D271" s="119" t="s">
        <v>3980</v>
      </c>
      <c r="I271" s="23" t="str">
        <f>IF(AND(LEN(TRIM(A271&amp;""))&gt;0,TRIM(A271&amp;"")&lt;&gt;"—"),"PASS","⚠ FAIL — "&amp;"a required cell is empty/placeholder or wrong type")</f>
        <v>PASS</v>
      </c>
    </row>
    <row r="272" spans="1:9" x14ac:dyDescent="0.2">
      <c r="A272" s="119" t="s">
        <v>3981</v>
      </c>
      <c r="B272" s="121">
        <v>80</v>
      </c>
      <c r="I272" s="23" t="str">
        <f>IF(AND(LEN(TRIM(A272&amp;""))&gt;0,TRIM(A272&amp;"")&lt;&gt;"—"),"PASS","⚠ FAIL — "&amp;"a required cell is empty/placeholder or wrong type")</f>
        <v>PASS</v>
      </c>
    </row>
    <row r="273" spans="1:9" x14ac:dyDescent="0.2">
      <c r="A273" s="119" t="s">
        <v>3982</v>
      </c>
      <c r="B273" s="121">
        <v>20</v>
      </c>
      <c r="I273" s="23" t="str">
        <f>IF(AND(LEN(TRIM(A273&amp;""))&gt;0,TRIM(A273&amp;"")&lt;&gt;"—"),"PASS","⚠ FAIL — "&amp;"a required cell is empty/placeholder or wrong type")</f>
        <v>PASS</v>
      </c>
    </row>
    <row r="274" spans="1:9" x14ac:dyDescent="0.2">
      <c r="A274" s="24" t="s">
        <v>3777</v>
      </c>
      <c r="B274" s="60">
        <v>23.083198494515401</v>
      </c>
      <c r="C274" t="s">
        <v>3377</v>
      </c>
      <c r="D274" s="119" t="s">
        <v>3980</v>
      </c>
      <c r="E274" s="122">
        <v>23.083198494515401</v>
      </c>
      <c r="F274" s="122">
        <f>B274-E274</f>
        <v>0</v>
      </c>
      <c r="G274" t="s">
        <v>3377</v>
      </c>
      <c r="I274" s="23" t="str">
        <f>IF(AND(LEN(TRIM(A274&amp;""))&gt;0,TRIM(A274&amp;"")&lt;&gt;"—"),"PASS","⚠ FAIL — "&amp;"a required cell is empty/placeholder or wrong type")</f>
        <v>PASS</v>
      </c>
    </row>
    <row r="276" spans="1:9" x14ac:dyDescent="0.2">
      <c r="A276" s="24" t="s">
        <v>3983</v>
      </c>
      <c r="D276" s="119" t="s">
        <v>3870</v>
      </c>
    </row>
    <row r="277" spans="1:9" x14ac:dyDescent="0.2">
      <c r="A277" s="119" t="s">
        <v>3867</v>
      </c>
      <c r="B277" s="121">
        <v>80</v>
      </c>
    </row>
    <row r="278" spans="1:9" x14ac:dyDescent="0.2">
      <c r="A278" s="119" t="s">
        <v>3871</v>
      </c>
      <c r="B278" s="121">
        <v>23.083198494515401</v>
      </c>
    </row>
    <row r="279" spans="1:9" x14ac:dyDescent="0.2">
      <c r="A279" s="24" t="s">
        <v>3777</v>
      </c>
      <c r="B279" s="60">
        <v>3.46572421577573</v>
      </c>
      <c r="C279" t="s">
        <v>3373</v>
      </c>
      <c r="D279" s="119" t="s">
        <v>3870</v>
      </c>
      <c r="E279" s="122">
        <v>3.46572421577573</v>
      </c>
      <c r="F279" s="122">
        <f>B279-E279</f>
        <v>0</v>
      </c>
      <c r="G279" t="s">
        <v>3373</v>
      </c>
    </row>
    <row r="282" spans="1:9" x14ac:dyDescent="0.2">
      <c r="A282" s="6" t="s">
        <v>3984</v>
      </c>
      <c r="B282" s="6"/>
      <c r="C282" s="6"/>
      <c r="D282" s="6"/>
      <c r="E282" s="6"/>
      <c r="F282" s="6"/>
      <c r="G282" s="6"/>
      <c r="H282" s="6"/>
    </row>
    <row r="283" spans="1:9" ht="16" x14ac:dyDescent="0.2">
      <c r="A283" s="16" t="s">
        <v>3765</v>
      </c>
      <c r="B283" s="16" t="s">
        <v>3766</v>
      </c>
      <c r="C283" s="16" t="s">
        <v>15</v>
      </c>
      <c r="D283" s="16" t="s">
        <v>3767</v>
      </c>
      <c r="E283" s="16" t="s">
        <v>3768</v>
      </c>
      <c r="F283" s="16" t="s">
        <v>3769</v>
      </c>
      <c r="G283" s="16" t="s">
        <v>15</v>
      </c>
      <c r="H283" s="16" t="s">
        <v>3770</v>
      </c>
      <c r="I283" s="17" t="s">
        <v>20</v>
      </c>
    </row>
    <row r="284" spans="1:9" x14ac:dyDescent="0.2">
      <c r="A284" s="24" t="s">
        <v>3985</v>
      </c>
      <c r="D284" s="119" t="s">
        <v>3986</v>
      </c>
      <c r="I284" s="23" t="str">
        <f>IF(AND(LEN(TRIM(A284&amp;""))&gt;0,TRIM(A284&amp;"")&lt;&gt;"—"),"PASS","⚠ FAIL — "&amp;"a required cell is empty/placeholder or wrong type")</f>
        <v>PASS</v>
      </c>
    </row>
    <row r="285" spans="1:9" x14ac:dyDescent="0.2">
      <c r="A285" s="119" t="s">
        <v>3987</v>
      </c>
      <c r="B285" s="121">
        <v>2</v>
      </c>
      <c r="C285" t="s">
        <v>3988</v>
      </c>
      <c r="I285" s="23" t="str">
        <f>IF(AND(LEN(TRIM(A285&amp;""))&gt;0,TRIM(A285&amp;"")&lt;&gt;"—"),"PASS","⚠ FAIL — "&amp;"a required cell is empty/placeholder or wrong type")</f>
        <v>PASS</v>
      </c>
    </row>
    <row r="286" spans="1:9" x14ac:dyDescent="0.2">
      <c r="A286" s="119" t="s">
        <v>3989</v>
      </c>
      <c r="B286" s="121">
        <v>1.2</v>
      </c>
      <c r="I286" s="23" t="str">
        <f>IF(AND(LEN(TRIM(A286&amp;""))&gt;0,TRIM(A286&amp;"")&lt;&gt;"—"),"PASS","⚠ FAIL — "&amp;"a required cell is empty/placeholder or wrong type")</f>
        <v>PASS</v>
      </c>
    </row>
    <row r="287" spans="1:9" x14ac:dyDescent="0.2">
      <c r="A287" s="119" t="s">
        <v>3990</v>
      </c>
      <c r="B287" s="121">
        <v>8000</v>
      </c>
      <c r="C287" t="s">
        <v>2470</v>
      </c>
      <c r="I287" s="23" t="str">
        <f>IF(AND(LEN(TRIM(A287&amp;""))&gt;0,TRIM(A287&amp;"")&lt;&gt;"—"),"PASS","⚠ FAIL — "&amp;"a required cell is empty/placeholder or wrong type")</f>
        <v>PASS</v>
      </c>
    </row>
    <row r="288" spans="1:9" x14ac:dyDescent="0.2">
      <c r="A288" s="24" t="s">
        <v>3777</v>
      </c>
      <c r="B288" s="60">
        <v>19.2</v>
      </c>
      <c r="C288" t="s">
        <v>3991</v>
      </c>
      <c r="D288" s="119" t="s">
        <v>3992</v>
      </c>
      <c r="E288" s="122">
        <v>19.2</v>
      </c>
      <c r="F288" s="122">
        <f>B288-E288</f>
        <v>0</v>
      </c>
      <c r="G288" t="s">
        <v>3991</v>
      </c>
      <c r="H288" s="14" t="s">
        <v>3993</v>
      </c>
      <c r="I288" s="23" t="str">
        <f>IF(AND(LEN(TRIM(A288&amp;""))&gt;0,TRIM(A288&amp;"")&lt;&gt;"—"),"PASS","⚠ FAIL — "&amp;"a required cell is empty/placeholder or wrong type")</f>
        <v>PASS</v>
      </c>
    </row>
    <row r="290" spans="1:8" x14ac:dyDescent="0.2">
      <c r="A290" s="24" t="s">
        <v>3994</v>
      </c>
      <c r="D290" s="119" t="s">
        <v>3995</v>
      </c>
    </row>
    <row r="291" spans="1:8" x14ac:dyDescent="0.2">
      <c r="A291" s="119" t="s">
        <v>3996</v>
      </c>
      <c r="B291" s="60">
        <f>$B$288</f>
        <v>19.2</v>
      </c>
      <c r="C291" t="s">
        <v>3991</v>
      </c>
      <c r="H291" s="17" t="s">
        <v>3997</v>
      </c>
    </row>
    <row r="292" spans="1:8" x14ac:dyDescent="0.2">
      <c r="A292" s="119" t="s">
        <v>3998</v>
      </c>
      <c r="B292" s="121">
        <v>1</v>
      </c>
      <c r="C292" t="s">
        <v>3999</v>
      </c>
    </row>
    <row r="293" spans="1:8" x14ac:dyDescent="0.2">
      <c r="A293" s="24" t="s">
        <v>3777</v>
      </c>
      <c r="B293" s="60">
        <v>19200</v>
      </c>
      <c r="C293" t="s">
        <v>4000</v>
      </c>
      <c r="D293" s="119" t="s">
        <v>4001</v>
      </c>
      <c r="E293" s="122">
        <v>19200</v>
      </c>
      <c r="F293" s="122">
        <f>B293-E293</f>
        <v>0</v>
      </c>
      <c r="G293" t="s">
        <v>4000</v>
      </c>
      <c r="H293" s="14" t="s">
        <v>4002</v>
      </c>
    </row>
    <row r="295" spans="1:8" x14ac:dyDescent="0.2">
      <c r="A295" s="24" t="s">
        <v>4003</v>
      </c>
      <c r="D295" s="119" t="s">
        <v>4004</v>
      </c>
    </row>
    <row r="296" spans="1:8" x14ac:dyDescent="0.2">
      <c r="A296" s="119" t="s">
        <v>4005</v>
      </c>
      <c r="B296" s="121">
        <v>0</v>
      </c>
      <c r="C296" t="s">
        <v>4006</v>
      </c>
    </row>
    <row r="297" spans="1:8" x14ac:dyDescent="0.2">
      <c r="A297" s="24" t="s">
        <v>3777</v>
      </c>
      <c r="B297" s="60">
        <v>0</v>
      </c>
      <c r="C297" t="s">
        <v>4007</v>
      </c>
      <c r="D297" s="119" t="s">
        <v>4008</v>
      </c>
      <c r="E297" s="122">
        <v>0</v>
      </c>
      <c r="F297" s="122">
        <f>B297-E297</f>
        <v>0</v>
      </c>
      <c r="G297" t="s">
        <v>4007</v>
      </c>
      <c r="H297" s="14" t="s">
        <v>4009</v>
      </c>
    </row>
    <row r="299" spans="1:8" x14ac:dyDescent="0.2">
      <c r="A299" s="24" t="s">
        <v>4010</v>
      </c>
      <c r="D299" s="119" t="s">
        <v>4011</v>
      </c>
    </row>
    <row r="300" spans="1:8" x14ac:dyDescent="0.2">
      <c r="A300" s="119" t="s">
        <v>4012</v>
      </c>
      <c r="B300" s="60">
        <f>$B$297</f>
        <v>0</v>
      </c>
      <c r="C300" t="s">
        <v>4007</v>
      </c>
      <c r="H300" s="17" t="s">
        <v>4013</v>
      </c>
    </row>
    <row r="301" spans="1:8" x14ac:dyDescent="0.2">
      <c r="A301" s="24" t="s">
        <v>3777</v>
      </c>
      <c r="B301" s="60">
        <v>0</v>
      </c>
      <c r="C301" t="s">
        <v>4007</v>
      </c>
      <c r="D301" s="119" t="s">
        <v>4014</v>
      </c>
      <c r="E301" s="122">
        <v>0</v>
      </c>
      <c r="F301" s="122">
        <f>B301-E301</f>
        <v>0</v>
      </c>
      <c r="G301" t="s">
        <v>4007</v>
      </c>
      <c r="H301" s="14" t="s">
        <v>4015</v>
      </c>
    </row>
    <row r="303" spans="1:8" x14ac:dyDescent="0.2">
      <c r="A303" s="24" t="s">
        <v>4016</v>
      </c>
      <c r="D303" s="119" t="s">
        <v>4017</v>
      </c>
    </row>
    <row r="304" spans="1:8" x14ac:dyDescent="0.2">
      <c r="A304" s="119" t="s">
        <v>4018</v>
      </c>
      <c r="B304" s="60">
        <f>$B$301</f>
        <v>0</v>
      </c>
      <c r="C304" t="s">
        <v>4007</v>
      </c>
      <c r="H304" s="17" t="s">
        <v>4019</v>
      </c>
    </row>
    <row r="305" spans="1:9" x14ac:dyDescent="0.2">
      <c r="A305" s="119" t="s">
        <v>3987</v>
      </c>
      <c r="B305" s="121">
        <v>2</v>
      </c>
      <c r="C305" t="s">
        <v>3988</v>
      </c>
    </row>
    <row r="306" spans="1:9" x14ac:dyDescent="0.2">
      <c r="A306" s="119" t="s">
        <v>3990</v>
      </c>
      <c r="B306" s="121">
        <v>8000</v>
      </c>
      <c r="C306" t="s">
        <v>2470</v>
      </c>
    </row>
    <row r="307" spans="1:9" x14ac:dyDescent="0.2">
      <c r="A307" s="24" t="s">
        <v>3777</v>
      </c>
      <c r="B307" s="60">
        <v>0</v>
      </c>
      <c r="C307" t="s">
        <v>4020</v>
      </c>
      <c r="D307" s="119" t="s">
        <v>4021</v>
      </c>
      <c r="E307" s="122">
        <v>0</v>
      </c>
      <c r="F307" s="122">
        <f>B307-E307</f>
        <v>0</v>
      </c>
      <c r="G307" t="s">
        <v>4020</v>
      </c>
      <c r="H307" s="14" t="s">
        <v>4022</v>
      </c>
    </row>
    <row r="310" spans="1:9" x14ac:dyDescent="0.2">
      <c r="A310" s="6" t="s">
        <v>4023</v>
      </c>
      <c r="B310" s="6"/>
      <c r="C310" s="6"/>
      <c r="D310" s="6"/>
      <c r="E310" s="6"/>
      <c r="F310" s="6"/>
      <c r="G310" s="6"/>
      <c r="H310" s="6"/>
    </row>
    <row r="311" spans="1:9" ht="16" x14ac:dyDescent="0.2">
      <c r="A311" s="16" t="s">
        <v>3765</v>
      </c>
      <c r="B311" s="16" t="s">
        <v>3766</v>
      </c>
      <c r="C311" s="16" t="s">
        <v>15</v>
      </c>
      <c r="D311" s="16" t="s">
        <v>3767</v>
      </c>
      <c r="E311" s="16" t="s">
        <v>3768</v>
      </c>
      <c r="F311" s="16" t="s">
        <v>3769</v>
      </c>
      <c r="G311" s="16" t="s">
        <v>15</v>
      </c>
      <c r="H311" s="16" t="s">
        <v>3770</v>
      </c>
      <c r="I311" s="17" t="s">
        <v>20</v>
      </c>
    </row>
    <row r="312" spans="1:9" x14ac:dyDescent="0.2">
      <c r="A312" s="24" t="s">
        <v>4024</v>
      </c>
      <c r="D312" s="119" t="s">
        <v>4025</v>
      </c>
      <c r="I312" s="23" t="str">
        <f>IF(AND(LEN(TRIM(A312&amp;""))&gt;0,TRIM(A312&amp;"")&lt;&gt;"—"),"PASS","⚠ FAIL — "&amp;"a required cell is empty/placeholder or wrong type")</f>
        <v>PASS</v>
      </c>
    </row>
    <row r="313" spans="1:9" x14ac:dyDescent="0.2">
      <c r="A313" s="119" t="s">
        <v>4026</v>
      </c>
      <c r="B313" s="121">
        <v>6</v>
      </c>
      <c r="C313" t="s">
        <v>4027</v>
      </c>
      <c r="I313" s="23" t="str">
        <f>IF(AND(LEN(TRIM(A313&amp;""))&gt;0,TRIM(A313&amp;"")&lt;&gt;"—"),"PASS","⚠ FAIL — "&amp;"a required cell is empty/placeholder or wrong type")</f>
        <v>PASS</v>
      </c>
    </row>
    <row r="314" spans="1:9" x14ac:dyDescent="0.2">
      <c r="A314" s="24" t="s">
        <v>3777</v>
      </c>
      <c r="B314" s="60">
        <v>0.6</v>
      </c>
      <c r="C314" t="s">
        <v>4028</v>
      </c>
      <c r="D314" s="119" t="s">
        <v>4029</v>
      </c>
      <c r="E314" s="122">
        <v>0.6</v>
      </c>
      <c r="F314" s="122">
        <f>B314-E314</f>
        <v>0</v>
      </c>
      <c r="G314" t="s">
        <v>4028</v>
      </c>
      <c r="H314" s="14" t="s">
        <v>4030</v>
      </c>
      <c r="I314" s="23" t="str">
        <f>IF(AND(LEN(TRIM(A314&amp;""))&gt;0,TRIM(A314&amp;"")&lt;&gt;"—"),"PASS","⚠ FAIL — "&amp;"a required cell is empty/placeholder or wrong type")</f>
        <v>PASS</v>
      </c>
    </row>
    <row r="316" spans="1:9" x14ac:dyDescent="0.2">
      <c r="A316" s="24" t="s">
        <v>4031</v>
      </c>
      <c r="D316" s="119" t="s">
        <v>4032</v>
      </c>
    </row>
    <row r="317" spans="1:9" x14ac:dyDescent="0.2">
      <c r="A317" s="119" t="s">
        <v>4033</v>
      </c>
      <c r="B317" s="121">
        <v>0.6</v>
      </c>
      <c r="C317" t="s">
        <v>4028</v>
      </c>
    </row>
    <row r="318" spans="1:9" x14ac:dyDescent="0.2">
      <c r="A318" s="119" t="s">
        <v>4034</v>
      </c>
      <c r="B318" s="121">
        <v>1358.75</v>
      </c>
      <c r="C318" t="s">
        <v>1889</v>
      </c>
    </row>
    <row r="319" spans="1:9" x14ac:dyDescent="0.2">
      <c r="A319" s="119" t="s">
        <v>3859</v>
      </c>
      <c r="B319" s="121">
        <v>137</v>
      </c>
      <c r="C319" t="s">
        <v>4028</v>
      </c>
    </row>
    <row r="320" spans="1:9" x14ac:dyDescent="0.2">
      <c r="A320" s="119" t="s">
        <v>4035</v>
      </c>
      <c r="B320" s="121">
        <v>0.85</v>
      </c>
    </row>
    <row r="321" spans="1:8" x14ac:dyDescent="0.2">
      <c r="A321" s="119" t="s">
        <v>4036</v>
      </c>
      <c r="B321" s="121">
        <v>3</v>
      </c>
      <c r="C321" t="s">
        <v>1889</v>
      </c>
    </row>
    <row r="322" spans="1:8" x14ac:dyDescent="0.2">
      <c r="A322" s="24" t="s">
        <v>3777</v>
      </c>
      <c r="B322" s="60">
        <v>6.5112843483504204</v>
      </c>
      <c r="C322" t="s">
        <v>1889</v>
      </c>
      <c r="D322" s="119" t="s">
        <v>4037</v>
      </c>
      <c r="E322" s="122">
        <v>6.5112800000000002</v>
      </c>
      <c r="F322" s="122">
        <f>B322-E322</f>
        <v>4.3483504201802248E-6</v>
      </c>
      <c r="G322" t="s">
        <v>1889</v>
      </c>
      <c r="H322" s="14" t="s">
        <v>4038</v>
      </c>
    </row>
    <row r="324" spans="1:8" x14ac:dyDescent="0.2">
      <c r="A324" s="24" t="s">
        <v>4039</v>
      </c>
      <c r="D324" s="119" t="s">
        <v>4040</v>
      </c>
    </row>
    <row r="325" spans="1:8" x14ac:dyDescent="0.2">
      <c r="A325" s="119" t="s">
        <v>4033</v>
      </c>
      <c r="B325" s="121">
        <v>0.6</v>
      </c>
      <c r="C325" t="s">
        <v>4028</v>
      </c>
    </row>
    <row r="326" spans="1:8" x14ac:dyDescent="0.2">
      <c r="A326" s="119" t="s">
        <v>4034</v>
      </c>
      <c r="B326" s="121">
        <v>1358.75</v>
      </c>
      <c r="C326" t="s">
        <v>1889</v>
      </c>
    </row>
    <row r="327" spans="1:8" x14ac:dyDescent="0.2">
      <c r="A327" s="119" t="s">
        <v>4041</v>
      </c>
      <c r="B327" s="60">
        <f>$B$322</f>
        <v>6.5112843483504204</v>
      </c>
      <c r="C327" t="s">
        <v>1889</v>
      </c>
      <c r="H327" s="17" t="s">
        <v>4042</v>
      </c>
    </row>
    <row r="328" spans="1:8" x14ac:dyDescent="0.2">
      <c r="A328" s="24" t="s">
        <v>3777</v>
      </c>
      <c r="B328" s="60">
        <v>62.602706064841101</v>
      </c>
      <c r="C328" t="s">
        <v>4028</v>
      </c>
      <c r="D328" s="119" t="s">
        <v>4043</v>
      </c>
      <c r="E328" s="122">
        <v>62.602800000000002</v>
      </c>
      <c r="F328" s="122">
        <f>B328-E328</f>
        <v>-9.3935158901103932E-5</v>
      </c>
      <c r="G328" t="s">
        <v>4028</v>
      </c>
      <c r="H328" s="14" t="s">
        <v>4044</v>
      </c>
    </row>
    <row r="330" spans="1:8" x14ac:dyDescent="0.2">
      <c r="A330" s="24" t="s">
        <v>4045</v>
      </c>
      <c r="D330" s="119" t="s">
        <v>4046</v>
      </c>
    </row>
    <row r="331" spans="1:8" x14ac:dyDescent="0.2">
      <c r="A331" s="119" t="s">
        <v>4047</v>
      </c>
      <c r="B331" s="121">
        <v>290</v>
      </c>
      <c r="C331" t="s">
        <v>4028</v>
      </c>
    </row>
    <row r="332" spans="1:8" x14ac:dyDescent="0.2">
      <c r="A332" s="119" t="s">
        <v>4048</v>
      </c>
      <c r="B332" s="60">
        <f>$B$328</f>
        <v>62.602706064841101</v>
      </c>
      <c r="C332" t="s">
        <v>4028</v>
      </c>
      <c r="H332" s="17" t="s">
        <v>4049</v>
      </c>
    </row>
    <row r="333" spans="1:8" x14ac:dyDescent="0.2">
      <c r="A333" s="24" t="s">
        <v>3777</v>
      </c>
      <c r="B333" s="60">
        <v>4.63238066028996</v>
      </c>
      <c r="D333" s="119" t="s">
        <v>4050</v>
      </c>
      <c r="E333" s="122">
        <v>4.6323800000000004</v>
      </c>
      <c r="F333" s="122">
        <f>B333-E333</f>
        <v>6.6028995959754866E-7</v>
      </c>
      <c r="H333" s="14" t="s">
        <v>4051</v>
      </c>
    </row>
    <row r="335" spans="1:8" x14ac:dyDescent="0.2">
      <c r="A335" s="24" t="s">
        <v>4052</v>
      </c>
      <c r="D335" s="119" t="s">
        <v>4053</v>
      </c>
    </row>
    <row r="336" spans="1:8" x14ac:dyDescent="0.2">
      <c r="A336" s="119" t="s">
        <v>4054</v>
      </c>
      <c r="B336" s="121">
        <v>685.88599999999997</v>
      </c>
      <c r="C336" t="s">
        <v>1889</v>
      </c>
    </row>
    <row r="337" spans="1:8" x14ac:dyDescent="0.2">
      <c r="A337" s="119" t="s">
        <v>4055</v>
      </c>
      <c r="B337" s="121">
        <v>679.37400000000002</v>
      </c>
      <c r="C337" t="s">
        <v>1889</v>
      </c>
    </row>
    <row r="338" spans="1:8" x14ac:dyDescent="0.2">
      <c r="A338" s="119" t="s">
        <v>4056</v>
      </c>
      <c r="B338" s="121">
        <v>1800</v>
      </c>
      <c r="C338" t="s">
        <v>1889</v>
      </c>
    </row>
    <row r="339" spans="1:8" x14ac:dyDescent="0.2">
      <c r="A339" s="119" t="s">
        <v>4057</v>
      </c>
      <c r="B339" s="121">
        <v>8000</v>
      </c>
      <c r="C339" t="s">
        <v>232</v>
      </c>
    </row>
    <row r="340" spans="1:8" x14ac:dyDescent="0.2">
      <c r="A340" s="24" t="s">
        <v>3777</v>
      </c>
      <c r="B340" s="60">
        <v>402.20005247992202</v>
      </c>
      <c r="C340" t="s">
        <v>3351</v>
      </c>
      <c r="D340" s="119" t="s">
        <v>4058</v>
      </c>
      <c r="E340" s="122">
        <v>402.15600000000001</v>
      </c>
      <c r="F340" s="122">
        <f>B340-E340</f>
        <v>4.4052479922015664E-2</v>
      </c>
      <c r="G340" t="s">
        <v>3351</v>
      </c>
      <c r="H340" s="14" t="s">
        <v>4059</v>
      </c>
    </row>
    <row r="342" spans="1:8" x14ac:dyDescent="0.2">
      <c r="A342" s="24" t="s">
        <v>4060</v>
      </c>
      <c r="D342" s="119" t="s">
        <v>4061</v>
      </c>
    </row>
    <row r="343" spans="1:8" x14ac:dyDescent="0.2">
      <c r="A343" s="119" t="s">
        <v>4054</v>
      </c>
      <c r="B343" s="121">
        <v>685.88599999999997</v>
      </c>
      <c r="C343" t="s">
        <v>1889</v>
      </c>
    </row>
    <row r="344" spans="1:8" x14ac:dyDescent="0.2">
      <c r="A344" s="119" t="s">
        <v>4041</v>
      </c>
      <c r="B344" s="60">
        <f>$B$322</f>
        <v>6.5112843483504204</v>
      </c>
      <c r="C344" t="s">
        <v>1889</v>
      </c>
      <c r="H344" s="17" t="s">
        <v>4042</v>
      </c>
    </row>
    <row r="345" spans="1:8" x14ac:dyDescent="0.2">
      <c r="A345" s="119" t="s">
        <v>4057</v>
      </c>
      <c r="B345" s="121">
        <v>8000</v>
      </c>
      <c r="C345" t="s">
        <v>232</v>
      </c>
    </row>
    <row r="346" spans="1:8" x14ac:dyDescent="0.2">
      <c r="A346" s="24" t="s">
        <v>3777</v>
      </c>
      <c r="B346" s="60">
        <v>153.97188880231201</v>
      </c>
      <c r="C346" t="s">
        <v>3351</v>
      </c>
      <c r="D346" s="119" t="s">
        <v>4062</v>
      </c>
      <c r="E346" s="122">
        <v>153.971</v>
      </c>
      <c r="F346" s="122">
        <f>B346-E346</f>
        <v>8.8880231200505477E-4</v>
      </c>
      <c r="G346" t="s">
        <v>3351</v>
      </c>
      <c r="H346" s="14" t="s">
        <v>4063</v>
      </c>
    </row>
    <row r="348" spans="1:8" x14ac:dyDescent="0.2">
      <c r="A348" s="24" t="s">
        <v>4064</v>
      </c>
      <c r="D348" s="119" t="s">
        <v>4065</v>
      </c>
    </row>
    <row r="349" spans="1:8" x14ac:dyDescent="0.2">
      <c r="A349" s="119" t="s">
        <v>4066</v>
      </c>
      <c r="B349" s="121">
        <v>402.15600000000001</v>
      </c>
      <c r="C349" t="s">
        <v>3351</v>
      </c>
    </row>
    <row r="350" spans="1:8" x14ac:dyDescent="0.2">
      <c r="A350" s="119" t="s">
        <v>4067</v>
      </c>
      <c r="B350" s="121">
        <v>153.971</v>
      </c>
      <c r="C350" t="s">
        <v>3351</v>
      </c>
    </row>
    <row r="351" spans="1:8" x14ac:dyDescent="0.2">
      <c r="A351" s="24" t="s">
        <v>3777</v>
      </c>
      <c r="B351" s="60">
        <v>556.12699999999995</v>
      </c>
      <c r="C351" t="s">
        <v>3351</v>
      </c>
      <c r="D351" s="119" t="s">
        <v>4068</v>
      </c>
      <c r="E351" s="122">
        <v>556.12699999999995</v>
      </c>
      <c r="F351" s="122">
        <f>B351-E351</f>
        <v>0</v>
      </c>
      <c r="G351" t="s">
        <v>3351</v>
      </c>
    </row>
    <row r="354" spans="1:9" x14ac:dyDescent="0.2">
      <c r="A354" s="6" t="s">
        <v>4069</v>
      </c>
      <c r="B354" s="6"/>
      <c r="C354" s="6"/>
      <c r="D354" s="6"/>
      <c r="E354" s="6"/>
      <c r="F354" s="6"/>
      <c r="G354" s="6"/>
      <c r="H354" s="6"/>
    </row>
    <row r="355" spans="1:9" ht="16" x14ac:dyDescent="0.2">
      <c r="A355" s="16" t="s">
        <v>3765</v>
      </c>
      <c r="B355" s="16" t="s">
        <v>3766</v>
      </c>
      <c r="C355" s="16" t="s">
        <v>15</v>
      </c>
      <c r="D355" s="16" t="s">
        <v>3767</v>
      </c>
      <c r="E355" s="16" t="s">
        <v>3768</v>
      </c>
      <c r="F355" s="16" t="s">
        <v>3769</v>
      </c>
      <c r="G355" s="16" t="s">
        <v>15</v>
      </c>
      <c r="H355" s="16" t="s">
        <v>3770</v>
      </c>
      <c r="I355" s="17" t="s">
        <v>20</v>
      </c>
    </row>
    <row r="356" spans="1:9" x14ac:dyDescent="0.2">
      <c r="A356" s="24" t="s">
        <v>4070</v>
      </c>
      <c r="D356" s="119" t="s">
        <v>4071</v>
      </c>
      <c r="I356" s="23" t="str">
        <f>IF(AND(LEN(TRIM(A356&amp;""))&gt;0,TRIM(A356&amp;"")&lt;&gt;"—"),"PASS","⚠ FAIL — "&amp;"a required cell is empty/placeholder or wrong type")</f>
        <v>PASS</v>
      </c>
    </row>
    <row r="357" spans="1:9" x14ac:dyDescent="0.2">
      <c r="A357" s="119" t="s">
        <v>4072</v>
      </c>
      <c r="B357" s="121">
        <v>45</v>
      </c>
      <c r="C357" t="s">
        <v>22</v>
      </c>
      <c r="I357" s="23" t="str">
        <f>IF(AND(LEN(TRIM(A357&amp;""))&gt;0,TRIM(A357&amp;"")&lt;&gt;"—"),"PASS","⚠ FAIL — "&amp;"a required cell is empty/placeholder or wrong type")</f>
        <v>PASS</v>
      </c>
    </row>
    <row r="358" spans="1:9" x14ac:dyDescent="0.2">
      <c r="A358" s="119" t="s">
        <v>4073</v>
      </c>
      <c r="B358" s="121">
        <v>2</v>
      </c>
      <c r="I358" s="23" t="str">
        <f>IF(AND(LEN(TRIM(A358&amp;""))&gt;0,TRIM(A358&amp;"")&lt;&gt;"—"),"PASS","⚠ FAIL — "&amp;"a required cell is empty/placeholder or wrong type")</f>
        <v>PASS</v>
      </c>
    </row>
    <row r="359" spans="1:9" ht="26" x14ac:dyDescent="0.2">
      <c r="A359" s="24" t="s">
        <v>3777</v>
      </c>
      <c r="B359" s="60">
        <v>22.5</v>
      </c>
      <c r="C359" t="s">
        <v>22</v>
      </c>
      <c r="D359" s="119" t="s">
        <v>4074</v>
      </c>
      <c r="E359" s="122">
        <v>22.5</v>
      </c>
      <c r="F359" s="122">
        <f>B359-E359</f>
        <v>0</v>
      </c>
      <c r="G359" t="s">
        <v>22</v>
      </c>
      <c r="H359" s="14" t="s">
        <v>4075</v>
      </c>
      <c r="I359" s="23" t="str">
        <f>IF(AND(LEN(TRIM(A359&amp;""))&gt;0,TRIM(A359&amp;"")&lt;&gt;"—"),"PASS","⚠ FAIL — "&amp;"a required cell is empty/placeholder or wrong type")</f>
        <v>PASS</v>
      </c>
    </row>
    <row r="361" spans="1:9" x14ac:dyDescent="0.2">
      <c r="A361" s="24" t="s">
        <v>3948</v>
      </c>
      <c r="D361" s="119" t="s">
        <v>4076</v>
      </c>
    </row>
    <row r="362" spans="1:9" x14ac:dyDescent="0.2">
      <c r="A362" s="119" t="s">
        <v>3929</v>
      </c>
      <c r="B362" s="121">
        <v>22.5</v>
      </c>
      <c r="C362" t="s">
        <v>22</v>
      </c>
    </row>
    <row r="363" spans="1:9" x14ac:dyDescent="0.2">
      <c r="A363" s="119" t="s">
        <v>4034</v>
      </c>
      <c r="B363" s="121">
        <v>0.08</v>
      </c>
      <c r="C363" t="s">
        <v>3346</v>
      </c>
    </row>
    <row r="364" spans="1:9" x14ac:dyDescent="0.2">
      <c r="A364" s="24" t="s">
        <v>3777</v>
      </c>
      <c r="B364" s="60">
        <v>1.24339799290543</v>
      </c>
      <c r="C364" t="s">
        <v>1853</v>
      </c>
      <c r="D364" s="119" t="s">
        <v>4077</v>
      </c>
      <c r="E364" s="122">
        <v>1.2434000000000001</v>
      </c>
      <c r="F364" s="122">
        <f>B364-E364</f>
        <v>-2.0070945701000653E-6</v>
      </c>
      <c r="G364" t="s">
        <v>1853</v>
      </c>
      <c r="H364" s="14" t="s">
        <v>4078</v>
      </c>
    </row>
    <row r="366" spans="1:9" x14ac:dyDescent="0.2">
      <c r="A366" s="24" t="s">
        <v>4079</v>
      </c>
      <c r="D366" s="119" t="s">
        <v>4080</v>
      </c>
    </row>
    <row r="367" spans="1:9" x14ac:dyDescent="0.2">
      <c r="A367" s="119" t="s">
        <v>4081</v>
      </c>
      <c r="B367" s="60">
        <f>$B$6</f>
        <v>1000</v>
      </c>
      <c r="C367" t="s">
        <v>232</v>
      </c>
      <c r="H367" s="17" t="s">
        <v>4082</v>
      </c>
    </row>
    <row r="368" spans="1:9" x14ac:dyDescent="0.2">
      <c r="A368" s="119" t="s">
        <v>4083</v>
      </c>
      <c r="B368" s="60">
        <f>$B$364</f>
        <v>1.24339799290543</v>
      </c>
      <c r="C368" t="s">
        <v>1853</v>
      </c>
      <c r="H368" s="17" t="s">
        <v>4084</v>
      </c>
    </row>
    <row r="369" spans="1:8" x14ac:dyDescent="0.2">
      <c r="A369" s="119" t="s">
        <v>4034</v>
      </c>
      <c r="B369" s="121">
        <v>0.08</v>
      </c>
      <c r="C369" t="s">
        <v>3346</v>
      </c>
    </row>
    <row r="370" spans="1:8" x14ac:dyDescent="0.2">
      <c r="A370" s="119" t="s">
        <v>4085</v>
      </c>
      <c r="B370" s="60">
        <f>$B$10</f>
        <v>1E-3</v>
      </c>
      <c r="C370" t="s">
        <v>4086</v>
      </c>
      <c r="H370" s="17" t="s">
        <v>4087</v>
      </c>
    </row>
    <row r="371" spans="1:8" x14ac:dyDescent="0.2">
      <c r="A371" s="24" t="s">
        <v>3777</v>
      </c>
      <c r="B371" s="60">
        <v>99472</v>
      </c>
      <c r="D371" s="119" t="s">
        <v>4088</v>
      </c>
      <c r="E371" s="122">
        <v>99471.8</v>
      </c>
      <c r="F371" s="122">
        <f>B371-E371</f>
        <v>0.19999999999708962</v>
      </c>
      <c r="H371" s="14" t="s">
        <v>4089</v>
      </c>
    </row>
    <row r="373" spans="1:8" x14ac:dyDescent="0.2">
      <c r="A373" s="24" t="s">
        <v>4090</v>
      </c>
      <c r="D373" s="119" t="s">
        <v>4091</v>
      </c>
    </row>
    <row r="374" spans="1:8" x14ac:dyDescent="0.2">
      <c r="A374" s="119" t="s">
        <v>4092</v>
      </c>
      <c r="B374" s="121">
        <v>1.8699999999999999E-4</v>
      </c>
    </row>
    <row r="375" spans="1:8" x14ac:dyDescent="0.2">
      <c r="A375" s="119" t="s">
        <v>4093</v>
      </c>
      <c r="B375" s="60">
        <f>$B$371</f>
        <v>99472</v>
      </c>
      <c r="H375" s="17" t="s">
        <v>4094</v>
      </c>
    </row>
    <row r="376" spans="1:8" x14ac:dyDescent="0.2">
      <c r="A376" s="24" t="s">
        <v>3777</v>
      </c>
      <c r="B376" s="60">
        <v>1.89434804258715E-2</v>
      </c>
      <c r="D376" s="119" t="s">
        <v>4095</v>
      </c>
      <c r="E376" s="122">
        <v>1.8950000000000002E-2</v>
      </c>
      <c r="F376" s="122">
        <f>B376-E376</f>
        <v>-6.519574128501654E-6</v>
      </c>
      <c r="H376" s="14" t="s">
        <v>4096</v>
      </c>
    </row>
    <row r="378" spans="1:8" x14ac:dyDescent="0.2">
      <c r="A378" s="24" t="s">
        <v>4097</v>
      </c>
      <c r="D378" s="119" t="s">
        <v>4098</v>
      </c>
    </row>
    <row r="379" spans="1:8" x14ac:dyDescent="0.2">
      <c r="A379" s="119" t="s">
        <v>4099</v>
      </c>
      <c r="B379" s="60">
        <f>$B$376</f>
        <v>1.89434804258715E-2</v>
      </c>
      <c r="H379" s="17" t="s">
        <v>4100</v>
      </c>
    </row>
    <row r="380" spans="1:8" x14ac:dyDescent="0.2">
      <c r="A380" s="119" t="s">
        <v>4101</v>
      </c>
      <c r="B380" s="121">
        <v>115</v>
      </c>
      <c r="C380" t="s">
        <v>3346</v>
      </c>
    </row>
    <row r="381" spans="1:8" x14ac:dyDescent="0.2">
      <c r="A381" s="119" t="s">
        <v>4034</v>
      </c>
      <c r="B381" s="121">
        <v>0.08</v>
      </c>
      <c r="C381" t="s">
        <v>3346</v>
      </c>
    </row>
    <row r="382" spans="1:8" x14ac:dyDescent="0.2">
      <c r="A382" s="119" t="s">
        <v>4083</v>
      </c>
      <c r="B382" s="60">
        <f>$B$364</f>
        <v>1.24339799290543</v>
      </c>
      <c r="C382" t="s">
        <v>1853</v>
      </c>
      <c r="H382" s="17" t="s">
        <v>4084</v>
      </c>
    </row>
    <row r="383" spans="1:8" x14ac:dyDescent="0.2">
      <c r="A383" s="119" t="s">
        <v>4102</v>
      </c>
      <c r="B383" s="60">
        <f>$B$8</f>
        <v>9.8065999999999995</v>
      </c>
      <c r="C383" t="s">
        <v>244</v>
      </c>
      <c r="H383" s="17" t="s">
        <v>4103</v>
      </c>
    </row>
    <row r="384" spans="1:8" x14ac:dyDescent="0.2">
      <c r="A384" s="24" t="s">
        <v>3777</v>
      </c>
      <c r="B384" s="60">
        <v>2.1529538643617601</v>
      </c>
      <c r="C384" t="s">
        <v>3346</v>
      </c>
      <c r="D384" s="119" t="s">
        <v>4104</v>
      </c>
      <c r="E384" s="122">
        <v>2.1469999999999998</v>
      </c>
      <c r="F384" s="122">
        <f>B384-E384</f>
        <v>5.9538643617602638E-3</v>
      </c>
      <c r="G384" t="s">
        <v>3346</v>
      </c>
      <c r="H384" s="14" t="s">
        <v>4105</v>
      </c>
    </row>
    <row r="386" spans="1:8" x14ac:dyDescent="0.2">
      <c r="A386" s="24" t="s">
        <v>4106</v>
      </c>
      <c r="D386" s="119" t="s">
        <v>4107</v>
      </c>
    </row>
    <row r="387" spans="1:8" x14ac:dyDescent="0.2">
      <c r="A387" s="119" t="s">
        <v>4108</v>
      </c>
      <c r="B387" s="121">
        <v>100</v>
      </c>
      <c r="C387" t="s">
        <v>4109</v>
      </c>
    </row>
    <row r="388" spans="1:8" x14ac:dyDescent="0.2">
      <c r="A388" s="119" t="s">
        <v>4081</v>
      </c>
      <c r="B388" s="60">
        <f>$B$6</f>
        <v>1000</v>
      </c>
      <c r="C388" t="s">
        <v>232</v>
      </c>
      <c r="H388" s="17" t="s">
        <v>4082</v>
      </c>
    </row>
    <row r="389" spans="1:8" x14ac:dyDescent="0.2">
      <c r="A389" s="119" t="s">
        <v>4102</v>
      </c>
      <c r="B389" s="60">
        <f>$B$8</f>
        <v>9.8065999999999995</v>
      </c>
      <c r="C389" t="s">
        <v>244</v>
      </c>
      <c r="H389" s="17" t="s">
        <v>4103</v>
      </c>
    </row>
    <row r="390" spans="1:8" x14ac:dyDescent="0.2">
      <c r="A390" s="24" t="s">
        <v>3777</v>
      </c>
      <c r="B390" s="60">
        <v>10.1972141211021</v>
      </c>
      <c r="C390" t="s">
        <v>3346</v>
      </c>
      <c r="D390" s="119" t="s">
        <v>4110</v>
      </c>
      <c r="E390" s="122">
        <v>10.196999999999999</v>
      </c>
      <c r="F390" s="122">
        <f>B390-E390</f>
        <v>2.1412110210050628E-4</v>
      </c>
      <c r="G390" t="s">
        <v>3346</v>
      </c>
      <c r="H390" s="14" t="s">
        <v>4111</v>
      </c>
    </row>
    <row r="392" spans="1:8" x14ac:dyDescent="0.2">
      <c r="A392" s="24" t="s">
        <v>4112</v>
      </c>
      <c r="D392" s="119" t="s">
        <v>4113</v>
      </c>
    </row>
    <row r="393" spans="1:8" x14ac:dyDescent="0.2">
      <c r="A393" s="119" t="s">
        <v>4114</v>
      </c>
      <c r="B393" s="121">
        <v>20</v>
      </c>
      <c r="C393" t="s">
        <v>3346</v>
      </c>
    </row>
    <row r="394" spans="1:8" x14ac:dyDescent="0.2">
      <c r="A394" s="24" t="s">
        <v>3777</v>
      </c>
      <c r="B394" s="60">
        <v>20</v>
      </c>
      <c r="C394" t="s">
        <v>3346</v>
      </c>
      <c r="D394" s="119" t="s">
        <v>4115</v>
      </c>
      <c r="E394" s="122">
        <v>20</v>
      </c>
      <c r="F394" s="122">
        <f>B394-E394</f>
        <v>0</v>
      </c>
      <c r="G394" t="s">
        <v>3346</v>
      </c>
      <c r="H394" s="14" t="s">
        <v>4116</v>
      </c>
    </row>
    <row r="396" spans="1:8" x14ac:dyDescent="0.2">
      <c r="A396" s="24" t="s">
        <v>3927</v>
      </c>
      <c r="D396" s="119" t="s">
        <v>4117</v>
      </c>
    </row>
    <row r="397" spans="1:8" x14ac:dyDescent="0.2">
      <c r="A397" s="119" t="s">
        <v>4081</v>
      </c>
      <c r="B397" s="60">
        <f>$B$6</f>
        <v>1000</v>
      </c>
      <c r="C397" t="s">
        <v>232</v>
      </c>
      <c r="H397" s="17" t="s">
        <v>4082</v>
      </c>
    </row>
    <row r="398" spans="1:8" x14ac:dyDescent="0.2">
      <c r="A398" s="119" t="s">
        <v>4102</v>
      </c>
      <c r="B398" s="60">
        <f>$B$8</f>
        <v>9.8065999999999995</v>
      </c>
      <c r="C398" t="s">
        <v>244</v>
      </c>
      <c r="H398" s="17" t="s">
        <v>4103</v>
      </c>
    </row>
    <row r="399" spans="1:8" x14ac:dyDescent="0.2">
      <c r="A399" s="119" t="s">
        <v>3929</v>
      </c>
      <c r="B399" s="121">
        <v>22.5</v>
      </c>
      <c r="C399" t="s">
        <v>22</v>
      </c>
    </row>
    <row r="400" spans="1:8" x14ac:dyDescent="0.2">
      <c r="A400" s="119" t="s">
        <v>4118</v>
      </c>
      <c r="B400" s="60">
        <f>$B$394</f>
        <v>20</v>
      </c>
      <c r="C400" t="s">
        <v>3346</v>
      </c>
      <c r="H400" s="17" t="s">
        <v>4119</v>
      </c>
    </row>
    <row r="401" spans="1:9" x14ac:dyDescent="0.2">
      <c r="A401" s="24" t="s">
        <v>3777</v>
      </c>
      <c r="B401" s="60">
        <v>1225.825</v>
      </c>
      <c r="C401" t="s">
        <v>3932</v>
      </c>
      <c r="D401" s="119" t="s">
        <v>4120</v>
      </c>
      <c r="E401" s="122">
        <v>1225.8</v>
      </c>
      <c r="F401" s="122">
        <f>B401-E401</f>
        <v>2.5000000000090949E-2</v>
      </c>
      <c r="G401" t="s">
        <v>3932</v>
      </c>
      <c r="H401" s="14" t="s">
        <v>4121</v>
      </c>
    </row>
    <row r="403" spans="1:9" x14ac:dyDescent="0.2">
      <c r="A403" s="24" t="s">
        <v>3935</v>
      </c>
      <c r="D403" s="119" t="s">
        <v>3936</v>
      </c>
    </row>
    <row r="404" spans="1:9" x14ac:dyDescent="0.2">
      <c r="A404" s="119" t="s">
        <v>3937</v>
      </c>
      <c r="B404" s="60">
        <f>$B$401</f>
        <v>1225.825</v>
      </c>
      <c r="C404" t="s">
        <v>3932</v>
      </c>
      <c r="H404" s="17" t="s">
        <v>4122</v>
      </c>
    </row>
    <row r="405" spans="1:9" x14ac:dyDescent="0.2">
      <c r="A405" s="119" t="s">
        <v>3939</v>
      </c>
      <c r="B405" s="121">
        <v>0.75</v>
      </c>
    </row>
    <row r="406" spans="1:9" x14ac:dyDescent="0.2">
      <c r="A406" s="24" t="s">
        <v>3777</v>
      </c>
      <c r="B406" s="60">
        <v>1634.4</v>
      </c>
      <c r="C406" t="s">
        <v>3932</v>
      </c>
      <c r="D406" s="119" t="s">
        <v>3940</v>
      </c>
      <c r="E406" s="122">
        <v>1634.4</v>
      </c>
      <c r="F406" s="122">
        <f>B406-E406</f>
        <v>0</v>
      </c>
      <c r="G406" t="s">
        <v>3932</v>
      </c>
      <c r="H406" s="14" t="s">
        <v>4123</v>
      </c>
    </row>
    <row r="408" spans="1:9" x14ac:dyDescent="0.2">
      <c r="A408" s="24" t="s">
        <v>3942</v>
      </c>
      <c r="D408" s="119" t="s">
        <v>3943</v>
      </c>
    </row>
    <row r="409" spans="1:9" x14ac:dyDescent="0.2">
      <c r="A409" s="119" t="s">
        <v>3944</v>
      </c>
      <c r="B409" s="60">
        <f>$B$406</f>
        <v>1634.4</v>
      </c>
      <c r="C409" t="s">
        <v>3932</v>
      </c>
      <c r="H409" s="17" t="s">
        <v>4124</v>
      </c>
    </row>
    <row r="410" spans="1:9" x14ac:dyDescent="0.2">
      <c r="A410" s="119" t="s">
        <v>3946</v>
      </c>
      <c r="B410" s="121">
        <v>0.85</v>
      </c>
    </row>
    <row r="411" spans="1:9" x14ac:dyDescent="0.2">
      <c r="A411" s="24" t="s">
        <v>3777</v>
      </c>
      <c r="B411" s="60">
        <v>1922.8235294117701</v>
      </c>
      <c r="C411" t="s">
        <v>3932</v>
      </c>
      <c r="D411" s="119" t="s">
        <v>3947</v>
      </c>
      <c r="E411" s="122">
        <v>1922.9</v>
      </c>
      <c r="F411" s="122">
        <f>B411-E411</f>
        <v>-7.6470588229994974E-2</v>
      </c>
      <c r="G411" t="s">
        <v>3932</v>
      </c>
      <c r="H411" s="14" t="s">
        <v>4125</v>
      </c>
    </row>
    <row r="414" spans="1:9" x14ac:dyDescent="0.2">
      <c r="A414" s="6" t="s">
        <v>4126</v>
      </c>
      <c r="B414" s="6"/>
      <c r="C414" s="6"/>
      <c r="D414" s="6"/>
      <c r="E414" s="6"/>
      <c r="F414" s="6"/>
      <c r="G414" s="6"/>
      <c r="H414" s="6"/>
    </row>
    <row r="415" spans="1:9" ht="16" x14ac:dyDescent="0.2">
      <c r="A415" s="16" t="s">
        <v>3765</v>
      </c>
      <c r="B415" s="16" t="s">
        <v>3766</v>
      </c>
      <c r="C415" s="16" t="s">
        <v>15</v>
      </c>
      <c r="D415" s="16" t="s">
        <v>3767</v>
      </c>
      <c r="E415" s="16" t="s">
        <v>3768</v>
      </c>
      <c r="F415" s="16" t="s">
        <v>3769</v>
      </c>
      <c r="G415" s="16" t="s">
        <v>15</v>
      </c>
      <c r="H415" s="16" t="s">
        <v>3770</v>
      </c>
      <c r="I415" s="17" t="s">
        <v>20</v>
      </c>
    </row>
    <row r="416" spans="1:9" x14ac:dyDescent="0.2">
      <c r="A416" s="24" t="s">
        <v>4127</v>
      </c>
      <c r="D416" s="119" t="s">
        <v>4128</v>
      </c>
      <c r="I416" s="23" t="str">
        <f t="shared" ref="I416:I421" si="2">IF(AND(LEN(TRIM(A416&amp;""))&gt;0,TRIM(A416&amp;"")&lt;&gt;"—"),"PASS","⚠ FAIL — "&amp;"a required cell is empty/placeholder or wrong type")</f>
        <v>PASS</v>
      </c>
    </row>
    <row r="417" spans="1:9" x14ac:dyDescent="0.2">
      <c r="A417" s="119" t="s">
        <v>4129</v>
      </c>
      <c r="B417" s="121">
        <v>90</v>
      </c>
      <c r="I417" s="23" t="str">
        <f t="shared" si="2"/>
        <v>PASS</v>
      </c>
    </row>
    <row r="418" spans="1:9" x14ac:dyDescent="0.2">
      <c r="A418" s="119" t="s">
        <v>4130</v>
      </c>
      <c r="B418" s="121">
        <v>8</v>
      </c>
      <c r="I418" s="23" t="str">
        <f t="shared" si="2"/>
        <v>PASS</v>
      </c>
    </row>
    <row r="419" spans="1:9" x14ac:dyDescent="0.2">
      <c r="A419" s="119" t="s">
        <v>4131</v>
      </c>
      <c r="B419" s="121">
        <v>2</v>
      </c>
      <c r="I419" s="23" t="str">
        <f t="shared" si="2"/>
        <v>PASS</v>
      </c>
    </row>
    <row r="420" spans="1:9" x14ac:dyDescent="0.2">
      <c r="A420" s="119" t="s">
        <v>4132</v>
      </c>
      <c r="B420" s="121">
        <v>1.2</v>
      </c>
      <c r="I420" s="23" t="str">
        <f t="shared" si="2"/>
        <v>PASS</v>
      </c>
    </row>
    <row r="421" spans="1:9" x14ac:dyDescent="0.2">
      <c r="A421" s="24" t="s">
        <v>3777</v>
      </c>
      <c r="B421" s="60">
        <v>196.8</v>
      </c>
      <c r="C421" t="s">
        <v>36</v>
      </c>
      <c r="D421" s="119" t="s">
        <v>4128</v>
      </c>
      <c r="E421" s="122">
        <v>196.8</v>
      </c>
      <c r="F421" s="122">
        <f>B421-E421</f>
        <v>0</v>
      </c>
      <c r="G421" t="s">
        <v>36</v>
      </c>
      <c r="I421" s="23" t="str">
        <f t="shared" si="2"/>
        <v>PASS</v>
      </c>
    </row>
    <row r="423" spans="1:9" x14ac:dyDescent="0.2">
      <c r="A423" s="24" t="s">
        <v>4133</v>
      </c>
      <c r="D423" s="119" t="s">
        <v>4134</v>
      </c>
    </row>
    <row r="424" spans="1:9" x14ac:dyDescent="0.2">
      <c r="A424" s="119" t="s">
        <v>4129</v>
      </c>
      <c r="B424" s="121">
        <v>90</v>
      </c>
    </row>
    <row r="425" spans="1:9" x14ac:dyDescent="0.2">
      <c r="A425" s="119" t="s">
        <v>4135</v>
      </c>
      <c r="B425" s="121">
        <v>0.3</v>
      </c>
    </row>
    <row r="426" spans="1:9" x14ac:dyDescent="0.2">
      <c r="A426" s="119" t="s">
        <v>4131</v>
      </c>
      <c r="B426" s="121">
        <v>2</v>
      </c>
    </row>
    <row r="427" spans="1:9" x14ac:dyDescent="0.2">
      <c r="A427" s="119" t="s">
        <v>4132</v>
      </c>
      <c r="B427" s="121">
        <v>1.2</v>
      </c>
    </row>
    <row r="428" spans="1:9" x14ac:dyDescent="0.2">
      <c r="A428" s="24" t="s">
        <v>3777</v>
      </c>
      <c r="B428" s="60">
        <v>64.8</v>
      </c>
      <c r="C428" t="s">
        <v>36</v>
      </c>
      <c r="D428" s="119" t="s">
        <v>4134</v>
      </c>
      <c r="E428" s="122">
        <v>64.8</v>
      </c>
      <c r="F428" s="122">
        <f>B428-E428</f>
        <v>0</v>
      </c>
      <c r="G428" t="s">
        <v>36</v>
      </c>
    </row>
    <row r="431" spans="1:9" x14ac:dyDescent="0.2">
      <c r="A431" s="6" t="s">
        <v>4136</v>
      </c>
      <c r="B431" s="6"/>
      <c r="C431" s="6"/>
      <c r="D431" s="6"/>
      <c r="E431" s="6"/>
      <c r="F431" s="6"/>
      <c r="G431" s="6"/>
      <c r="H431" s="6"/>
    </row>
    <row r="432" spans="1:9" ht="16" x14ac:dyDescent="0.2">
      <c r="A432" s="16" t="s">
        <v>3765</v>
      </c>
      <c r="B432" s="16" t="s">
        <v>3766</v>
      </c>
      <c r="C432" s="16" t="s">
        <v>15</v>
      </c>
      <c r="D432" s="16" t="s">
        <v>3767</v>
      </c>
      <c r="E432" s="16" t="s">
        <v>3768</v>
      </c>
      <c r="F432" s="16" t="s">
        <v>3769</v>
      </c>
      <c r="G432" s="16" t="s">
        <v>15</v>
      </c>
      <c r="H432" s="16" t="s">
        <v>3770</v>
      </c>
      <c r="I432" s="17" t="s">
        <v>20</v>
      </c>
    </row>
    <row r="433" spans="1:9" x14ac:dyDescent="0.2">
      <c r="A433" s="24" t="s">
        <v>4137</v>
      </c>
      <c r="D433" s="119" t="s">
        <v>4138</v>
      </c>
      <c r="I433" s="23" t="str">
        <f>IF(AND(LEN(TRIM(A433&amp;""))&gt;0,TRIM(A433&amp;"")&lt;&gt;"—"),"PASS","⚠ FAIL — "&amp;"a required cell is empty/placeholder or wrong type")</f>
        <v>PASS</v>
      </c>
    </row>
    <row r="434" spans="1:9" x14ac:dyDescent="0.2">
      <c r="A434" s="119" t="s">
        <v>4139</v>
      </c>
      <c r="B434" s="121">
        <v>192000</v>
      </c>
      <c r="C434" t="s">
        <v>4140</v>
      </c>
      <c r="I434" s="23" t="str">
        <f>IF(AND(LEN(TRIM(A434&amp;""))&gt;0,TRIM(A434&amp;"")&lt;&gt;"—"),"PASS","⚠ FAIL — "&amp;"a required cell is empty/placeholder or wrong type")</f>
        <v>PASS</v>
      </c>
    </row>
    <row r="435" spans="1:9" x14ac:dyDescent="0.2">
      <c r="A435" s="119" t="s">
        <v>4141</v>
      </c>
      <c r="B435" s="121">
        <v>24</v>
      </c>
      <c r="C435" t="s">
        <v>4142</v>
      </c>
      <c r="I435" s="23" t="str">
        <f>IF(AND(LEN(TRIM(A435&amp;""))&gt;0,TRIM(A435&amp;"")&lt;&gt;"—"),"PASS","⚠ FAIL — "&amp;"a required cell is empty/placeholder or wrong type")</f>
        <v>PASS</v>
      </c>
    </row>
    <row r="436" spans="1:9" x14ac:dyDescent="0.2">
      <c r="A436" s="24" t="s">
        <v>3777</v>
      </c>
      <c r="B436" s="60">
        <v>8000</v>
      </c>
      <c r="C436" t="s">
        <v>4143</v>
      </c>
      <c r="D436" s="119" t="s">
        <v>4144</v>
      </c>
      <c r="E436" s="122">
        <v>8000</v>
      </c>
      <c r="F436" s="122">
        <f>B436-E436</f>
        <v>0</v>
      </c>
      <c r="G436" t="s">
        <v>4143</v>
      </c>
      <c r="H436" s="14" t="s">
        <v>4145</v>
      </c>
      <c r="I436" s="23" t="str">
        <f>IF(AND(LEN(TRIM(A436&amp;""))&gt;0,TRIM(A436&amp;"")&lt;&gt;"—"),"PASS","⚠ FAIL — "&amp;"a required cell is empty/placeholder or wrong type")</f>
        <v>PASS</v>
      </c>
    </row>
    <row r="438" spans="1:9" x14ac:dyDescent="0.2">
      <c r="A438" s="24" t="s">
        <v>4146</v>
      </c>
      <c r="D438" s="119" t="s">
        <v>4147</v>
      </c>
    </row>
    <row r="439" spans="1:9" x14ac:dyDescent="0.2">
      <c r="A439" s="119" t="s">
        <v>4148</v>
      </c>
      <c r="B439" s="60">
        <f>$B$436</f>
        <v>8000</v>
      </c>
      <c r="C439" t="s">
        <v>4143</v>
      </c>
      <c r="H439" s="17" t="s">
        <v>4149</v>
      </c>
    </row>
    <row r="440" spans="1:9" x14ac:dyDescent="0.2">
      <c r="A440" s="119" t="s">
        <v>4150</v>
      </c>
      <c r="B440" s="121">
        <v>0.75</v>
      </c>
    </row>
    <row r="441" spans="1:9" x14ac:dyDescent="0.2">
      <c r="A441" s="24" t="s">
        <v>3777</v>
      </c>
      <c r="B441" s="60">
        <v>10666.666666666701</v>
      </c>
      <c r="C441" t="s">
        <v>4143</v>
      </c>
      <c r="D441" s="119" t="s">
        <v>4151</v>
      </c>
      <c r="E441" s="122">
        <v>10666.7</v>
      </c>
      <c r="F441" s="122">
        <f>B441-E441</f>
        <v>-3.333333330010646E-2</v>
      </c>
      <c r="G441" t="s">
        <v>4143</v>
      </c>
      <c r="H441" s="14" t="s">
        <v>4152</v>
      </c>
    </row>
    <row r="443" spans="1:9" x14ac:dyDescent="0.2">
      <c r="A443" s="24" t="s">
        <v>4153</v>
      </c>
      <c r="D443" s="119" t="s">
        <v>4154</v>
      </c>
    </row>
    <row r="444" spans="1:9" x14ac:dyDescent="0.2">
      <c r="A444" s="119" t="s">
        <v>4155</v>
      </c>
      <c r="B444" s="60">
        <f>$B$441</f>
        <v>10666.666666666701</v>
      </c>
      <c r="C444" t="s">
        <v>4143</v>
      </c>
      <c r="H444" s="17" t="s">
        <v>4156</v>
      </c>
    </row>
    <row r="445" spans="1:9" x14ac:dyDescent="0.2">
      <c r="A445" s="119" t="s">
        <v>4148</v>
      </c>
      <c r="B445" s="60">
        <f>$B$436</f>
        <v>8000</v>
      </c>
      <c r="C445" t="s">
        <v>4143</v>
      </c>
      <c r="H445" s="17" t="s">
        <v>4149</v>
      </c>
    </row>
    <row r="446" spans="1:9" x14ac:dyDescent="0.2">
      <c r="A446" s="24" t="s">
        <v>3777</v>
      </c>
      <c r="B446" s="60">
        <v>2666.7</v>
      </c>
      <c r="C446" t="s">
        <v>4143</v>
      </c>
      <c r="D446" s="119" t="s">
        <v>4157</v>
      </c>
      <c r="E446" s="122">
        <v>2666.7</v>
      </c>
      <c r="F446" s="122">
        <f>B446-E446</f>
        <v>0</v>
      </c>
      <c r="G446" t="s">
        <v>4143</v>
      </c>
      <c r="H446" s="14" t="s">
        <v>4158</v>
      </c>
    </row>
    <row r="448" spans="1:9" x14ac:dyDescent="0.2">
      <c r="A448" s="24" t="s">
        <v>4159</v>
      </c>
      <c r="D448" s="119" t="s">
        <v>4160</v>
      </c>
    </row>
    <row r="449" spans="1:8" x14ac:dyDescent="0.2">
      <c r="A449" s="119" t="s">
        <v>4148</v>
      </c>
      <c r="B449" s="60">
        <f>$B$436</f>
        <v>8000</v>
      </c>
      <c r="C449" t="s">
        <v>4143</v>
      </c>
      <c r="H449" s="17" t="s">
        <v>4149</v>
      </c>
    </row>
    <row r="450" spans="1:8" x14ac:dyDescent="0.2">
      <c r="A450" s="119" t="s">
        <v>4161</v>
      </c>
      <c r="B450" s="121">
        <v>22</v>
      </c>
      <c r="C450" t="s">
        <v>4162</v>
      </c>
    </row>
    <row r="451" spans="1:8" x14ac:dyDescent="0.2">
      <c r="A451" s="24" t="s">
        <v>3777</v>
      </c>
      <c r="B451" s="60">
        <v>363.63636363636402</v>
      </c>
      <c r="C451" t="s">
        <v>3373</v>
      </c>
      <c r="D451" s="119" t="s">
        <v>4163</v>
      </c>
      <c r="E451" s="122">
        <v>363.64</v>
      </c>
      <c r="F451" s="122">
        <f>B451-E451</f>
        <v>-3.6363636359624252E-3</v>
      </c>
      <c r="G451" t="s">
        <v>3373</v>
      </c>
      <c r="H451" s="14" t="s">
        <v>4164</v>
      </c>
    </row>
    <row r="453" spans="1:8" x14ac:dyDescent="0.2">
      <c r="A453" s="24" t="s">
        <v>4165</v>
      </c>
      <c r="D453" s="119" t="s">
        <v>4166</v>
      </c>
    </row>
    <row r="454" spans="1:8" x14ac:dyDescent="0.2">
      <c r="A454" s="119" t="s">
        <v>4167</v>
      </c>
      <c r="B454" s="121">
        <v>12</v>
      </c>
      <c r="C454" t="s">
        <v>3473</v>
      </c>
    </row>
    <row r="455" spans="1:8" x14ac:dyDescent="0.2">
      <c r="A455" s="119" t="s">
        <v>4168</v>
      </c>
      <c r="B455" s="121">
        <v>10.666700000000001</v>
      </c>
      <c r="C455" t="s">
        <v>22</v>
      </c>
    </row>
    <row r="456" spans="1:8" x14ac:dyDescent="0.2">
      <c r="A456" s="119" t="s">
        <v>3939</v>
      </c>
      <c r="B456" s="121">
        <v>0.7</v>
      </c>
    </row>
    <row r="457" spans="1:8" x14ac:dyDescent="0.2">
      <c r="A457" s="24" t="s">
        <v>3777</v>
      </c>
      <c r="B457" s="60">
        <v>5.0793809523809497</v>
      </c>
      <c r="C457" t="s">
        <v>1907</v>
      </c>
      <c r="D457" s="119" t="s">
        <v>4169</v>
      </c>
      <c r="E457" s="122">
        <v>5.0793999999999997</v>
      </c>
      <c r="F457" s="122">
        <f>B457-E457</f>
        <v>-1.904761905002772E-5</v>
      </c>
      <c r="G457" t="s">
        <v>1907</v>
      </c>
      <c r="H457" s="14" t="s">
        <v>4170</v>
      </c>
    </row>
    <row r="459" spans="1:8" x14ac:dyDescent="0.2">
      <c r="A459" s="24" t="s">
        <v>4171</v>
      </c>
      <c r="D459" s="119" t="s">
        <v>4172</v>
      </c>
    </row>
    <row r="460" spans="1:8" x14ac:dyDescent="0.2">
      <c r="A460" s="119" t="s">
        <v>4173</v>
      </c>
      <c r="B460" s="60">
        <f>$B$457</f>
        <v>5.0793809523809497</v>
      </c>
      <c r="C460" t="s">
        <v>1907</v>
      </c>
      <c r="H460" s="17" t="s">
        <v>4174</v>
      </c>
    </row>
    <row r="461" spans="1:8" x14ac:dyDescent="0.2">
      <c r="A461" s="119" t="s">
        <v>4148</v>
      </c>
      <c r="B461" s="60">
        <f>$B$436</f>
        <v>8000</v>
      </c>
      <c r="C461" t="s">
        <v>4143</v>
      </c>
      <c r="H461" s="17" t="s">
        <v>4149</v>
      </c>
    </row>
    <row r="462" spans="1:8" x14ac:dyDescent="0.2">
      <c r="A462" s="24" t="s">
        <v>3777</v>
      </c>
      <c r="B462" s="60">
        <v>0.63492499999999996</v>
      </c>
      <c r="C462" t="s">
        <v>4175</v>
      </c>
      <c r="D462" s="119" t="s">
        <v>4176</v>
      </c>
      <c r="E462" s="122">
        <v>0.63500000000000001</v>
      </c>
      <c r="F462" s="122">
        <f>B462-E462</f>
        <v>-7.5000000000047251E-5</v>
      </c>
      <c r="G462" t="s">
        <v>4175</v>
      </c>
      <c r="H462" s="14" t="s">
        <v>4177</v>
      </c>
    </row>
  </sheetData>
  <mergeCells count="21">
    <mergeCell ref="A431:H431"/>
    <mergeCell ref="A269:H269"/>
    <mergeCell ref="A282:H282"/>
    <mergeCell ref="A310:H310"/>
    <mergeCell ref="A354:H354"/>
    <mergeCell ref="A414:H414"/>
    <mergeCell ref="A142:H142"/>
    <mergeCell ref="A160:H160"/>
    <mergeCell ref="A190:H190"/>
    <mergeCell ref="A209:H209"/>
    <mergeCell ref="A242:H242"/>
    <mergeCell ref="A54:H54"/>
    <mergeCell ref="A56:H56"/>
    <mergeCell ref="A64:H64"/>
    <mergeCell ref="A89:H89"/>
    <mergeCell ref="A115:H115"/>
    <mergeCell ref="A1:H1"/>
    <mergeCell ref="A2:H2"/>
    <mergeCell ref="A3:H3"/>
    <mergeCell ref="A4:H4"/>
    <mergeCell ref="A12:H12"/>
  </mergeCells>
  <conditionalFormatting sqref="G16:G52">
    <cfRule type="cellIs" dxfId="3" priority="2" operator="equal">
      <formula>"ORPHANED"</formula>
    </cfRule>
    <cfRule type="cellIs" dxfId="2" priority="3" operator="equal">
      <formula>"STALE"</formula>
    </cfRule>
    <cfRule type="cellIs" dxfId="1" priority="4" operator="equal">
      <formula>"USED"</formula>
    </cfRule>
    <cfRule type="cellIs" dxfId="0" priority="5" operator="equal">
      <formula>"TRACED"</formula>
    </cfRule>
  </conditionalFormatting>
  <hyperlinks>
    <hyperlink ref="I1" location="'Contents'!A1" display="↑ Contents" xr:uid="{00000000-0004-0000-1C00-000000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F7F7F"/>
  </sheetPr>
  <dimension ref="A1:E22"/>
  <sheetViews>
    <sheetView zoomScaleNormal="100" workbookViewId="0">
      <pane ySplit="4" topLeftCell="A5" activePane="bottomLeft" state="frozen"/>
      <selection pane="bottomLeft" sqref="A1:D1"/>
    </sheetView>
  </sheetViews>
  <sheetFormatPr baseColWidth="10" defaultColWidth="8.6640625" defaultRowHeight="15" x14ac:dyDescent="0.2"/>
  <cols>
    <col min="1" max="1" width="34" customWidth="1"/>
    <col min="2" max="2" width="14" customWidth="1"/>
    <col min="3" max="3" width="12" customWidth="1"/>
    <col min="4" max="4" width="74" customWidth="1"/>
    <col min="5" max="5" width="13" customWidth="1"/>
  </cols>
  <sheetData>
    <row r="1" spans="1:5" ht="25.5" customHeight="1" x14ac:dyDescent="0.2">
      <c r="A1" s="12" t="s">
        <v>4178</v>
      </c>
      <c r="B1" s="12"/>
      <c r="C1" s="12"/>
      <c r="D1" s="12"/>
      <c r="E1" s="30" t="s">
        <v>140</v>
      </c>
    </row>
    <row r="2" spans="1:5" ht="30" customHeight="1" x14ac:dyDescent="0.2">
      <c r="A2" s="11" t="str">
        <f>"⬤ TAB QUALITY "&amp;IF(ISNUMBER('Quality &amp; Audit'!$B$59),IF('Quality &amp; Audit'!$B$59=INT('Quality &amp; Audit'!$B$59),TEXT('Quality &amp; Audit'!$B$59,"0"),TEXT('Quality &amp; Audit'!$B$59,"0.0")),"—")&amp;"/10 · "&amp;IF(ISNUMBER('Quality &amp; Audit'!$B$59),IF('Quality &amp; Audit'!$B$59&gt;=8,"PASS","FAIL"),"UNSCORED")&amp;" (target ≥8, live from the Quality &amp; Audit score cell)"&amp;" · driver integrity (every input driver consumed by a live formula) — drivers referenced by a live formula somewhere 17/18; cell completeness+type contract 54/54 · score = …"&amp;" · full audit: Quality &amp; Audit tab"</f>
        <v>⬤ TAB QUALITY 9.4/10 · PASS (target ≥8, live from the Quality &amp; Audit score cell) · driver integrity (every input driver consumed by a live formula) — drivers referenced by a live formula somewhere 17/18; cell completeness+type contract 54/54 · score = … · full audit: Quality &amp; Audit tab</v>
      </c>
      <c r="B2" s="11"/>
      <c r="C2" s="11"/>
      <c r="D2" s="11"/>
    </row>
    <row r="3" spans="1:5" ht="40.5" customHeight="1" x14ac:dyDescent="0.2">
      <c r="A3" s="10" t="s">
        <v>4179</v>
      </c>
      <c r="B3" s="10"/>
      <c r="C3" s="10"/>
      <c r="D3" s="10"/>
    </row>
    <row r="4" spans="1:5" ht="16" x14ac:dyDescent="0.2">
      <c r="A4" s="16" t="s">
        <v>670</v>
      </c>
      <c r="B4" s="16" t="s">
        <v>144</v>
      </c>
      <c r="C4" s="16" t="s">
        <v>15</v>
      </c>
      <c r="D4" s="16" t="s">
        <v>4180</v>
      </c>
      <c r="E4" s="17" t="s">
        <v>20</v>
      </c>
    </row>
    <row r="5" spans="1:5" x14ac:dyDescent="0.2">
      <c r="A5" s="24" t="s">
        <v>4181</v>
      </c>
      <c r="B5" s="49">
        <v>45</v>
      </c>
      <c r="C5" s="18" t="s">
        <v>22</v>
      </c>
      <c r="D5" s="22" t="s">
        <v>4182</v>
      </c>
      <c r="E5" s="23" t="str">
        <f t="shared" ref="E5:E22" si="0">IF(AND(LEN(TRIM(A5&amp;""))&gt;0,TRIM(A5&amp;"")&lt;&gt;"—",LEN(TRIM(B5&amp;""))&gt;0,TRIM(B5&amp;"")&lt;&gt;"—",LEN(TRIM(D5&amp;""))&gt;0,TRIM(D5&amp;"")&lt;&gt;"—"),"PASS","⚠ FAIL — "&amp;"a required cell is empty/placeholder or wrong type")</f>
        <v>PASS</v>
      </c>
    </row>
    <row r="6" spans="1:5" ht="26" x14ac:dyDescent="0.2">
      <c r="A6" s="24" t="s">
        <v>177</v>
      </c>
      <c r="B6" s="126">
        <v>0</v>
      </c>
      <c r="C6" s="18" t="s">
        <v>178</v>
      </c>
      <c r="D6" s="22" t="s">
        <v>4183</v>
      </c>
      <c r="E6" s="23" t="str">
        <f t="shared" si="0"/>
        <v>PASS</v>
      </c>
    </row>
    <row r="7" spans="1:5" ht="39" x14ac:dyDescent="0.2">
      <c r="A7" s="24" t="s">
        <v>182</v>
      </c>
      <c r="B7" s="126">
        <v>0</v>
      </c>
      <c r="C7" s="18" t="s">
        <v>178</v>
      </c>
      <c r="D7" s="22" t="s">
        <v>4184</v>
      </c>
      <c r="E7" s="23" t="str">
        <f t="shared" si="0"/>
        <v>PASS</v>
      </c>
    </row>
    <row r="8" spans="1:5" x14ac:dyDescent="0.2">
      <c r="A8" s="24" t="s">
        <v>185</v>
      </c>
      <c r="B8" s="49">
        <v>0</v>
      </c>
      <c r="C8" s="18" t="s">
        <v>186</v>
      </c>
      <c r="D8" s="22" t="s">
        <v>4185</v>
      </c>
      <c r="E8" s="23" t="str">
        <f t="shared" si="0"/>
        <v>PASS</v>
      </c>
    </row>
    <row r="9" spans="1:5" x14ac:dyDescent="0.2">
      <c r="A9" s="24" t="s">
        <v>189</v>
      </c>
      <c r="B9" s="126">
        <v>0.15</v>
      </c>
      <c r="C9" s="18" t="s">
        <v>190</v>
      </c>
      <c r="D9" s="22" t="s">
        <v>4186</v>
      </c>
      <c r="E9" s="23" t="str">
        <f t="shared" si="0"/>
        <v>PASS</v>
      </c>
    </row>
    <row r="10" spans="1:5" x14ac:dyDescent="0.2">
      <c r="A10" s="24" t="s">
        <v>4187</v>
      </c>
      <c r="B10" s="71">
        <v>53</v>
      </c>
      <c r="C10" s="18" t="s">
        <v>1907</v>
      </c>
      <c r="D10" s="22" t="s">
        <v>4188</v>
      </c>
      <c r="E10" s="23" t="str">
        <f t="shared" si="0"/>
        <v>PASS</v>
      </c>
    </row>
    <row r="11" spans="1:5" x14ac:dyDescent="0.2">
      <c r="A11" s="24" t="s">
        <v>193</v>
      </c>
      <c r="B11" s="49">
        <v>0.65</v>
      </c>
      <c r="C11" s="18" t="s">
        <v>194</v>
      </c>
      <c r="D11" s="22" t="s">
        <v>4189</v>
      </c>
      <c r="E11" s="23" t="str">
        <f t="shared" si="0"/>
        <v>PASS</v>
      </c>
    </row>
    <row r="12" spans="1:5" x14ac:dyDescent="0.2">
      <c r="A12" s="24" t="s">
        <v>197</v>
      </c>
      <c r="B12" s="127">
        <v>8000</v>
      </c>
      <c r="C12" s="18" t="s">
        <v>198</v>
      </c>
      <c r="D12" s="22" t="s">
        <v>4190</v>
      </c>
      <c r="E12" s="23" t="str">
        <f t="shared" si="0"/>
        <v>PASS</v>
      </c>
    </row>
    <row r="13" spans="1:5" ht="26" x14ac:dyDescent="0.2">
      <c r="A13" s="24" t="s">
        <v>4191</v>
      </c>
      <c r="B13" s="71">
        <v>90</v>
      </c>
      <c r="C13" s="18" t="s">
        <v>1893</v>
      </c>
      <c r="D13" s="22" t="s">
        <v>4192</v>
      </c>
      <c r="E13" s="23" t="str">
        <f t="shared" si="0"/>
        <v>PASS</v>
      </c>
    </row>
    <row r="14" spans="1:5" ht="65" x14ac:dyDescent="0.2">
      <c r="A14" s="24" t="s">
        <v>201</v>
      </c>
      <c r="B14" s="49">
        <v>0.25</v>
      </c>
      <c r="C14" s="18" t="s">
        <v>202</v>
      </c>
      <c r="D14" s="22" t="s">
        <v>4193</v>
      </c>
      <c r="E14" s="23" t="str">
        <f t="shared" si="0"/>
        <v>PASS</v>
      </c>
    </row>
    <row r="15" spans="1:5" ht="39" x14ac:dyDescent="0.2">
      <c r="A15" s="24" t="s">
        <v>205</v>
      </c>
      <c r="B15" s="45">
        <v>25000</v>
      </c>
      <c r="C15" s="18" t="s">
        <v>206</v>
      </c>
      <c r="D15" s="22" t="s">
        <v>4194</v>
      </c>
      <c r="E15" s="23" t="str">
        <f t="shared" si="0"/>
        <v>PASS</v>
      </c>
    </row>
    <row r="16" spans="1:5" x14ac:dyDescent="0.2">
      <c r="A16" s="24" t="s">
        <v>209</v>
      </c>
      <c r="B16" s="71">
        <v>3</v>
      </c>
      <c r="C16" s="18" t="s">
        <v>210</v>
      </c>
      <c r="D16" s="22" t="s">
        <v>212</v>
      </c>
      <c r="E16" s="23" t="str">
        <f t="shared" si="0"/>
        <v>PASS</v>
      </c>
    </row>
    <row r="17" spans="1:5" x14ac:dyDescent="0.2">
      <c r="A17" s="24" t="s">
        <v>214</v>
      </c>
      <c r="B17" s="45">
        <v>27212</v>
      </c>
      <c r="C17" s="18" t="s">
        <v>206</v>
      </c>
      <c r="D17" s="22" t="s">
        <v>4195</v>
      </c>
      <c r="E17" s="23" t="str">
        <f t="shared" si="0"/>
        <v>PASS</v>
      </c>
    </row>
    <row r="18" spans="1:5" x14ac:dyDescent="0.2">
      <c r="A18" s="24" t="s">
        <v>4196</v>
      </c>
      <c r="B18" s="45">
        <v>1360613</v>
      </c>
      <c r="C18" s="18" t="s">
        <v>247</v>
      </c>
      <c r="D18" s="22" t="s">
        <v>4197</v>
      </c>
      <c r="E18" s="23" t="str">
        <f t="shared" si="0"/>
        <v>PASS</v>
      </c>
    </row>
    <row r="19" spans="1:5" ht="52" x14ac:dyDescent="0.2">
      <c r="A19" s="24" t="s">
        <v>217</v>
      </c>
      <c r="B19" s="49">
        <v>1</v>
      </c>
      <c r="C19" s="18" t="s">
        <v>218</v>
      </c>
      <c r="D19" s="22" t="s">
        <v>219</v>
      </c>
      <c r="E19" s="23" t="str">
        <f t="shared" si="0"/>
        <v>PASS</v>
      </c>
    </row>
    <row r="20" spans="1:5" x14ac:dyDescent="0.2">
      <c r="A20" s="24" t="s">
        <v>221</v>
      </c>
      <c r="B20" s="71">
        <v>10</v>
      </c>
      <c r="C20" s="18" t="s">
        <v>33</v>
      </c>
      <c r="D20" s="22" t="s">
        <v>222</v>
      </c>
      <c r="E20" s="23" t="str">
        <f t="shared" si="0"/>
        <v>PASS</v>
      </c>
    </row>
    <row r="21" spans="1:5" ht="26" x14ac:dyDescent="0.2">
      <c r="A21" s="24" t="s">
        <v>224</v>
      </c>
      <c r="B21" s="71">
        <v>15</v>
      </c>
      <c r="C21" s="18" t="s">
        <v>33</v>
      </c>
      <c r="D21" s="22" t="s">
        <v>225</v>
      </c>
      <c r="E21" s="23" t="str">
        <f t="shared" si="0"/>
        <v>PASS</v>
      </c>
    </row>
    <row r="22" spans="1:5" x14ac:dyDescent="0.2">
      <c r="A22" s="24" t="s">
        <v>227</v>
      </c>
      <c r="B22" s="71">
        <v>20</v>
      </c>
      <c r="C22" s="18" t="s">
        <v>228</v>
      </c>
      <c r="D22" s="22" t="s">
        <v>4198</v>
      </c>
      <c r="E22" s="23" t="str">
        <f t="shared" si="0"/>
        <v>PASS</v>
      </c>
    </row>
  </sheetData>
  <mergeCells count="3">
    <mergeCell ref="A1:D1"/>
    <mergeCell ref="A2:D2"/>
    <mergeCell ref="A3:D3"/>
  </mergeCells>
  <hyperlinks>
    <hyperlink ref="E1" location="'Contents'!A1" display="↑ Contents" xr:uid="{00000000-0004-0000-1D00-000000000000}"/>
  </hyperlink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F7F7F"/>
  </sheetPr>
  <dimension ref="A1:F89"/>
  <sheetViews>
    <sheetView zoomScaleNormal="100" workbookViewId="0">
      <pane ySplit="4" topLeftCell="A5" activePane="bottomLeft" state="frozen"/>
      <selection pane="bottomLeft" sqref="A1:E1"/>
    </sheetView>
  </sheetViews>
  <sheetFormatPr baseColWidth="10" defaultColWidth="8.6640625" defaultRowHeight="15" x14ac:dyDescent="0.2"/>
  <cols>
    <col min="1" max="1" width="14" customWidth="1"/>
    <col min="2" max="2" width="46" customWidth="1"/>
    <col min="3" max="3" width="8" customWidth="1"/>
    <col min="4" max="4" width="64" customWidth="1"/>
    <col min="5" max="5" width="26" customWidth="1"/>
    <col min="6" max="6" width="13" customWidth="1"/>
  </cols>
  <sheetData>
    <row r="1" spans="1:6" ht="25.5" customHeight="1" x14ac:dyDescent="0.2">
      <c r="A1" s="12" t="s">
        <v>4199</v>
      </c>
      <c r="B1" s="12"/>
      <c r="C1" s="12"/>
      <c r="D1" s="12"/>
      <c r="E1" s="12"/>
      <c r="F1" s="30" t="s">
        <v>140</v>
      </c>
    </row>
    <row r="2" spans="1:6" ht="30" customHeight="1" x14ac:dyDescent="0.2">
      <c r="A2" s="11" t="str">
        <f>"⬤ TAB QUALITY "&amp;IF(ISNUMBER('Quality &amp; Audit'!$B$41),IF('Quality &amp; Audit'!$B$41=INT('Quality &amp; Audit'!$B$41),TEXT('Quality &amp; Audit'!$B$41,"0"),TEXT('Quality &amp; Audit'!$B$41,"0.0")),"—")&amp;"/10 · "&amp;IF(ISNUMBER('Quality &amp; Audit'!$B$41),IF('Quality &amp; Audit'!$B$41&gt;=8,"PASS","FAIL"),"UNSCORED")&amp;" (target ≥8, live from the Quality &amp; Audit score cell)"&amp;" · dedupe + completeness (every BoM tag present exactly once) + cross-link + MPN/status coverage (parts-ledger.json) — part tags unique (each physical thing named once) 93/…"&amp;" · full audit: Quality &amp; Audit tab"</f>
        <v>⬤ TAB QUALITY 9.6/10 · PASS (target ≥8, live from the Quality &amp; Audit score cell) · dedupe + completeness (every BoM tag present exactly once) + cross-link + MPN/status coverage (parts-ledger.json) — part tags unique (each physical thing named once) 93/… · full audit: Quality &amp; Audit tab</v>
      </c>
      <c r="B2" s="11"/>
      <c r="C2" s="11"/>
      <c r="D2" s="11"/>
      <c r="E2" s="11"/>
    </row>
    <row r="3" spans="1:6" ht="66.75" customHeight="1" x14ac:dyDescent="0.2">
      <c r="A3" s="10" t="s">
        <v>4200</v>
      </c>
      <c r="B3" s="10"/>
      <c r="C3" s="10"/>
      <c r="D3" s="10"/>
      <c r="E3" s="10"/>
    </row>
    <row r="4" spans="1:6" ht="16" x14ac:dyDescent="0.2">
      <c r="A4" s="16" t="s">
        <v>304</v>
      </c>
      <c r="B4" s="16" t="s">
        <v>4201</v>
      </c>
      <c r="C4" s="16" t="s">
        <v>744</v>
      </c>
      <c r="D4" s="16" t="s">
        <v>4202</v>
      </c>
      <c r="E4" s="16" t="s">
        <v>315</v>
      </c>
      <c r="F4" s="17" t="s">
        <v>20</v>
      </c>
    </row>
    <row r="5" spans="1:6" x14ac:dyDescent="0.2">
      <c r="A5" s="18" t="s">
        <v>4203</v>
      </c>
      <c r="B5" s="44" t="s">
        <v>1287</v>
      </c>
      <c r="C5" s="32">
        <v>1</v>
      </c>
      <c r="D5" s="22" t="s">
        <v>1287</v>
      </c>
      <c r="E5" s="22" t="str">
        <f>IFERROR(INDEX('Bill of Materials (Ledger)'!$N:$N,MATCH("X-142",'Bill of Materials (Ledger)'!$A:$A,0)),"— not yet in ledger")</f>
        <v>commodity — MPN at procurement</v>
      </c>
      <c r="F5" s="23" t="str">
        <f t="shared" ref="F5:F36" si="0">IF(AND(LEN(TRIM(A5&amp;""))&gt;0,TRIM(A5&amp;"")&lt;&gt;"—",LEN(TRIM(B5&amp;""))&gt;0,TRIM(B5&amp;"")&lt;&gt;"—",LEN(TRIM(C5&amp;""))&gt;0,TRIM(C5&amp;"")&lt;&gt;"—",ISNUMBER(C5),LEN(TRIM(D5&amp;""))&gt;0,TRIM(D5&amp;"")&lt;&gt;"—",LEN(TRIM(E5&amp;""))&gt;0,TRIM(E5&amp;"")&lt;&gt;"—"),"PASS","⚠ FAIL — "&amp;"a required cell is empty/placeholder or wrong type")</f>
        <v>PASS</v>
      </c>
    </row>
    <row r="6" spans="1:6" x14ac:dyDescent="0.2">
      <c r="A6" s="18" t="s">
        <v>319</v>
      </c>
      <c r="B6" s="44" t="s">
        <v>320</v>
      </c>
      <c r="C6" s="32">
        <v>1</v>
      </c>
      <c r="D6" s="22" t="s">
        <v>320</v>
      </c>
      <c r="E6" s="22" t="str">
        <f>IFERROR(INDEX('Bill of Materials (Ledger)'!$N:$N,MATCH("D-101",'Bill of Materials (Ledger)'!$A:$A,0)),"— not yet in ledger")</f>
        <v>TDK-Lambda DRB240-24-3-A0</v>
      </c>
      <c r="F6" s="23" t="str">
        <f t="shared" si="0"/>
        <v>PASS</v>
      </c>
    </row>
    <row r="7" spans="1:6" x14ac:dyDescent="0.2">
      <c r="A7" s="18" t="s">
        <v>4204</v>
      </c>
      <c r="B7" s="44" t="s">
        <v>1270</v>
      </c>
      <c r="C7" s="32">
        <v>1</v>
      </c>
      <c r="D7" s="22" t="s">
        <v>1270</v>
      </c>
      <c r="E7" s="22" t="str">
        <f>IFERROR(INDEX('Bill of Materials (Ledger)'!$N:$N,MATCH("X-141",'Bill of Materials (Ledger)'!$A:$A,0)),"— not yet in ledger")</f>
        <v>Cabletec CG-M20-IP68</v>
      </c>
      <c r="F7" s="23" t="str">
        <f t="shared" si="0"/>
        <v>PASS</v>
      </c>
    </row>
    <row r="8" spans="1:6" x14ac:dyDescent="0.2">
      <c r="A8" s="18" t="s">
        <v>4205</v>
      </c>
      <c r="B8" s="44" t="s">
        <v>1260</v>
      </c>
      <c r="C8" s="32">
        <v>1</v>
      </c>
      <c r="D8" s="22" t="s">
        <v>1260</v>
      </c>
      <c r="E8" s="22" t="str">
        <f>IFERROR(INDEX('Bill of Materials (Ledger)'!$N:$N,MATCH("X-137",'Bill of Materials (Ledger)'!$A:$A,0)),"— not yet in ledger")</f>
        <v>Legrand SRFL100G</v>
      </c>
      <c r="F8" s="23" t="str">
        <f t="shared" si="0"/>
        <v>PASS</v>
      </c>
    </row>
    <row r="9" spans="1:6" x14ac:dyDescent="0.2">
      <c r="A9" s="18" t="s">
        <v>4206</v>
      </c>
      <c r="B9" s="44" t="s">
        <v>1221</v>
      </c>
      <c r="C9" s="32">
        <v>1</v>
      </c>
      <c r="D9" s="22" t="s">
        <v>1221</v>
      </c>
      <c r="E9" s="22" t="str">
        <f>IFERROR(INDEX('Bill of Materials (Ledger)'!$N:$N,MATCH("I-109",'Bill of Materials (Ledger)'!$A:$A,0)),"— not yet in ledger")</f>
        <v>Hach LXV45B.99.11022</v>
      </c>
      <c r="F9" s="23" t="str">
        <f t="shared" si="0"/>
        <v>PASS</v>
      </c>
    </row>
    <row r="10" spans="1:6" ht="26" x14ac:dyDescent="0.2">
      <c r="A10" s="18" t="s">
        <v>4207</v>
      </c>
      <c r="B10" s="44" t="s">
        <v>384</v>
      </c>
      <c r="C10" s="32">
        <v>2</v>
      </c>
      <c r="D10" s="22" t="s">
        <v>4208</v>
      </c>
      <c r="E10" s="22" t="str">
        <f>IFERROR(INDEX('Bill of Materials (Ledger)'!$N:$N,MATCH("TK-102",'Bill of Materials (Ledger)'!$A:$A,0)),"— not yet in ledger")</f>
        <v>— not yet in ledger</v>
      </c>
      <c r="F10" s="23" t="str">
        <f t="shared" si="0"/>
        <v>PASS</v>
      </c>
    </row>
    <row r="11" spans="1:6" ht="26" x14ac:dyDescent="0.2">
      <c r="A11" s="18" t="s">
        <v>4209</v>
      </c>
      <c r="B11" s="44" t="s">
        <v>3439</v>
      </c>
      <c r="C11" s="32">
        <v>2</v>
      </c>
      <c r="D11" s="22" t="s">
        <v>4210</v>
      </c>
      <c r="E11" s="22" t="str">
        <f>IFERROR(INDEX('Bill of Materials (Ledger)'!$N:$N,MATCH("X-107",'Bill of Materials (Ledger)'!$A:$A,0)),"— not yet in ledger")</f>
        <v>— not yet in ledger</v>
      </c>
      <c r="F11" s="23" t="str">
        <f t="shared" si="0"/>
        <v>PASS</v>
      </c>
    </row>
    <row r="12" spans="1:6" ht="26" x14ac:dyDescent="0.2">
      <c r="A12" s="18" t="s">
        <v>434</v>
      </c>
      <c r="B12" s="44" t="s">
        <v>435</v>
      </c>
      <c r="C12" s="32">
        <v>2</v>
      </c>
      <c r="D12" s="22" t="s">
        <v>1007</v>
      </c>
      <c r="E12" s="22" t="str">
        <f>IFERROR(INDEX('Bill of Materials (Ledger)'!$N:$N,MATCH("V-104",'Bill of Materials (Ledger)'!$A:$A,0)),"— not yet in ledger")</f>
        <v>bespoke fabrication to drawing — see sizing basis</v>
      </c>
      <c r="F12" s="23" t="str">
        <f t="shared" si="0"/>
        <v>PASS</v>
      </c>
    </row>
    <row r="13" spans="1:6" x14ac:dyDescent="0.2">
      <c r="A13" s="18" t="s">
        <v>4211</v>
      </c>
      <c r="B13" s="44" t="s">
        <v>1140</v>
      </c>
      <c r="C13" s="32">
        <v>1</v>
      </c>
      <c r="D13" s="22" t="s">
        <v>1140</v>
      </c>
      <c r="E13" s="22" t="str">
        <f>IFERROR(INDEX('Bill of Materials (Ledger)'!$N:$N,MATCH("X-113",'Bill of Materials (Ledger)'!$A:$A,0)),"— not yet in ledger")</f>
        <v>commodity — MPN at procurement</v>
      </c>
      <c r="F13" s="23" t="str">
        <f t="shared" si="0"/>
        <v>PASS</v>
      </c>
    </row>
    <row r="14" spans="1:6" x14ac:dyDescent="0.2">
      <c r="A14" s="18" t="s">
        <v>4212</v>
      </c>
      <c r="B14" s="44" t="s">
        <v>448</v>
      </c>
      <c r="C14" s="32">
        <v>1</v>
      </c>
      <c r="D14" s="22" t="s">
        <v>448</v>
      </c>
      <c r="E14" s="22" t="str">
        <f>IFERROR(INDEX('Bill of Materials (Ledger)'!$N:$N,MATCH("X-105",'Bill of Materials (Ledger)'!$A:$A,0)),"— not yet in ledger")</f>
        <v>commodity — MPN at procurement</v>
      </c>
      <c r="F14" s="23" t="str">
        <f t="shared" si="0"/>
        <v>PASS</v>
      </c>
    </row>
    <row r="15" spans="1:6" x14ac:dyDescent="0.2">
      <c r="A15" s="18" t="s">
        <v>4213</v>
      </c>
      <c r="B15" s="44" t="s">
        <v>1187</v>
      </c>
      <c r="C15" s="32">
        <v>1</v>
      </c>
      <c r="D15" s="22" t="s">
        <v>1187</v>
      </c>
      <c r="E15" s="22" t="str">
        <f>IFERROR(INDEX('Bill of Materials (Ledger)'!$N:$N,MATCH("I-104",'Bill of Materials (Ledger)'!$A:$A,0)),"— not yet in ledger")</f>
        <v>Myron L 750-II-CS51</v>
      </c>
      <c r="F15" s="23" t="str">
        <f t="shared" si="0"/>
        <v>PASS</v>
      </c>
    </row>
    <row r="16" spans="1:6" x14ac:dyDescent="0.2">
      <c r="A16" s="18" t="s">
        <v>423</v>
      </c>
      <c r="B16" s="44" t="s">
        <v>424</v>
      </c>
      <c r="C16" s="32">
        <v>1</v>
      </c>
      <c r="D16" s="22" t="s">
        <v>785</v>
      </c>
      <c r="E16" s="22" t="str">
        <f>IFERROR(INDEX('Bill of Materials (Ledger)'!$N:$N,MATCH("U-201",'Bill of Materials (Ledger)'!$A:$A,0)),"— not yet in ledger")</f>
        <v>Eaton 9SX5KI</v>
      </c>
      <c r="F16" s="23" t="str">
        <f t="shared" si="0"/>
        <v>PASS</v>
      </c>
    </row>
    <row r="17" spans="1:6" x14ac:dyDescent="0.2">
      <c r="A17" s="18" t="s">
        <v>4214</v>
      </c>
      <c r="B17" s="44" t="s">
        <v>775</v>
      </c>
      <c r="C17" s="32">
        <v>1</v>
      </c>
      <c r="D17" s="22" t="s">
        <v>775</v>
      </c>
      <c r="E17" s="22" t="str">
        <f>IFERROR(INDEX('Bill of Materials (Ledger)'!$N:$N,MATCH("X-109",'Bill of Materials (Ledger)'!$A:$A,0)),"— not yet in ledger")</f>
        <v>commodity — MPN at procurement</v>
      </c>
      <c r="F17" s="23" t="str">
        <f t="shared" si="0"/>
        <v>PASS</v>
      </c>
    </row>
    <row r="18" spans="1:6" x14ac:dyDescent="0.2">
      <c r="A18" s="18" t="s">
        <v>4215</v>
      </c>
      <c r="B18" s="44" t="s">
        <v>1168</v>
      </c>
      <c r="C18" s="32">
        <v>1</v>
      </c>
      <c r="D18" s="22" t="s">
        <v>1168</v>
      </c>
      <c r="E18" s="22" t="str">
        <f>IFERROR(INDEX('Bill of Materials (Ledger)'!$N:$N,MATCH("X-119",'Bill of Materials (Ledger)'!$A:$A,0)),"— not yet in ledger")</f>
        <v>OEM-proprietary (no public MPN)</v>
      </c>
      <c r="F18" s="23" t="str">
        <f t="shared" si="0"/>
        <v>PASS</v>
      </c>
    </row>
    <row r="19" spans="1:6" x14ac:dyDescent="0.2">
      <c r="A19" s="18" t="s">
        <v>350</v>
      </c>
      <c r="B19" s="44" t="s">
        <v>351</v>
      </c>
      <c r="C19" s="32">
        <v>1</v>
      </c>
      <c r="D19" s="22" t="s">
        <v>351</v>
      </c>
      <c r="E19" s="22" t="str">
        <f>IFERROR(INDEX('Bill of Materials (Ledger)'!$N:$N,MATCH("I-103",'Bill of Materials (Ledger)'!$A:$A,0)),"— not yet in ledger")</f>
        <v>Siemens 6AV2123-2GB03-0AX0</v>
      </c>
      <c r="F19" s="23" t="str">
        <f t="shared" si="0"/>
        <v>PASS</v>
      </c>
    </row>
    <row r="20" spans="1:6" ht="26" x14ac:dyDescent="0.2">
      <c r="A20" s="18" t="s">
        <v>354</v>
      </c>
      <c r="B20" s="44" t="s">
        <v>355</v>
      </c>
      <c r="C20" s="32">
        <v>2</v>
      </c>
      <c r="D20" s="22" t="s">
        <v>1061</v>
      </c>
      <c r="E20" s="22" t="str">
        <f>IFERROR(INDEX('Bill of Materials (Ledger)'!$N:$N,MATCH("M-101",'Bill of Materials (Ledger)'!$A:$A,0)),"— not yet in ledger")</f>
        <v>bespoke fabrication to drawing — see sizing basis</v>
      </c>
      <c r="F20" s="23" t="str">
        <f t="shared" si="0"/>
        <v>PASS</v>
      </c>
    </row>
    <row r="21" spans="1:6" ht="26" x14ac:dyDescent="0.2">
      <c r="A21" s="18" t="s">
        <v>420</v>
      </c>
      <c r="B21" s="44" t="s">
        <v>421</v>
      </c>
      <c r="C21" s="32">
        <v>1</v>
      </c>
      <c r="D21" s="22" t="s">
        <v>795</v>
      </c>
      <c r="E21" s="22" t="str">
        <f>IFERROR(INDEX('Bill of Materials (Ledger)'!$N:$N,MATCH("TX-102",'Bill of Materials (Ledger)'!$A:$A,0)),"— not yet in ledger")</f>
        <v>Hammond Power Solutions SG3A0075KB</v>
      </c>
      <c r="F21" s="23" t="str">
        <f t="shared" si="0"/>
        <v>PASS</v>
      </c>
    </row>
    <row r="22" spans="1:6" ht="26" x14ac:dyDescent="0.2">
      <c r="A22" s="18" t="s">
        <v>410</v>
      </c>
      <c r="B22" s="44" t="s">
        <v>411</v>
      </c>
      <c r="C22" s="32">
        <v>2</v>
      </c>
      <c r="D22" s="22" t="s">
        <v>970</v>
      </c>
      <c r="E22" s="22" t="str">
        <f>IFERROR(INDEX('Bill of Materials (Ledger)'!$N:$N,MATCH("TK-114",'Bill of Materials (Ledger)'!$A:$A,0)),"— not yet in ledger")</f>
        <v>bespoke fabrication to drawing — see sizing basis</v>
      </c>
      <c r="F22" s="23" t="str">
        <f t="shared" si="0"/>
        <v>PASS</v>
      </c>
    </row>
    <row r="23" spans="1:6" x14ac:dyDescent="0.2">
      <c r="A23" s="18" t="s">
        <v>370</v>
      </c>
      <c r="B23" s="44" t="s">
        <v>367</v>
      </c>
      <c r="C23" s="32">
        <v>2</v>
      </c>
      <c r="D23" s="22" t="s">
        <v>984</v>
      </c>
      <c r="E23" s="22" t="str">
        <f>IFERROR(INDEX('Bill of Materials (Ledger)'!$N:$N,MATCH("P-104",'Bill of Materials (Ledger)'!$A:$A,0)),"— not yet in ledger")</f>
        <v>Grundfos SL1.50.65.22.2.50D.C</v>
      </c>
      <c r="F23" s="23" t="str">
        <f t="shared" si="0"/>
        <v>PASS</v>
      </c>
    </row>
    <row r="24" spans="1:6" ht="26" x14ac:dyDescent="0.2">
      <c r="A24" s="18" t="s">
        <v>397</v>
      </c>
      <c r="B24" s="44" t="s">
        <v>398</v>
      </c>
      <c r="C24" s="32">
        <v>2</v>
      </c>
      <c r="D24" s="22" t="s">
        <v>1128</v>
      </c>
      <c r="E24" s="22" t="str">
        <f>IFERROR(INDEX('Bill of Materials (Ledger)'!$N:$N,MATCH("TK-106",'Bill of Materials (Ledger)'!$A:$A,0)),"— not yet in ledger")</f>
        <v>bespoke fabrication to drawing — see sizing basis</v>
      </c>
      <c r="F24" s="23" t="str">
        <f t="shared" si="0"/>
        <v>PASS</v>
      </c>
    </row>
    <row r="25" spans="1:6" x14ac:dyDescent="0.2">
      <c r="A25" s="18" t="s">
        <v>345</v>
      </c>
      <c r="B25" s="44" t="s">
        <v>346</v>
      </c>
      <c r="C25" s="32">
        <v>1</v>
      </c>
      <c r="D25" s="22" t="s">
        <v>346</v>
      </c>
      <c r="E25" s="22" t="str">
        <f>IFERROR(INDEX('Bill of Materials (Ledger)'!$N:$N,MATCH("I-102",'Bill of Materials (Ledger)'!$A:$A,0)),"— not yet in ledger")</f>
        <v>Rittal VX25 8284.500</v>
      </c>
      <c r="F25" s="23" t="str">
        <f t="shared" si="0"/>
        <v>PASS</v>
      </c>
    </row>
    <row r="26" spans="1:6" x14ac:dyDescent="0.2">
      <c r="A26" s="18" t="s">
        <v>450</v>
      </c>
      <c r="B26" s="44" t="s">
        <v>446</v>
      </c>
      <c r="C26" s="32">
        <v>1</v>
      </c>
      <c r="D26" s="22" t="s">
        <v>446</v>
      </c>
      <c r="E26" s="22" t="str">
        <f>IFERROR(INDEX('Bill of Materials (Ledger)'!$N:$N,MATCH("X-104",'Bill of Materials (Ledger)'!$A:$A,0)),"— not yet in ledger")</f>
        <v>Rittal 1180.000</v>
      </c>
      <c r="F26" s="23" t="str">
        <f t="shared" si="0"/>
        <v>PASS</v>
      </c>
    </row>
    <row r="27" spans="1:6" ht="26" x14ac:dyDescent="0.2">
      <c r="A27" s="18" t="s">
        <v>4216</v>
      </c>
      <c r="B27" s="44" t="s">
        <v>4217</v>
      </c>
      <c r="C27" s="32">
        <v>2</v>
      </c>
      <c r="D27" s="22" t="s">
        <v>4218</v>
      </c>
      <c r="E27" s="22" t="str">
        <f>IFERROR(INDEX('Bill of Materials (Ledger)'!$N:$N,MATCH("X-136",'Bill of Materials (Ledger)'!$A:$A,0)),"— not yet in ledger")</f>
        <v>— not yet in ledger</v>
      </c>
      <c r="F27" s="23" t="str">
        <f t="shared" si="0"/>
        <v>PASS</v>
      </c>
    </row>
    <row r="28" spans="1:6" ht="26" x14ac:dyDescent="0.2">
      <c r="A28" s="18" t="s">
        <v>4219</v>
      </c>
      <c r="B28" s="44" t="s">
        <v>1268</v>
      </c>
      <c r="C28" s="32">
        <v>1</v>
      </c>
      <c r="D28" s="22" t="s">
        <v>1268</v>
      </c>
      <c r="E28" s="22" t="str">
        <f>IFERROR(INDEX('Bill of Materials (Ledger)'!$N:$N,MATCH("I-114",'Bill of Materials (Ledger)'!$A:$A,0)),"— not yet in ledger")</f>
        <v>Banner Engineering SSA-EB1PS1-02-A01</v>
      </c>
      <c r="F28" s="23" t="str">
        <f t="shared" si="0"/>
        <v>PASS</v>
      </c>
    </row>
    <row r="29" spans="1:6" x14ac:dyDescent="0.2">
      <c r="A29" s="18" t="s">
        <v>4220</v>
      </c>
      <c r="B29" s="44" t="s">
        <v>1161</v>
      </c>
      <c r="C29" s="32">
        <v>1</v>
      </c>
      <c r="D29" s="22" t="s">
        <v>1161</v>
      </c>
      <c r="E29" s="22" t="str">
        <f>IFERROR(INDEX('Bill of Materials (Ledger)'!$N:$N,MATCH("X-117",'Bill of Materials (Ledger)'!$A:$A,0)),"— not yet in ledger")</f>
        <v>HMS Networks AB7072-B</v>
      </c>
      <c r="F29" s="23" t="str">
        <f t="shared" si="0"/>
        <v>PASS</v>
      </c>
    </row>
    <row r="30" spans="1:6" x14ac:dyDescent="0.2">
      <c r="A30" s="18" t="s">
        <v>376</v>
      </c>
      <c r="B30" s="44" t="s">
        <v>377</v>
      </c>
      <c r="C30" s="32">
        <v>2</v>
      </c>
      <c r="D30" s="22" t="s">
        <v>891</v>
      </c>
      <c r="E30" s="22" t="str">
        <f>IFERROR(INDEX('Bill of Materials (Ledger)'!$N:$N,MATCH("P-106",'Bill of Materials (Ledger)'!$A:$A,0)),"— not yet in ledger")</f>
        <v>Grundfos 96122012</v>
      </c>
      <c r="F30" s="23" t="str">
        <f t="shared" si="0"/>
        <v>PASS</v>
      </c>
    </row>
    <row r="31" spans="1:6" x14ac:dyDescent="0.2">
      <c r="A31" s="18" t="s">
        <v>4221</v>
      </c>
      <c r="B31" s="44" t="s">
        <v>1233</v>
      </c>
      <c r="C31" s="32">
        <v>1</v>
      </c>
      <c r="D31" s="22" t="s">
        <v>1233</v>
      </c>
      <c r="E31" s="22" t="str">
        <f>IFERROR(INDEX('Bill of Materials (Ledger)'!$N:$N,MATCH("X-131",'Bill of Materials (Ledger)'!$A:$A,0)),"— not yet in ledger")</f>
        <v>commodity — MPN at procurement</v>
      </c>
      <c r="F31" s="23" t="str">
        <f t="shared" si="0"/>
        <v>PASS</v>
      </c>
    </row>
    <row r="32" spans="1:6" x14ac:dyDescent="0.2">
      <c r="A32" s="18" t="s">
        <v>4222</v>
      </c>
      <c r="B32" s="44" t="s">
        <v>1180</v>
      </c>
      <c r="C32" s="32">
        <v>1</v>
      </c>
      <c r="D32" s="22" t="s">
        <v>1180</v>
      </c>
      <c r="E32" s="22" t="str">
        <f>IFERROR(INDEX('Bill of Materials (Ledger)'!$N:$N,MATCH("X-126",'Bill of Materials (Ledger)'!$A:$A,0)),"— not yet in ledger")</f>
        <v>Pentair Fleck 2900S</v>
      </c>
      <c r="F32" s="23" t="str">
        <f t="shared" si="0"/>
        <v>PASS</v>
      </c>
    </row>
    <row r="33" spans="1:6" x14ac:dyDescent="0.2">
      <c r="A33" s="18" t="s">
        <v>4223</v>
      </c>
      <c r="B33" s="44" t="s">
        <v>1189</v>
      </c>
      <c r="C33" s="32">
        <v>2</v>
      </c>
      <c r="D33" s="22" t="s">
        <v>4224</v>
      </c>
      <c r="E33" s="22" t="str">
        <f>IFERROR(INDEX('Bill of Materials (Ledger)'!$N:$N,MATCH("I-105",'Bill of Materials (Ledger)'!$A:$A,0)),"— not yet in ledger")</f>
        <v>— not yet in ledger</v>
      </c>
      <c r="F33" s="23" t="str">
        <f t="shared" si="0"/>
        <v>PASS</v>
      </c>
    </row>
    <row r="34" spans="1:6" ht="26" x14ac:dyDescent="0.2">
      <c r="A34" s="18" t="s">
        <v>403</v>
      </c>
      <c r="B34" s="44" t="s">
        <v>404</v>
      </c>
      <c r="C34" s="32">
        <v>1</v>
      </c>
      <c r="D34" s="22" t="s">
        <v>1115</v>
      </c>
      <c r="E34" s="22" t="str">
        <f>IFERROR(INDEX('Bill of Materials (Ledger)'!$N:$N,MATCH("TK-108",'Bill of Materials (Ledger)'!$A:$A,0)),"— not yet in ledger")</f>
        <v>bespoke fabrication to drawing — see sizing basis</v>
      </c>
      <c r="F34" s="23" t="str">
        <f t="shared" si="0"/>
        <v>PASS</v>
      </c>
    </row>
    <row r="35" spans="1:6" x14ac:dyDescent="0.2">
      <c r="A35" s="18" t="s">
        <v>425</v>
      </c>
      <c r="B35" s="44" t="s">
        <v>426</v>
      </c>
      <c r="C35" s="32">
        <v>1</v>
      </c>
      <c r="D35" s="22" t="s">
        <v>1100</v>
      </c>
      <c r="E35" s="22" t="str">
        <f>IFERROR(INDEX('Bill of Materials (Ledger)'!$N:$N,MATCH("V-101",'Bill of Materials (Ledger)'!$A:$A,0)),"— not yet in ledger")</f>
        <v>General Carbon HP-1000</v>
      </c>
      <c r="F35" s="23" t="str">
        <f t="shared" si="0"/>
        <v>PASS</v>
      </c>
    </row>
    <row r="36" spans="1:6" ht="26" x14ac:dyDescent="0.2">
      <c r="A36" s="18" t="s">
        <v>431</v>
      </c>
      <c r="B36" s="44" t="s">
        <v>432</v>
      </c>
      <c r="C36" s="32">
        <v>1</v>
      </c>
      <c r="D36" s="22" t="s">
        <v>1027</v>
      </c>
      <c r="E36" s="22" t="str">
        <f>IFERROR(INDEX('Bill of Materials (Ledger)'!$N:$N,MATCH("V-103",'Bill of Materials (Ledger)'!$A:$A,0)),"— not yet in ledger")</f>
        <v>Pentair Structural 36X72 COMP 6"TF 6"BF</v>
      </c>
      <c r="F36" s="23" t="str">
        <f t="shared" si="0"/>
        <v>PASS</v>
      </c>
    </row>
    <row r="37" spans="1:6" ht="26" x14ac:dyDescent="0.2">
      <c r="A37" s="18" t="s">
        <v>4225</v>
      </c>
      <c r="B37" s="44" t="s">
        <v>4226</v>
      </c>
      <c r="C37" s="32">
        <v>1</v>
      </c>
      <c r="D37" s="22" t="s">
        <v>1239</v>
      </c>
      <c r="E37" s="22" t="str">
        <f>IFERROR(INDEX('Bill of Materials (Ledger)'!$N:$N,MATCH("F-3",'Bill of Materials (Ledger)'!$A:$A,0)),"— not yet in ledger")</f>
        <v>bespoke fabrication to drawing — see sizing basis</v>
      </c>
      <c r="F37" s="23" t="str">
        <f t="shared" ref="F37:F68" si="1">IF(AND(LEN(TRIM(A37&amp;""))&gt;0,TRIM(A37&amp;"")&lt;&gt;"—",LEN(TRIM(B37&amp;""))&gt;0,TRIM(B37&amp;"")&lt;&gt;"—",LEN(TRIM(C37&amp;""))&gt;0,TRIM(C37&amp;"")&lt;&gt;"—",ISNUMBER(C37),LEN(TRIM(D37&amp;""))&gt;0,TRIM(D37&amp;"")&lt;&gt;"—",LEN(TRIM(E37&amp;""))&gt;0,TRIM(E37&amp;"")&lt;&gt;"—"),"PASS","⚠ FAIL — "&amp;"a required cell is empty/placeholder or wrong type")</f>
        <v>PASS</v>
      </c>
    </row>
    <row r="38" spans="1:6" x14ac:dyDescent="0.2">
      <c r="A38" s="18" t="s">
        <v>363</v>
      </c>
      <c r="B38" s="44" t="s">
        <v>364</v>
      </c>
      <c r="C38" s="32">
        <v>1</v>
      </c>
      <c r="D38" s="22" t="s">
        <v>947</v>
      </c>
      <c r="E38" s="22" t="str">
        <f>IFERROR(INDEX('Bill of Materials (Ledger)'!$N:$N,MATCH("P-102",'Bill of Materials (Ledger)'!$A:$A,0)),"— not yet in ledger")</f>
        <v>Grundfos 96935501</v>
      </c>
      <c r="F38" s="23" t="str">
        <f t="shared" si="1"/>
        <v>PASS</v>
      </c>
    </row>
    <row r="39" spans="1:6" ht="26" x14ac:dyDescent="0.2">
      <c r="A39" s="18" t="s">
        <v>4227</v>
      </c>
      <c r="B39" s="44" t="s">
        <v>4228</v>
      </c>
      <c r="C39" s="32">
        <v>428</v>
      </c>
      <c r="D39" s="22" t="s">
        <v>1680</v>
      </c>
      <c r="E39" s="22" t="str">
        <f>IFERROR(INDEX('Bill of Materials (Ledger)'!$N:$N,MATCH("X-149",'Bill of Materials (Ledger)'!$A:$A,0)),"— not yet in ledger")</f>
        <v>DN90 PVC-U pressure pipe + fittings + hangers, 428 m (supply)</v>
      </c>
      <c r="F39" s="23" t="str">
        <f t="shared" si="1"/>
        <v>PASS</v>
      </c>
    </row>
    <row r="40" spans="1:6" x14ac:dyDescent="0.2">
      <c r="A40" s="18" t="s">
        <v>4229</v>
      </c>
      <c r="B40" s="44" t="s">
        <v>1253</v>
      </c>
      <c r="C40" s="32">
        <v>1</v>
      </c>
      <c r="D40" s="22" t="s">
        <v>1253</v>
      </c>
      <c r="E40" s="22" t="str">
        <f>IFERROR(INDEX('Bill of Materials (Ledger)'!$N:$N,MATCH("I-112",'Bill of Materials (Ledger)'!$A:$A,0)),"— not yet in ledger")</f>
        <v>Danfoss 060-310266</v>
      </c>
      <c r="F40" s="23" t="str">
        <f t="shared" si="1"/>
        <v>PASS</v>
      </c>
    </row>
    <row r="41" spans="1:6" ht="26" x14ac:dyDescent="0.2">
      <c r="A41" s="18" t="s">
        <v>4230</v>
      </c>
      <c r="B41" s="44" t="s">
        <v>1170</v>
      </c>
      <c r="C41" s="32">
        <v>1</v>
      </c>
      <c r="D41" s="22" t="s">
        <v>1170</v>
      </c>
      <c r="E41" s="22" t="str">
        <f>IFERROR(INDEX('Bill of Materials (Ledger)'!$N:$N,MATCH("X-120",'Bill of Materials (Ledger)'!$A:$A,0)),"— not yet in ledger")</f>
        <v>Panasonic Industrial Automation AWHS1R070</v>
      </c>
      <c r="F41" s="23" t="str">
        <f t="shared" si="1"/>
        <v>PASS</v>
      </c>
    </row>
    <row r="42" spans="1:6" ht="26" x14ac:dyDescent="0.2">
      <c r="A42" s="18" t="s">
        <v>4231</v>
      </c>
      <c r="B42" s="44" t="s">
        <v>1165</v>
      </c>
      <c r="C42" s="32">
        <v>1</v>
      </c>
      <c r="D42" s="22" t="s">
        <v>1165</v>
      </c>
      <c r="E42" s="22" t="str">
        <f>IFERROR(INDEX('Bill of Materials (Ledger)'!$N:$N,MATCH("X-118",'Bill of Materials (Ledger)'!$A:$A,0)),"— not yet in ledger")</f>
        <v>HMS Networks (Ewon) FLEXY20500_00MA</v>
      </c>
      <c r="F42" s="23" t="str">
        <f t="shared" si="1"/>
        <v>PASS</v>
      </c>
    </row>
    <row r="43" spans="1:6" x14ac:dyDescent="0.2">
      <c r="A43" s="18" t="s">
        <v>4232</v>
      </c>
      <c r="B43" s="44" t="s">
        <v>837</v>
      </c>
      <c r="C43" s="32">
        <v>1</v>
      </c>
      <c r="D43" s="22" t="s">
        <v>837</v>
      </c>
      <c r="E43" s="22" t="str">
        <f>IFERROR(INDEX('Bill of Materials (Ledger)'!$N:$N,MATCH("X-112",'Bill of Materials (Ledger)'!$A:$A,0)),"— not yet in ledger")</f>
        <v>commodity — MPN at procurement</v>
      </c>
      <c r="F43" s="23" t="str">
        <f t="shared" si="1"/>
        <v>PASS</v>
      </c>
    </row>
    <row r="44" spans="1:6" x14ac:dyDescent="0.2">
      <c r="A44" s="18" t="s">
        <v>2803</v>
      </c>
      <c r="B44" s="44" t="s">
        <v>4233</v>
      </c>
      <c r="C44" s="32">
        <v>2</v>
      </c>
      <c r="D44" s="22" t="s">
        <v>1183</v>
      </c>
      <c r="E44" s="22" t="str">
        <f>IFERROR(INDEX('Bill of Materials (Ledger)'!$N:$N,MATCH("FCV-201",'Bill of Materials (Ledger)'!$A:$A,0)),"— not yet in ledger")</f>
        <v>— not yet in ledger</v>
      </c>
      <c r="F44" s="23" t="str">
        <f t="shared" si="1"/>
        <v>PASS</v>
      </c>
    </row>
    <row r="45" spans="1:6" x14ac:dyDescent="0.2">
      <c r="A45" s="18" t="s">
        <v>366</v>
      </c>
      <c r="B45" s="44" t="s">
        <v>373</v>
      </c>
      <c r="C45" s="32">
        <v>1</v>
      </c>
      <c r="D45" s="22" t="s">
        <v>1040</v>
      </c>
      <c r="E45" s="22" t="str">
        <f>IFERROR(INDEX('Bill of Materials (Ledger)'!$N:$N,MATCH("P-103",'Bill of Materials (Ledger)'!$A:$A,0)),"— not yet in ledger")</f>
        <v>Grundfos 96539165</v>
      </c>
      <c r="F45" s="23" t="str">
        <f t="shared" si="1"/>
        <v>PASS</v>
      </c>
    </row>
    <row r="46" spans="1:6" x14ac:dyDescent="0.2">
      <c r="A46" s="18" t="s">
        <v>4234</v>
      </c>
      <c r="B46" s="44" t="s">
        <v>1264</v>
      </c>
      <c r="C46" s="32">
        <v>1</v>
      </c>
      <c r="D46" s="22" t="s">
        <v>1264</v>
      </c>
      <c r="E46" s="22" t="str">
        <f>IFERROR(INDEX('Bill of Materials (Ledger)'!$N:$N,MATCH("I-113",'Bill of Materials (Ledger)'!$A:$A,0)),"— not yet in ledger")</f>
        <v>nVent Raychem TT-1000</v>
      </c>
      <c r="F46" s="23" t="str">
        <f t="shared" si="1"/>
        <v>PASS</v>
      </c>
    </row>
    <row r="47" spans="1:6" x14ac:dyDescent="0.2">
      <c r="A47" s="18" t="s">
        <v>4235</v>
      </c>
      <c r="B47" s="44" t="s">
        <v>4236</v>
      </c>
      <c r="C47" s="32">
        <v>13</v>
      </c>
      <c r="D47" s="22" t="s">
        <v>1197</v>
      </c>
      <c r="E47" s="22" t="str">
        <f>IFERROR(INDEX('Bill of Materials (Ledger)'!$N:$N,MATCH("LT-201",'Bill of Materials (Ledger)'!$A:$A,0)),"— not yet in ledger")</f>
        <v>— not yet in ledger</v>
      </c>
      <c r="F47" s="23" t="str">
        <f t="shared" si="1"/>
        <v>PASS</v>
      </c>
    </row>
    <row r="48" spans="1:6" x14ac:dyDescent="0.2">
      <c r="A48" s="18" t="s">
        <v>4237</v>
      </c>
      <c r="B48" s="44" t="s">
        <v>1244</v>
      </c>
      <c r="C48" s="32">
        <v>1</v>
      </c>
      <c r="D48" s="22" t="s">
        <v>1244</v>
      </c>
      <c r="E48" s="22" t="str">
        <f>IFERROR(INDEX('Bill of Materials (Ledger)'!$N:$N,MATCH("X-135",'Bill of Materials (Ledger)'!$A:$A,0)),"— not yet in ledger")</f>
        <v>commodity — MPN at procurement</v>
      </c>
      <c r="F48" s="23" t="str">
        <f t="shared" si="1"/>
        <v>PASS</v>
      </c>
    </row>
    <row r="49" spans="1:6" x14ac:dyDescent="0.2">
      <c r="A49" s="18" t="s">
        <v>4238</v>
      </c>
      <c r="B49" s="44" t="s">
        <v>1251</v>
      </c>
      <c r="C49" s="32">
        <v>1</v>
      </c>
      <c r="D49" s="22" t="s">
        <v>1251</v>
      </c>
      <c r="E49" s="22" t="str">
        <f>IFERROR(INDEX('Bill of Materials (Ledger)'!$N:$N,MATCH("I-111",'Bill of Materials (Ledger)'!$A:$A,0)),"— not yet in ledger")</f>
        <v>Danfoss 060-121966</v>
      </c>
      <c r="F49" s="23" t="str">
        <f t="shared" si="1"/>
        <v>PASS</v>
      </c>
    </row>
    <row r="50" spans="1:6" ht="26" x14ac:dyDescent="0.2">
      <c r="A50" s="18" t="s">
        <v>326</v>
      </c>
      <c r="B50" s="44" t="s">
        <v>327</v>
      </c>
      <c r="C50" s="32">
        <v>1</v>
      </c>
      <c r="D50" s="22" t="s">
        <v>1225</v>
      </c>
      <c r="E50" s="22" t="str">
        <f>IFERROR(INDEX('Bill of Materials (Ledger)'!$N:$N,MATCH("EP-101",'Bill of Materials (Ledger)'!$A:$A,0)),"— not yet in ledger")</f>
        <v>Schneider Electric BlokSeT MB301M</v>
      </c>
      <c r="F50" s="23" t="str">
        <f t="shared" si="1"/>
        <v>PASS</v>
      </c>
    </row>
    <row r="51" spans="1:6" ht="26" x14ac:dyDescent="0.2">
      <c r="A51" s="18" t="s">
        <v>330</v>
      </c>
      <c r="B51" s="44" t="s">
        <v>331</v>
      </c>
      <c r="C51" s="32">
        <v>1</v>
      </c>
      <c r="D51" s="22" t="s">
        <v>1224</v>
      </c>
      <c r="E51" s="22" t="str">
        <f>IFERROR(INDEX('Bill of Materials (Ledger)'!$N:$N,MATCH("EP-102",'Bill of Materials (Ledger)'!$A:$A,0)),"— not yet in ledger")</f>
        <v>ABB 1SDA067417R1</v>
      </c>
      <c r="F51" s="23" t="str">
        <f t="shared" si="1"/>
        <v>PASS</v>
      </c>
    </row>
    <row r="52" spans="1:6" ht="26" x14ac:dyDescent="0.2">
      <c r="A52" s="18" t="s">
        <v>4239</v>
      </c>
      <c r="B52" s="44" t="s">
        <v>1160</v>
      </c>
      <c r="C52" s="32">
        <v>2</v>
      </c>
      <c r="D52" s="22" t="s">
        <v>4240</v>
      </c>
      <c r="E52" s="22" t="str">
        <f>IFERROR(INDEX('Bill of Materials (Ledger)'!$N:$N,MATCH("X-116",'Bill of Materials (Ledger)'!$A:$A,0)),"— not yet in ledger")</f>
        <v>— not yet in ledger</v>
      </c>
      <c r="F52" s="23" t="str">
        <f t="shared" si="1"/>
        <v>PASS</v>
      </c>
    </row>
    <row r="53" spans="1:6" x14ac:dyDescent="0.2">
      <c r="A53" s="18" t="s">
        <v>338</v>
      </c>
      <c r="B53" s="44" t="s">
        <v>339</v>
      </c>
      <c r="C53" s="32">
        <v>1</v>
      </c>
      <c r="D53" s="22" t="s">
        <v>339</v>
      </c>
      <c r="E53" s="22" t="str">
        <f>IFERROR(INDEX('Bill of Materials (Ledger)'!$N:$N,MATCH("EP-104",'Bill of Materials (Ledger)'!$A:$A,0)),"— not yet in ledger")</f>
        <v>Eaton Freedom 2100</v>
      </c>
      <c r="F53" s="23" t="str">
        <f t="shared" si="1"/>
        <v>PASS</v>
      </c>
    </row>
    <row r="54" spans="1:6" x14ac:dyDescent="0.2">
      <c r="A54" s="18" t="s">
        <v>4241</v>
      </c>
      <c r="B54" s="44" t="s">
        <v>1266</v>
      </c>
      <c r="C54" s="32">
        <v>1</v>
      </c>
      <c r="D54" s="22" t="s">
        <v>1266</v>
      </c>
      <c r="E54" s="22" t="str">
        <f>IFERROR(INDEX('Bill of Materials (Ledger)'!$N:$N,MATCH("X-140",'Bill of Materials (Ledger)'!$A:$A,0)),"— not yet in ledger")</f>
        <v>Siemens 3RU2126-4DB0</v>
      </c>
      <c r="F54" s="23" t="str">
        <f t="shared" si="1"/>
        <v>PASS</v>
      </c>
    </row>
    <row r="55" spans="1:6" ht="26" x14ac:dyDescent="0.2">
      <c r="A55" s="18" t="s">
        <v>390</v>
      </c>
      <c r="B55" s="44" t="s">
        <v>391</v>
      </c>
      <c r="C55" s="32">
        <v>8</v>
      </c>
      <c r="D55" s="22" t="s">
        <v>923</v>
      </c>
      <c r="E55" s="22" t="str">
        <f>IFERROR(INDEX('Bill of Materials (Ledger)'!$N:$N,MATCH("TK-103",'Bill of Materials (Ledger)'!$A:$A,0)),"— not yet in ledger")</f>
        <v>bespoke fabrication to drawing — see sizing basis</v>
      </c>
      <c r="F55" s="23" t="str">
        <f t="shared" si="1"/>
        <v>PASS</v>
      </c>
    </row>
    <row r="56" spans="1:6" x14ac:dyDescent="0.2">
      <c r="A56" s="18" t="s">
        <v>4242</v>
      </c>
      <c r="B56" s="44" t="s">
        <v>1193</v>
      </c>
      <c r="C56" s="32">
        <v>1</v>
      </c>
      <c r="D56" s="22" t="s">
        <v>1193</v>
      </c>
      <c r="E56" s="22" t="str">
        <f>IFERROR(INDEX('Bill of Materials (Ledger)'!$N:$N,MATCH("I-107",'Bill of Materials (Ledger)'!$A:$A,0)),"— not yet in ledger")</f>
        <v>Endress+Hauser CPS12D</v>
      </c>
      <c r="F56" s="23" t="str">
        <f t="shared" si="1"/>
        <v>PASS</v>
      </c>
    </row>
    <row r="57" spans="1:6" x14ac:dyDescent="0.2">
      <c r="A57" s="18" t="s">
        <v>4243</v>
      </c>
      <c r="B57" s="44" t="s">
        <v>1262</v>
      </c>
      <c r="C57" s="32">
        <v>1</v>
      </c>
      <c r="D57" s="22" t="s">
        <v>1262</v>
      </c>
      <c r="E57" s="22" t="str">
        <f>IFERROR(INDEX('Bill of Materials (Ledger)'!$N:$N,MATCH("X-138",'Bill of Materials (Ledger)'!$A:$A,0)),"— not yet in ledger")</f>
        <v>Schneider Electric LV430630</v>
      </c>
      <c r="F57" s="23" t="str">
        <f t="shared" si="1"/>
        <v>PASS</v>
      </c>
    </row>
    <row r="58" spans="1:6" ht="26" x14ac:dyDescent="0.2">
      <c r="A58" s="18" t="s">
        <v>4244</v>
      </c>
      <c r="B58" s="44" t="s">
        <v>4245</v>
      </c>
      <c r="C58" s="32">
        <v>1</v>
      </c>
      <c r="D58" s="22" t="s">
        <v>1234</v>
      </c>
      <c r="E58" s="22" t="str">
        <f>IFERROR(INDEX('Bill of Materials (Ledger)'!$N:$N,MATCH("X-132",'Bill of Materials (Ledger)'!$A:$A,0)),"— not yet in ledger")</f>
        <v>bespoke fabrication to drawing — see sizing basis</v>
      </c>
      <c r="F58" s="23" t="str">
        <f t="shared" si="1"/>
        <v>PASS</v>
      </c>
    </row>
    <row r="59" spans="1:6" ht="26" x14ac:dyDescent="0.2">
      <c r="A59" s="18" t="s">
        <v>4246</v>
      </c>
      <c r="B59" s="44" t="s">
        <v>4247</v>
      </c>
      <c r="C59" s="32">
        <v>1</v>
      </c>
      <c r="D59" s="22" t="s">
        <v>1241</v>
      </c>
      <c r="E59" s="22" t="str">
        <f>IFERROR(INDEX('Bill of Materials (Ledger)'!$N:$N,MATCH("X-133",'Bill of Materials (Ledger)'!$A:$A,0)),"— not yet in ledger")</f>
        <v>bespoke fabrication to drawing — see sizing basis</v>
      </c>
      <c r="F59" s="23" t="str">
        <f t="shared" si="1"/>
        <v>PASS</v>
      </c>
    </row>
    <row r="60" spans="1:6" x14ac:dyDescent="0.2">
      <c r="A60" s="18" t="s">
        <v>4248</v>
      </c>
      <c r="B60" s="44" t="s">
        <v>451</v>
      </c>
      <c r="C60" s="32">
        <v>1</v>
      </c>
      <c r="D60" s="22" t="s">
        <v>451</v>
      </c>
      <c r="E60" s="22" t="str">
        <f>IFERROR(INDEX('Bill of Materials (Ledger)'!$N:$N,MATCH("X-106",'Bill of Materials (Ledger)'!$A:$A,0)),"— not yet in ledger")</f>
        <v>commodity — MPN at procurement</v>
      </c>
      <c r="F60" s="23" t="str">
        <f t="shared" si="1"/>
        <v>PASS</v>
      </c>
    </row>
    <row r="61" spans="1:6" x14ac:dyDescent="0.2">
      <c r="A61" s="18" t="s">
        <v>4249</v>
      </c>
      <c r="B61" s="44" t="s">
        <v>4250</v>
      </c>
      <c r="C61" s="32">
        <v>1</v>
      </c>
      <c r="D61" s="22" t="s">
        <v>1211</v>
      </c>
      <c r="E61" s="22" t="str">
        <f>IFERROR(INDEX('Bill of Materials (Ledger)'!$N:$N,MATCH("AT-201",'Bill of Materials (Ledger)'!$A:$A,0)),"— not yet in ledger")</f>
        <v>Hach LXV404.99.05112</v>
      </c>
      <c r="F61" s="23" t="str">
        <f t="shared" si="1"/>
        <v>PASS</v>
      </c>
    </row>
    <row r="62" spans="1:6" x14ac:dyDescent="0.2">
      <c r="A62" s="18" t="s">
        <v>4251</v>
      </c>
      <c r="B62" s="44" t="s">
        <v>1191</v>
      </c>
      <c r="C62" s="32">
        <v>1</v>
      </c>
      <c r="D62" s="22" t="s">
        <v>1191</v>
      </c>
      <c r="E62" s="22" t="str">
        <f>IFERROR(INDEX('Bill of Materials (Ledger)'!$N:$N,MATCH("I-106",'Bill of Materials (Ledger)'!$A:$A,0)),"— not yet in ledger")</f>
        <v>Endress+Hauser CPS11E</v>
      </c>
      <c r="F62" s="23" t="str">
        <f t="shared" si="1"/>
        <v>PASS</v>
      </c>
    </row>
    <row r="63" spans="1:6" ht="26" x14ac:dyDescent="0.2">
      <c r="A63" s="18" t="s">
        <v>4252</v>
      </c>
      <c r="B63" s="44" t="s">
        <v>1155</v>
      </c>
      <c r="C63" s="32">
        <v>2</v>
      </c>
      <c r="D63" s="22" t="s">
        <v>4253</v>
      </c>
      <c r="E63" s="22" t="str">
        <f>IFERROR(INDEX('Bill of Materials (Ledger)'!$N:$N,MATCH("X-114",'Bill of Materials (Ledger)'!$A:$A,0)),"— not yet in ledger")</f>
        <v>— not yet in ledger</v>
      </c>
      <c r="F63" s="23" t="str">
        <f t="shared" si="1"/>
        <v>PASS</v>
      </c>
    </row>
    <row r="64" spans="1:6" x14ac:dyDescent="0.2">
      <c r="A64" s="18" t="s">
        <v>4254</v>
      </c>
      <c r="B64" s="44" t="s">
        <v>1177</v>
      </c>
      <c r="C64" s="32">
        <v>200</v>
      </c>
      <c r="D64" s="22" t="s">
        <v>1177</v>
      </c>
      <c r="E64" s="22" t="str">
        <f>IFERROR(INDEX('Bill of Materials (Ledger)'!$N:$N,MATCH("X-125",'Bill of Materials (Ledger)'!$A:$A,0)),"— not yet in ledger")</f>
        <v>Bürkert Type 2000</v>
      </c>
      <c r="F64" s="23" t="str">
        <f t="shared" si="1"/>
        <v>PASS</v>
      </c>
    </row>
    <row r="65" spans="1:6" x14ac:dyDescent="0.2">
      <c r="A65" s="18" t="s">
        <v>4255</v>
      </c>
      <c r="B65" s="44" t="s">
        <v>1185</v>
      </c>
      <c r="C65" s="32">
        <v>1</v>
      </c>
      <c r="D65" s="22" t="s">
        <v>1185</v>
      </c>
      <c r="E65" s="22" t="str">
        <f>IFERROR(INDEX('Bill of Materials (Ledger)'!$N:$N,MATCH("V-108",'Bill of Materials (Ledger)'!$A:$A,0)),"— not yet in ledger")</f>
        <v>Bürkert Type 2301</v>
      </c>
      <c r="F65" s="23" t="str">
        <f t="shared" si="1"/>
        <v>PASS</v>
      </c>
    </row>
    <row r="66" spans="1:6" ht="26" x14ac:dyDescent="0.2">
      <c r="A66" s="18" t="s">
        <v>3444</v>
      </c>
      <c r="B66" s="44" t="s">
        <v>1227</v>
      </c>
      <c r="C66" s="32">
        <v>1</v>
      </c>
      <c r="D66" s="22" t="s">
        <v>1227</v>
      </c>
      <c r="E66" s="22" t="str">
        <f>IFERROR(INDEX('Bill of Materials (Ledger)'!$N:$N,MATCH("X-128",'Bill of Materials (Ledger)'!$A:$A,0)),"— not yet in ledger")</f>
        <v>Omron Automation and Safety S8VS-09024BP</v>
      </c>
      <c r="F66" s="23" t="str">
        <f t="shared" si="1"/>
        <v>PASS</v>
      </c>
    </row>
    <row r="67" spans="1:6" x14ac:dyDescent="0.2">
      <c r="A67" s="18" t="s">
        <v>4256</v>
      </c>
      <c r="B67" s="44" t="s">
        <v>4257</v>
      </c>
      <c r="C67" s="32">
        <v>1</v>
      </c>
      <c r="D67" s="22" t="s">
        <v>1249</v>
      </c>
      <c r="E67" s="22" t="str">
        <f>IFERROR(INDEX('Bill of Materials (Ledger)'!$N:$N,MATCH("V-109",'Bill of Materials (Ledger)'!$A:$A,0)),"— not yet in ledger")</f>
        <v>Goetze Series 851</v>
      </c>
      <c r="F67" s="23" t="str">
        <f t="shared" si="1"/>
        <v>PASS</v>
      </c>
    </row>
    <row r="68" spans="1:6" x14ac:dyDescent="0.2">
      <c r="A68" s="18" t="s">
        <v>4258</v>
      </c>
      <c r="B68" s="44" t="s">
        <v>4259</v>
      </c>
      <c r="C68" s="32">
        <v>17</v>
      </c>
      <c r="D68" s="22" t="s">
        <v>1216</v>
      </c>
      <c r="E68" s="22" t="str">
        <f>IFERROR(INDEX('Bill of Materials (Ledger)'!$N:$N,MATCH("PT-201",'Bill of Materials (Ledger)'!$A:$A,0)),"— not yet in ledger")</f>
        <v>— not yet in ledger</v>
      </c>
      <c r="F68" s="23" t="str">
        <f t="shared" si="1"/>
        <v>PASS</v>
      </c>
    </row>
    <row r="69" spans="1:6" ht="26" x14ac:dyDescent="0.2">
      <c r="A69" s="18" t="s">
        <v>3442</v>
      </c>
      <c r="B69" s="44" t="s">
        <v>1172</v>
      </c>
      <c r="C69" s="32">
        <v>1</v>
      </c>
      <c r="D69" s="22" t="s">
        <v>1172</v>
      </c>
      <c r="E69" s="22" t="str">
        <f>IFERROR(INDEX('Bill of Materials (Ledger)'!$N:$N,MATCH("X-123",'Bill of Materials (Ledger)'!$A:$A,0)),"— not yet in ledger")</f>
        <v>HMS Networks (Ewon) FLEXY20500_00MA</v>
      </c>
      <c r="F69" s="23" t="str">
        <f t="shared" ref="F69:F100" si="2">IF(AND(LEN(TRIM(A69&amp;""))&gt;0,TRIM(A69&amp;"")&lt;&gt;"—",LEN(TRIM(B69&amp;""))&gt;0,TRIM(B69&amp;"")&lt;&gt;"—",LEN(TRIM(C69&amp;""))&gt;0,TRIM(C69&amp;"")&lt;&gt;"—",ISNUMBER(C69),LEN(TRIM(D69&amp;""))&gt;0,TRIM(D69&amp;"")&lt;&gt;"—",LEN(TRIM(E69&amp;""))&gt;0,TRIM(E69&amp;"")&lt;&gt;"—"),"PASS","⚠ FAIL — "&amp;"a required cell is empty/placeholder or wrong type")</f>
        <v>PASS</v>
      </c>
    </row>
    <row r="70" spans="1:6" ht="26" x14ac:dyDescent="0.2">
      <c r="A70" s="18" t="s">
        <v>453</v>
      </c>
      <c r="B70" s="44" t="s">
        <v>454</v>
      </c>
      <c r="C70" s="32">
        <v>1</v>
      </c>
      <c r="D70" s="22" t="s">
        <v>1064</v>
      </c>
      <c r="E70" s="22" t="str">
        <f>IFERROR(INDEX('Bill of Materials (Ledger)'!$N:$N,MATCH("Z-101",'Bill of Materials (Ledger)'!$A:$A,0)),"— not yet in ledger")</f>
        <v>bespoke fabrication to drawing — see sizing basis</v>
      </c>
      <c r="F70" s="23" t="str">
        <f t="shared" si="2"/>
        <v>PASS</v>
      </c>
    </row>
    <row r="71" spans="1:6" x14ac:dyDescent="0.2">
      <c r="A71" s="18" t="s">
        <v>360</v>
      </c>
      <c r="B71" s="44" t="s">
        <v>361</v>
      </c>
      <c r="C71" s="32">
        <v>1</v>
      </c>
      <c r="D71" s="22" t="s">
        <v>1077</v>
      </c>
      <c r="E71" s="22" t="str">
        <f>IFERROR(INDEX('Bill of Materials (Ledger)'!$N:$N,MATCH("P-101",'Bill of Materials (Ledger)'!$A:$A,0)),"— not yet in ledger")</f>
        <v>Grundfos 96502039</v>
      </c>
      <c r="F71" s="23" t="str">
        <f t="shared" si="2"/>
        <v>PASS</v>
      </c>
    </row>
    <row r="72" spans="1:6" x14ac:dyDescent="0.2">
      <c r="A72" s="18" t="s">
        <v>4260</v>
      </c>
      <c r="B72" s="44" t="s">
        <v>1231</v>
      </c>
      <c r="C72" s="32">
        <v>1</v>
      </c>
      <c r="D72" s="22" t="s">
        <v>1231</v>
      </c>
      <c r="E72" s="22" t="str">
        <f>IFERROR(INDEX('Bill of Materials (Ledger)'!$N:$N,MATCH("X-130",'Bill of Materials (Ledger)'!$A:$A,0)),"— not yet in ledger")</f>
        <v>Swagelok SS-42GS4</v>
      </c>
      <c r="F72" s="23" t="str">
        <f t="shared" si="2"/>
        <v>PASS</v>
      </c>
    </row>
    <row r="73" spans="1:6" x14ac:dyDescent="0.2">
      <c r="A73" s="18" t="s">
        <v>334</v>
      </c>
      <c r="B73" s="44" t="s">
        <v>335</v>
      </c>
      <c r="C73" s="32">
        <v>1</v>
      </c>
      <c r="D73" s="22" t="s">
        <v>790</v>
      </c>
      <c r="E73" s="22" t="str">
        <f>IFERROR(INDEX('Bill of Materials (Ledger)'!$N:$N,MATCH("EP-103",'Bill of Materials (Ledger)'!$A:$A,0)),"— not yet in ledger")</f>
        <v>Hoogendoorn iSii</v>
      </c>
      <c r="F73" s="23" t="str">
        <f t="shared" si="2"/>
        <v>PASS</v>
      </c>
    </row>
    <row r="74" spans="1:6" x14ac:dyDescent="0.2">
      <c r="A74" s="18" t="s">
        <v>4261</v>
      </c>
      <c r="B74" s="44" t="s">
        <v>1219</v>
      </c>
      <c r="C74" s="32">
        <v>1</v>
      </c>
      <c r="D74" s="22" t="s">
        <v>1219</v>
      </c>
      <c r="E74" s="22" t="str">
        <f>IFERROR(INDEX('Bill of Materials (Ledger)'!$N:$N,MATCH("I-108",'Bill of Materials (Ledger)'!$A:$A,0)),"— not yet in ledger")</f>
        <v>Hach 5500sc</v>
      </c>
      <c r="F74" s="23" t="str">
        <f t="shared" si="2"/>
        <v>PASS</v>
      </c>
    </row>
    <row r="75" spans="1:6" ht="26" x14ac:dyDescent="0.2">
      <c r="A75" s="18" t="s">
        <v>440</v>
      </c>
      <c r="B75" s="44" t="s">
        <v>441</v>
      </c>
      <c r="C75" s="32">
        <v>2</v>
      </c>
      <c r="D75" s="22" t="s">
        <v>859</v>
      </c>
      <c r="E75" s="22" t="str">
        <f>IFERROR(INDEX('Bill of Materials (Ledger)'!$N:$N,MATCH("V-106",'Bill of Materials (Ledger)'!$A:$A,0)),"— not yet in ledger")</f>
        <v>Pentair Structural 36X72 COMP 6"TF 6"BF</v>
      </c>
      <c r="F75" s="23" t="str">
        <f t="shared" si="2"/>
        <v>PASS</v>
      </c>
    </row>
    <row r="76" spans="1:6" ht="26" x14ac:dyDescent="0.2">
      <c r="A76" s="18" t="s">
        <v>4262</v>
      </c>
      <c r="B76" s="44" t="s">
        <v>4263</v>
      </c>
      <c r="C76" s="32">
        <v>2</v>
      </c>
      <c r="D76" s="22" t="s">
        <v>4264</v>
      </c>
      <c r="E76" s="22" t="str">
        <f>IFERROR(INDEX('Bill of Materials (Ledger)'!$N:$N,MATCH("X-124",'Bill of Materials (Ledger)'!$A:$A,0)),"— not yet in ledger")</f>
        <v>— not yet in ledger</v>
      </c>
      <c r="F76" s="23" t="str">
        <f t="shared" si="2"/>
        <v>PASS</v>
      </c>
    </row>
    <row r="77" spans="1:6" ht="26" x14ac:dyDescent="0.2">
      <c r="A77" s="18" t="s">
        <v>4265</v>
      </c>
      <c r="B77" s="44" t="s">
        <v>4266</v>
      </c>
      <c r="C77" s="32">
        <v>1</v>
      </c>
      <c r="D77" s="22" t="s">
        <v>1242</v>
      </c>
      <c r="E77" s="22" t="str">
        <f>IFERROR(INDEX('Bill of Materials (Ledger)'!$N:$N,MATCH("X-134",'Bill of Materials (Ledger)'!$A:$A,0)),"— not yet in ledger")</f>
        <v>bespoke fabrication to drawing — see sizing basis</v>
      </c>
      <c r="F77" s="23" t="str">
        <f t="shared" si="2"/>
        <v>PASS</v>
      </c>
    </row>
    <row r="78" spans="1:6" x14ac:dyDescent="0.2">
      <c r="A78" s="18" t="s">
        <v>342</v>
      </c>
      <c r="B78" s="44" t="s">
        <v>343</v>
      </c>
      <c r="C78" s="32">
        <v>1</v>
      </c>
      <c r="D78" s="22" t="s">
        <v>780</v>
      </c>
      <c r="E78" s="22" t="str">
        <f>IFERROR(INDEX('Bill of Materials (Ledger)'!$N:$N,MATCH("G-201",'Bill of Materials (Ledger)'!$A:$A,0)),"— not yet in ledger")</f>
        <v>Pramac GBW60P</v>
      </c>
      <c r="F78" s="23" t="str">
        <f t="shared" si="2"/>
        <v>PASS</v>
      </c>
    </row>
    <row r="79" spans="1:6" x14ac:dyDescent="0.2">
      <c r="A79" s="18" t="s">
        <v>3445</v>
      </c>
      <c r="B79" s="44" t="s">
        <v>1229</v>
      </c>
      <c r="C79" s="32">
        <v>1</v>
      </c>
      <c r="D79" s="22" t="s">
        <v>1229</v>
      </c>
      <c r="E79" s="22" t="str">
        <f>IFERROR(INDEX('Bill of Materials (Ledger)'!$N:$N,MATCH("X-129",'Bill of Materials (Ledger)'!$A:$A,0)),"— not yet in ledger")</f>
        <v>Phoenix Contact 2838199</v>
      </c>
      <c r="F79" s="23" t="str">
        <f t="shared" si="2"/>
        <v>PASS</v>
      </c>
    </row>
    <row r="80" spans="1:6" x14ac:dyDescent="0.2">
      <c r="A80" s="18" t="s">
        <v>4267</v>
      </c>
      <c r="B80" s="44" t="s">
        <v>1223</v>
      </c>
      <c r="C80" s="32">
        <v>1</v>
      </c>
      <c r="D80" s="22" t="s">
        <v>1223</v>
      </c>
      <c r="E80" s="22" t="str">
        <f>IFERROR(INDEX('Bill of Materials (Ledger)'!$N:$N,MATCH("I-110",'Bill of Materials (Ledger)'!$A:$A,0)),"— not yet in ledger")</f>
        <v>Myron L 750-II-CS51</v>
      </c>
      <c r="F80" s="23" t="str">
        <f t="shared" si="2"/>
        <v>PASS</v>
      </c>
    </row>
    <row r="81" spans="1:6" ht="26" x14ac:dyDescent="0.2">
      <c r="A81" s="18" t="s">
        <v>4268</v>
      </c>
      <c r="B81" s="44" t="s">
        <v>4269</v>
      </c>
      <c r="C81" s="32">
        <v>2</v>
      </c>
      <c r="D81" s="22" t="s">
        <v>4270</v>
      </c>
      <c r="E81" s="22" t="str">
        <f>IFERROR(INDEX('Bill of Materials (Ledger)'!$N:$N,MATCH("X-108",'Bill of Materials (Ledger)'!$A:$A,0)),"— not yet in ledger")</f>
        <v>— not yet in ledger</v>
      </c>
      <c r="F81" s="23" t="str">
        <f t="shared" si="2"/>
        <v>PASS</v>
      </c>
    </row>
    <row r="82" spans="1:6" ht="26" x14ac:dyDescent="0.2">
      <c r="A82" s="18" t="s">
        <v>4271</v>
      </c>
      <c r="B82" s="44" t="s">
        <v>4272</v>
      </c>
      <c r="C82" s="32">
        <v>1</v>
      </c>
      <c r="D82" s="22" t="s">
        <v>801</v>
      </c>
      <c r="E82" s="22" t="str">
        <f>IFERROR(INDEX('Bill of Materials (Ledger)'!$N:$N,MATCH("F-1",'Bill of Materials (Ledger)'!$A:$A,0)),"— not yet in ledger")</f>
        <v>bespoke fabrication to drawing — see sizing basis</v>
      </c>
      <c r="F82" s="23" t="str">
        <f t="shared" si="2"/>
        <v>PASS</v>
      </c>
    </row>
    <row r="83" spans="1:6" x14ac:dyDescent="0.2">
      <c r="A83" s="18" t="s">
        <v>416</v>
      </c>
      <c r="B83" s="44" t="s">
        <v>417</v>
      </c>
      <c r="C83" s="32">
        <v>1</v>
      </c>
      <c r="D83" s="22" t="s">
        <v>1246</v>
      </c>
      <c r="E83" s="22" t="str">
        <f>IFERROR(INDEX('Bill of Materials (Ledger)'!$N:$N,MATCH("TX-101",'Bill of Materials (Ledger)'!$A:$A,0)),"— not yet in ledger")</f>
        <v>TBD (detailed design)</v>
      </c>
      <c r="F83" s="23" t="str">
        <f t="shared" si="2"/>
        <v>PASS</v>
      </c>
    </row>
    <row r="84" spans="1:6" ht="26" x14ac:dyDescent="0.2">
      <c r="A84" s="18" t="s">
        <v>4273</v>
      </c>
      <c r="B84" s="44" t="s">
        <v>4274</v>
      </c>
      <c r="C84" s="32">
        <v>1</v>
      </c>
      <c r="D84" s="22" t="s">
        <v>1142</v>
      </c>
      <c r="E84" s="22" t="str">
        <f>IFERROR(INDEX('Bill of Materials (Ledger)'!$N:$N,MATCH("F-2",'Bill of Materials (Ledger)'!$A:$A,0)),"— not yet in ledger")</f>
        <v>bespoke fabrication to drawing — see sizing basis</v>
      </c>
      <c r="F84" s="23" t="str">
        <f t="shared" si="2"/>
        <v>PASS</v>
      </c>
    </row>
    <row r="85" spans="1:6" x14ac:dyDescent="0.2">
      <c r="A85" s="18" t="s">
        <v>455</v>
      </c>
      <c r="B85" s="44" t="s">
        <v>456</v>
      </c>
      <c r="C85" s="32">
        <v>1</v>
      </c>
      <c r="D85" s="22" t="s">
        <v>456</v>
      </c>
      <c r="E85" s="22">
        <f>IFERROR(INDEX('Bill of Materials (Ledger)'!$N:$N,MATCH("Z-102",'Bill of Materials (Ledger)'!$A:$A,0)),"— not yet in ledger")</f>
        <v>0</v>
      </c>
      <c r="F85" s="23" t="str">
        <f t="shared" si="2"/>
        <v>PASS</v>
      </c>
    </row>
    <row r="86" spans="1:6" x14ac:dyDescent="0.2">
      <c r="A86" s="18" t="s">
        <v>458</v>
      </c>
      <c r="B86" s="44" t="s">
        <v>459</v>
      </c>
      <c r="C86" s="32">
        <v>1</v>
      </c>
      <c r="D86" s="22" t="s">
        <v>459</v>
      </c>
      <c r="E86" s="22">
        <f>IFERROR(INDEX('Bill of Materials (Ledger)'!$N:$N,MATCH("Z-103",'Bill of Materials (Ledger)'!$A:$A,0)),"— not yet in ledger")</f>
        <v>0</v>
      </c>
      <c r="F86" s="23" t="str">
        <f t="shared" si="2"/>
        <v>PASS</v>
      </c>
    </row>
    <row r="87" spans="1:6" x14ac:dyDescent="0.2">
      <c r="A87" s="18" t="s">
        <v>428</v>
      </c>
      <c r="B87" s="44" t="s">
        <v>429</v>
      </c>
      <c r="C87" s="32">
        <v>1</v>
      </c>
      <c r="D87" s="22" t="s">
        <v>840</v>
      </c>
      <c r="E87" s="22" t="str">
        <f>IFERROR(INDEX('Bill of Materials (Ledger)'!$N:$N,MATCH("V-102",'Bill of Materials (Ledger)'!$A:$A,0)),"— not yet in ledger")</f>
        <v>WEDECO (Xylem) Spektron 30e</v>
      </c>
      <c r="F87" s="23" t="str">
        <f t="shared" si="2"/>
        <v>PASS</v>
      </c>
    </row>
    <row r="88" spans="1:6" x14ac:dyDescent="0.2">
      <c r="A88" s="18" t="s">
        <v>4275</v>
      </c>
      <c r="B88" s="44" t="s">
        <v>1157</v>
      </c>
      <c r="C88" s="32">
        <v>1</v>
      </c>
      <c r="D88" s="22" t="s">
        <v>1157</v>
      </c>
      <c r="E88" s="22" t="str">
        <f>IFERROR(INDEX('Bill of Materials (Ledger)'!$N:$N,MATCH("X-115",'Bill of Materials (Ledger)'!$A:$A,0)),"— not yet in ledger")</f>
        <v>OEM-proprietary (no public MPN)</v>
      </c>
      <c r="F88" s="23" t="str">
        <f t="shared" si="2"/>
        <v>PASS</v>
      </c>
    </row>
    <row r="89" spans="1:6" ht="26" x14ac:dyDescent="0.2">
      <c r="A89" s="18" t="s">
        <v>4276</v>
      </c>
      <c r="B89" s="44" t="s">
        <v>4277</v>
      </c>
      <c r="C89" s="32">
        <v>214</v>
      </c>
      <c r="D89" s="22" t="s">
        <v>1644</v>
      </c>
      <c r="E89" s="22" t="str">
        <f>IFERROR(INDEX('Bill of Materials (Ledger)'!$N:$N,MATCH("X-143",'Bill of Materials (Ledger)'!$A:$A,0)),"— not yet in ledger")</f>
        <v>DN125 PVC-U pressure pipe + fittings + hangers, 214 m (supply)</v>
      </c>
      <c r="F89" s="23" t="str">
        <f t="shared" si="2"/>
        <v>PASS</v>
      </c>
    </row>
  </sheetData>
  <autoFilter ref="A4:E89" xr:uid="{00000000-0009-0000-0000-00001E000000}"/>
  <mergeCells count="3">
    <mergeCell ref="A1:E1"/>
    <mergeCell ref="A2:E2"/>
    <mergeCell ref="A3:E3"/>
  </mergeCells>
  <hyperlinks>
    <hyperlink ref="F1" location="'Contents'!A1" display="↑ Contents" xr:uid="{00000000-0004-0000-1E00-000000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F7F7F"/>
  </sheetPr>
  <dimension ref="A1:C81"/>
  <sheetViews>
    <sheetView zoomScaleNormal="100" workbookViewId="0">
      <pane ySplit="3" topLeftCell="A4" activePane="bottomLeft" state="frozen"/>
      <selection pane="bottomLeft" sqref="A1:B1"/>
    </sheetView>
  </sheetViews>
  <sheetFormatPr baseColWidth="10" defaultColWidth="8.6640625" defaultRowHeight="15" x14ac:dyDescent="0.2"/>
  <cols>
    <col min="1" max="1" width="20" customWidth="1"/>
    <col min="2" max="2" width="104" customWidth="1"/>
    <col min="3" max="3" width="13" customWidth="1"/>
  </cols>
  <sheetData>
    <row r="1" spans="1:3" ht="25.5" customHeight="1" x14ac:dyDescent="0.2">
      <c r="A1" s="12" t="s">
        <v>4278</v>
      </c>
      <c r="B1" s="12"/>
      <c r="C1" s="30" t="s">
        <v>140</v>
      </c>
    </row>
    <row r="2" spans="1:3" ht="30" customHeight="1" x14ac:dyDescent="0.2">
      <c r="A2" s="11" t="str">
        <f>"⬤ TAB QUALITY "&amp;IF(ISNUMBER('Quality &amp; Audit'!$B$46),IF('Quality &amp; Audit'!$B$46=INT('Quality &amp; Audit'!$B$46),TEXT('Quality &amp; Audit'!$B$46,"0"),TEXT('Quality &amp; Audit'!$B$46,"0.0")),"—")&amp;"/10 · "&amp;IF(ISNUMBER('Quality &amp; Audit'!$B$46),IF('Quality &amp; Audit'!$B$46&gt;=8,"PASS","FAIL"),"UNSCORED")&amp;" (target ≥8, live from the Quality &amp; Audit score cell)"&amp;" · glossary contract (every term defined + no orphan terms) — every rendered term carries a definition 59/59; terms actually used somewhere in the workbook 59/59 · score = …"&amp;" · full audit: Quality &amp; Audit tab"</f>
        <v>⬤ TAB QUALITY 10/10 · PASS (target ≥8, live from the Quality &amp; Audit score cell) · glossary contract (every term defined + no orphan terms) — every rendered term carries a definition 59/59; terms actually used somewhere in the workbook 59/59 · score = … · full audit: Quality &amp; Audit tab</v>
      </c>
      <c r="B2" s="11"/>
    </row>
    <row r="3" spans="1:3" ht="40.5" customHeight="1" x14ac:dyDescent="0.2">
      <c r="A3" s="10" t="s">
        <v>4279</v>
      </c>
      <c r="B3" s="10"/>
    </row>
    <row r="4" spans="1:3" x14ac:dyDescent="0.2">
      <c r="A4" s="6" t="s">
        <v>4280</v>
      </c>
      <c r="B4" s="6"/>
    </row>
    <row r="5" spans="1:3" ht="28.5" customHeight="1" x14ac:dyDescent="0.2">
      <c r="A5" s="128" t="s">
        <v>1867</v>
      </c>
      <c r="B5" s="39" t="s">
        <v>4281</v>
      </c>
    </row>
    <row r="6" spans="1:3" ht="16" x14ac:dyDescent="0.2">
      <c r="A6" s="128" t="s">
        <v>4282</v>
      </c>
      <c r="B6" s="39" t="s">
        <v>4283</v>
      </c>
    </row>
    <row r="7" spans="1:3" ht="28.5" customHeight="1" x14ac:dyDescent="0.2">
      <c r="A7" s="128" t="s">
        <v>4284</v>
      </c>
      <c r="B7" s="39" t="s">
        <v>4285</v>
      </c>
    </row>
    <row r="8" spans="1:3" ht="16" x14ac:dyDescent="0.2">
      <c r="A8" s="128" t="s">
        <v>4286</v>
      </c>
      <c r="B8" s="39" t="s">
        <v>4287</v>
      </c>
    </row>
    <row r="9" spans="1:3" ht="28.5" customHeight="1" x14ac:dyDescent="0.2">
      <c r="A9" s="128" t="s">
        <v>4288</v>
      </c>
      <c r="B9" s="39" t="s">
        <v>4289</v>
      </c>
    </row>
    <row r="10" spans="1:3" ht="28.5" customHeight="1" x14ac:dyDescent="0.2">
      <c r="A10" s="128" t="s">
        <v>4290</v>
      </c>
      <c r="B10" s="39" t="s">
        <v>4291</v>
      </c>
    </row>
    <row r="11" spans="1:3" ht="16" x14ac:dyDescent="0.2">
      <c r="A11" s="128" t="s">
        <v>4292</v>
      </c>
      <c r="B11" s="39" t="s">
        <v>4293</v>
      </c>
    </row>
    <row r="12" spans="1:3" ht="16" x14ac:dyDescent="0.2">
      <c r="A12" s="128" t="s">
        <v>4294</v>
      </c>
      <c r="B12" s="39" t="s">
        <v>4295</v>
      </c>
    </row>
    <row r="14" spans="1:3" x14ac:dyDescent="0.2">
      <c r="A14" s="6" t="s">
        <v>4296</v>
      </c>
      <c r="B14" s="6"/>
    </row>
    <row r="15" spans="1:3" ht="28.5" customHeight="1" x14ac:dyDescent="0.2">
      <c r="A15" s="128" t="s">
        <v>2045</v>
      </c>
      <c r="B15" s="39" t="s">
        <v>4297</v>
      </c>
    </row>
    <row r="16" spans="1:3" ht="16" x14ac:dyDescent="0.2">
      <c r="A16" s="128" t="s">
        <v>2088</v>
      </c>
      <c r="B16" s="39" t="s">
        <v>4298</v>
      </c>
    </row>
    <row r="17" spans="1:2" ht="16" x14ac:dyDescent="0.2">
      <c r="A17" s="128" t="s">
        <v>4299</v>
      </c>
      <c r="B17" s="39" t="s">
        <v>4300</v>
      </c>
    </row>
    <row r="18" spans="1:2" ht="16" x14ac:dyDescent="0.2">
      <c r="A18" s="128" t="s">
        <v>2052</v>
      </c>
      <c r="B18" s="39" t="s">
        <v>4301</v>
      </c>
    </row>
    <row r="19" spans="1:2" ht="16" x14ac:dyDescent="0.2">
      <c r="A19" s="128" t="s">
        <v>2072</v>
      </c>
      <c r="B19" s="39" t="s">
        <v>4302</v>
      </c>
    </row>
    <row r="20" spans="1:2" ht="16" x14ac:dyDescent="0.2">
      <c r="A20" s="128" t="s">
        <v>2103</v>
      </c>
      <c r="B20" s="39" t="s">
        <v>4303</v>
      </c>
    </row>
    <row r="21" spans="1:2" ht="16" x14ac:dyDescent="0.2">
      <c r="A21" s="128" t="s">
        <v>4304</v>
      </c>
      <c r="B21" s="39" t="s">
        <v>4305</v>
      </c>
    </row>
    <row r="22" spans="1:2" ht="16" x14ac:dyDescent="0.2">
      <c r="A22" s="128" t="s">
        <v>2057</v>
      </c>
      <c r="B22" s="39" t="s">
        <v>4306</v>
      </c>
    </row>
    <row r="23" spans="1:2" ht="16" x14ac:dyDescent="0.2">
      <c r="A23" s="128" t="s">
        <v>4307</v>
      </c>
      <c r="B23" s="39" t="s">
        <v>4308</v>
      </c>
    </row>
    <row r="25" spans="1:2" x14ac:dyDescent="0.2">
      <c r="A25" s="6" t="s">
        <v>4309</v>
      </c>
      <c r="B25" s="6"/>
    </row>
    <row r="26" spans="1:2" ht="16" x14ac:dyDescent="0.2">
      <c r="A26" s="128" t="s">
        <v>4310</v>
      </c>
      <c r="B26" s="39" t="s">
        <v>4311</v>
      </c>
    </row>
    <row r="27" spans="1:2" ht="16" x14ac:dyDescent="0.2">
      <c r="A27" s="128" t="s">
        <v>4312</v>
      </c>
      <c r="B27" s="39" t="s">
        <v>4313</v>
      </c>
    </row>
    <row r="28" spans="1:2" ht="16" x14ac:dyDescent="0.2">
      <c r="A28" s="128" t="s">
        <v>4314</v>
      </c>
      <c r="B28" s="39" t="s">
        <v>4315</v>
      </c>
    </row>
    <row r="29" spans="1:2" ht="28.5" customHeight="1" x14ac:dyDescent="0.2">
      <c r="A29" s="128" t="s">
        <v>4316</v>
      </c>
      <c r="B29" s="39" t="s">
        <v>4317</v>
      </c>
    </row>
    <row r="30" spans="1:2" ht="28.5" customHeight="1" x14ac:dyDescent="0.2">
      <c r="A30" s="128" t="s">
        <v>4318</v>
      </c>
      <c r="B30" s="39" t="s">
        <v>4319</v>
      </c>
    </row>
    <row r="31" spans="1:2" ht="28.5" customHeight="1" x14ac:dyDescent="0.2">
      <c r="A31" s="128" t="s">
        <v>4320</v>
      </c>
      <c r="B31" s="39" t="s">
        <v>4321</v>
      </c>
    </row>
    <row r="32" spans="1:2" ht="16" x14ac:dyDescent="0.2">
      <c r="A32" s="128" t="s">
        <v>4322</v>
      </c>
      <c r="B32" s="39" t="s">
        <v>4323</v>
      </c>
    </row>
    <row r="33" spans="1:2" ht="16" x14ac:dyDescent="0.2">
      <c r="A33" s="128" t="s">
        <v>4324</v>
      </c>
      <c r="B33" s="39" t="s">
        <v>4325</v>
      </c>
    </row>
    <row r="34" spans="1:2" ht="28.5" customHeight="1" x14ac:dyDescent="0.2">
      <c r="A34" s="128" t="s">
        <v>4326</v>
      </c>
      <c r="B34" s="39" t="s">
        <v>4327</v>
      </c>
    </row>
    <row r="35" spans="1:2" ht="16" x14ac:dyDescent="0.2">
      <c r="A35" s="128" t="s">
        <v>4328</v>
      </c>
      <c r="B35" s="39" t="s">
        <v>4329</v>
      </c>
    </row>
    <row r="37" spans="1:2" x14ac:dyDescent="0.2">
      <c r="A37" s="6" t="s">
        <v>4330</v>
      </c>
      <c r="B37" s="6"/>
    </row>
    <row r="38" spans="1:2" ht="16" x14ac:dyDescent="0.2">
      <c r="A38" s="128" t="s">
        <v>1978</v>
      </c>
      <c r="B38" s="39" t="s">
        <v>4331</v>
      </c>
    </row>
    <row r="39" spans="1:2" ht="16" x14ac:dyDescent="0.2">
      <c r="A39" s="128" t="s">
        <v>4332</v>
      </c>
      <c r="B39" s="39" t="s">
        <v>4333</v>
      </c>
    </row>
    <row r="40" spans="1:2" ht="16" x14ac:dyDescent="0.2">
      <c r="A40" s="128" t="s">
        <v>4334</v>
      </c>
      <c r="B40" s="39" t="s">
        <v>4335</v>
      </c>
    </row>
    <row r="41" spans="1:2" ht="16" x14ac:dyDescent="0.2">
      <c r="A41" s="128" t="s">
        <v>4336</v>
      </c>
      <c r="B41" s="39" t="s">
        <v>4337</v>
      </c>
    </row>
    <row r="42" spans="1:2" ht="16" x14ac:dyDescent="0.2">
      <c r="A42" s="128" t="s">
        <v>4338</v>
      </c>
      <c r="B42" s="39" t="s">
        <v>4339</v>
      </c>
    </row>
    <row r="43" spans="1:2" ht="16" x14ac:dyDescent="0.2">
      <c r="A43" s="128" t="s">
        <v>4340</v>
      </c>
      <c r="B43" s="39" t="s">
        <v>4341</v>
      </c>
    </row>
    <row r="45" spans="1:2" x14ac:dyDescent="0.2">
      <c r="A45" s="6" t="s">
        <v>110</v>
      </c>
      <c r="B45" s="6"/>
    </row>
    <row r="46" spans="1:2" ht="16" x14ac:dyDescent="0.2">
      <c r="A46" s="128" t="s">
        <v>4342</v>
      </c>
      <c r="B46" s="39" t="s">
        <v>4343</v>
      </c>
    </row>
    <row r="47" spans="1:2" ht="16" x14ac:dyDescent="0.2">
      <c r="A47" s="128" t="s">
        <v>4344</v>
      </c>
      <c r="B47" s="39" t="s">
        <v>4345</v>
      </c>
    </row>
    <row r="48" spans="1:2" ht="16" x14ac:dyDescent="0.2">
      <c r="A48" s="128" t="s">
        <v>4346</v>
      </c>
      <c r="B48" s="39" t="s">
        <v>4347</v>
      </c>
    </row>
    <row r="49" spans="1:2" ht="16" x14ac:dyDescent="0.2">
      <c r="A49" s="128" t="s">
        <v>4348</v>
      </c>
      <c r="B49" s="39" t="s">
        <v>4349</v>
      </c>
    </row>
    <row r="50" spans="1:2" ht="28.5" customHeight="1" x14ac:dyDescent="0.2">
      <c r="A50" s="128" t="s">
        <v>4350</v>
      </c>
      <c r="B50" s="39" t="s">
        <v>4351</v>
      </c>
    </row>
    <row r="52" spans="1:2" x14ac:dyDescent="0.2">
      <c r="A52" s="6" t="s">
        <v>108</v>
      </c>
      <c r="B52" s="6"/>
    </row>
    <row r="53" spans="1:2" ht="16" x14ac:dyDescent="0.2">
      <c r="A53" s="128" t="s">
        <v>108</v>
      </c>
      <c r="B53" s="39" t="s">
        <v>4352</v>
      </c>
    </row>
    <row r="55" spans="1:2" x14ac:dyDescent="0.2">
      <c r="A55" s="6" t="s">
        <v>4353</v>
      </c>
      <c r="B55" s="6"/>
    </row>
    <row r="56" spans="1:2" ht="28.5" customHeight="1" x14ac:dyDescent="0.2">
      <c r="A56" s="128" t="s">
        <v>4354</v>
      </c>
      <c r="B56" s="39" t="s">
        <v>4355</v>
      </c>
    </row>
    <row r="57" spans="1:2" ht="28.5" customHeight="1" x14ac:dyDescent="0.2">
      <c r="A57" s="128" t="s">
        <v>4356</v>
      </c>
      <c r="B57" s="39" t="s">
        <v>4357</v>
      </c>
    </row>
    <row r="58" spans="1:2" ht="28.5" customHeight="1" x14ac:dyDescent="0.2">
      <c r="A58" s="128" t="s">
        <v>4358</v>
      </c>
      <c r="B58" s="39" t="s">
        <v>4359</v>
      </c>
    </row>
    <row r="60" spans="1:2" x14ac:dyDescent="0.2">
      <c r="A60" s="6" t="s">
        <v>4360</v>
      </c>
      <c r="B60" s="6"/>
    </row>
    <row r="61" spans="1:2" ht="16" x14ac:dyDescent="0.2">
      <c r="A61" s="128" t="s">
        <v>4361</v>
      </c>
      <c r="B61" s="39" t="s">
        <v>4362</v>
      </c>
    </row>
    <row r="62" spans="1:2" ht="16" x14ac:dyDescent="0.2">
      <c r="A62" s="128" t="s">
        <v>4363</v>
      </c>
      <c r="B62" s="39" t="s">
        <v>4364</v>
      </c>
    </row>
    <row r="63" spans="1:2" ht="16" x14ac:dyDescent="0.2">
      <c r="A63" s="128" t="s">
        <v>4365</v>
      </c>
      <c r="B63" s="39" t="s">
        <v>4366</v>
      </c>
    </row>
    <row r="64" spans="1:2" ht="16" x14ac:dyDescent="0.2">
      <c r="A64" s="128" t="s">
        <v>4367</v>
      </c>
      <c r="B64" s="39" t="s">
        <v>4368</v>
      </c>
    </row>
    <row r="65" spans="1:2" ht="16" x14ac:dyDescent="0.2">
      <c r="A65" s="128" t="s">
        <v>4369</v>
      </c>
      <c r="B65" s="39" t="s">
        <v>4370</v>
      </c>
    </row>
    <row r="66" spans="1:2" ht="16" x14ac:dyDescent="0.2">
      <c r="A66" s="128" t="s">
        <v>4371</v>
      </c>
      <c r="B66" s="39" t="s">
        <v>4372</v>
      </c>
    </row>
    <row r="68" spans="1:2" x14ac:dyDescent="0.2">
      <c r="A68" s="6" t="s">
        <v>145</v>
      </c>
      <c r="B68" s="6"/>
    </row>
    <row r="69" spans="1:2" ht="16" x14ac:dyDescent="0.2">
      <c r="A69" s="128" t="s">
        <v>1893</v>
      </c>
      <c r="B69" s="39" t="s">
        <v>4373</v>
      </c>
    </row>
    <row r="70" spans="1:2" ht="16" x14ac:dyDescent="0.2">
      <c r="A70" s="128" t="s">
        <v>4374</v>
      </c>
      <c r="B70" s="39" t="s">
        <v>4375</v>
      </c>
    </row>
    <row r="71" spans="1:2" ht="16" x14ac:dyDescent="0.2">
      <c r="A71" s="128" t="s">
        <v>4376</v>
      </c>
      <c r="B71" s="39" t="s">
        <v>4377</v>
      </c>
    </row>
    <row r="72" spans="1:2" ht="16" x14ac:dyDescent="0.2">
      <c r="A72" s="128" t="s">
        <v>4378</v>
      </c>
      <c r="B72" s="39" t="s">
        <v>4379</v>
      </c>
    </row>
    <row r="73" spans="1:2" ht="16" x14ac:dyDescent="0.2">
      <c r="A73" s="128" t="s">
        <v>4380</v>
      </c>
      <c r="B73" s="39" t="s">
        <v>4381</v>
      </c>
    </row>
    <row r="74" spans="1:2" ht="16" x14ac:dyDescent="0.2">
      <c r="A74" s="128" t="s">
        <v>4382</v>
      </c>
      <c r="B74" s="39" t="s">
        <v>4383</v>
      </c>
    </row>
    <row r="76" spans="1:2" x14ac:dyDescent="0.2">
      <c r="A76" s="6" t="s">
        <v>4384</v>
      </c>
      <c r="B76" s="6"/>
    </row>
    <row r="77" spans="1:2" ht="28.5" customHeight="1" x14ac:dyDescent="0.2">
      <c r="A77" s="128" t="s">
        <v>4385</v>
      </c>
      <c r="B77" s="39" t="s">
        <v>4386</v>
      </c>
    </row>
    <row r="78" spans="1:2" ht="28.5" customHeight="1" x14ac:dyDescent="0.2">
      <c r="A78" s="128" t="s">
        <v>4387</v>
      </c>
      <c r="B78" s="39" t="s">
        <v>4388</v>
      </c>
    </row>
    <row r="79" spans="1:2" ht="28.5" customHeight="1" x14ac:dyDescent="0.2">
      <c r="A79" s="128" t="s">
        <v>4389</v>
      </c>
      <c r="B79" s="39" t="s">
        <v>4390</v>
      </c>
    </row>
    <row r="80" spans="1:2" ht="28.5" customHeight="1" x14ac:dyDescent="0.2">
      <c r="A80" s="128" t="s">
        <v>4391</v>
      </c>
      <c r="B80" s="39" t="s">
        <v>4392</v>
      </c>
    </row>
    <row r="81" spans="1:2" ht="28.5" customHeight="1" x14ac:dyDescent="0.2">
      <c r="A81" s="128" t="s">
        <v>4393</v>
      </c>
      <c r="B81" s="39" t="s">
        <v>4394</v>
      </c>
    </row>
  </sheetData>
  <mergeCells count="13">
    <mergeCell ref="A60:B60"/>
    <mergeCell ref="A68:B68"/>
    <mergeCell ref="A76:B76"/>
    <mergeCell ref="A25:B25"/>
    <mergeCell ref="A37:B37"/>
    <mergeCell ref="A45:B45"/>
    <mergeCell ref="A52:B52"/>
    <mergeCell ref="A55:B55"/>
    <mergeCell ref="A1:B1"/>
    <mergeCell ref="A2:B2"/>
    <mergeCell ref="A3:B3"/>
    <mergeCell ref="A4:B4"/>
    <mergeCell ref="A14:B14"/>
  </mergeCells>
  <hyperlinks>
    <hyperlink ref="C1" location="'Contents'!A1" display="↑ Contents" xr:uid="{00000000-0004-0000-1F00-000000000000}"/>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F7F7F"/>
  </sheetPr>
  <dimension ref="A1:F81"/>
  <sheetViews>
    <sheetView tabSelected="1" zoomScaleNormal="100" workbookViewId="0">
      <pane ySplit="5" topLeftCell="A6" activePane="bottomLeft" state="frozen"/>
      <selection pane="bottomLeft" sqref="A1:E1"/>
    </sheetView>
  </sheetViews>
  <sheetFormatPr baseColWidth="10" defaultColWidth="8.6640625" defaultRowHeight="15" x14ac:dyDescent="0.2"/>
  <cols>
    <col min="1" max="1" width="5" customWidth="1"/>
    <col min="2" max="2" width="26" customWidth="1"/>
    <col min="3" max="3" width="46" customWidth="1"/>
    <col min="4" max="4" width="28" customWidth="1"/>
    <col min="5" max="5" width="80" customWidth="1"/>
    <col min="6" max="6" width="13" customWidth="1"/>
  </cols>
  <sheetData>
    <row r="1" spans="1:6" ht="25.5" customHeight="1" x14ac:dyDescent="0.2">
      <c r="A1" s="12" t="s">
        <v>4395</v>
      </c>
      <c r="B1" s="12"/>
      <c r="C1" s="12"/>
      <c r="D1" s="12"/>
      <c r="E1" s="12"/>
      <c r="F1" s="30" t="s">
        <v>140</v>
      </c>
    </row>
    <row r="2" spans="1:6" ht="30" customHeight="1" x14ac:dyDescent="0.2">
      <c r="A2" s="11" t="str">
        <f>"⬤ TAB QUALITY "&amp;IF(ISNUMBER('Quality &amp; Audit'!$B$62),IF('Quality &amp; Audit'!$B$62=INT('Quality &amp; Audit'!$B$62),TEXT('Quality &amp; Audit'!$B$62,"0"),TEXT('Quality &amp; Audit'!$B$62,"0.0")),"—")&amp;"/10 · "&amp;IF(ISNUMBER('Quality &amp; Audit'!$B$62),IF('Quality &amp; Audit'!$B$62&gt;=8,"PASS","FAIL"),"UNSCORED")&amp;" (target ≥8, live from the Quality &amp; Audit score cell)"&amp;" · audit-operand register contract (every embedded operand carries its label + provenance; per-row Cell check formulas) — cell completeness+type contract 304/304 · score = …"&amp;" · full audit: Quality &amp; Audit tab"</f>
        <v>⬤ TAB QUALITY 10/10 · PASS (target ≥8, live from the Quality &amp; Audit score cell) · audit-operand register contract (every embedded operand carries its label + provenance; per-row Cell check formulas) — cell completeness+type contract 304/304 · score = … · full audit: Quality &amp; Audit tab</v>
      </c>
      <c r="B2" s="11"/>
      <c r="C2" s="11"/>
      <c r="D2" s="11"/>
      <c r="E2" s="11"/>
    </row>
    <row r="3" spans="1:6" ht="54" customHeight="1" x14ac:dyDescent="0.2">
      <c r="A3" s="10" t="s">
        <v>4396</v>
      </c>
      <c r="B3" s="10"/>
      <c r="C3" s="10"/>
      <c r="D3" s="10"/>
      <c r="E3" s="10"/>
    </row>
    <row r="5" spans="1:6" ht="16" x14ac:dyDescent="0.2">
      <c r="A5" s="16" t="s">
        <v>78</v>
      </c>
      <c r="B5" s="16" t="s">
        <v>4397</v>
      </c>
      <c r="C5" s="16" t="s">
        <v>4398</v>
      </c>
      <c r="D5" s="16" t="s">
        <v>144</v>
      </c>
      <c r="E5" s="16" t="s">
        <v>4399</v>
      </c>
      <c r="F5" s="17" t="s">
        <v>20</v>
      </c>
    </row>
    <row r="6" spans="1:6" ht="16" x14ac:dyDescent="0.2">
      <c r="A6" s="18">
        <v>1</v>
      </c>
      <c r="B6" s="18" t="s">
        <v>123</v>
      </c>
      <c r="C6" s="39" t="s">
        <v>4400</v>
      </c>
      <c r="D6" s="129" t="s">
        <v>4401</v>
      </c>
      <c r="E6" s="22" t="s">
        <v>4402</v>
      </c>
      <c r="F6" s="23" t="str">
        <f t="shared" ref="F6:F37" si="0">IF(AND(LEN(TRIM(A6&amp;""))&gt;0,TRIM(A6&amp;"")&lt;&gt;"—",LEN(TRIM(B6&amp;""))&gt;0,TRIM(B6&amp;"")&lt;&gt;"—",LEN(TRIM(C6&amp;""))&gt;0,TRIM(C6&amp;"")&lt;&gt;"—",LEN(TRIM(E6&amp;""))&gt;0,TRIM(E6&amp;"")&lt;&gt;"—"),"PASS","⚠ FAIL — "&amp;"a required cell is empty/placeholder or wrong type")</f>
        <v>PASS</v>
      </c>
    </row>
    <row r="7" spans="1:6" ht="16" x14ac:dyDescent="0.2">
      <c r="A7" s="18">
        <v>2</v>
      </c>
      <c r="B7" s="18" t="s">
        <v>123</v>
      </c>
      <c r="C7" s="39" t="s">
        <v>4403</v>
      </c>
      <c r="D7" s="129" t="s">
        <v>4404</v>
      </c>
      <c r="E7" s="22" t="s">
        <v>4402</v>
      </c>
      <c r="F7" s="23" t="str">
        <f t="shared" si="0"/>
        <v>PASS</v>
      </c>
    </row>
    <row r="8" spans="1:6" ht="16" x14ac:dyDescent="0.2">
      <c r="A8" s="18">
        <v>3</v>
      </c>
      <c r="B8" s="18" t="s">
        <v>123</v>
      </c>
      <c r="C8" s="39" t="s">
        <v>4405</v>
      </c>
      <c r="D8" s="129" t="s">
        <v>4401</v>
      </c>
      <c r="E8" s="22" t="s">
        <v>4402</v>
      </c>
      <c r="F8" s="23" t="str">
        <f t="shared" si="0"/>
        <v>PASS</v>
      </c>
    </row>
    <row r="9" spans="1:6" ht="16" x14ac:dyDescent="0.2">
      <c r="A9" s="18">
        <v>4</v>
      </c>
      <c r="B9" s="18" t="s">
        <v>123</v>
      </c>
      <c r="C9" s="39" t="s">
        <v>4406</v>
      </c>
      <c r="D9" s="129" t="s">
        <v>4401</v>
      </c>
      <c r="E9" s="22" t="s">
        <v>4402</v>
      </c>
      <c r="F9" s="23" t="str">
        <f t="shared" si="0"/>
        <v>PASS</v>
      </c>
    </row>
    <row r="10" spans="1:6" ht="26" x14ac:dyDescent="0.2">
      <c r="A10" s="18">
        <v>5</v>
      </c>
      <c r="B10" s="18" t="s">
        <v>4407</v>
      </c>
      <c r="C10" s="39" t="s">
        <v>4408</v>
      </c>
      <c r="D10" s="129">
        <v>5</v>
      </c>
      <c r="E10" s="22" t="s">
        <v>4409</v>
      </c>
      <c r="F10" s="23" t="str">
        <f t="shared" si="0"/>
        <v>PASS</v>
      </c>
    </row>
    <row r="11" spans="1:6" ht="26" x14ac:dyDescent="0.2">
      <c r="A11" s="18">
        <v>6</v>
      </c>
      <c r="B11" s="18" t="s">
        <v>4407</v>
      </c>
      <c r="C11" s="39" t="s">
        <v>4410</v>
      </c>
      <c r="D11" s="129">
        <v>5</v>
      </c>
      <c r="E11" s="22" t="s">
        <v>4411</v>
      </c>
      <c r="F11" s="23" t="str">
        <f t="shared" si="0"/>
        <v>PASS</v>
      </c>
    </row>
    <row r="12" spans="1:6" ht="26" x14ac:dyDescent="0.2">
      <c r="A12" s="18">
        <v>7</v>
      </c>
      <c r="B12" s="18" t="s">
        <v>4407</v>
      </c>
      <c r="C12" s="39" t="s">
        <v>4412</v>
      </c>
      <c r="D12" s="129">
        <v>3</v>
      </c>
      <c r="E12" s="22" t="s">
        <v>4413</v>
      </c>
      <c r="F12" s="23" t="str">
        <f t="shared" si="0"/>
        <v>PASS</v>
      </c>
    </row>
    <row r="13" spans="1:6" ht="26" x14ac:dyDescent="0.2">
      <c r="A13" s="18">
        <v>8</v>
      </c>
      <c r="B13" s="18" t="s">
        <v>4407</v>
      </c>
      <c r="C13" s="39" t="s">
        <v>4414</v>
      </c>
      <c r="D13" s="129">
        <v>7</v>
      </c>
      <c r="E13" s="22" t="s">
        <v>4415</v>
      </c>
      <c r="F13" s="23" t="str">
        <f t="shared" si="0"/>
        <v>PASS</v>
      </c>
    </row>
    <row r="14" spans="1:6" ht="26" x14ac:dyDescent="0.2">
      <c r="A14" s="18">
        <v>9</v>
      </c>
      <c r="B14" s="18" t="s">
        <v>4407</v>
      </c>
      <c r="C14" s="39" t="s">
        <v>4416</v>
      </c>
      <c r="D14" s="129">
        <v>4</v>
      </c>
      <c r="E14" s="22" t="s">
        <v>4417</v>
      </c>
      <c r="F14" s="23" t="str">
        <f t="shared" si="0"/>
        <v>PASS</v>
      </c>
    </row>
    <row r="15" spans="1:6" ht="26" x14ac:dyDescent="0.2">
      <c r="A15" s="18">
        <v>10</v>
      </c>
      <c r="B15" s="18" t="s">
        <v>4407</v>
      </c>
      <c r="C15" s="39" t="s">
        <v>4418</v>
      </c>
      <c r="D15" s="129">
        <v>4</v>
      </c>
      <c r="E15" s="22" t="s">
        <v>4419</v>
      </c>
      <c r="F15" s="23" t="str">
        <f t="shared" si="0"/>
        <v>PASS</v>
      </c>
    </row>
    <row r="16" spans="1:6" ht="26" x14ac:dyDescent="0.2">
      <c r="A16" s="18">
        <v>11</v>
      </c>
      <c r="B16" s="18" t="s">
        <v>4407</v>
      </c>
      <c r="C16" s="39" t="s">
        <v>4420</v>
      </c>
      <c r="D16" s="129">
        <v>5</v>
      </c>
      <c r="E16" s="22" t="s">
        <v>4421</v>
      </c>
      <c r="F16" s="23" t="str">
        <f t="shared" si="0"/>
        <v>PASS</v>
      </c>
    </row>
    <row r="17" spans="1:6" ht="26" x14ac:dyDescent="0.2">
      <c r="A17" s="18">
        <v>12</v>
      </c>
      <c r="B17" s="18" t="s">
        <v>4407</v>
      </c>
      <c r="C17" s="39" t="s">
        <v>4422</v>
      </c>
      <c r="D17" s="129">
        <v>5</v>
      </c>
      <c r="E17" s="22" t="s">
        <v>4423</v>
      </c>
      <c r="F17" s="23" t="str">
        <f t="shared" si="0"/>
        <v>PASS</v>
      </c>
    </row>
    <row r="18" spans="1:6" ht="26" x14ac:dyDescent="0.2">
      <c r="A18" s="18">
        <v>13</v>
      </c>
      <c r="B18" s="18" t="s">
        <v>4407</v>
      </c>
      <c r="C18" s="39" t="s">
        <v>4424</v>
      </c>
      <c r="D18" s="129">
        <v>5</v>
      </c>
      <c r="E18" s="22" t="s">
        <v>4425</v>
      </c>
      <c r="F18" s="23" t="str">
        <f t="shared" si="0"/>
        <v>PASS</v>
      </c>
    </row>
    <row r="19" spans="1:6" ht="26" x14ac:dyDescent="0.2">
      <c r="A19" s="18">
        <v>14</v>
      </c>
      <c r="B19" s="18" t="s">
        <v>4407</v>
      </c>
      <c r="C19" s="39" t="s">
        <v>4426</v>
      </c>
      <c r="D19" s="129">
        <v>7</v>
      </c>
      <c r="E19" s="22" t="s">
        <v>4427</v>
      </c>
      <c r="F19" s="23" t="str">
        <f t="shared" si="0"/>
        <v>PASS</v>
      </c>
    </row>
    <row r="20" spans="1:6" ht="26" x14ac:dyDescent="0.2">
      <c r="A20" s="18">
        <v>15</v>
      </c>
      <c r="B20" s="18" t="s">
        <v>4407</v>
      </c>
      <c r="C20" s="39" t="s">
        <v>4428</v>
      </c>
      <c r="D20" s="129">
        <v>7</v>
      </c>
      <c r="E20" s="22" t="s">
        <v>4429</v>
      </c>
      <c r="F20" s="23" t="str">
        <f t="shared" si="0"/>
        <v>PASS</v>
      </c>
    </row>
    <row r="21" spans="1:6" ht="26" x14ac:dyDescent="0.2">
      <c r="A21" s="18">
        <v>16</v>
      </c>
      <c r="B21" s="18" t="s">
        <v>4407</v>
      </c>
      <c r="C21" s="39" t="s">
        <v>4430</v>
      </c>
      <c r="D21" s="129">
        <v>6</v>
      </c>
      <c r="E21" s="22" t="s">
        <v>4431</v>
      </c>
      <c r="F21" s="23" t="str">
        <f t="shared" si="0"/>
        <v>PASS</v>
      </c>
    </row>
    <row r="22" spans="1:6" ht="26" x14ac:dyDescent="0.2">
      <c r="A22" s="18">
        <v>17</v>
      </c>
      <c r="B22" s="18" t="s">
        <v>4407</v>
      </c>
      <c r="C22" s="39" t="s">
        <v>4432</v>
      </c>
      <c r="D22" s="129">
        <v>7</v>
      </c>
      <c r="E22" s="22" t="s">
        <v>4433</v>
      </c>
      <c r="F22" s="23" t="str">
        <f t="shared" si="0"/>
        <v>PASS</v>
      </c>
    </row>
    <row r="23" spans="1:6" ht="26" x14ac:dyDescent="0.2">
      <c r="A23" s="18">
        <v>18</v>
      </c>
      <c r="B23" s="18" t="s">
        <v>4407</v>
      </c>
      <c r="C23" s="39" t="s">
        <v>4434</v>
      </c>
      <c r="D23" s="129">
        <v>0</v>
      </c>
      <c r="E23" s="22" t="s">
        <v>4435</v>
      </c>
      <c r="F23" s="23" t="str">
        <f t="shared" si="0"/>
        <v>PASS</v>
      </c>
    </row>
    <row r="24" spans="1:6" ht="26" x14ac:dyDescent="0.2">
      <c r="A24" s="18">
        <v>19</v>
      </c>
      <c r="B24" s="18" t="s">
        <v>4407</v>
      </c>
      <c r="C24" s="39" t="s">
        <v>4436</v>
      </c>
      <c r="D24" s="129">
        <v>7</v>
      </c>
      <c r="E24" s="22" t="s">
        <v>4437</v>
      </c>
      <c r="F24" s="23" t="str">
        <f t="shared" si="0"/>
        <v>PASS</v>
      </c>
    </row>
    <row r="25" spans="1:6" ht="26" x14ac:dyDescent="0.2">
      <c r="A25" s="18">
        <v>20</v>
      </c>
      <c r="B25" s="18" t="s">
        <v>4407</v>
      </c>
      <c r="C25" s="39" t="s">
        <v>4438</v>
      </c>
      <c r="D25" s="129">
        <v>7</v>
      </c>
      <c r="E25" s="22" t="s">
        <v>4439</v>
      </c>
      <c r="F25" s="23" t="str">
        <f t="shared" si="0"/>
        <v>PASS</v>
      </c>
    </row>
    <row r="26" spans="1:6" ht="26" x14ac:dyDescent="0.2">
      <c r="A26" s="18">
        <v>21</v>
      </c>
      <c r="B26" s="18" t="s">
        <v>4407</v>
      </c>
      <c r="C26" s="39" t="s">
        <v>4440</v>
      </c>
      <c r="D26" s="129">
        <v>5</v>
      </c>
      <c r="E26" s="22" t="s">
        <v>4441</v>
      </c>
      <c r="F26" s="23" t="str">
        <f t="shared" si="0"/>
        <v>PASS</v>
      </c>
    </row>
    <row r="27" spans="1:6" ht="26" x14ac:dyDescent="0.2">
      <c r="A27" s="18">
        <v>22</v>
      </c>
      <c r="B27" s="18" t="s">
        <v>4407</v>
      </c>
      <c r="C27" s="39" t="s">
        <v>4442</v>
      </c>
      <c r="D27" s="129">
        <v>5</v>
      </c>
      <c r="E27" s="22" t="s">
        <v>4443</v>
      </c>
      <c r="F27" s="23" t="str">
        <f t="shared" si="0"/>
        <v>PASS</v>
      </c>
    </row>
    <row r="28" spans="1:6" ht="26" x14ac:dyDescent="0.2">
      <c r="A28" s="18">
        <v>23</v>
      </c>
      <c r="B28" s="18" t="s">
        <v>4407</v>
      </c>
      <c r="C28" s="39" t="s">
        <v>4444</v>
      </c>
      <c r="D28" s="129">
        <v>5</v>
      </c>
      <c r="E28" s="22" t="s">
        <v>4445</v>
      </c>
      <c r="F28" s="23" t="str">
        <f t="shared" si="0"/>
        <v>PASS</v>
      </c>
    </row>
    <row r="29" spans="1:6" ht="26" x14ac:dyDescent="0.2">
      <c r="A29" s="18">
        <v>24</v>
      </c>
      <c r="B29" s="18" t="s">
        <v>4407</v>
      </c>
      <c r="C29" s="39" t="s">
        <v>4446</v>
      </c>
      <c r="D29" s="129">
        <v>5</v>
      </c>
      <c r="E29" s="22" t="s">
        <v>4447</v>
      </c>
      <c r="F29" s="23" t="str">
        <f t="shared" si="0"/>
        <v>PASS</v>
      </c>
    </row>
    <row r="30" spans="1:6" ht="26" x14ac:dyDescent="0.2">
      <c r="A30" s="18">
        <v>25</v>
      </c>
      <c r="B30" s="18" t="s">
        <v>4407</v>
      </c>
      <c r="C30" s="39" t="s">
        <v>4448</v>
      </c>
      <c r="D30" s="129">
        <v>5</v>
      </c>
      <c r="E30" s="22" t="s">
        <v>4449</v>
      </c>
      <c r="F30" s="23" t="str">
        <f t="shared" si="0"/>
        <v>PASS</v>
      </c>
    </row>
    <row r="31" spans="1:6" ht="26" x14ac:dyDescent="0.2">
      <c r="A31" s="18">
        <v>26</v>
      </c>
      <c r="B31" s="18" t="s">
        <v>4407</v>
      </c>
      <c r="C31" s="39" t="s">
        <v>4450</v>
      </c>
      <c r="D31" s="129">
        <v>5</v>
      </c>
      <c r="E31" s="22" t="s">
        <v>4451</v>
      </c>
      <c r="F31" s="23" t="str">
        <f t="shared" si="0"/>
        <v>PASS</v>
      </c>
    </row>
    <row r="32" spans="1:6" ht="26" x14ac:dyDescent="0.2">
      <c r="A32" s="18">
        <v>27</v>
      </c>
      <c r="B32" s="18" t="s">
        <v>4407</v>
      </c>
      <c r="C32" s="39" t="s">
        <v>4452</v>
      </c>
      <c r="D32" s="129">
        <v>5</v>
      </c>
      <c r="E32" s="22" t="s">
        <v>4453</v>
      </c>
      <c r="F32" s="23" t="str">
        <f t="shared" si="0"/>
        <v>PASS</v>
      </c>
    </row>
    <row r="33" spans="1:6" ht="26" x14ac:dyDescent="0.2">
      <c r="A33" s="18">
        <v>28</v>
      </c>
      <c r="B33" s="18" t="s">
        <v>4407</v>
      </c>
      <c r="C33" s="39" t="s">
        <v>4454</v>
      </c>
      <c r="D33" s="129">
        <v>5</v>
      </c>
      <c r="E33" s="22" t="s">
        <v>4455</v>
      </c>
      <c r="F33" s="23" t="str">
        <f t="shared" si="0"/>
        <v>PASS</v>
      </c>
    </row>
    <row r="34" spans="1:6" ht="26" x14ac:dyDescent="0.2">
      <c r="A34" s="18">
        <v>29</v>
      </c>
      <c r="B34" s="18" t="s">
        <v>4407</v>
      </c>
      <c r="C34" s="39" t="s">
        <v>4456</v>
      </c>
      <c r="D34" s="129">
        <v>5</v>
      </c>
      <c r="E34" s="22" t="s">
        <v>4457</v>
      </c>
      <c r="F34" s="23" t="str">
        <f t="shared" si="0"/>
        <v>PASS</v>
      </c>
    </row>
    <row r="35" spans="1:6" ht="26" x14ac:dyDescent="0.2">
      <c r="A35" s="18">
        <v>30</v>
      </c>
      <c r="B35" s="18" t="s">
        <v>4407</v>
      </c>
      <c r="C35" s="39" t="s">
        <v>4458</v>
      </c>
      <c r="D35" s="129">
        <v>5</v>
      </c>
      <c r="E35" s="22" t="s">
        <v>4459</v>
      </c>
      <c r="F35" s="23" t="str">
        <f t="shared" si="0"/>
        <v>PASS</v>
      </c>
    </row>
    <row r="36" spans="1:6" ht="26" x14ac:dyDescent="0.2">
      <c r="A36" s="18">
        <v>31</v>
      </c>
      <c r="B36" s="18" t="s">
        <v>4407</v>
      </c>
      <c r="C36" s="39" t="s">
        <v>4460</v>
      </c>
      <c r="D36" s="129">
        <v>5</v>
      </c>
      <c r="E36" s="22" t="s">
        <v>4461</v>
      </c>
      <c r="F36" s="23" t="str">
        <f t="shared" si="0"/>
        <v>PASS</v>
      </c>
    </row>
    <row r="37" spans="1:6" ht="26" x14ac:dyDescent="0.2">
      <c r="A37" s="18">
        <v>32</v>
      </c>
      <c r="B37" s="18" t="s">
        <v>4407</v>
      </c>
      <c r="C37" s="39" t="s">
        <v>4462</v>
      </c>
      <c r="D37" s="129">
        <v>5</v>
      </c>
      <c r="E37" s="22" t="s">
        <v>4463</v>
      </c>
      <c r="F37" s="23" t="str">
        <f t="shared" si="0"/>
        <v>PASS</v>
      </c>
    </row>
    <row r="38" spans="1:6" ht="26" x14ac:dyDescent="0.2">
      <c r="A38" s="18">
        <v>33</v>
      </c>
      <c r="B38" s="18" t="s">
        <v>4407</v>
      </c>
      <c r="C38" s="39" t="s">
        <v>4464</v>
      </c>
      <c r="D38" s="129">
        <v>5</v>
      </c>
      <c r="E38" s="22" t="s">
        <v>4465</v>
      </c>
      <c r="F38" s="23" t="str">
        <f t="shared" ref="F38:F69" si="1">IF(AND(LEN(TRIM(A38&amp;""))&gt;0,TRIM(A38&amp;"")&lt;&gt;"—",LEN(TRIM(B38&amp;""))&gt;0,TRIM(B38&amp;"")&lt;&gt;"—",LEN(TRIM(C38&amp;""))&gt;0,TRIM(C38&amp;"")&lt;&gt;"—",LEN(TRIM(E38&amp;""))&gt;0,TRIM(E38&amp;"")&lt;&gt;"—"),"PASS","⚠ FAIL — "&amp;"a required cell is empty/placeholder or wrong type")</f>
        <v>PASS</v>
      </c>
    </row>
    <row r="39" spans="1:6" ht="26" x14ac:dyDescent="0.2">
      <c r="A39" s="18">
        <v>34</v>
      </c>
      <c r="B39" s="18" t="s">
        <v>4407</v>
      </c>
      <c r="C39" s="39" t="s">
        <v>4466</v>
      </c>
      <c r="D39" s="129">
        <v>5</v>
      </c>
      <c r="E39" s="22" t="s">
        <v>4467</v>
      </c>
      <c r="F39" s="23" t="str">
        <f t="shared" si="1"/>
        <v>PASS</v>
      </c>
    </row>
    <row r="40" spans="1:6" ht="26" x14ac:dyDescent="0.2">
      <c r="A40" s="18">
        <v>35</v>
      </c>
      <c r="B40" s="18" t="s">
        <v>4407</v>
      </c>
      <c r="C40" s="39" t="s">
        <v>4468</v>
      </c>
      <c r="D40" s="129">
        <v>5</v>
      </c>
      <c r="E40" s="22" t="s">
        <v>4469</v>
      </c>
      <c r="F40" s="23" t="str">
        <f t="shared" si="1"/>
        <v>PASS</v>
      </c>
    </row>
    <row r="41" spans="1:6" ht="26" x14ac:dyDescent="0.2">
      <c r="A41" s="18">
        <v>36</v>
      </c>
      <c r="B41" s="18" t="s">
        <v>4407</v>
      </c>
      <c r="C41" s="39" t="s">
        <v>4470</v>
      </c>
      <c r="D41" s="129">
        <v>3</v>
      </c>
      <c r="E41" s="22" t="s">
        <v>4471</v>
      </c>
      <c r="F41" s="23" t="str">
        <f t="shared" si="1"/>
        <v>PASS</v>
      </c>
    </row>
    <row r="42" spans="1:6" ht="26" x14ac:dyDescent="0.2">
      <c r="A42" s="18">
        <v>37</v>
      </c>
      <c r="B42" s="18" t="s">
        <v>4407</v>
      </c>
      <c r="C42" s="39" t="s">
        <v>4472</v>
      </c>
      <c r="D42" s="129">
        <v>3</v>
      </c>
      <c r="E42" s="22" t="s">
        <v>4473</v>
      </c>
      <c r="F42" s="23" t="str">
        <f t="shared" si="1"/>
        <v>PASS</v>
      </c>
    </row>
    <row r="43" spans="1:6" ht="26" x14ac:dyDescent="0.2">
      <c r="A43" s="18">
        <v>38</v>
      </c>
      <c r="B43" s="18" t="s">
        <v>4407</v>
      </c>
      <c r="C43" s="39" t="s">
        <v>4474</v>
      </c>
      <c r="D43" s="129">
        <v>4</v>
      </c>
      <c r="E43" s="22" t="s">
        <v>4475</v>
      </c>
      <c r="F43" s="23" t="str">
        <f t="shared" si="1"/>
        <v>PASS</v>
      </c>
    </row>
    <row r="44" spans="1:6" ht="26" x14ac:dyDescent="0.2">
      <c r="A44" s="18">
        <v>39</v>
      </c>
      <c r="B44" s="18" t="s">
        <v>4407</v>
      </c>
      <c r="C44" s="39" t="s">
        <v>4476</v>
      </c>
      <c r="D44" s="129">
        <v>6</v>
      </c>
      <c r="E44" s="22" t="s">
        <v>4477</v>
      </c>
      <c r="F44" s="23" t="str">
        <f t="shared" si="1"/>
        <v>PASS</v>
      </c>
    </row>
    <row r="45" spans="1:6" ht="26" x14ac:dyDescent="0.2">
      <c r="A45" s="18">
        <v>40</v>
      </c>
      <c r="B45" s="18" t="s">
        <v>4407</v>
      </c>
      <c r="C45" s="39" t="s">
        <v>4478</v>
      </c>
      <c r="D45" s="129">
        <v>7</v>
      </c>
      <c r="E45" s="22" t="s">
        <v>4479</v>
      </c>
      <c r="F45" s="23" t="str">
        <f t="shared" si="1"/>
        <v>PASS</v>
      </c>
    </row>
    <row r="46" spans="1:6" ht="26" x14ac:dyDescent="0.2">
      <c r="A46" s="18">
        <v>41</v>
      </c>
      <c r="B46" s="18" t="s">
        <v>4407</v>
      </c>
      <c r="C46" s="39" t="s">
        <v>4480</v>
      </c>
      <c r="D46" s="129">
        <v>5</v>
      </c>
      <c r="E46" s="22" t="s">
        <v>4481</v>
      </c>
      <c r="F46" s="23" t="str">
        <f t="shared" si="1"/>
        <v>PASS</v>
      </c>
    </row>
    <row r="47" spans="1:6" ht="26" x14ac:dyDescent="0.2">
      <c r="A47" s="18">
        <v>42</v>
      </c>
      <c r="B47" s="18" t="s">
        <v>4407</v>
      </c>
      <c r="C47" s="39" t="s">
        <v>4482</v>
      </c>
      <c r="D47" s="129">
        <v>7</v>
      </c>
      <c r="E47" s="22" t="s">
        <v>4483</v>
      </c>
      <c r="F47" s="23" t="str">
        <f t="shared" si="1"/>
        <v>PASS</v>
      </c>
    </row>
    <row r="48" spans="1:6" ht="26" x14ac:dyDescent="0.2">
      <c r="A48" s="18">
        <v>43</v>
      </c>
      <c r="B48" s="18" t="s">
        <v>4407</v>
      </c>
      <c r="C48" s="39" t="s">
        <v>4484</v>
      </c>
      <c r="D48" s="129">
        <v>7</v>
      </c>
      <c r="E48" s="22" t="s">
        <v>4485</v>
      </c>
      <c r="F48" s="23" t="str">
        <f t="shared" si="1"/>
        <v>PASS</v>
      </c>
    </row>
    <row r="49" spans="1:6" ht="26" x14ac:dyDescent="0.2">
      <c r="A49" s="18">
        <v>44</v>
      </c>
      <c r="B49" s="18" t="s">
        <v>4407</v>
      </c>
      <c r="C49" s="39" t="s">
        <v>4486</v>
      </c>
      <c r="D49" s="129">
        <v>5</v>
      </c>
      <c r="E49" s="22" t="s">
        <v>4487</v>
      </c>
      <c r="F49" s="23" t="str">
        <f t="shared" si="1"/>
        <v>PASS</v>
      </c>
    </row>
    <row r="50" spans="1:6" ht="26" x14ac:dyDescent="0.2">
      <c r="A50" s="18">
        <v>45</v>
      </c>
      <c r="B50" s="18" t="s">
        <v>4407</v>
      </c>
      <c r="C50" s="39" t="s">
        <v>4488</v>
      </c>
      <c r="D50" s="129">
        <v>5</v>
      </c>
      <c r="E50" s="22" t="s">
        <v>4489</v>
      </c>
      <c r="F50" s="23" t="str">
        <f t="shared" si="1"/>
        <v>PASS</v>
      </c>
    </row>
    <row r="51" spans="1:6" ht="26" x14ac:dyDescent="0.2">
      <c r="A51" s="18">
        <v>46</v>
      </c>
      <c r="B51" s="18" t="s">
        <v>4407</v>
      </c>
      <c r="C51" s="39" t="s">
        <v>4490</v>
      </c>
      <c r="D51" s="129">
        <v>0</v>
      </c>
      <c r="E51" s="22" t="s">
        <v>4491</v>
      </c>
      <c r="F51" s="23" t="str">
        <f t="shared" si="1"/>
        <v>PASS</v>
      </c>
    </row>
    <row r="52" spans="1:6" ht="26" x14ac:dyDescent="0.2">
      <c r="A52" s="18">
        <v>47</v>
      </c>
      <c r="B52" s="18" t="s">
        <v>4407</v>
      </c>
      <c r="C52" s="39" t="s">
        <v>4492</v>
      </c>
      <c r="D52" s="129">
        <v>0</v>
      </c>
      <c r="E52" s="22" t="s">
        <v>4493</v>
      </c>
      <c r="F52" s="23" t="str">
        <f t="shared" si="1"/>
        <v>PASS</v>
      </c>
    </row>
    <row r="53" spans="1:6" ht="26" x14ac:dyDescent="0.2">
      <c r="A53" s="18">
        <v>48</v>
      </c>
      <c r="B53" s="18" t="s">
        <v>4407</v>
      </c>
      <c r="C53" s="39" t="s">
        <v>4494</v>
      </c>
      <c r="D53" s="129">
        <v>5</v>
      </c>
      <c r="E53" s="22" t="s">
        <v>4495</v>
      </c>
      <c r="F53" s="23" t="str">
        <f t="shared" si="1"/>
        <v>PASS</v>
      </c>
    </row>
    <row r="54" spans="1:6" ht="26" x14ac:dyDescent="0.2">
      <c r="A54" s="18">
        <v>49</v>
      </c>
      <c r="B54" s="18" t="s">
        <v>4407</v>
      </c>
      <c r="C54" s="39" t="s">
        <v>4496</v>
      </c>
      <c r="D54" s="129">
        <v>5</v>
      </c>
      <c r="E54" s="22" t="s">
        <v>4497</v>
      </c>
      <c r="F54" s="23" t="str">
        <f t="shared" si="1"/>
        <v>PASS</v>
      </c>
    </row>
    <row r="55" spans="1:6" ht="26" x14ac:dyDescent="0.2">
      <c r="A55" s="18">
        <v>50</v>
      </c>
      <c r="B55" s="18" t="s">
        <v>4407</v>
      </c>
      <c r="C55" s="39" t="s">
        <v>4498</v>
      </c>
      <c r="D55" s="129">
        <v>5</v>
      </c>
      <c r="E55" s="22" t="s">
        <v>4499</v>
      </c>
      <c r="F55" s="23" t="str">
        <f t="shared" si="1"/>
        <v>PASS</v>
      </c>
    </row>
    <row r="56" spans="1:6" ht="26" x14ac:dyDescent="0.2">
      <c r="A56" s="18">
        <v>51</v>
      </c>
      <c r="B56" s="18" t="s">
        <v>4407</v>
      </c>
      <c r="C56" s="39" t="s">
        <v>4500</v>
      </c>
      <c r="D56" s="129">
        <v>3</v>
      </c>
      <c r="E56" s="22" t="s">
        <v>4501</v>
      </c>
      <c r="F56" s="23" t="str">
        <f t="shared" si="1"/>
        <v>PASS</v>
      </c>
    </row>
    <row r="57" spans="1:6" ht="16" x14ac:dyDescent="0.2">
      <c r="A57" s="18">
        <v>52</v>
      </c>
      <c r="B57" s="18" t="s">
        <v>4502</v>
      </c>
      <c r="C57" s="39" t="s">
        <v>4503</v>
      </c>
      <c r="D57" s="129">
        <v>231</v>
      </c>
      <c r="E57" s="22" t="s">
        <v>4504</v>
      </c>
      <c r="F57" s="23" t="str">
        <f t="shared" si="1"/>
        <v>PASS</v>
      </c>
    </row>
    <row r="58" spans="1:6" ht="26" x14ac:dyDescent="0.2">
      <c r="A58" s="18">
        <v>53</v>
      </c>
      <c r="B58" s="18" t="s">
        <v>4502</v>
      </c>
      <c r="C58" s="39" t="s">
        <v>4505</v>
      </c>
      <c r="D58" s="129">
        <v>233</v>
      </c>
      <c r="E58" s="22" t="s">
        <v>4506</v>
      </c>
      <c r="F58" s="23" t="str">
        <f t="shared" si="1"/>
        <v>PASS</v>
      </c>
    </row>
    <row r="59" spans="1:6" ht="16" x14ac:dyDescent="0.2">
      <c r="A59" s="18">
        <v>54</v>
      </c>
      <c r="B59" s="18" t="s">
        <v>4502</v>
      </c>
      <c r="C59" s="39" t="s">
        <v>4507</v>
      </c>
      <c r="D59" s="129">
        <v>55</v>
      </c>
      <c r="E59" s="22" t="s">
        <v>4508</v>
      </c>
      <c r="F59" s="23" t="str">
        <f t="shared" si="1"/>
        <v>PASS</v>
      </c>
    </row>
    <row r="60" spans="1:6" ht="39" x14ac:dyDescent="0.2">
      <c r="A60" s="18">
        <v>55</v>
      </c>
      <c r="B60" s="18" t="s">
        <v>4502</v>
      </c>
      <c r="C60" s="39" t="s">
        <v>4509</v>
      </c>
      <c r="D60" s="129">
        <v>52</v>
      </c>
      <c r="E60" s="22" t="s">
        <v>4510</v>
      </c>
      <c r="F60" s="23" t="str">
        <f t="shared" si="1"/>
        <v>PASS</v>
      </c>
    </row>
    <row r="61" spans="1:6" ht="16" x14ac:dyDescent="0.2">
      <c r="A61" s="18">
        <v>56</v>
      </c>
      <c r="B61" s="18" t="s">
        <v>4511</v>
      </c>
      <c r="C61" s="39" t="s">
        <v>4512</v>
      </c>
      <c r="D61" s="129" t="s">
        <v>4513</v>
      </c>
      <c r="E61" s="22" t="s">
        <v>4514</v>
      </c>
      <c r="F61" s="23" t="str">
        <f t="shared" si="1"/>
        <v>PASS</v>
      </c>
    </row>
    <row r="62" spans="1:6" ht="64" x14ac:dyDescent="0.2">
      <c r="A62" s="18">
        <v>57</v>
      </c>
      <c r="B62" s="18" t="s">
        <v>4511</v>
      </c>
      <c r="C62" s="39" t="s">
        <v>4515</v>
      </c>
      <c r="D62" s="129" t="s">
        <v>2516</v>
      </c>
      <c r="E62" s="22" t="s">
        <v>4516</v>
      </c>
      <c r="F62" s="23" t="str">
        <f t="shared" si="1"/>
        <v>PASS</v>
      </c>
    </row>
    <row r="63" spans="1:6" ht="16" x14ac:dyDescent="0.2">
      <c r="A63" s="18">
        <v>58</v>
      </c>
      <c r="B63" s="18" t="s">
        <v>110</v>
      </c>
      <c r="C63" s="39" t="s">
        <v>4517</v>
      </c>
      <c r="D63" s="129">
        <v>5</v>
      </c>
      <c r="E63" s="22" t="s">
        <v>4518</v>
      </c>
      <c r="F63" s="23" t="str">
        <f t="shared" si="1"/>
        <v>PASS</v>
      </c>
    </row>
    <row r="64" spans="1:6" ht="16" x14ac:dyDescent="0.2">
      <c r="A64" s="18">
        <v>59</v>
      </c>
      <c r="B64" s="18" t="s">
        <v>110</v>
      </c>
      <c r="C64" s="39" t="s">
        <v>4519</v>
      </c>
      <c r="D64" s="129">
        <v>400</v>
      </c>
      <c r="E64" s="22" t="s">
        <v>4520</v>
      </c>
      <c r="F64" s="23" t="str">
        <f t="shared" si="1"/>
        <v>PASS</v>
      </c>
    </row>
    <row r="65" spans="1:6" ht="32" x14ac:dyDescent="0.2">
      <c r="A65" s="18">
        <v>60</v>
      </c>
      <c r="B65" s="18" t="s">
        <v>110</v>
      </c>
      <c r="C65" s="39" t="s">
        <v>4521</v>
      </c>
      <c r="D65" s="129">
        <v>1.7320508075688801</v>
      </c>
      <c r="E65" s="22" t="s">
        <v>4522</v>
      </c>
      <c r="F65" s="23" t="str">
        <f t="shared" si="1"/>
        <v>PASS</v>
      </c>
    </row>
    <row r="66" spans="1:6" ht="16" x14ac:dyDescent="0.2">
      <c r="A66" s="18">
        <v>61</v>
      </c>
      <c r="B66" s="18" t="s">
        <v>110</v>
      </c>
      <c r="C66" s="39" t="s">
        <v>4523</v>
      </c>
      <c r="D66" s="129">
        <v>400</v>
      </c>
      <c r="E66" s="22" t="s">
        <v>4524</v>
      </c>
      <c r="F66" s="23" t="str">
        <f t="shared" si="1"/>
        <v>PASS</v>
      </c>
    </row>
    <row r="67" spans="1:6" ht="16" x14ac:dyDescent="0.2">
      <c r="A67" s="18">
        <v>62</v>
      </c>
      <c r="B67" s="18" t="s">
        <v>110</v>
      </c>
      <c r="C67" s="39" t="s">
        <v>4525</v>
      </c>
      <c r="D67" s="129">
        <v>1.7320508075688801</v>
      </c>
      <c r="E67" s="22" t="s">
        <v>4522</v>
      </c>
      <c r="F67" s="23" t="str">
        <f t="shared" si="1"/>
        <v>PASS</v>
      </c>
    </row>
    <row r="68" spans="1:6" ht="32" x14ac:dyDescent="0.2">
      <c r="A68" s="18">
        <v>63</v>
      </c>
      <c r="B68" s="18" t="s">
        <v>4526</v>
      </c>
      <c r="C68" s="39" t="s">
        <v>4527</v>
      </c>
      <c r="D68" s="129">
        <v>1</v>
      </c>
      <c r="E68" s="22" t="s">
        <v>4528</v>
      </c>
      <c r="F68" s="23" t="str">
        <f t="shared" si="1"/>
        <v>PASS</v>
      </c>
    </row>
    <row r="69" spans="1:6" ht="32" x14ac:dyDescent="0.2">
      <c r="A69" s="18">
        <v>64</v>
      </c>
      <c r="B69" s="18" t="s">
        <v>4526</v>
      </c>
      <c r="C69" s="39" t="s">
        <v>4529</v>
      </c>
      <c r="D69" s="129" t="s">
        <v>4530</v>
      </c>
      <c r="E69" s="22" t="s">
        <v>4531</v>
      </c>
      <c r="F69" s="23" t="str">
        <f t="shared" si="1"/>
        <v>PASS</v>
      </c>
    </row>
    <row r="70" spans="1:6" ht="32" x14ac:dyDescent="0.2">
      <c r="A70" s="18">
        <v>65</v>
      </c>
      <c r="B70" s="18" t="s">
        <v>4526</v>
      </c>
      <c r="C70" s="39" t="s">
        <v>4532</v>
      </c>
      <c r="D70" s="129" t="s">
        <v>2135</v>
      </c>
      <c r="E70" s="22" t="s">
        <v>4533</v>
      </c>
      <c r="F70" s="23" t="str">
        <f t="shared" ref="F70:F101" si="2">IF(AND(LEN(TRIM(A70&amp;""))&gt;0,TRIM(A70&amp;"")&lt;&gt;"—",LEN(TRIM(B70&amp;""))&gt;0,TRIM(B70&amp;"")&lt;&gt;"—",LEN(TRIM(C70&amp;""))&gt;0,TRIM(C70&amp;"")&lt;&gt;"—",LEN(TRIM(E70&amp;""))&gt;0,TRIM(E70&amp;"")&lt;&gt;"—"),"PASS","⚠ FAIL — "&amp;"a required cell is empty/placeholder or wrong type")</f>
        <v>PASS</v>
      </c>
    </row>
    <row r="71" spans="1:6" ht="32" x14ac:dyDescent="0.2">
      <c r="A71" s="18">
        <v>66</v>
      </c>
      <c r="B71" s="18" t="s">
        <v>4526</v>
      </c>
      <c r="C71" s="39" t="s">
        <v>4534</v>
      </c>
      <c r="D71" s="129"/>
      <c r="E71" s="22" t="s">
        <v>4535</v>
      </c>
      <c r="F71" s="23" t="str">
        <f t="shared" si="2"/>
        <v>PASS</v>
      </c>
    </row>
    <row r="72" spans="1:6" ht="32" x14ac:dyDescent="0.2">
      <c r="A72" s="18">
        <v>67</v>
      </c>
      <c r="B72" s="18" t="s">
        <v>4526</v>
      </c>
      <c r="C72" s="39" t="s">
        <v>4536</v>
      </c>
      <c r="D72" s="129">
        <v>1</v>
      </c>
      <c r="E72" s="22" t="s">
        <v>4528</v>
      </c>
      <c r="F72" s="23" t="str">
        <f t="shared" si="2"/>
        <v>PASS</v>
      </c>
    </row>
    <row r="73" spans="1:6" ht="32" x14ac:dyDescent="0.2">
      <c r="A73" s="18">
        <v>68</v>
      </c>
      <c r="B73" s="18" t="s">
        <v>4526</v>
      </c>
      <c r="C73" s="39" t="s">
        <v>4537</v>
      </c>
      <c r="D73" s="129" t="s">
        <v>4530</v>
      </c>
      <c r="E73" s="22" t="s">
        <v>4531</v>
      </c>
      <c r="F73" s="23" t="str">
        <f t="shared" si="2"/>
        <v>PASS</v>
      </c>
    </row>
    <row r="74" spans="1:6" ht="16" x14ac:dyDescent="0.2">
      <c r="A74" s="18">
        <v>69</v>
      </c>
      <c r="B74" s="18" t="s">
        <v>4526</v>
      </c>
      <c r="C74" s="39" t="s">
        <v>4538</v>
      </c>
      <c r="D74" s="129" t="s">
        <v>2185</v>
      </c>
      <c r="E74" s="22" t="s">
        <v>4533</v>
      </c>
      <c r="F74" s="23" t="str">
        <f t="shared" si="2"/>
        <v>PASS</v>
      </c>
    </row>
    <row r="75" spans="1:6" ht="16" x14ac:dyDescent="0.2">
      <c r="A75" s="18">
        <v>70</v>
      </c>
      <c r="B75" s="18" t="s">
        <v>4526</v>
      </c>
      <c r="C75" s="39" t="s">
        <v>4539</v>
      </c>
      <c r="D75" s="129"/>
      <c r="E75" s="22" t="s">
        <v>4535</v>
      </c>
      <c r="F75" s="23" t="str">
        <f t="shared" si="2"/>
        <v>PASS</v>
      </c>
    </row>
    <row r="76" spans="1:6" ht="16" x14ac:dyDescent="0.2">
      <c r="A76" s="18">
        <v>71</v>
      </c>
      <c r="B76" s="18" t="s">
        <v>4526</v>
      </c>
      <c r="C76" s="39" t="s">
        <v>4540</v>
      </c>
      <c r="D76" s="129" t="s">
        <v>4541</v>
      </c>
      <c r="E76" s="22" t="s">
        <v>4542</v>
      </c>
      <c r="F76" s="23" t="str">
        <f t="shared" si="2"/>
        <v>PASS</v>
      </c>
    </row>
    <row r="77" spans="1:6" ht="16" x14ac:dyDescent="0.2">
      <c r="A77" s="18">
        <v>72</v>
      </c>
      <c r="B77" s="18" t="s">
        <v>4526</v>
      </c>
      <c r="C77" s="39" t="s">
        <v>4543</v>
      </c>
      <c r="D77" s="129" t="s">
        <v>4541</v>
      </c>
      <c r="E77" s="22" t="s">
        <v>4544</v>
      </c>
      <c r="F77" s="23" t="str">
        <f t="shared" si="2"/>
        <v>PASS</v>
      </c>
    </row>
    <row r="78" spans="1:6" ht="32" x14ac:dyDescent="0.2">
      <c r="A78" s="18">
        <v>73</v>
      </c>
      <c r="B78" s="18" t="s">
        <v>4526</v>
      </c>
      <c r="C78" s="39" t="s">
        <v>4545</v>
      </c>
      <c r="D78" s="129" t="s">
        <v>2125</v>
      </c>
      <c r="E78" s="22" t="s">
        <v>4546</v>
      </c>
      <c r="F78" s="23" t="str">
        <f t="shared" si="2"/>
        <v>PASS</v>
      </c>
    </row>
    <row r="79" spans="1:6" ht="32" x14ac:dyDescent="0.2">
      <c r="A79" s="18">
        <v>74</v>
      </c>
      <c r="B79" s="18" t="s">
        <v>4526</v>
      </c>
      <c r="C79" s="39" t="s">
        <v>4547</v>
      </c>
      <c r="D79" s="129" t="s">
        <v>4548</v>
      </c>
      <c r="E79" s="22" t="s">
        <v>4549</v>
      </c>
      <c r="F79" s="23" t="str">
        <f t="shared" si="2"/>
        <v>PASS</v>
      </c>
    </row>
    <row r="80" spans="1:6" ht="16" x14ac:dyDescent="0.2">
      <c r="A80" s="18">
        <v>75</v>
      </c>
      <c r="B80" s="18" t="s">
        <v>4526</v>
      </c>
      <c r="C80" s="39" t="s">
        <v>4550</v>
      </c>
      <c r="D80" s="129">
        <v>75</v>
      </c>
      <c r="E80" s="22" t="s">
        <v>4551</v>
      </c>
      <c r="F80" s="23" t="str">
        <f t="shared" si="2"/>
        <v>PASS</v>
      </c>
    </row>
    <row r="81" spans="1:6" ht="16" x14ac:dyDescent="0.2">
      <c r="A81" s="18">
        <v>76</v>
      </c>
      <c r="B81" s="18" t="s">
        <v>4526</v>
      </c>
      <c r="C81" s="39" t="s">
        <v>4552</v>
      </c>
      <c r="D81" s="129">
        <v>75</v>
      </c>
      <c r="E81" s="22" t="s">
        <v>4553</v>
      </c>
      <c r="F81" s="23" t="str">
        <f t="shared" si="2"/>
        <v>PASS</v>
      </c>
    </row>
  </sheetData>
  <mergeCells count="3">
    <mergeCell ref="A1:E1"/>
    <mergeCell ref="A2:E2"/>
    <mergeCell ref="A3:E3"/>
  </mergeCells>
  <hyperlinks>
    <hyperlink ref="F1" location="'Contents'!A1" display="↑ Contents" xr:uid="{00000000-0004-0000-20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33</vt:i4>
      </vt:variant>
      <vt:variant>
        <vt:lpstr>Named Ranges</vt:lpstr>
      </vt:variant>
      <vt:variant>
        <vt:i4>63</vt:i4>
      </vt:variant>
    </vt:vector>
  </HeadingPairs>
  <TitlesOfParts>
    <vt:vector size="96" baseType="lpstr">
      <vt:lpstr>Executive Summary</vt:lpstr>
      <vt:lpstr>Contents</vt:lpstr>
      <vt:lpstr>Inputs Master (M0)</vt:lpstr>
      <vt:lpstr>Equipment &amp; Dimensions Register</vt:lpstr>
      <vt:lpstr>Overview</vt:lpstr>
      <vt:lpstr>Renders</vt:lpstr>
      <vt:lpstr>Cost waterfall</vt:lpstr>
      <vt:lpstr>Financial model</vt:lpstr>
      <vt:lpstr>Bill of Materials (Ledger)</vt:lpstr>
      <vt:lpstr>Brief</vt:lpstr>
      <vt:lpstr>Design basis</vt:lpstr>
      <vt:lpstr>Drawings</vt:lpstr>
      <vt:lpstr>BFD — Block Flow</vt:lpstr>
      <vt:lpstr>P&amp;ID</vt:lpstr>
      <vt:lpstr>Process schedules</vt:lpstr>
      <vt:lpstr>GA — General Arrangement</vt:lpstr>
      <vt:lpstr>HVAC</vt:lpstr>
      <vt:lpstr>Electrical</vt:lpstr>
      <vt:lpstr>Line &amp; velocity</vt:lpstr>
      <vt:lpstr>Assembly sequence</vt:lpstr>
      <vt:lpstr>Risk &amp; Regulatory</vt:lpstr>
      <vt:lpstr>Holds &amp; exclusions</vt:lpstr>
      <vt:lpstr>Questions for the customer</vt:lpstr>
      <vt:lpstr>Quality &amp; Audit</vt:lpstr>
      <vt:lpstr>Sense-check</vt:lpstr>
      <vt:lpstr>⚠ Checks</vt:lpstr>
      <vt:lpstr>Connection trace</vt:lpstr>
      <vt:lpstr>Quantities</vt:lpstr>
      <vt:lpstr>Calculations</vt:lpstr>
      <vt:lpstr>Inputs &amp; Assumptions</vt:lpstr>
      <vt:lpstr>Part names</vt:lpstr>
      <vt:lpstr>Glossary</vt:lpstr>
      <vt:lpstr>Audit data</vt:lpstr>
      <vt:lpstr>in_capex</vt:lpstr>
      <vt:lpstr>in_discount_rate</vt:lpstr>
      <vt:lpstr>in_energy_price</vt:lpstr>
      <vt:lpstr>in_fcr</vt:lpstr>
      <vt:lpstr>in_feed_price</vt:lpstr>
      <vt:lpstr>in_flow_m3h</vt:lpstr>
      <vt:lpstr>in_hours</vt:lpstr>
      <vt:lpstr>in_hurdle_rate</vt:lpstr>
      <vt:lpstr>in_labour</vt:lpstr>
      <vt:lpstr>in_load_factor</vt:lpstr>
      <vt:lpstr>in_load_kw</vt:lpstr>
      <vt:lpstr>in_maint_pct</vt:lpstr>
      <vt:lpstr>in_other_opex</vt:lpstr>
      <vt:lpstr>in_out_qty</vt:lpstr>
      <vt:lpstr>in_project_life</vt:lpstr>
      <vt:lpstr>in_sale_price</vt:lpstr>
      <vt:lpstr>in_scale_exp</vt:lpstr>
      <vt:lpstr>in_water_util</vt:lpstr>
      <vt:lpstr>INP_ABB_CIRCUIT_BREAKER</vt:lpstr>
      <vt:lpstr>INP_ABB_CIRCUIT_BREAKERS</vt:lpstr>
      <vt:lpstr>INP_ACTUATED_VALVES</vt:lpstr>
      <vt:lpstr>INP_BATCH_SIZE</vt:lpstr>
      <vt:lpstr>INP_CONSUMABLE_INTENSITY_RATIO</vt:lpstr>
      <vt:lpstr>INP_CONSUMABLES_PRICE_DOSING_CHEMICALS_NUTRIENT_FERTILISER_STOCK_FILTER_MEDIA_MEMBRANES</vt:lpstr>
      <vt:lpstr>INP_CORPUS_MEDIAN_CLEANING_TANK_1_4_M_DIA_X_1_3_M</vt:lpstr>
      <vt:lpstr>INP_CORPUS_MEDIAN_GAC_FILTER_1_3_M_DIA_X_1_4_M</vt:lpstr>
      <vt:lpstr>INP_CORPUS_MEDIAN_HOOGENDOORN_ISII_REMOTE_MONITORING</vt:lpstr>
      <vt:lpstr>INP_CORPUS_MEDIAN_LEVEL_TRANSMITTER_0_1_4_M</vt:lpstr>
      <vt:lpstr>INP_CORPUS_MEDIAN_SOFTENER_VESSEL_1_2_M_DIA_X_1_3_M</vt:lpstr>
      <vt:lpstr>INP_CORPUS_MEDIAN_UV_DISINFECTION_4_KW_600X510X660_MM</vt:lpstr>
      <vt:lpstr>INP_CULTIVATION_CONTAINERS</vt:lpstr>
      <vt:lpstr>INP_DESIGN_LIFE</vt:lpstr>
      <vt:lpstr>INP_DISCOUNT_RATE</vt:lpstr>
      <vt:lpstr>INP_ELECTRICAL_LOAD_FACTOR</vt:lpstr>
      <vt:lpstr>INP_ENERGY_PRICE</vt:lpstr>
      <vt:lpstr>INP_EPC_ENGINEERING_FACTOR</vt:lpstr>
      <vt:lpstr>INP_FOAK_CONTINGENCY_FACTOR</vt:lpstr>
      <vt:lpstr>INP_GRUNDFOS_FERTIGATION_DOSING_PUMP</vt:lpstr>
      <vt:lpstr>INP_INSTALL_FACTOR</vt:lpstr>
      <vt:lpstr>INP_INSTALLED_COST_FACTOR_CENTRAL</vt:lpstr>
      <vt:lpstr>INP_INVESTOR_HURDLE_RATE_IRR</vt:lpstr>
      <vt:lpstr>INP_IRRIGATION_DEMAND_M3_PER_HR</vt:lpstr>
      <vt:lpstr>INP_LABOUR</vt:lpstr>
      <vt:lpstr>INP_MAINTENANCE</vt:lpstr>
      <vt:lpstr>INP_OPERATING_HOURS</vt:lpstr>
      <vt:lpstr>INP_OTHER_OPEX</vt:lpstr>
      <vt:lpstr>INP_PENTAIR_STRUCTURAL_SOFTENER_VESSEL</vt:lpstr>
      <vt:lpstr>INP_PRAHER_BACKWASH_SERVICE_VALVE_NEST</vt:lpstr>
      <vt:lpstr>INP_PROCESS_FLUID_DENSITY_ENGINE_DEFAULT</vt:lpstr>
      <vt:lpstr>INP_PROJECT_LIFE</vt:lpstr>
      <vt:lpstr>INP_RO_PERMEATE_CAPACITY_M3_PER_HR</vt:lpstr>
      <vt:lpstr>INP_RO_RECOVERY_PERCENT</vt:lpstr>
      <vt:lpstr>INP_SALE_PRICE_PER_OUTPUT_UNIT</vt:lpstr>
      <vt:lpstr>INP_SCALING_EXPONENT_N_CAPEX_OUTPUT_N</vt:lpstr>
      <vt:lpstr>INP_STANDARD_GRAVITATIONAL_ACCELERATION</vt:lpstr>
      <vt:lpstr>INP_SWEET_SPOT_CAPACITY_SCALING_EXPONENT_N</vt:lpstr>
      <vt:lpstr>INP_TDK_LAMBDA_3_PHASE_POWER_INPUT</vt:lpstr>
      <vt:lpstr>INP_UNIT_COST_CEILING</vt:lpstr>
      <vt:lpstr>INP_WAGO_TERMINAL_BLOCKS</vt:lpstr>
      <vt:lpstr>INP_WATER_DENSITY_PUMP_SIZING_WORKED_CALC</vt:lpstr>
      <vt:lpstr>INP_WATER_STORAGE_CAPACITY_M3</vt:lpstr>
      <vt:lpstr>INP_WATER_UTILISATION_DELIVERED_DESIGN_FLOW</vt:lpstr>
      <vt:lpstr>INP_WEDECO_XYLEM_UV_DISINFECTION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Samuel Green</cp:lastModifiedBy>
  <cp:revision>0</cp:revision>
  <dcterms:created xsi:type="dcterms:W3CDTF">2026-01-01T00:00:00Z</dcterms:created>
  <dcterms:modified xsi:type="dcterms:W3CDTF">2026-07-07T11:17:41Z</dcterms:modified>
  <dc:language>en-US</dc:language>
</cp:coreProperties>
</file>