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" sheetId="1" r:id="rId4"/>
    <sheet state="visible" name="BS" sheetId="2" r:id="rId5"/>
    <sheet state="visible" name="CF" sheetId="3" r:id="rId6"/>
    <sheet state="visible" name="Schedules" sheetId="4" r:id="rId7"/>
    <sheet state="visible" name="Revenue Build" sheetId="5" r:id="rId8"/>
    <sheet state="visible" name="Ratios" sheetId="6" r:id="rId9"/>
    <sheet state="visible" name="Debt" sheetId="7" r:id="rId10"/>
    <sheet state="visible" name="DCF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5">
      <text>
        <t xml:space="preserve">I could only find where Tesla said that their service centers that are established will be more effiecient with more Teslas on the road
	-Alex Giroux</t>
      </text>
    </comment>
    <comment authorId="0" ref="J62">
      <text>
        <t xml:space="preserve">1% total reduction from battery effieciency(takeovers)
-3.5% from plant efficiency (labor in Shanghai/automation)
-2.5% from streamlined interior production, supply chain economies of scale
	-Alex Giroux</t>
      </text>
    </comment>
    <comment authorId="0" ref="J38">
      <text>
        <t xml:space="preserve">MS estimate $6 billion
	-Maria Pitari</t>
      </text>
    </comment>
    <comment authorId="0" ref="J31">
      <text>
        <t xml:space="preserve">MS estimate 15%
	-Maria Pitari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2">
      <text>
        <t xml:space="preserve">Portion of debt held by TSLA/Solar City executives. Paid down
	-David Gringeri</t>
      </text>
    </comment>
    <comment authorId="0" ref="A96">
      <text>
        <t xml:space="preserve">For IS statement interest expense
	-David Gringeri</t>
      </text>
    </comment>
    <comment authorId="0" ref="A95">
      <text>
        <t xml:space="preserve">Needs be reflected on CF line 10
	-David Gringeri</t>
      </text>
    </comment>
    <comment authorId="0" ref="A94">
      <text>
        <t xml:space="preserve">Needs be reflected on CF line 10
	-David Gringeri</t>
      </text>
    </comment>
    <comment authorId="0" ref="A93">
      <text>
        <t xml:space="preserve">Included with the NI from IS
	-David Gringeri</t>
      </text>
    </comment>
    <comment authorId="0" ref="A280">
      <text>
        <t xml:space="preserve">weighted fixed rate 2017 10K p87
	-David Gringeri</t>
      </text>
    </comment>
    <comment authorId="0" ref="E63">
      <text>
        <t xml:space="preserve">See page 92 of 2019 10K
	-Maria Pitari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3">
      <text>
        <t xml:space="preserve">source: Deloitte
https://www2.deloitte.com/content/dam/Deloitte/uk/Documents/manufacturing/deloitte-uk-battery-electric-vehicles.pdf</t>
      </text>
    </comment>
    <comment authorId="0" ref="A65">
      <text>
        <t xml:space="preserve">source: Deloitte
https://www2.deloitte.com/content/dam/Deloitte/uk/Documents/manufacturing/deloitte-uk-battery-electric-vehicles.pdf</t>
      </text>
    </comment>
    <comment authorId="0" ref="A97">
      <text>
        <t xml:space="preserve">source: Deloitte
https://www2.deloitte.com/content/dam/Deloitte/uk/Documents/manufacturing/deloitte-uk-battery-electric-vehicles.pdf</t>
      </text>
    </comment>
    <comment authorId="0" ref="J31">
      <text>
        <t xml:space="preserve">MS estimate 48,000
	-Maria Pitari</t>
      </text>
    </comment>
    <comment authorId="0" ref="J21">
      <text>
        <t xml:space="preserve">MS estimate 821,000
	-Maria Pitari</t>
      </text>
    </comment>
    <comment authorId="0" ref="E31">
      <text>
        <t xml:space="preserve">Mid-April consensus outlook calls for $30.11 billion in 2020 sales
	-Maria Pitari</t>
      </text>
    </comment>
    <comment authorId="0" ref="E21">
      <text>
        <t xml:space="preserve">Analyst estimates between 414,000 and 420,000
	-Maria Pitari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">
      <text>
        <t xml:space="preserve">Use this line to project new debt issuances
	-Maria Pitari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6">
      <text>
        <t xml:space="preserve">10Y rate as of 4/18/20</t>
      </text>
    </comment>
    <comment authorId="0" ref="L27">
      <text>
        <t xml:space="preserve">Bloomberg
</t>
      </text>
    </comment>
    <comment authorId="0" ref="L28">
      <text>
        <t xml:space="preserve">Damodaran TTM cash yield ERP</t>
      </text>
    </comment>
  </commentList>
</comments>
</file>

<file path=xl/sharedStrings.xml><?xml version="1.0" encoding="utf-8"?>
<sst xmlns="http://schemas.openxmlformats.org/spreadsheetml/2006/main" count="944" uniqueCount="457">
  <si>
    <t>Tesla Inc.</t>
  </si>
  <si>
    <t>Historical Results</t>
  </si>
  <si>
    <t>Forecast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</si>
  <si>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</si>
  <si>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</si>
  <si>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</si>
  <si>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</si>
  <si>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</si>
  <si>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</si>
  <si>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</si>
  <si>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</si>
  <si>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</si>
  <si>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Balance Sheet (in millons, except per share data)</t>
  </si>
  <si>
    <t>Actual</t>
  </si>
  <si>
    <t>Assumed</t>
  </si>
  <si>
    <t>Balance Sheet Check</t>
  </si>
  <si>
    <t>Assets</t>
  </si>
  <si>
    <t>Current assets</t>
  </si>
  <si>
    <t>Cash and cash equivalents</t>
  </si>
  <si>
    <t>Restricted cash</t>
  </si>
  <si>
    <t>Accounts receivable, net</t>
  </si>
  <si>
    <t>Inventory</t>
  </si>
  <si>
    <t>Prepaid expenses and other current assets</t>
  </si>
  <si>
    <t>Total current assets</t>
  </si>
  <si>
    <t>Property, plant and equipment, gross</t>
  </si>
  <si>
    <t>Statement of Cash Flow (in millons, except per share data)</t>
  </si>
  <si>
    <t>Cash Flows from Operating Activities</t>
  </si>
  <si>
    <t>Net loss</t>
  </si>
  <si>
    <t>Adjustments to reconcile net loss to net cash provided by (used in) operating activities:</t>
  </si>
  <si>
    <t xml:space="preserve">    Depreciation, amortization and impairment</t>
  </si>
  <si>
    <t xml:space="preserve">    Stock-based compensation</t>
  </si>
  <si>
    <t xml:space="preserve">    Amortization of debt discounts and issuance costs</t>
  </si>
  <si>
    <t xml:space="preserve">    Inventory and purchase commitments write-downs</t>
  </si>
  <si>
    <t xml:space="preserve">    Loss on disposals of fixed assets</t>
  </si>
  <si>
    <t xml:space="preserve">    Foreign currency transaction (gains) loss</t>
  </si>
  <si>
    <t xml:space="preserve">    Loss related to SolarCity acquisition</t>
  </si>
  <si>
    <t xml:space="preserve">    Non-cash interest and other operating activities</t>
  </si>
  <si>
    <t xml:space="preserve">    Operating cash flow related to repayment of discounted convertible notes</t>
  </si>
  <si>
    <t>Total non-cash adjustments</t>
  </si>
  <si>
    <t>Changes in operating assets and liabilities, net of effect of business combinations:</t>
  </si>
  <si>
    <t xml:space="preserve">     Accounts receivable</t>
  </si>
  <si>
    <t xml:space="preserve">     Inventory</t>
  </si>
  <si>
    <t>Accumulated depreciation</t>
  </si>
  <si>
    <t>Property, plant and equipment, net</t>
  </si>
  <si>
    <t>Operating lease vehicles, net</t>
  </si>
  <si>
    <t>Solar energy systems, net</t>
  </si>
  <si>
    <t>Operating lease right-of-use assets</t>
  </si>
  <si>
    <t>-</t>
  </si>
  <si>
    <t>Income Statement (in millons, except per share data)</t>
  </si>
  <si>
    <t xml:space="preserve"> </t>
  </si>
  <si>
    <t>Revenues</t>
  </si>
  <si>
    <t>Automotive sales</t>
  </si>
  <si>
    <t>Intangible assets, net</t>
  </si>
  <si>
    <t>Goodwill</t>
  </si>
  <si>
    <t>MyPower customer notes receivable, net of current portion</t>
  </si>
  <si>
    <t>Restricted cash, net of current portion</t>
  </si>
  <si>
    <t>Other assets</t>
  </si>
  <si>
    <t>Total assets</t>
  </si>
  <si>
    <t xml:space="preserve">   % Growth</t>
  </si>
  <si>
    <t>Liabilities</t>
  </si>
  <si>
    <t>Current liabilities</t>
  </si>
  <si>
    <t>Accounts payable</t>
  </si>
  <si>
    <t>Automotive leasing</t>
  </si>
  <si>
    <t>Accrued liabilities and other</t>
  </si>
  <si>
    <t>Deferred revenue</t>
  </si>
  <si>
    <t>Resale value guarantees</t>
  </si>
  <si>
    <t>Total automotive revenues</t>
  </si>
  <si>
    <t>Customer deposits</t>
  </si>
  <si>
    <t>Energy generation and storage</t>
  </si>
  <si>
    <t>Current portion of debt and finance leases</t>
  </si>
  <si>
    <t xml:space="preserve">     Operating lease vehicles</t>
  </si>
  <si>
    <t>Current portion of promissory notes issued to related parties</t>
  </si>
  <si>
    <t>Total current liabilities</t>
  </si>
  <si>
    <t xml:space="preserve">     Prepaid expenses and other current assets</t>
  </si>
  <si>
    <t>Services and other</t>
  </si>
  <si>
    <t>Debt and finance leases, net of current portion</t>
  </si>
  <si>
    <t xml:space="preserve">     Other non-current assets</t>
  </si>
  <si>
    <t>Deferred revenue, net of current portion</t>
  </si>
  <si>
    <t xml:space="preserve">     Accounts payable and accrued liabilities</t>
  </si>
  <si>
    <t>Total revenues</t>
  </si>
  <si>
    <t>Resale value guarantees, net of current portion</t>
  </si>
  <si>
    <t xml:space="preserve">     Deferred revenue</t>
  </si>
  <si>
    <t>Cost of revenues</t>
  </si>
  <si>
    <t xml:space="preserve">     Customer deposits</t>
  </si>
  <si>
    <t>Total automotive cost of revenues</t>
  </si>
  <si>
    <t xml:space="preserve">     Resale value guarantee</t>
  </si>
  <si>
    <t>Total cost of revenues</t>
  </si>
  <si>
    <t xml:space="preserve">     Other long-term liabilities</t>
  </si>
  <si>
    <t>Gross profit</t>
  </si>
  <si>
    <t>Change in net working capital</t>
  </si>
  <si>
    <t xml:space="preserve">   % Gross margin</t>
  </si>
  <si>
    <t>Net cash provided by (used in) operating activities</t>
  </si>
  <si>
    <t>Operating expenses</t>
  </si>
  <si>
    <t>Research and development</t>
  </si>
  <si>
    <t>Cash Flows from Investing Activities</t>
  </si>
  <si>
    <t>Purchases of property and equipment excluding finance leases, net of sales (CapEx)</t>
  </si>
  <si>
    <t>Selling, general and administrative</t>
  </si>
  <si>
    <t>Restructuring and other</t>
  </si>
  <si>
    <t>Purchases of solar energy systems</t>
  </si>
  <si>
    <t>Total operating expenses</t>
  </si>
  <si>
    <t>Loss from operations (EBIT)</t>
  </si>
  <si>
    <t>Purchase of intangible assets</t>
  </si>
  <si>
    <t xml:space="preserve">   % Operating margin</t>
  </si>
  <si>
    <t>Receipt of government grants</t>
  </si>
  <si>
    <t>Business combinations, net of cash acquired</t>
  </si>
  <si>
    <t>Interest income</t>
  </si>
  <si>
    <t>Interest expense</t>
  </si>
  <si>
    <t>Net cash used in investing activities</t>
  </si>
  <si>
    <t>Other long-term liabilities</t>
  </si>
  <si>
    <t>Total liabilities</t>
  </si>
  <si>
    <t>Other income (expense), net</t>
  </si>
  <si>
    <t>Cash Flows from Financing Activities</t>
  </si>
  <si>
    <t>Proceeds from issuances of common stock in public offerings, net of underwriting discounts</t>
  </si>
  <si>
    <t>Loss before income taxes</t>
  </si>
  <si>
    <t>Issuance/Repayment of convertible and other debt and finance leases</t>
  </si>
  <si>
    <t>Redeemable noncontrolling interests in subsidiaries</t>
  </si>
  <si>
    <t>Equity</t>
  </si>
  <si>
    <t>Stockholders' equity</t>
  </si>
  <si>
    <t>Provision for income taxes</t>
  </si>
  <si>
    <t>Preferred stock; $0.001 par value; 100 shares authorized; no shares issued and outstanding</t>
  </si>
  <si>
    <t>Common stock; $ 0.001 par value; 2,000 shares authorized; 181 and 173 shares oustanding as of December 31, 2019 and December 31, 2018, respectively</t>
  </si>
  <si>
    <t>Repayments of borrowings issued to related parties</t>
  </si>
  <si>
    <t>Collateralized lease repayments</t>
  </si>
  <si>
    <t>Additional paid-in capital</t>
  </si>
  <si>
    <t>Net income (loss) attributable to noncontrolling interests and redeemable noncontrolling interests in subsidiaries</t>
  </si>
  <si>
    <t>Net loss attributable to common stockholders</t>
  </si>
  <si>
    <t>Proceeds from exercises of stock options and other stock issuances</t>
  </si>
  <si>
    <t>Principal payments on finance leases</t>
  </si>
  <si>
    <t>Common stock and debt issuance costs</t>
  </si>
  <si>
    <t>Accumulated other comprehensive loss</t>
  </si>
  <si>
    <t>T12 EBITDA</t>
  </si>
  <si>
    <t>Purchase of convertible note hedges</t>
  </si>
  <si>
    <t>Accumulated deficit</t>
  </si>
  <si>
    <t>Proceeds from settlement of convertible note hedges</t>
  </si>
  <si>
    <t>Total stockholders' equity</t>
  </si>
  <si>
    <t>Additional Information</t>
  </si>
  <si>
    <t>Proceeds from issuance of warrants</t>
  </si>
  <si>
    <t>Net loss per share of common stock attributable to common stockholders</t>
  </si>
  <si>
    <t>Noncontrolling interests in subsidiaries</t>
  </si>
  <si>
    <t>Basic</t>
  </si>
  <si>
    <t>Payments for settlements of warrants</t>
  </si>
  <si>
    <t>Total liabilities and equity</t>
  </si>
  <si>
    <t>Diluted</t>
  </si>
  <si>
    <t>Proceeds from investments by noncontrolling interests in subsidiaries</t>
  </si>
  <si>
    <t>Weighted average shares used in computing net loss per share of common stock</t>
  </si>
  <si>
    <t>Distributions paid to noncontrolling interests in subsidiaries</t>
  </si>
  <si>
    <t>Adjusted EBITDA</t>
  </si>
  <si>
    <t>Payments for buy-outs of noncontrolling interests in subsidiaries</t>
  </si>
  <si>
    <t>Cash paid for interest, net of amounts capitalized</t>
  </si>
  <si>
    <t>Net cash provided by financing activities</t>
  </si>
  <si>
    <t>Gross margin</t>
  </si>
  <si>
    <t>Balance Sheet Drivers</t>
  </si>
  <si>
    <t xml:space="preserve">   % Gross margin, automotive slaes</t>
  </si>
  <si>
    <t>Days per period</t>
  </si>
  <si>
    <t>Effect of exchange rate changes on cash and cash equivalents and restricted cash</t>
  </si>
  <si>
    <t>Accounts receivable (days)</t>
  </si>
  <si>
    <t xml:space="preserve">   % Gross margin, automotive leasing</t>
  </si>
  <si>
    <t>Net increase in cash and cash equivalents and restricted cash</t>
  </si>
  <si>
    <t xml:space="preserve">   % Gross margin, energy generation and storage</t>
  </si>
  <si>
    <t>Cash and cash equivalents and restricted cash, beginning of period</t>
  </si>
  <si>
    <t>Inventory (days)</t>
  </si>
  <si>
    <t xml:space="preserve">   % Gross margin, services and other</t>
  </si>
  <si>
    <t>Cash and cash equivalents and restricted cash, end of period</t>
  </si>
  <si>
    <t>Income Statement Drivers</t>
  </si>
  <si>
    <t>Tax rate</t>
  </si>
  <si>
    <t>Prepaid expenses and other current assets (% of revenue)</t>
  </si>
  <si>
    <t>Supplemental Non-Cash Investing and Financing Activities</t>
  </si>
  <si>
    <t>Cost of goods sold</t>
  </si>
  <si>
    <t>Equity issued in connection with business combination</t>
  </si>
  <si>
    <t>$-</t>
  </si>
  <si>
    <r>
      <t xml:space="preserve">   </t>
    </r>
    <r>
      <rPr/>
      <t>Automotive sales (</t>
    </r>
    <r>
      <t>% of automotive sales)</t>
    </r>
  </si>
  <si>
    <t>Acquisitions of property and equipment included in liabilities</t>
  </si>
  <si>
    <t>Estimated fair value of facilities under build-to-suit leases</t>
  </si>
  <si>
    <t>Supplemental Disclosures</t>
  </si>
  <si>
    <t>Other assets (% of revenue)</t>
  </si>
  <si>
    <t>Cash paid during the period for interest, net of amounts capitalized</t>
  </si>
  <si>
    <t>Cash paid during the period for taxes, net of refunds</t>
  </si>
  <si>
    <r>
      <rPr/>
      <t xml:space="preserve">   Automotive leasing</t>
    </r>
    <r>
      <t xml:space="preserve"> (% of automotive leasing revenue)</t>
    </r>
  </si>
  <si>
    <t>Cash Flow Statement Drivers</t>
  </si>
  <si>
    <t>Stock-based compensation (% of revenue)</t>
  </si>
  <si>
    <r>
      <t xml:space="preserve">   </t>
    </r>
    <r>
      <rPr/>
      <t>Energy generation and storage (</t>
    </r>
    <r>
      <t>% of energy generation and storage revenue)</t>
    </r>
  </si>
  <si>
    <t>Accounts payable (days)</t>
  </si>
  <si>
    <r>
      <t xml:space="preserve">   </t>
    </r>
    <r>
      <rPr/>
      <t>Services and other (</t>
    </r>
    <r>
      <t>% of services and other revenue)</t>
    </r>
  </si>
  <si>
    <t>Depreciation, amortization and impairment</t>
  </si>
  <si>
    <t>Purchases of property and equipment (CapEx)</t>
  </si>
  <si>
    <t>Accrued liabilities and other (% of revenue)</t>
  </si>
  <si>
    <t xml:space="preserve">   Research and development (% of revenue)</t>
  </si>
  <si>
    <t xml:space="preserve">   Selling, general and administrative (% of revenue)</t>
  </si>
  <si>
    <t>Total deferred revenue (% of revenue)</t>
  </si>
  <si>
    <t>Current portion of deferred revenue (% of total deferred revenue)</t>
  </si>
  <si>
    <t>Total resale value guarantees (per page 58 of 2019 Form 10-K)</t>
  </si>
  <si>
    <t>PP&amp;E Schedule</t>
  </si>
  <si>
    <t>Beginning gross property, plant and equipment</t>
  </si>
  <si>
    <t>Current portion resale value guarantees (% of total resale value guarantees)</t>
  </si>
  <si>
    <t>Capital expenditures</t>
  </si>
  <si>
    <t>Customer deposits (% growth)</t>
  </si>
  <si>
    <t>Current portion of debt and finance leases (% of sales)</t>
  </si>
  <si>
    <t>Retirement/Other</t>
  </si>
  <si>
    <t>Ending gross property, plant and equipment</t>
  </si>
  <si>
    <t>Beginning accumulated depreciation and amortization</t>
  </si>
  <si>
    <t>Depreciation and amortization</t>
  </si>
  <si>
    <t>Average Useful life</t>
  </si>
  <si>
    <t>PPE depreciation &amp; amortization expense expense (% of total period costs)</t>
  </si>
  <si>
    <t>Reference Items</t>
  </si>
  <si>
    <t>Short Term Debt</t>
  </si>
  <si>
    <t>Long Term Debt</t>
  </si>
  <si>
    <t>PPE depreciation &amp; amortization (% of total deprecation &amp; amorization)</t>
  </si>
  <si>
    <t>Removal/Other</t>
  </si>
  <si>
    <t>Total Debt</t>
  </si>
  <si>
    <t>Ending accumulated depreciation and amortization</t>
  </si>
  <si>
    <t>Market Capitalization</t>
  </si>
  <si>
    <t>Enterprise Value</t>
  </si>
  <si>
    <t>Lease Vehicles</t>
  </si>
  <si>
    <t>Beginning gross operating lease vehicles</t>
  </si>
  <si>
    <t>Total Debt / T12M EBITDA</t>
  </si>
  <si>
    <t>Base Case</t>
  </si>
  <si>
    <t>Model S&amp;X Vehicles Delivered</t>
  </si>
  <si>
    <t>Removal as % of gross operating lease vehicles</t>
  </si>
  <si>
    <t>% Growth</t>
  </si>
  <si>
    <t>Net Debt / T12M EBITDA</t>
  </si>
  <si>
    <t>Cost of vehicles for lease originations during period</t>
  </si>
  <si>
    <t>Aggreated in net cost of operating lease vehicles</t>
  </si>
  <si>
    <t>Less: Model S&amp;X Vehicles Under Lease Accounting</t>
  </si>
  <si>
    <t>% of Vehicles Delivered</t>
  </si>
  <si>
    <t>EBITDA to Interest Expense Coverage Ratio</t>
  </si>
  <si>
    <t>Total Models S&amp;X Vehicles Sold</t>
  </si>
  <si>
    <t>Average Selling Price</t>
  </si>
  <si>
    <t>EBITDA-CapEx / Interest Expense</t>
  </si>
  <si>
    <t xml:space="preserve">Net change in operating lease vehicles </t>
  </si>
  <si>
    <t xml:space="preserve">Total Models S&amp;X Revenue </t>
  </si>
  <si>
    <t>Model 3/Y Vehicles Delivered</t>
  </si>
  <si>
    <t>Ending gross operating lease vehicles</t>
  </si>
  <si>
    <t>EBIT to Interest Expense Coverage Ratio</t>
  </si>
  <si>
    <t>Less: Model 3 Vehicles Under Lease Accounting</t>
  </si>
  <si>
    <t>EBITDA to Cash Interest Paid</t>
  </si>
  <si>
    <t>Average useful life</t>
  </si>
  <si>
    <t>Total Model 3 Vehicles Sold</t>
  </si>
  <si>
    <t>EBITDA-CapEx / Cash Interest Paid</t>
  </si>
  <si>
    <t>Lease vehicles depreciation expense (% of total period costs)</t>
  </si>
  <si>
    <t>EBIT to Cash Interest Paid</t>
  </si>
  <si>
    <t>Total Model 3 Revenue</t>
  </si>
  <si>
    <t>Common Equity / Total Assets</t>
  </si>
  <si>
    <t>Automotive Sales</t>
  </si>
  <si>
    <t>Lease vehicles depreciation expense (% of total deprecation &amp; amorization)</t>
  </si>
  <si>
    <t>Total vehicles delivered</t>
  </si>
  <si>
    <t>Total Automotive Revenues</t>
  </si>
  <si>
    <t>Long-Term Debt / Book Value Capital</t>
  </si>
  <si>
    <t>Energy Generation and Storage</t>
  </si>
  <si>
    <t>Solar Energy Systems, Leased and To Be Leased</t>
  </si>
  <si>
    <t>Beginning gross solar energy systems, leased and to be leased</t>
  </si>
  <si>
    <t>Purchases of solar systems</t>
  </si>
  <si>
    <t>Long-Term Debt / Total Assets</t>
  </si>
  <si>
    <t xml:space="preserve">  Purchase of solar systems (% of energy generation revenue)</t>
  </si>
  <si>
    <t>Total Revenues</t>
  </si>
  <si>
    <t>Ending gross solar energy systems leased and to be leased</t>
  </si>
  <si>
    <t>Total Debt / Book Value Equity</t>
  </si>
  <si>
    <t xml:space="preserve">Global EV sales </t>
  </si>
  <si>
    <t>Tesla market share (% of global EV sales)</t>
  </si>
  <si>
    <t>Bear Case</t>
  </si>
  <si>
    <t>Total Debt / Book Value Capital</t>
  </si>
  <si>
    <t>Solar systems depreciation expense (% of total period costs)</t>
  </si>
  <si>
    <t>Solar systems depreciation expense (% of total deprecation &amp; amorization)</t>
  </si>
  <si>
    <t>Total Debt / Total Assets</t>
  </si>
  <si>
    <t>Under construction</t>
  </si>
  <si>
    <t>Total Debt / Market Capitalization</t>
  </si>
  <si>
    <t>Pending interconnection</t>
  </si>
  <si>
    <t>Solar energy systesm, leased and to be leased, net</t>
  </si>
  <si>
    <t>Total Debt / Enterprise Value</t>
  </si>
  <si>
    <t>Net Debt / Equity</t>
  </si>
  <si>
    <t>Intangible Assets</t>
  </si>
  <si>
    <t>Beginning gross carrying value</t>
  </si>
  <si>
    <t>Intangible assets purchased</t>
  </si>
  <si>
    <t>Internally developed intangible assets</t>
  </si>
  <si>
    <t>Net Debt / Capital</t>
  </si>
  <si>
    <t xml:space="preserve">Internally developed intangible assets / Previous year R&amp;D </t>
  </si>
  <si>
    <t>Ending gross carrying value</t>
  </si>
  <si>
    <t>Beginning accumulated amortization</t>
  </si>
  <si>
    <t>Amortization</t>
  </si>
  <si>
    <t>Net Debt / Enterprise Value</t>
  </si>
  <si>
    <t>Intangilble asset amortization expense (% of total period costs)</t>
  </si>
  <si>
    <t>Cash From Operations</t>
  </si>
  <si>
    <t>Gross Cash Flow</t>
  </si>
  <si>
    <t>intangible assets amortization expense (% of total deprecation &amp; amorization)</t>
  </si>
  <si>
    <t>Free Cash Flow to the Firm</t>
  </si>
  <si>
    <t>Ending accumulated amortization</t>
  </si>
  <si>
    <t>Intangible assets carrying value, net</t>
  </si>
  <si>
    <t>Total accumulated depreciation, amortization and impairment</t>
  </si>
  <si>
    <t>Bull Case</t>
  </si>
  <si>
    <t>Working Capital</t>
  </si>
  <si>
    <t>Depreciation, amortization and impairment (CF line 8)</t>
  </si>
  <si>
    <t>total capex</t>
  </si>
  <si>
    <t>Lease pass-through</t>
  </si>
  <si>
    <t>Total capital expenditures</t>
  </si>
  <si>
    <t>Impairment losses</t>
  </si>
  <si>
    <t>Depreciation and amortization expense</t>
  </si>
  <si>
    <t>total delta</t>
  </si>
  <si>
    <t>Debt Schedule</t>
  </si>
  <si>
    <t>0.25% Convertible Senior Notes due March 2019</t>
  </si>
  <si>
    <t xml:space="preserve">                                                                                                            920</t>
  </si>
  <si>
    <t>0.25%</t>
  </si>
  <si>
    <t>Beginning Net Carrying value</t>
  </si>
  <si>
    <t xml:space="preserve">Current Portion </t>
  </si>
  <si>
    <t>Long Term Portion</t>
  </si>
  <si>
    <t>Current Ratio</t>
  </si>
  <si>
    <t>Principal Pay down</t>
  </si>
  <si>
    <t>Ending Net Carrying value</t>
  </si>
  <si>
    <t>Quick Ratio</t>
  </si>
  <si>
    <t xml:space="preserve">Interest cash payment, cash </t>
  </si>
  <si>
    <t xml:space="preserve">Amortization of discount </t>
  </si>
  <si>
    <t>Amortization of issuance costs</t>
  </si>
  <si>
    <t>Cash Ratio Acid Test</t>
  </si>
  <si>
    <t>Interest expense, net of amortization</t>
  </si>
  <si>
    <t>1.25% Convertible Senior Notes due March 2021</t>
  </si>
  <si>
    <t>CFO to Average Current Liabilities</t>
  </si>
  <si>
    <t>CFO  / Total Liabilities</t>
  </si>
  <si>
    <t>2.375% Convertible Senior Notes due in 2022</t>
  </si>
  <si>
    <t>977</t>
  </si>
  <si>
    <t>2.375%</t>
  </si>
  <si>
    <t>CapEx to Revenue</t>
  </si>
  <si>
    <t>Adustment for non-cash expenses (CF line 10)</t>
  </si>
  <si>
    <t>Outstanding Balances:</t>
  </si>
  <si>
    <t>2.00% Convertible Senior Notes due in 2024</t>
  </si>
  <si>
    <t>Recourse debt</t>
  </si>
  <si>
    <t>1840</t>
  </si>
  <si>
    <t>Tesla Inc</t>
  </si>
  <si>
    <t>2020E</t>
  </si>
  <si>
    <t>0.25% Convertible Senior Notes due 2019</t>
  </si>
  <si>
    <t>2021E</t>
  </si>
  <si>
    <t>2022E</t>
  </si>
  <si>
    <t>2023E</t>
  </si>
  <si>
    <t>2024E</t>
  </si>
  <si>
    <t>2025E</t>
  </si>
  <si>
    <t>CASE</t>
  </si>
  <si>
    <t>Revenue</t>
  </si>
  <si>
    <t>2.00%</t>
  </si>
  <si>
    <t>1.25% Convertible Senior Notes due 2021</t>
  </si>
  <si>
    <t>base</t>
  </si>
  <si>
    <t>Y-o-Y % change</t>
  </si>
  <si>
    <t>2.365% Convertible Senior Notes due 2022</t>
  </si>
  <si>
    <t>2.00% Convertible Senior Notes due 2024</t>
  </si>
  <si>
    <t>5.30% Senior Notes due in 2025</t>
  </si>
  <si>
    <t>less: Cost of revenues</t>
  </si>
  <si>
    <t>Credit Agreement</t>
  </si>
  <si>
    <t>1.625% Convertible Senior Notes due 2019</t>
  </si>
  <si>
    <t>0% Convertible Senior Notes due 2020</t>
  </si>
  <si>
    <t>Solar Bonds and other Loans</t>
  </si>
  <si>
    <t>Total recourse debt</t>
  </si>
  <si>
    <t>less: Operating expenses</t>
  </si>
  <si>
    <t>Non-recourse debt</t>
  </si>
  <si>
    <t>Automotive Asset-backed Notes</t>
  </si>
  <si>
    <t>Solar Asset-backed Notes</t>
  </si>
  <si>
    <t>Operating Income (EBIT)</t>
  </si>
  <si>
    <t>China Loan Agreements</t>
  </si>
  <si>
    <t>less: Taxes</t>
  </si>
  <si>
    <t>plus: Depreciation &amp; amortization</t>
  </si>
  <si>
    <t>5.30% Convertible Senior Notes due in 2025</t>
  </si>
  <si>
    <t>1800</t>
  </si>
  <si>
    <t>5.3%</t>
  </si>
  <si>
    <t>plus: change in working capital</t>
  </si>
  <si>
    <t>Cash Equity Debt</t>
  </si>
  <si>
    <t>Solar Loan-backed Notes</t>
  </si>
  <si>
    <t>Warehouse Agreements</t>
  </si>
  <si>
    <t>Total Investment</t>
  </si>
  <si>
    <t>Solar Term Loans</t>
  </si>
  <si>
    <t>Canada Credit Facility</t>
  </si>
  <si>
    <t>Free Cash Flow to Firm</t>
  </si>
  <si>
    <t>Solar Renewable Energy Credit and other Loans</t>
  </si>
  <si>
    <t>Total non-recouse debt</t>
  </si>
  <si>
    <t>Total long term debt</t>
  </si>
  <si>
    <t>Terminal Value at Year 6</t>
  </si>
  <si>
    <t>Finance leases</t>
  </si>
  <si>
    <t>Discount Period</t>
  </si>
  <si>
    <t xml:space="preserve">2018 </t>
  </si>
  <si>
    <t>Discount Factor</t>
  </si>
  <si>
    <t>2019</t>
  </si>
  <si>
    <t>Present Value of Cash Flows</t>
  </si>
  <si>
    <t>2020</t>
  </si>
  <si>
    <t>Credit Agreements 2.7%-4.8% Due 2020-2023</t>
  </si>
  <si>
    <t>2021</t>
  </si>
  <si>
    <t>Valuation</t>
  </si>
  <si>
    <t>2022</t>
  </si>
  <si>
    <t>8</t>
  </si>
  <si>
    <t>2023</t>
  </si>
  <si>
    <t>Assumptions</t>
  </si>
  <si>
    <t>Beginning unpaid principal</t>
  </si>
  <si>
    <t>WACC Calculation</t>
  </si>
  <si>
    <t>2024</t>
  </si>
  <si>
    <t>Present value of cash flows</t>
  </si>
  <si>
    <t>Thereafter</t>
  </si>
  <si>
    <t>WACC</t>
  </si>
  <si>
    <t>Risk free rate (10 yr bond)</t>
  </si>
  <si>
    <t>Total minimum lease payments</t>
  </si>
  <si>
    <t>plus: Present value of terminal value</t>
  </si>
  <si>
    <t>Terminal growth rate</t>
  </si>
  <si>
    <t>Beta</t>
  </si>
  <si>
    <t>Total enterprise value</t>
  </si>
  <si>
    <t>Principal Pay down (addition)</t>
  </si>
  <si>
    <t>Less: Interest</t>
  </si>
  <si>
    <t>Present value of finance leases</t>
  </si>
  <si>
    <t>Share Count</t>
  </si>
  <si>
    <t>Equity Risk premium</t>
  </si>
  <si>
    <t>plus: Cash &amp; cash equivalents</t>
  </si>
  <si>
    <t>Cost of debt</t>
  </si>
  <si>
    <t>Less: Current portion</t>
  </si>
  <si>
    <t>minus: Debt</t>
  </si>
  <si>
    <t>Tax</t>
  </si>
  <si>
    <t>Total long term lease obligations</t>
  </si>
  <si>
    <t>Equity value</t>
  </si>
  <si>
    <t>Cost of equity (CAPM)</t>
  </si>
  <si>
    <t>Debt and finance leases, net of current portion (BS line 39)</t>
  </si>
  <si>
    <t>After tax cost of debt</t>
  </si>
  <si>
    <t>Ending unpaid principal</t>
  </si>
  <si>
    <t>Equity value per common share</t>
  </si>
  <si>
    <t>Issuance/Repayment of New Debt</t>
  </si>
  <si>
    <t>Capital Structure</t>
  </si>
  <si>
    <t>Current share price</t>
  </si>
  <si>
    <t>Balance of Issuance costs</t>
  </si>
  <si>
    <t xml:space="preserve">Equity </t>
  </si>
  <si>
    <t>Upside/Downside</t>
  </si>
  <si>
    <t xml:space="preserve">Opening debt and finance leases, net of current portion </t>
  </si>
  <si>
    <t>Debt</t>
  </si>
  <si>
    <t>Debt issuance/repayment</t>
  </si>
  <si>
    <t>Value Waterfall</t>
  </si>
  <si>
    <t>Closing debt and finance leases, net of current portion</t>
  </si>
  <si>
    <t>EV</t>
  </si>
  <si>
    <t>Terminal Growth Rate</t>
  </si>
  <si>
    <t>Interest expense (% of opening long term debt)</t>
  </si>
  <si>
    <t>Total debt</t>
  </si>
  <si>
    <t>Recovered EV</t>
  </si>
  <si>
    <t>% of EV left</t>
  </si>
  <si>
    <t>Net debt</t>
  </si>
  <si>
    <t>Zero Coupon Convertible Senior Notes Due 2020</t>
  </si>
  <si>
    <t>5</t>
  </si>
  <si>
    <t>Solar Bonds and other Lons  1.8%-5.8%: Due 2020-2031</t>
  </si>
  <si>
    <t>30</t>
  </si>
  <si>
    <t>Automotive Asset-backed notes 2.3%-7.9%: Issued Feb. 2018, due 2019-2022</t>
  </si>
  <si>
    <t>Solar asset-backed notes 4.0%-7.7%: Due: 2024-2048</t>
  </si>
  <si>
    <t>20</t>
  </si>
  <si>
    <t>China Lona agreements: 3.7%-4.0%: Began 2019 Due 2020-2024</t>
  </si>
  <si>
    <t>4</t>
  </si>
  <si>
    <t>Cash Equity Debt: 5.3%-5.8%: Began 2019 Due 2033-2035</t>
  </si>
  <si>
    <t>14</t>
  </si>
  <si>
    <t>Warehouse Agreement: 3.1%-3.6%: Due 2021</t>
  </si>
  <si>
    <t>Solar loan Backed Notes: 4.8%-7.5%: Due 2048-4049</t>
  </si>
  <si>
    <t>32.5</t>
  </si>
  <si>
    <t>Solar Term Loans 5.4% due 2021</t>
  </si>
  <si>
    <t>Canada Credit Facility 4.2%-5.9%</t>
  </si>
  <si>
    <t>6</t>
  </si>
  <si>
    <t>Solar Renewable Enrgy Credit &amp; other loans 4.5%-7.4% Due: 2020-2020</t>
  </si>
  <si>
    <t>Finance Leases</t>
  </si>
  <si>
    <t>Beginning financial lease balance</t>
  </si>
  <si>
    <t>ASC 842 adopted January 1,2019</t>
  </si>
  <si>
    <t>Principal Payments</t>
  </si>
  <si>
    <t>Additions to lease</t>
  </si>
  <si>
    <t>Ending financial lease balance</t>
  </si>
  <si>
    <t>Weighted average discount rate</t>
  </si>
  <si>
    <t>Interest expense, lease liabilities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</si>
</sst>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0.0"/>
    <numFmt numFmtId="166" formatCode="&quot;$&quot;#,##0.00"/>
    <numFmt numFmtId="167" formatCode="_(&quot;$&quot;* #,##0_);_(&quot;$&quot;* \(#,##0\);_(&quot;$&quot;* &quot;-&quot;??_);_(@_)"/>
    <numFmt numFmtId="168" formatCode="0.0%"/>
  </numFmts>
  <fonts count="21">
    <font>
      <sz val="10.0"/>
      <color rgb="FF000000"/>
      <name val="Arial"/>
    </font>
    <font>
      <b/>
      <sz val="12.0"/>
      <color rgb="FFFFFFFF"/>
      <name val="Arial"/>
    </font>
    <font>
      <b/>
      <color rgb="FFFFFFFF"/>
      <name val="Arial"/>
    </font>
    <font>
      <b/>
      <sz val="18.0"/>
      <color rgb="FFFFFFFF"/>
      <name val="Arial"/>
    </font>
    <font>
      <color rgb="FF000000"/>
      <name val="Arial"/>
    </font>
    <font>
      <sz val="9.0"/>
      <color rgb="FFFFFFFF"/>
      <name val="Arial"/>
    </font>
    <font>
      <sz val="9.0"/>
      <color rgb="FF000000"/>
      <name val="Arial"/>
    </font>
    <font>
      <sz val="9.0"/>
      <color theme="1"/>
      <name val="Arial"/>
    </font>
    <font>
      <b/>
      <sz val="9.0"/>
      <color rgb="FF000000"/>
      <name val="Arial"/>
    </font>
    <font>
      <color theme="1"/>
      <name val="Arial"/>
    </font>
    <font>
      <i/>
      <sz val="9.0"/>
      <color rgb="FF000000"/>
      <name val="Arial"/>
    </font>
    <font>
      <i/>
      <sz val="9.0"/>
      <color theme="1"/>
      <name val="Arial"/>
    </font>
    <font>
      <b/>
      <sz val="9.0"/>
      <color rgb="FFFFFFFF"/>
      <name val="Arial"/>
    </font>
    <font>
      <b/>
      <sz val="9.0"/>
      <color theme="1"/>
      <name val="Arial"/>
    </font>
    <font>
      <sz val="9.0"/>
      <color rgb="FF999999"/>
      <name val="Arial"/>
    </font>
    <font/>
    <font>
      <sz val="9.0"/>
      <color rgb="FFFF0000"/>
      <name val="Arial"/>
    </font>
    <font>
      <b/>
      <sz val="10.0"/>
      <color theme="1"/>
      <name val="Arial"/>
    </font>
    <font>
      <sz val="9.0"/>
      <color rgb="FFDD0806"/>
      <name val="Arial"/>
    </font>
    <font>
      <b/>
      <sz val="9.0"/>
      <color rgb="FFDD0806"/>
      <name val="Arial"/>
    </font>
    <font>
      <sz val="9.0"/>
      <color rgb="FFDAEEF3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4">
    <border/>
    <border>
      <top style="dotted">
        <color rgb="FF000000"/>
      </top>
    </border>
    <border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shrinkToFit="0" vertical="bottom" wrapText="0"/>
    </xf>
    <xf borderId="0" fillId="3" fontId="2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0" fontId="7" numFmtId="0" xfId="0" applyFont="1"/>
    <xf borderId="0" fillId="0" fontId="5" numFmtId="0" xfId="0" applyAlignment="1" applyFont="1">
      <alignment readingOrder="0" shrinkToFit="0" vertical="bottom" wrapText="0"/>
    </xf>
    <xf borderId="0" fillId="0" fontId="7" numFmtId="3" xfId="0" applyAlignment="1" applyFont="1" applyNumberFormat="1">
      <alignment horizontal="center"/>
    </xf>
    <xf borderId="0" fillId="0" fontId="8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7" numFmtId="164" xfId="0" applyFont="1" applyNumberFormat="1"/>
    <xf borderId="0" fillId="0" fontId="7" numFmtId="3" xfId="0" applyFont="1" applyNumberFormat="1"/>
    <xf borderId="0" fillId="0" fontId="7" numFmtId="3" xfId="0" applyAlignment="1" applyFont="1" applyNumberFormat="1">
      <alignment readingOrder="0"/>
    </xf>
    <xf borderId="0" fillId="0" fontId="7" numFmtId="165" xfId="0" applyFont="1" applyNumberFormat="1"/>
    <xf borderId="1" fillId="0" fontId="8" numFmtId="0" xfId="0" applyAlignment="1" applyBorder="1" applyFont="1">
      <alignment readingOrder="0" shrinkToFit="0" vertical="bottom" wrapText="0"/>
    </xf>
    <xf borderId="1" fillId="0" fontId="7" numFmtId="3" xfId="0" applyBorder="1" applyFont="1" applyNumberFormat="1"/>
    <xf borderId="0" fillId="0" fontId="6" numFmtId="3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1" xfId="0" applyFont="1" applyNumberFormat="1"/>
    <xf borderId="0" fillId="0" fontId="7" numFmtId="0" xfId="0" applyAlignment="1" applyFont="1">
      <alignment readingOrder="0"/>
    </xf>
    <xf borderId="1" fillId="0" fontId="6" numFmtId="0" xfId="0" applyAlignment="1" applyBorder="1" applyFont="1">
      <alignment readingOrder="0" shrinkToFit="0" vertical="bottom" wrapText="0"/>
    </xf>
    <xf borderId="1" fillId="0" fontId="6" numFmtId="3" xfId="0" applyAlignment="1" applyBorder="1" applyFont="1" applyNumberFormat="1">
      <alignment horizontal="right" shrinkToFit="0" vertical="bottom" wrapText="0"/>
    </xf>
    <xf borderId="1" fillId="0" fontId="6" numFmtId="1" xfId="0" applyAlignment="1" applyBorder="1" applyFont="1" applyNumberFormat="1">
      <alignment horizontal="right" shrinkToFit="0" vertical="bottom" wrapText="0"/>
    </xf>
    <xf borderId="1" fillId="0" fontId="7" numFmtId="3" xfId="0" applyAlignment="1" applyBorder="1" applyFont="1" applyNumberFormat="1">
      <alignment readingOrder="0"/>
    </xf>
    <xf borderId="0" fillId="0" fontId="7" numFmtId="3" xfId="0" applyAlignment="1" applyFont="1" applyNumberFormat="1">
      <alignment horizontal="right"/>
    </xf>
    <xf borderId="0" fillId="0" fontId="9" numFmtId="0" xfId="0" applyAlignment="1" applyFont="1">
      <alignment readingOrder="0"/>
    </xf>
    <xf borderId="0" fillId="0" fontId="7" numFmtId="0" xfId="0" applyFont="1"/>
    <xf borderId="2" fillId="0" fontId="8" numFmtId="0" xfId="0" applyAlignment="1" applyBorder="1" applyFont="1">
      <alignment readingOrder="0" shrinkToFit="0" vertical="bottom" wrapText="0"/>
    </xf>
    <xf borderId="2" fillId="0" fontId="7" numFmtId="3" xfId="0" applyBorder="1" applyFont="1" applyNumberFormat="1"/>
    <xf borderId="0" fillId="0" fontId="10" numFmtId="0" xfId="0" applyAlignment="1" applyFont="1">
      <alignment readingOrder="0" shrinkToFit="0" vertical="bottom" wrapText="0"/>
    </xf>
    <xf borderId="0" fillId="0" fontId="10" numFmtId="3" xfId="0" applyAlignment="1" applyFont="1" applyNumberFormat="1">
      <alignment horizontal="right" readingOrder="0" shrinkToFit="0" vertical="bottom" wrapText="0"/>
    </xf>
    <xf borderId="0" fillId="0" fontId="10" numFmtId="10" xfId="0" applyAlignment="1" applyFont="1" applyNumberFormat="1">
      <alignment horizontal="right" readingOrder="0" shrinkToFit="0" vertical="bottom" wrapText="0"/>
    </xf>
    <xf borderId="0" fillId="0" fontId="11" numFmtId="0" xfId="0" applyFont="1"/>
    <xf borderId="0" fillId="4" fontId="6" numFmtId="0" xfId="0" applyAlignment="1" applyFill="1" applyFont="1">
      <alignment horizontal="center" readingOrder="0" shrinkToFit="0" vertical="bottom" wrapText="0"/>
    </xf>
    <xf borderId="0" fillId="0" fontId="7" numFmtId="0" xfId="0" applyAlignment="1" applyFont="1">
      <alignment readingOrder="0"/>
    </xf>
    <xf borderId="0" fillId="4" fontId="11" numFmtId="9" xfId="0" applyAlignment="1" applyFont="1" applyNumberFormat="1">
      <alignment horizontal="center"/>
    </xf>
    <xf borderId="1" fillId="0" fontId="6" numFmtId="3" xfId="0" applyAlignment="1" applyBorder="1" applyFont="1" applyNumberFormat="1">
      <alignment horizontal="right" readingOrder="0" shrinkToFit="0" vertical="bottom" wrapText="0"/>
    </xf>
    <xf borderId="0" fillId="0" fontId="7" numFmtId="3" xfId="0" applyAlignment="1" applyFont="1" applyNumberFormat="1">
      <alignment horizontal="right" readingOrder="0"/>
    </xf>
    <xf borderId="3" fillId="0" fontId="8" numFmtId="0" xfId="0" applyAlignment="1" applyBorder="1" applyFont="1">
      <alignment readingOrder="0" shrinkToFit="0" vertical="bottom" wrapText="0"/>
    </xf>
    <xf borderId="0" fillId="0" fontId="6" numFmtId="3" xfId="0" applyAlignment="1" applyFont="1" applyNumberFormat="1">
      <alignment readingOrder="0" shrinkToFit="0" vertical="bottom" wrapText="0"/>
    </xf>
    <xf borderId="3" fillId="0" fontId="6" numFmtId="3" xfId="0" applyAlignment="1" applyBorder="1" applyFont="1" applyNumberFormat="1">
      <alignment horizontal="right" readingOrder="0" shrinkToFit="0" vertical="bottom" wrapText="0"/>
    </xf>
    <xf borderId="0" fillId="0" fontId="10" numFmtId="10" xfId="0" applyAlignment="1" applyFont="1" applyNumberFormat="1">
      <alignment horizontal="right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2" fillId="0" fontId="6" numFmtId="3" xfId="0" applyAlignment="1" applyBorder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6" numFmtId="165" xfId="0" applyAlignment="1" applyBorder="1" applyFont="1" applyNumberFormat="1">
      <alignment horizontal="right" readingOrder="0" shrinkToFit="0" vertical="bottom" wrapText="0"/>
    </xf>
    <xf borderId="3" fillId="0" fontId="6" numFmtId="3" xfId="0" applyAlignment="1" applyBorder="1" applyFont="1" applyNumberFormat="1">
      <alignment horizontal="right" shrinkToFit="0" vertical="bottom" wrapText="0"/>
    </xf>
    <xf borderId="0" fillId="5" fontId="7" numFmtId="3" xfId="0" applyFill="1" applyFont="1" applyNumberFormat="1"/>
    <xf borderId="2" fillId="0" fontId="6" numFmtId="3" xfId="0" applyAlignment="1" applyBorder="1" applyFont="1" applyNumberFormat="1">
      <alignment readingOrder="0" shrinkToFit="0" vertical="bottom" wrapText="0"/>
    </xf>
    <xf borderId="3" fillId="0" fontId="7" numFmtId="3" xfId="0" applyBorder="1" applyFont="1" applyNumberFormat="1"/>
    <xf borderId="0" fillId="0" fontId="6" numFmtId="0" xfId="0" applyAlignment="1" applyFont="1">
      <alignment readingOrder="0" shrinkToFit="0" vertical="bottom" wrapText="0"/>
    </xf>
    <xf borderId="1" fillId="0" fontId="6" numFmtId="3" xfId="0" applyAlignment="1" applyBorder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horizontal="right" readingOrder="0"/>
    </xf>
    <xf borderId="0" fillId="0" fontId="6" numFmtId="1" xfId="0" applyAlignment="1" applyFont="1" applyNumberFormat="1">
      <alignment horizontal="right" readingOrder="0" shrinkToFit="0" vertical="bottom" wrapText="0"/>
    </xf>
    <xf borderId="3" fillId="0" fontId="6" numFmtId="164" xfId="0" applyAlignment="1" applyBorder="1" applyFont="1" applyNumberFormat="1">
      <alignment readingOrder="0" shrinkToFit="0" vertical="bottom" wrapText="0"/>
    </xf>
    <xf borderId="0" fillId="0" fontId="7" numFmtId="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6" numFmtId="49" xfId="0" applyAlignment="1" applyFont="1" applyNumberFormat="1">
      <alignment readingOrder="0" shrinkToFit="0" vertical="bottom" wrapText="0"/>
    </xf>
    <xf borderId="0" fillId="0" fontId="6" numFmtId="166" xfId="0" applyAlignment="1" applyFont="1" applyNumberFormat="1">
      <alignment readingOrder="0" shrinkToFit="0" vertical="bottom" wrapText="0"/>
    </xf>
    <xf borderId="2" fillId="0" fontId="7" numFmtId="164" xfId="0" applyBorder="1" applyFont="1" applyNumberFormat="1"/>
    <xf borderId="0" fillId="2" fontId="12" numFmtId="0" xfId="0" applyAlignment="1" applyFont="1">
      <alignment readingOrder="0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2" fontId="12" numFmtId="0" xfId="0" applyAlignment="1" applyFont="1">
      <alignment horizontal="center" readingOrder="0"/>
    </xf>
    <xf borderId="0" fillId="0" fontId="7" numFmtId="10" xfId="0" applyFont="1" applyNumberFormat="1"/>
    <xf borderId="0" fillId="5" fontId="7" numFmtId="0" xfId="0" applyAlignment="1" applyFont="1">
      <alignment readingOrder="0"/>
    </xf>
    <xf borderId="0" fillId="0" fontId="6" numFmtId="10" xfId="0" applyAlignment="1" applyFont="1" applyNumberFormat="1">
      <alignment horizontal="right" shrinkToFit="0" vertical="bottom" wrapText="0"/>
    </xf>
    <xf borderId="0" fillId="6" fontId="7" numFmtId="165" xfId="0" applyFill="1" applyFont="1" applyNumberFormat="1"/>
    <xf borderId="2" fillId="0" fontId="6" numFmtId="0" xfId="0" applyAlignment="1" applyBorder="1" applyFont="1">
      <alignment readingOrder="0" shrinkToFit="0" vertical="bottom" wrapText="0"/>
    </xf>
    <xf borderId="2" fillId="0" fontId="6" numFmtId="164" xfId="0" applyAlignment="1" applyBorder="1" applyFont="1" applyNumberFormat="1">
      <alignment horizontal="right" readingOrder="0" shrinkToFit="0" vertical="bottom" wrapText="0"/>
    </xf>
    <xf borderId="0" fillId="6" fontId="7" numFmtId="10" xfId="0" applyAlignment="1" applyFont="1" applyNumberFormat="1">
      <alignment readingOrder="0"/>
    </xf>
    <xf borderId="0" fillId="6" fontId="7" numFmtId="10" xfId="0" applyFont="1" applyNumberFormat="1"/>
    <xf borderId="0" fillId="0" fontId="6" numFmtId="10" xfId="0" applyAlignment="1" applyFont="1" applyNumberFormat="1">
      <alignment horizontal="right" readingOrder="0" shrinkToFit="0" vertical="bottom" wrapText="0"/>
    </xf>
    <xf borderId="0" fillId="6" fontId="7" numFmtId="3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3" fillId="0" fontId="8" numFmtId="0" xfId="0" applyAlignment="1" applyBorder="1" applyFont="1">
      <alignment horizontal="right" readingOrder="0" shrinkToFit="0" vertical="bottom" wrapText="0"/>
    </xf>
    <xf borderId="0" fillId="0" fontId="13" numFmtId="0" xfId="0" applyFont="1"/>
    <xf borderId="0" fillId="0" fontId="9" numFmtId="1" xfId="0" applyAlignment="1" applyFont="1" applyNumberFormat="1">
      <alignment readingOrder="0"/>
    </xf>
    <xf borderId="0" fillId="0" fontId="9" numFmtId="1" xfId="0" applyFont="1" applyNumberFormat="1"/>
    <xf borderId="0" fillId="0" fontId="9" numFmtId="10" xfId="0" applyAlignment="1" applyFont="1" applyNumberFormat="1">
      <alignment readingOrder="0"/>
    </xf>
    <xf borderId="0" fillId="0" fontId="9" numFmtId="10" xfId="0" applyFont="1" applyNumberFormat="1"/>
    <xf borderId="0" fillId="6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3" fillId="0" fontId="13" numFmtId="0" xfId="0" applyAlignment="1" applyBorder="1" applyFont="1">
      <alignment readingOrder="0"/>
    </xf>
    <xf borderId="3" fillId="0" fontId="7" numFmtId="3" xfId="0" applyAlignment="1" applyBorder="1" applyFont="1" applyNumberFormat="1">
      <alignment readingOrder="0"/>
    </xf>
    <xf borderId="0" fillId="6" fontId="7" numFmtId="3" xfId="0" applyFont="1" applyNumberFormat="1"/>
    <xf borderId="0" fillId="0" fontId="7" numFmtId="4" xfId="0" applyFont="1" applyNumberFormat="1"/>
    <xf borderId="0" fillId="0" fontId="10" numFmtId="49" xfId="0" applyAlignment="1" applyFont="1" applyNumberForma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1" numFmtId="10" xfId="0" applyAlignment="1" applyFont="1" applyNumberFormat="1">
      <alignment readingOrder="0"/>
    </xf>
    <xf borderId="1" fillId="0" fontId="7" numFmtId="0" xfId="0" applyAlignment="1" applyBorder="1" applyFont="1">
      <alignment readingOrder="0"/>
    </xf>
    <xf borderId="1" fillId="0" fontId="7" numFmtId="4" xfId="0" applyBorder="1" applyFont="1" applyNumberFormat="1"/>
    <xf borderId="0" fillId="7" fontId="7" numFmtId="0" xfId="0" applyFill="1" applyFont="1"/>
    <xf borderId="0" fillId="0" fontId="7" numFmtId="10" xfId="0" applyAlignment="1" applyFont="1" applyNumberFormat="1">
      <alignment readingOrder="0"/>
    </xf>
    <xf borderId="0" fillId="0" fontId="11" numFmtId="49" xfId="0" applyAlignment="1" applyFont="1" applyNumberFormat="1">
      <alignment readingOrder="0"/>
    </xf>
    <xf borderId="0" fillId="0" fontId="11" numFmtId="0" xfId="0" applyAlignment="1" applyFont="1">
      <alignment horizontal="right" readingOrder="0"/>
    </xf>
    <xf borderId="0" fillId="0" fontId="11" numFmtId="10" xfId="0" applyFont="1" applyNumberFormat="1"/>
    <xf borderId="4" fillId="0" fontId="14" numFmtId="0" xfId="0" applyAlignment="1" applyBorder="1" applyFont="1">
      <alignment horizontal="center" readingOrder="0"/>
    </xf>
    <xf borderId="5" fillId="0" fontId="15" numFmtId="0" xfId="0" applyBorder="1" applyFont="1"/>
    <xf borderId="6" fillId="0" fontId="15" numFmtId="0" xfId="0" applyBorder="1" applyFont="1"/>
    <xf borderId="0" fillId="0" fontId="7" numFmtId="164" xfId="0" applyAlignment="1" applyFont="1" applyNumberFormat="1">
      <alignment readingOrder="0"/>
    </xf>
    <xf borderId="1" fillId="0" fontId="7" numFmtId="1" xfId="0" applyBorder="1" applyFont="1" applyNumberFormat="1"/>
    <xf borderId="0" fillId="6" fontId="7" numFmtId="167" xfId="0" applyAlignment="1" applyFont="1" applyNumberFormat="1">
      <alignment readingOrder="0"/>
    </xf>
    <xf borderId="0" fillId="6" fontId="7" numFmtId="167" xfId="0" applyFont="1" applyNumberFormat="1"/>
    <xf borderId="0" fillId="6" fontId="7" numFmtId="9" xfId="0" applyAlignment="1" applyFont="1" applyNumberFormat="1">
      <alignment readingOrder="0"/>
    </xf>
    <xf borderId="0" fillId="7" fontId="7" numFmtId="4" xfId="0" applyFont="1" applyNumberFormat="1"/>
    <xf borderId="0" fillId="6" fontId="7" numFmtId="164" xfId="0" applyAlignment="1" applyFont="1" applyNumberFormat="1">
      <alignment readingOrder="0"/>
    </xf>
    <xf borderId="0" fillId="6" fontId="7" numFmtId="164" xfId="0" applyFont="1" applyNumberFormat="1"/>
    <xf borderId="3" fillId="0" fontId="7" numFmtId="0" xfId="0" applyAlignment="1" applyBorder="1" applyFont="1">
      <alignment readingOrder="0"/>
    </xf>
    <xf borderId="3" fillId="0" fontId="7" numFmtId="4" xfId="0" applyBorder="1" applyFont="1" applyNumberFormat="1"/>
    <xf borderId="0" fillId="0" fontId="13" numFmtId="3" xfId="0" applyFont="1" applyNumberFormat="1"/>
    <xf borderId="7" fillId="0" fontId="6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/>
    </xf>
    <xf borderId="7" fillId="0" fontId="7" numFmtId="3" xfId="0" applyAlignment="1" applyBorder="1" applyFont="1" applyNumberFormat="1">
      <alignment readingOrder="0"/>
    </xf>
    <xf borderId="7" fillId="0" fontId="7" numFmtId="3" xfId="0" applyBorder="1" applyFont="1" applyNumberFormat="1"/>
    <xf borderId="2" fillId="0" fontId="13" numFmtId="0" xfId="0" applyAlignment="1" applyBorder="1" applyFont="1">
      <alignment readingOrder="0"/>
    </xf>
    <xf borderId="2" fillId="0" fontId="7" numFmtId="4" xfId="0" applyBorder="1" applyFont="1" applyNumberFormat="1"/>
    <xf borderId="0" fillId="6" fontId="11" numFmtId="0" xfId="0" applyFont="1"/>
    <xf borderId="7" fillId="0" fontId="6" numFmtId="3" xfId="0" applyAlignment="1" applyBorder="1" applyFont="1" applyNumberFormat="1">
      <alignment readingOrder="0" shrinkToFit="0" vertical="bottom" wrapText="0"/>
    </xf>
    <xf borderId="0" fillId="0" fontId="13" numFmtId="3" xfId="0" applyAlignment="1" applyFont="1" applyNumberFormat="1">
      <alignment readingOrder="0"/>
    </xf>
    <xf borderId="0" fillId="0" fontId="9" numFmtId="3" xfId="0" applyFont="1" applyNumberFormat="1"/>
    <xf borderId="0" fillId="0" fontId="16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horizontal="right" readingOrder="0" shrinkToFit="0" vertical="bottom" wrapText="0"/>
    </xf>
    <xf borderId="0" fillId="0" fontId="6" numFmtId="49" xfId="0" applyAlignment="1" applyFont="1" applyNumberFormat="1">
      <alignment readingOrder="0" shrinkToFit="0" vertical="bottom" wrapText="0"/>
    </xf>
    <xf borderId="0" fillId="0" fontId="6" numFmtId="49" xfId="0" applyAlignment="1" applyFont="1" applyNumberFormat="1">
      <alignment readingOrder="0" shrinkToFit="0" vertical="bottom" wrapText="0"/>
    </xf>
    <xf borderId="0" fillId="5" fontId="6" numFmtId="4" xfId="0" applyAlignment="1" applyFont="1" applyNumberFormat="1">
      <alignment readingOrder="0"/>
    </xf>
    <xf borderId="0" fillId="0" fontId="7" numFmtId="4" xfId="0" applyAlignment="1" applyFont="1" applyNumberFormat="1">
      <alignment horizontal="right"/>
    </xf>
    <xf borderId="0" fillId="0" fontId="7" numFmtId="0" xfId="0" applyAlignment="1" applyFont="1">
      <alignment readingOrder="0"/>
    </xf>
    <xf borderId="0" fillId="0" fontId="6" numFmtId="4" xfId="0" applyAlignment="1" applyFont="1" applyNumberFormat="1">
      <alignment readingOrder="0" shrinkToFit="0" vertical="bottom" wrapText="0"/>
    </xf>
    <xf borderId="0" fillId="0" fontId="9" numFmtId="4" xfId="0" applyFont="1" applyNumberFormat="1"/>
    <xf borderId="0" fillId="0" fontId="6" numFmtId="10" xfId="0" applyAlignment="1" applyFont="1" applyNumberFormat="1">
      <alignment readingOrder="0" shrinkToFit="0" vertical="bottom" wrapText="0"/>
    </xf>
    <xf borderId="0" fillId="0" fontId="9" numFmtId="4" xfId="0" applyAlignment="1" applyFont="1" applyNumberFormat="1">
      <alignment readingOrder="0"/>
    </xf>
    <xf borderId="0" fillId="0" fontId="7" numFmtId="2" xfId="0" applyFont="1" applyNumberFormat="1"/>
    <xf borderId="0" fillId="0" fontId="17" numFmtId="0" xfId="0" applyAlignment="1" applyFont="1">
      <alignment readingOrder="0"/>
    </xf>
    <xf borderId="0" fillId="0" fontId="6" numFmtId="4" xfId="0" applyAlignment="1" applyFont="1" applyNumberFormat="1">
      <alignment horizontal="right" readingOrder="0" shrinkToFit="0" vertical="bottom" wrapText="0"/>
    </xf>
    <xf borderId="4" fillId="2" fontId="12" numFmtId="0" xfId="0" applyAlignment="1" applyBorder="1" applyFont="1">
      <alignment horizontal="right" readingOrder="0" shrinkToFit="0" vertical="bottom" wrapText="0"/>
    </xf>
    <xf borderId="5" fillId="2" fontId="12" numFmtId="0" xfId="0" applyAlignment="1" applyBorder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2" fontId="12" numFmtId="0" xfId="0" applyAlignment="1" applyFont="1">
      <alignment horizontal="center" readingOrder="0" shrinkToFit="0" vertical="bottom" wrapText="0"/>
    </xf>
    <xf borderId="0" fillId="0" fontId="7" numFmtId="4" xfId="0" applyAlignment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49" xfId="0" applyAlignment="1" applyFont="1" applyNumberFormat="1">
      <alignment readingOrder="0"/>
    </xf>
    <xf borderId="0" fillId="0" fontId="6" numFmtId="3" xfId="0" applyAlignment="1" applyFont="1" applyNumberFormat="1">
      <alignment shrinkToFit="0" vertical="bottom" wrapText="0"/>
    </xf>
    <xf borderId="0" fillId="0" fontId="7" numFmtId="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horizontal="right"/>
    </xf>
    <xf borderId="0" fillId="0" fontId="11" numFmtId="0" xfId="0" applyAlignment="1" applyFont="1">
      <alignment readingOrder="0" shrinkToFit="0" vertical="bottom" wrapText="0"/>
    </xf>
    <xf borderId="0" fillId="0" fontId="6" numFmtId="3" xfId="0" applyAlignment="1" applyFont="1" applyNumberFormat="1">
      <alignment horizontal="right" readingOrder="0"/>
    </xf>
    <xf borderId="0" fillId="0" fontId="6" numFmtId="10" xfId="0" applyFont="1" applyNumberFormat="1"/>
    <xf borderId="0" fillId="0" fontId="12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3" xfId="0" applyAlignment="1" applyFont="1" applyNumberFormat="1">
      <alignment horizontal="right" readingOrder="0" shrinkToFit="0" vertical="bottom" wrapText="0"/>
    </xf>
    <xf borderId="3" fillId="0" fontId="8" numFmtId="3" xfId="0" applyAlignment="1" applyBorder="1" applyFont="1" applyNumberForma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7" numFmtId="2" xfId="0" applyAlignment="1" applyFont="1" applyNumberFormat="1">
      <alignment readingOrder="0"/>
    </xf>
    <xf borderId="0" fillId="0" fontId="13" numFmtId="164" xfId="0" applyAlignment="1" applyFont="1" applyNumberFormat="1">
      <alignment horizontal="right" readingOrder="0" shrinkToFit="0" vertical="bottom" wrapText="0"/>
    </xf>
    <xf borderId="0" fillId="0" fontId="7" numFmtId="10" xfId="0" applyAlignment="1" applyFont="1" applyNumberFormat="1">
      <alignment horizontal="right" readingOrder="0" shrinkToFit="0" vertical="bottom" wrapText="0"/>
    </xf>
    <xf borderId="0" fillId="0" fontId="9" numFmtId="2" xfId="0" applyFont="1" applyNumberFormat="1"/>
    <xf borderId="0" fillId="0" fontId="18" numFmtId="0" xfId="0" applyAlignment="1" applyFont="1">
      <alignment horizontal="right" readingOrder="0" shrinkToFit="0" vertical="bottom" wrapText="0"/>
    </xf>
    <xf borderId="0" fillId="0" fontId="7" numFmtId="2" xfId="0" applyAlignment="1" applyFont="1" applyNumberFormat="1">
      <alignment horizontal="right" readingOrder="0"/>
    </xf>
    <xf borderId="0" fillId="0" fontId="19" numFmtId="164" xfId="0" applyAlignment="1" applyFont="1" applyNumberFormat="1">
      <alignment horizontal="right" readingOrder="0" shrinkToFit="0" vertical="bottom" wrapText="0"/>
    </xf>
    <xf borderId="0" fillId="0" fontId="8" numFmtId="3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8" fontId="11" numFmtId="3" xfId="0" applyAlignment="1" applyFill="1" applyFont="1" applyNumberFormat="1">
      <alignment horizontal="right" readingOrder="0" shrinkToFit="0" vertical="bottom" wrapText="0"/>
    </xf>
    <xf borderId="0" fillId="8" fontId="11" numFmtId="10" xfId="0" applyAlignment="1" applyFont="1" applyNumberFormat="1">
      <alignment horizontal="right" readingOrder="0" shrinkToFit="0" vertical="bottom" wrapText="0"/>
    </xf>
    <xf borderId="0" fillId="0" fontId="11" numFmtId="10" xfId="0" applyAlignment="1" applyFont="1" applyNumberFormat="1">
      <alignment horizontal="right" readingOrder="0" shrinkToFit="0" vertical="bottom" wrapText="0"/>
    </xf>
    <xf borderId="0" fillId="0" fontId="7" numFmtId="3" xfId="0" applyAlignment="1" applyFont="1" applyNumberFormat="1">
      <alignment shrinkToFit="0" vertical="bottom" wrapText="0"/>
    </xf>
    <xf borderId="0" fillId="0" fontId="13" numFmtId="3" xfId="0" applyAlignment="1" applyFont="1" applyNumberFormat="1">
      <alignment shrinkToFit="0" vertical="bottom" wrapText="0"/>
    </xf>
    <xf borderId="0" fillId="0" fontId="7" numFmtId="49" xfId="0" applyAlignment="1" applyFont="1" applyNumberFormat="1">
      <alignment horizontal="left" readingOrder="0"/>
    </xf>
    <xf borderId="0" fillId="0" fontId="7" numFmtId="4" xfId="0" applyAlignment="1" applyFont="1" applyNumberFormat="1">
      <alignment horizontal="right" readingOrder="0" shrinkToFit="0" vertical="bottom" wrapText="0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6" numFmtId="10" xfId="0" applyAlignment="1" applyFont="1" applyNumberFormat="1">
      <alignment horizontal="center" readingOrder="0" shrinkToFit="0" vertical="bottom" wrapText="0"/>
    </xf>
    <xf borderId="5" fillId="2" fontId="12" numFmtId="0" xfId="0" applyAlignment="1" applyBorder="1" applyFont="1">
      <alignment readingOrder="0" shrinkToFit="0" vertical="bottom" wrapText="0"/>
    </xf>
    <xf borderId="0" fillId="0" fontId="6" numFmtId="49" xfId="0" applyAlignment="1" applyFont="1" applyNumberFormat="1">
      <alignment horizontal="center" readingOrder="0"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7" numFmtId="3" xfId="0" applyAlignment="1" applyFont="1" applyNumberFormat="1">
      <alignment horizontal="right" readingOrder="0"/>
    </xf>
    <xf borderId="0" fillId="0" fontId="6" numFmtId="166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1" fillId="0" fontId="7" numFmtId="49" xfId="0" applyAlignment="1" applyBorder="1" applyFont="1" applyNumberFormat="1">
      <alignment horizontal="left" readingOrder="0"/>
    </xf>
    <xf borderId="3" fillId="0" fontId="13" numFmtId="0" xfId="0" applyBorder="1" applyFont="1"/>
    <xf borderId="0" fillId="0" fontId="7" numFmtId="49" xfId="0" applyAlignment="1" applyFont="1" applyNumberFormat="1">
      <alignment horizontal="left" readingOrder="0"/>
    </xf>
    <xf borderId="3" fillId="0" fontId="13" numFmtId="4" xfId="0" applyBorder="1" applyFont="1" applyNumberFormat="1"/>
    <xf borderId="0" fillId="9" fontId="7" numFmtId="0" xfId="0" applyAlignment="1" applyFill="1" applyFont="1">
      <alignment readingOrder="0"/>
    </xf>
    <xf borderId="0" fillId="0" fontId="7" numFmtId="3" xfId="0" applyAlignment="1" applyFont="1" applyNumberFormat="1">
      <alignment readingOrder="0"/>
    </xf>
    <xf borderId="0" fillId="0" fontId="6" numFmtId="9" xfId="0" applyAlignment="1" applyFont="1" applyNumberFormat="1">
      <alignment horizontal="right" readingOrder="0" shrinkToFit="0" vertical="bottom" wrapText="0"/>
    </xf>
    <xf borderId="3" fillId="0" fontId="7" numFmtId="49" xfId="0" applyAlignment="1" applyBorder="1" applyFont="1" applyNumberFormat="1">
      <alignment horizontal="left" readingOrder="0"/>
    </xf>
    <xf borderId="3" fillId="0" fontId="6" numFmtId="4" xfId="0" applyAlignment="1" applyBorder="1" applyFont="1" applyNumberFormat="1">
      <alignment readingOrder="0" shrinkToFit="0" vertical="bottom" wrapText="0"/>
    </xf>
    <xf borderId="0" fillId="0" fontId="8" numFmtId="166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3" xfId="0" applyAlignment="1" applyFont="1" applyNumberFormat="1">
      <alignment readingOrder="0" shrinkToFit="0" vertical="bottom" wrapText="0"/>
    </xf>
    <xf borderId="0" fillId="0" fontId="6" numFmtId="1" xfId="0" applyAlignment="1" applyFont="1" applyNumberForma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8" numFmtId="10" xfId="0" applyAlignment="1" applyFont="1" applyNumberFormat="1">
      <alignment shrinkToFit="0" vertical="bottom" wrapText="0"/>
    </xf>
    <xf borderId="0" fillId="0" fontId="7" numFmtId="9" xfId="0" applyAlignment="1" applyFont="1" applyNumberFormat="1">
      <alignment horizontal="right" readingOrder="0" shrinkToFit="0" vertical="bottom" wrapText="0"/>
    </xf>
    <xf borderId="0" fillId="2" fontId="12" numFmtId="0" xfId="0" applyAlignment="1" applyFont="1">
      <alignment shrinkToFit="0" vertical="bottom" wrapText="0"/>
    </xf>
    <xf borderId="0" fillId="2" fontId="2" numFmtId="0" xfId="0" applyFont="1"/>
    <xf borderId="8" fillId="2" fontId="12" numFmtId="0" xfId="0" applyAlignment="1" applyBorder="1" applyFont="1">
      <alignment horizontal="center" readingOrder="0" shrinkToFit="0" wrapText="0"/>
    </xf>
    <xf borderId="4" fillId="2" fontId="12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horizontal="center" shrinkToFit="0" vertical="bottom" wrapText="0"/>
    </xf>
    <xf borderId="9" fillId="10" fontId="20" numFmtId="166" xfId="0" applyAlignment="1" applyBorder="1" applyFill="1" applyFont="1" applyNumberFormat="1">
      <alignment horizontal="center" readingOrder="0" shrinkToFit="0" wrapText="0"/>
    </xf>
    <xf borderId="0" fillId="10" fontId="13" numFmtId="10" xfId="0" applyAlignment="1" applyFont="1" applyNumberFormat="1">
      <alignment horizontal="center" readingOrder="0" shrinkToFit="0" wrapText="0"/>
    </xf>
    <xf borderId="10" fillId="10" fontId="13" numFmtId="10" xfId="0" applyAlignment="1" applyBorder="1" applyFont="1" applyNumberFormat="1">
      <alignment horizontal="center" readingOrder="0" shrinkToFit="0" wrapText="0"/>
    </xf>
    <xf borderId="0" fillId="0" fontId="7" numFmtId="164" xfId="0" applyAlignment="1" applyFont="1" applyNumberFormat="1">
      <alignment readingOrder="0" shrinkToFit="0" vertical="bottom" wrapText="0"/>
    </xf>
    <xf borderId="9" fillId="10" fontId="13" numFmtId="10" xfId="0" applyAlignment="1" applyBorder="1" applyFont="1" applyNumberFormat="1">
      <alignment horizontal="center" readingOrder="0" shrinkToFit="0" wrapText="0"/>
    </xf>
    <xf borderId="0" fillId="0" fontId="7" numFmtId="164" xfId="0" applyAlignment="1" applyFont="1" applyNumberFormat="1">
      <alignment horizontal="center" readingOrder="0" shrinkToFit="0" wrapText="0"/>
    </xf>
    <xf borderId="10" fillId="0" fontId="7" numFmtId="164" xfId="0" applyAlignment="1" applyBorder="1" applyFont="1" applyNumberFormat="1">
      <alignment horizontal="center" readingOrder="0" shrinkToFit="0" wrapText="0"/>
    </xf>
    <xf borderId="0" fillId="11" fontId="7" numFmtId="164" xfId="0" applyAlignment="1" applyFill="1" applyFont="1" applyNumberFormat="1">
      <alignment horizontal="center" readingOrder="0" shrinkToFit="0" wrapText="0"/>
    </xf>
    <xf borderId="9" fillId="10" fontId="13" numFmtId="168" xfId="0" applyAlignment="1" applyBorder="1" applyFont="1" applyNumberFormat="1">
      <alignment horizontal="center" readingOrder="0" shrinkToFit="0" wrapText="0"/>
    </xf>
    <xf borderId="0" fillId="12" fontId="13" numFmtId="164" xfId="0" applyAlignment="1" applyFill="1" applyFont="1" applyNumberFormat="1">
      <alignment horizontal="center" readingOrder="0" shrinkToFit="0" wrapText="0"/>
    </xf>
    <xf borderId="11" fillId="10" fontId="13" numFmtId="10" xfId="0" applyAlignment="1" applyBorder="1" applyFont="1" applyNumberFormat="1">
      <alignment horizontal="center" readingOrder="0" shrinkToFit="0" wrapText="0"/>
    </xf>
    <xf borderId="12" fillId="0" fontId="7" numFmtId="164" xfId="0" applyAlignment="1" applyBorder="1" applyFont="1" applyNumberFormat="1">
      <alignment horizontal="center" readingOrder="0" shrinkToFit="0" wrapText="0"/>
    </xf>
    <xf borderId="13" fillId="0" fontId="7" numFmtId="164" xfId="0" applyAlignment="1" applyBorder="1" applyFont="1" applyNumberFormat="1">
      <alignment horizontal="center" readingOrder="0" shrinkToFit="0" wrapText="0"/>
    </xf>
    <xf borderId="0" fillId="0" fontId="16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9" fontId="7" numFmtId="4" xfId="0" applyAlignment="1" applyFont="1" applyNumberFormat="1">
      <alignment readingOrder="0"/>
    </xf>
    <xf borderId="0" fillId="0" fontId="7" numFmtId="10" xfId="0" applyAlignment="1" applyFont="1" applyNumberFormat="1">
      <alignment horizontal="center" readingOrder="0"/>
    </xf>
    <xf borderId="0" fillId="11" fontId="9" numFmtId="0" xfId="0" applyAlignment="1" applyFont="1">
      <alignment readingOrder="0"/>
    </xf>
    <xf borderId="0" fillId="11" fontId="9" numFmtId="0" xfId="0" applyFont="1"/>
    <xf borderId="0" fillId="11" fontId="9" numFmtId="0" xfId="0" applyAlignment="1" applyFont="1">
      <alignment vertical="bottom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073763"/>
          <bgColor rgb="FF073763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6FA8DC"/>
          <bgColor rgb="FF6FA8DC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Revenue by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CC0000"/>
            </a:solidFill>
          </c:spPr>
          <c:cat>
            <c:strRef>
              <c:f>IS!$L$7:$L$10</c:f>
            </c:strRef>
          </c:cat>
          <c:val>
            <c:numRef>
              <c:f>IS!$N$7:$N$10</c:f>
            </c:numRef>
          </c:val>
        </c:ser>
        <c:axId val="1047379713"/>
        <c:axId val="390773069"/>
      </c:barChart>
      <c:catAx>
        <c:axId val="1047379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773069"/>
      </c:catAx>
      <c:valAx>
        <c:axId val="39077306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379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vehicles delivered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'Revenue Build'!$B$21:$J$21</c:f>
            </c:numRef>
          </c:val>
          <c:smooth val="0"/>
        </c:ser>
        <c:axId val="4116547"/>
        <c:axId val="882183067"/>
      </c:lineChart>
      <c:catAx>
        <c:axId val="4116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183067"/>
      </c:catAx>
      <c:valAx>
        <c:axId val="882183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Total vehicles delivered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6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vehicles delivered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'Revenue Build'!$A$53</c:f>
            </c:strRef>
          </c:tx>
          <c:marker>
            <c:symbol val="none"/>
          </c:marker>
          <c:val>
            <c:numRef>
              <c:f>'Revenue Build'!$B$53:$J$53</c:f>
            </c:numRef>
          </c:val>
          <c:smooth val="0"/>
        </c:ser>
        <c:axId val="1485076049"/>
        <c:axId val="1890412303"/>
      </c:lineChart>
      <c:catAx>
        <c:axId val="1485076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412303"/>
      </c:catAx>
      <c:valAx>
        <c:axId val="1890412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Total vehicles delivered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076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vehicles delivered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'Revenue Build'!$A$85</c:f>
            </c:strRef>
          </c:tx>
          <c:marker>
            <c:symbol val="none"/>
          </c:marker>
          <c:val>
            <c:numRef>
              <c:f>'Revenue Build'!$B$85:$J$85</c:f>
            </c:numRef>
          </c:val>
          <c:smooth val="0"/>
        </c:ser>
        <c:axId val="381187243"/>
        <c:axId val="570155527"/>
      </c:lineChart>
      <c:catAx>
        <c:axId val="381187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155527"/>
      </c:catAx>
      <c:valAx>
        <c:axId val="570155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Total vehicles delivered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187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809625</xdr:colOff>
      <xdr:row>14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219075</xdr:colOff>
      <xdr:row>3</xdr:row>
      <xdr:rowOff>9525</xdr:rowOff>
    </xdr:from>
    <xdr:ext cx="4295775" cy="2476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209550</xdr:colOff>
      <xdr:row>34</xdr:row>
      <xdr:rowOff>200025</xdr:rowOff>
    </xdr:from>
    <xdr:ext cx="4219575" cy="2609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209550</xdr:colOff>
      <xdr:row>67</xdr:row>
      <xdr:rowOff>9525</xdr:rowOff>
    </xdr:from>
    <xdr:ext cx="4143375" cy="2476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61.0"/>
  </cols>
  <sheetData>
    <row r="1">
      <c r="A1" s="1" t="s">
        <v>0</v>
      </c>
      <c r="B1" s="2" t="s">
        <v>1</v>
      </c>
      <c r="E1" s="3" t="s">
        <v>2</v>
      </c>
    </row>
    <row r="2">
      <c r="A2" s="4"/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>
      <c r="A3" s="7"/>
      <c r="B3" s="7"/>
      <c r="C3" s="7"/>
      <c r="D3" s="7"/>
    </row>
    <row r="4">
      <c r="A4" s="8" t="s">
        <v>48</v>
      </c>
      <c r="B4" s="5" t="s">
        <v>13</v>
      </c>
      <c r="E4" s="3" t="s">
        <v>14</v>
      </c>
      <c r="K4" s="35" t="s">
        <v>49</v>
      </c>
    </row>
    <row r="5">
      <c r="A5" s="15" t="s">
        <v>50</v>
      </c>
      <c r="B5" s="16"/>
      <c r="C5" s="17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8" t="s">
        <v>51</v>
      </c>
      <c r="B6" s="19">
        <v>8535.0</v>
      </c>
      <c r="C6" s="19">
        <v>17632.0</v>
      </c>
      <c r="D6" s="19">
        <v>19952.0</v>
      </c>
      <c r="E6" s="22">
        <f>IF(DCF!$L$2="base",'Revenue Build'!E20,IF(DCF!$L$2="bear",'Revenue Build'!E52,IF(DCF!$L$2="bull",'Revenue Build'!E84,"check")))</f>
        <v>18717.67614</v>
      </c>
      <c r="F6" s="22">
        <f>IF(DCF!$L$2="base",'Revenue Build'!F20,IF(DCF!$L$2="bear",'Revenue Build'!F52,IF(DCF!$L$2="bull",'Revenue Build'!F84,"check")))</f>
        <v>21819.18316</v>
      </c>
      <c r="G6" s="22">
        <f>IF(DCF!$L$2="base",'Revenue Build'!G20,IF(DCF!$L$2="bear",'Revenue Build'!G52,IF(DCF!$L$2="bull",'Revenue Build'!G84,"check")))</f>
        <v>25658.16173</v>
      </c>
      <c r="H6" s="22">
        <f>IF(DCF!$L$2="base",'Revenue Build'!H20,IF(DCF!$L$2="bear",'Revenue Build'!H52,IF(DCF!$L$2="bull",'Revenue Build'!H84,"check")))</f>
        <v>29850.06439</v>
      </c>
      <c r="I6" s="22">
        <f>IF(DCF!$L$2="base",'Revenue Build'!I20,IF(DCF!$L$2="bear",'Revenue Build'!I52,IF(DCF!$L$2="bull",'Revenue Build'!I84,"check")))</f>
        <v>34804.94497</v>
      </c>
      <c r="J6" s="22">
        <f>IF(DCF!$L$2="base",'Revenue Build'!J20,IF(DCF!$L$2="bear",'Revenue Build'!J52,IF(DCF!$L$2="bull",'Revenue Build'!J84,"check")))</f>
        <v>40454.41308</v>
      </c>
      <c r="K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39" t="s">
        <v>58</v>
      </c>
      <c r="B7" s="40" t="s">
        <v>47</v>
      </c>
      <c r="C7" s="41">
        <f t="shared" ref="C7:J7" si="1">(C6-B6)/B6</f>
        <v>1.065846514</v>
      </c>
      <c r="D7" s="41">
        <f t="shared" si="1"/>
        <v>0.1315789474</v>
      </c>
      <c r="E7" s="41">
        <f t="shared" si="1"/>
        <v>-0.06186466844</v>
      </c>
      <c r="F7" s="41">
        <f t="shared" si="1"/>
        <v>0.1656993636</v>
      </c>
      <c r="G7" s="41">
        <f t="shared" si="1"/>
        <v>0.1759451097</v>
      </c>
      <c r="H7" s="41">
        <f t="shared" si="1"/>
        <v>0.1633750188</v>
      </c>
      <c r="I7" s="41">
        <f t="shared" si="1"/>
        <v>0.1659922914</v>
      </c>
      <c r="J7" s="41">
        <f t="shared" si="1"/>
        <v>0.1623179727</v>
      </c>
      <c r="K7" s="42"/>
      <c r="L7" s="43" t="s">
        <v>51</v>
      </c>
      <c r="M7" s="44">
        <v>19952.0</v>
      </c>
      <c r="N7" s="45">
        <f t="shared" ref="N7:N10" si="2">M7/$M$11</f>
        <v>0.8117828953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18" t="s">
        <v>62</v>
      </c>
      <c r="B8" s="26">
        <v>1107.0</v>
      </c>
      <c r="C8" s="27">
        <v>883.0</v>
      </c>
      <c r="D8" s="27">
        <v>869.0</v>
      </c>
      <c r="E8" s="21">
        <f>IF(DCF!$L$2="base",'Revenue Build'!E23,IF(DCF!$L$2="bear",'Revenue Build'!E55,IF(DCF!$L$2="bull",'Revenue Build'!E87,"check")))</f>
        <v>912.45</v>
      </c>
      <c r="F8" s="21">
        <f>IF(DCF!$L$2="base",'Revenue Build'!F23,IF(DCF!$L$2="bear",'Revenue Build'!F55,IF(DCF!$L$2="bull",'Revenue Build'!F87,"check")))</f>
        <v>903.3255</v>
      </c>
      <c r="G8" s="21">
        <f>IF(DCF!$L$2="base",'Revenue Build'!G23,IF(DCF!$L$2="bear",'Revenue Build'!G55,IF(DCF!$L$2="bull",'Revenue Build'!G87,"check")))</f>
        <v>894.292245</v>
      </c>
      <c r="H8" s="21">
        <f>IF(DCF!$L$2="base",'Revenue Build'!H23,IF(DCF!$L$2="bear",'Revenue Build'!H55,IF(DCF!$L$2="bull",'Revenue Build'!H87,"check")))</f>
        <v>885.3493226</v>
      </c>
      <c r="I8" s="21">
        <f>IF(DCF!$L$2="base",'Revenue Build'!I23,IF(DCF!$L$2="bear",'Revenue Build'!I55,IF(DCF!$L$2="bull",'Revenue Build'!I87,"check")))</f>
        <v>876.4958293</v>
      </c>
      <c r="J8" s="21">
        <f>IF(DCF!$L$2="base",'Revenue Build'!J23,IF(DCF!$L$2="bear",'Revenue Build'!J55,IF(DCF!$L$2="bull",'Revenue Build'!J87,"check")))</f>
        <v>867.730871</v>
      </c>
      <c r="K8" s="12"/>
      <c r="L8" s="43" t="s">
        <v>62</v>
      </c>
      <c r="M8" s="44">
        <v>869.0</v>
      </c>
      <c r="N8" s="45">
        <f t="shared" si="2"/>
        <v>0.03535682318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30" t="s">
        <v>66</v>
      </c>
      <c r="B9" s="46">
        <f t="shared" ref="B9:J9" si="3">B6+B8</f>
        <v>9642</v>
      </c>
      <c r="C9" s="46">
        <f t="shared" si="3"/>
        <v>18515</v>
      </c>
      <c r="D9" s="46">
        <f t="shared" si="3"/>
        <v>20821</v>
      </c>
      <c r="E9" s="46">
        <f t="shared" si="3"/>
        <v>19630.12614</v>
      </c>
      <c r="F9" s="46">
        <f t="shared" si="3"/>
        <v>22722.50866</v>
      </c>
      <c r="G9" s="46">
        <f t="shared" si="3"/>
        <v>26552.45398</v>
      </c>
      <c r="H9" s="46">
        <f t="shared" si="3"/>
        <v>30735.41371</v>
      </c>
      <c r="I9" s="46">
        <f t="shared" si="3"/>
        <v>35681.4408</v>
      </c>
      <c r="J9" s="46">
        <f t="shared" si="3"/>
        <v>41322.14395</v>
      </c>
      <c r="K9" s="12"/>
      <c r="L9" s="43" t="s">
        <v>68</v>
      </c>
      <c r="M9" s="44">
        <v>1531.0</v>
      </c>
      <c r="N9" s="45">
        <f t="shared" si="2"/>
        <v>0.06229148019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8" t="s">
        <v>68</v>
      </c>
      <c r="B10" s="26">
        <v>1116.0</v>
      </c>
      <c r="C10" s="26">
        <v>1555.0</v>
      </c>
      <c r="D10" s="26">
        <v>1531.0</v>
      </c>
      <c r="E10" s="21">
        <f>IF(DCF!$L$2="base",'Revenue Build'!E27,IF(DCF!$L$2="bear",'Revenue Build'!E59,IF(DCF!$L$2="bull",'Revenue Build'!E91,"check")))</f>
        <v>1531</v>
      </c>
      <c r="F10" s="21">
        <f>IF(DCF!$L$2="base",'Revenue Build'!F27,IF(DCF!$L$2="bear",'Revenue Build'!F59,IF(DCF!$L$2="bull",'Revenue Build'!F91,"check")))</f>
        <v>1684.1</v>
      </c>
      <c r="G10" s="21">
        <f>IF(DCF!$L$2="base",'Revenue Build'!G27,IF(DCF!$L$2="bear",'Revenue Build'!G59,IF(DCF!$L$2="bull",'Revenue Build'!G91,"check")))</f>
        <v>1894.6125</v>
      </c>
      <c r="H10" s="21">
        <f>IF(DCF!$L$2="base",'Revenue Build'!H27,IF(DCF!$L$2="bear",'Revenue Build'!H59,IF(DCF!$L$2="bull",'Revenue Build'!H91,"check")))</f>
        <v>2190.645703</v>
      </c>
      <c r="I10" s="21">
        <f>IF(DCF!$L$2="base",'Revenue Build'!I27,IF(DCF!$L$2="bear",'Revenue Build'!I59,IF(DCF!$L$2="bull",'Revenue Build'!I91,"check")))</f>
        <v>2618.506192</v>
      </c>
      <c r="J10" s="21">
        <f>IF(DCF!$L$2="base",'Revenue Build'!J27,IF(DCF!$L$2="bear",'Revenue Build'!J59,IF(DCF!$L$2="bull",'Revenue Build'!J91,"check")))</f>
        <v>3257.78993</v>
      </c>
      <c r="K10" s="12"/>
      <c r="L10" s="43" t="s">
        <v>74</v>
      </c>
      <c r="M10" s="44">
        <v>2226.0</v>
      </c>
      <c r="N10" s="45">
        <f t="shared" si="2"/>
        <v>0.09056880137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8" t="s">
        <v>74</v>
      </c>
      <c r="B11" s="26">
        <v>1001.0</v>
      </c>
      <c r="C11" s="26">
        <v>1391.0</v>
      </c>
      <c r="D11" s="26">
        <v>2226.0</v>
      </c>
      <c r="E11" s="21">
        <f>IF(DCF!$L$2="base",'Revenue Build'!E29,IF(DCF!$L$2="bear",'Revenue Build'!E61,IF(DCF!$L$2="bull",'Revenue Build'!E93,"check")))</f>
        <v>2226</v>
      </c>
      <c r="F11" s="21">
        <f>IF(DCF!$L$2="base",'Revenue Build'!F29,IF(DCF!$L$2="bear",'Revenue Build'!F61,IF(DCF!$L$2="bull",'Revenue Build'!F93,"check")))</f>
        <v>2448.6</v>
      </c>
      <c r="G11" s="21">
        <f>IF(DCF!$L$2="base",'Revenue Build'!G29,IF(DCF!$L$2="bear",'Revenue Build'!G61,IF(DCF!$L$2="bull",'Revenue Build'!G93,"check")))</f>
        <v>2693.46</v>
      </c>
      <c r="H11" s="21">
        <f>IF(DCF!$L$2="base",'Revenue Build'!H29,IF(DCF!$L$2="bear",'Revenue Build'!H61,IF(DCF!$L$2="bull",'Revenue Build'!H93,"check")))</f>
        <v>2962.806</v>
      </c>
      <c r="I11" s="21">
        <f>IF(DCF!$L$2="base",'Revenue Build'!I29,IF(DCF!$L$2="bear",'Revenue Build'!I61,IF(DCF!$L$2="bull",'Revenue Build'!I93,"check")))</f>
        <v>3259.0866</v>
      </c>
      <c r="J11" s="21">
        <f>IF(DCF!$L$2="base",'Revenue Build'!J29,IF(DCF!$L$2="bear",'Revenue Build'!J61,IF(DCF!$L$2="bull",'Revenue Build'!J93,"check")))</f>
        <v>3584.99526</v>
      </c>
      <c r="K11" s="12"/>
      <c r="M11" s="35">
        <v>24578.0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48" t="s">
        <v>79</v>
      </c>
      <c r="B12" s="50">
        <f t="shared" ref="B12:J12" si="4">SUM(B9:B11)</f>
        <v>11759</v>
      </c>
      <c r="C12" s="50">
        <f t="shared" si="4"/>
        <v>21461</v>
      </c>
      <c r="D12" s="50">
        <f t="shared" si="4"/>
        <v>24578</v>
      </c>
      <c r="E12" s="50">
        <f t="shared" si="4"/>
        <v>23387.12614</v>
      </c>
      <c r="F12" s="50">
        <f t="shared" si="4"/>
        <v>26855.20866</v>
      </c>
      <c r="G12" s="50">
        <f t="shared" si="4"/>
        <v>31140.52648</v>
      </c>
      <c r="H12" s="50">
        <f t="shared" si="4"/>
        <v>35888.86541</v>
      </c>
      <c r="I12" s="50">
        <f t="shared" si="4"/>
        <v>41559.03359</v>
      </c>
      <c r="J12" s="50">
        <f t="shared" si="4"/>
        <v>48164.92914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39" t="s">
        <v>58</v>
      </c>
      <c r="B13" s="40" t="s">
        <v>47</v>
      </c>
      <c r="C13" s="51">
        <f t="shared" ref="C13:J13" si="5">(C12-B12)/B12</f>
        <v>0.825070159</v>
      </c>
      <c r="D13" s="51">
        <f t="shared" si="5"/>
        <v>0.1452402032</v>
      </c>
      <c r="E13" s="51">
        <f t="shared" si="5"/>
        <v>-0.0484528385</v>
      </c>
      <c r="F13" s="51">
        <f t="shared" si="5"/>
        <v>0.1482902389</v>
      </c>
      <c r="G13" s="51">
        <f t="shared" si="5"/>
        <v>0.1595711981</v>
      </c>
      <c r="H13" s="51">
        <f t="shared" si="5"/>
        <v>0.1524810102</v>
      </c>
      <c r="I13" s="51">
        <f t="shared" si="5"/>
        <v>0.1579924056</v>
      </c>
      <c r="J13" s="51">
        <f t="shared" si="5"/>
        <v>0.1589520972</v>
      </c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18"/>
      <c r="B14" s="16"/>
      <c r="C14" s="16"/>
      <c r="D14" s="16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5" t="s">
        <v>82</v>
      </c>
      <c r="B15" s="16"/>
      <c r="C15" s="16"/>
      <c r="D15" s="16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8" t="s">
        <v>51</v>
      </c>
      <c r="B16" s="26">
        <v>6725.0</v>
      </c>
      <c r="C16" s="26">
        <v>13686.0</v>
      </c>
      <c r="D16" s="26">
        <v>15939.0</v>
      </c>
      <c r="E16" s="21">
        <f t="shared" ref="E16:J16" si="6">E62*E6</f>
        <v>14952.93905</v>
      </c>
      <c r="F16" s="21">
        <f t="shared" si="6"/>
        <v>17048.79583</v>
      </c>
      <c r="G16" s="21">
        <f t="shared" si="6"/>
        <v>19599.43025</v>
      </c>
      <c r="H16" s="21">
        <f t="shared" si="6"/>
        <v>22279.11141</v>
      </c>
      <c r="I16" s="21">
        <f t="shared" si="6"/>
        <v>25455.19799</v>
      </c>
      <c r="J16" s="21">
        <f t="shared" si="6"/>
        <v>28980.21792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8" t="s">
        <v>62</v>
      </c>
      <c r="B17" s="27">
        <v>708.0</v>
      </c>
      <c r="C17" s="27">
        <v>488.0</v>
      </c>
      <c r="D17" s="27">
        <v>459.0</v>
      </c>
      <c r="E17" s="21">
        <f t="shared" ref="E17:J17" si="7">E63*E8</f>
        <v>481.95</v>
      </c>
      <c r="F17" s="21">
        <f t="shared" si="7"/>
        <v>468.097245</v>
      </c>
      <c r="G17" s="21">
        <f t="shared" si="7"/>
        <v>463.4162726</v>
      </c>
      <c r="H17" s="21">
        <f t="shared" si="7"/>
        <v>458.7821098</v>
      </c>
      <c r="I17" s="21">
        <f t="shared" si="7"/>
        <v>454.1942887</v>
      </c>
      <c r="J17" s="21">
        <f t="shared" si="7"/>
        <v>449.6523458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30" t="s">
        <v>84</v>
      </c>
      <c r="B18" s="46">
        <f t="shared" ref="B18:J18" si="8">B16+B17</f>
        <v>7433</v>
      </c>
      <c r="C18" s="46">
        <f t="shared" si="8"/>
        <v>14174</v>
      </c>
      <c r="D18" s="46">
        <f t="shared" si="8"/>
        <v>16398</v>
      </c>
      <c r="E18" s="46">
        <f t="shared" si="8"/>
        <v>15434.88905</v>
      </c>
      <c r="F18" s="46">
        <f t="shared" si="8"/>
        <v>17516.89307</v>
      </c>
      <c r="G18" s="46">
        <f t="shared" si="8"/>
        <v>20062.84652</v>
      </c>
      <c r="H18" s="46">
        <f t="shared" si="8"/>
        <v>22737.89352</v>
      </c>
      <c r="I18" s="46">
        <f t="shared" si="8"/>
        <v>25909.39228</v>
      </c>
      <c r="J18" s="46">
        <f t="shared" si="8"/>
        <v>29429.87027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8" t="s">
        <v>68</v>
      </c>
      <c r="B19" s="27">
        <v>874.0</v>
      </c>
      <c r="C19" s="26">
        <v>1365.0</v>
      </c>
      <c r="D19" s="26">
        <v>1341.0</v>
      </c>
      <c r="E19" s="21">
        <f t="shared" ref="E19:J19" si="9">E64*E10</f>
        <v>1341</v>
      </c>
      <c r="F19" s="21">
        <f t="shared" si="9"/>
        <v>1466.6795</v>
      </c>
      <c r="G19" s="21">
        <f t="shared" si="9"/>
        <v>1640.541375</v>
      </c>
      <c r="H19" s="21">
        <f t="shared" si="9"/>
        <v>1885.922736</v>
      </c>
      <c r="I19" s="21">
        <f t="shared" si="9"/>
        <v>2241.17449</v>
      </c>
      <c r="J19" s="21">
        <f t="shared" si="9"/>
        <v>2772.047281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8" t="s">
        <v>74</v>
      </c>
      <c r="B20" s="26">
        <v>1229.0</v>
      </c>
      <c r="C20" s="26">
        <v>1880.0</v>
      </c>
      <c r="D20" s="26">
        <v>2770.0</v>
      </c>
      <c r="E20" s="12">
        <f t="shared" ref="E20:J20" si="10">E65*E11</f>
        <v>2770</v>
      </c>
      <c r="F20" s="12">
        <f t="shared" si="10"/>
        <v>3022.514</v>
      </c>
      <c r="G20" s="12">
        <f t="shared" si="10"/>
        <v>3297.8308</v>
      </c>
      <c r="H20" s="12">
        <f t="shared" si="10"/>
        <v>3597.98582</v>
      </c>
      <c r="I20" s="12">
        <f t="shared" si="10"/>
        <v>3925.193536</v>
      </c>
      <c r="J20" s="12">
        <f t="shared" si="10"/>
        <v>4281.862937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52" t="s">
        <v>86</v>
      </c>
      <c r="B21" s="50">
        <f t="shared" ref="B21:J21" si="11">SUM(B18:B20)</f>
        <v>9536</v>
      </c>
      <c r="C21" s="50">
        <f t="shared" si="11"/>
        <v>17419</v>
      </c>
      <c r="D21" s="50">
        <f t="shared" si="11"/>
        <v>20509</v>
      </c>
      <c r="E21" s="50">
        <f t="shared" si="11"/>
        <v>19545.88905</v>
      </c>
      <c r="F21" s="50">
        <f t="shared" si="11"/>
        <v>22006.08657</v>
      </c>
      <c r="G21" s="50">
        <f t="shared" si="11"/>
        <v>25001.2187</v>
      </c>
      <c r="H21" s="50">
        <f t="shared" si="11"/>
        <v>28221.80208</v>
      </c>
      <c r="I21" s="50">
        <f t="shared" si="11"/>
        <v>32075.7603</v>
      </c>
      <c r="J21" s="50">
        <f t="shared" si="11"/>
        <v>36483.78049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37" t="s">
        <v>88</v>
      </c>
      <c r="B22" s="53">
        <f t="shared" ref="B22:J22" si="12">B12-B21</f>
        <v>2223</v>
      </c>
      <c r="C22" s="53">
        <f t="shared" si="12"/>
        <v>4042</v>
      </c>
      <c r="D22" s="53">
        <f t="shared" si="12"/>
        <v>4069</v>
      </c>
      <c r="E22" s="53">
        <f t="shared" si="12"/>
        <v>3841.237086</v>
      </c>
      <c r="F22" s="53">
        <f t="shared" si="12"/>
        <v>4849.122085</v>
      </c>
      <c r="G22" s="53">
        <f t="shared" si="12"/>
        <v>6139.30778</v>
      </c>
      <c r="H22" s="53">
        <f t="shared" si="12"/>
        <v>7667.063338</v>
      </c>
      <c r="I22" s="53">
        <f t="shared" si="12"/>
        <v>9483.273293</v>
      </c>
      <c r="J22" s="53">
        <f t="shared" si="12"/>
        <v>11681.14866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39" t="s">
        <v>90</v>
      </c>
      <c r="B23" s="51">
        <f t="shared" ref="B23:J23" si="13">B22/B12</f>
        <v>0.1890466876</v>
      </c>
      <c r="C23" s="51">
        <f t="shared" si="13"/>
        <v>0.188341643</v>
      </c>
      <c r="D23" s="51">
        <f t="shared" si="13"/>
        <v>0.165554561</v>
      </c>
      <c r="E23" s="51">
        <f t="shared" si="13"/>
        <v>0.1642457933</v>
      </c>
      <c r="F23" s="51">
        <f t="shared" si="13"/>
        <v>0.180565422</v>
      </c>
      <c r="G23" s="51">
        <f t="shared" si="13"/>
        <v>0.1971484902</v>
      </c>
      <c r="H23" s="51">
        <f t="shared" si="13"/>
        <v>0.2136334835</v>
      </c>
      <c r="I23" s="51">
        <f t="shared" si="13"/>
        <v>0.2281880129</v>
      </c>
      <c r="J23" s="51">
        <f t="shared" si="13"/>
        <v>0.2425239456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5"/>
      <c r="B24" s="16"/>
      <c r="C24" s="16"/>
      <c r="D24" s="16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5" t="s">
        <v>92</v>
      </c>
      <c r="B25" s="16"/>
      <c r="C25" s="16"/>
      <c r="D25" s="16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8" t="s">
        <v>93</v>
      </c>
      <c r="B26" s="26">
        <v>1378.0</v>
      </c>
      <c r="C26" s="26">
        <v>1460.0</v>
      </c>
      <c r="D26" s="26">
        <v>1343.0</v>
      </c>
      <c r="E26" s="21">
        <f t="shared" ref="E26:J26" si="14">E67*E12</f>
        <v>1169.356307</v>
      </c>
      <c r="F26" s="21">
        <f t="shared" si="14"/>
        <v>1467.432062</v>
      </c>
      <c r="G26" s="21">
        <f t="shared" si="14"/>
        <v>1701.591955</v>
      </c>
      <c r="H26" s="21">
        <f t="shared" si="14"/>
        <v>1961.052415</v>
      </c>
      <c r="I26" s="21">
        <f t="shared" si="14"/>
        <v>2270.883803</v>
      </c>
      <c r="J26" s="21">
        <f t="shared" si="14"/>
        <v>2631.845546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8" t="s">
        <v>96</v>
      </c>
      <c r="B27" s="26">
        <v>2477.0</v>
      </c>
      <c r="C27" s="26">
        <v>2835.0</v>
      </c>
      <c r="D27" s="26">
        <v>2646.0</v>
      </c>
      <c r="E27" s="21">
        <f t="shared" ref="E27:J27" si="15">E68*E12</f>
        <v>2455.648244</v>
      </c>
      <c r="F27" s="21">
        <f t="shared" si="15"/>
        <v>2756.881989</v>
      </c>
      <c r="G27" s="21">
        <f t="shared" si="15"/>
        <v>3041.098318</v>
      </c>
      <c r="H27" s="21">
        <f t="shared" si="15"/>
        <v>3325.363735</v>
      </c>
      <c r="I27" s="21">
        <f t="shared" si="15"/>
        <v>3642.950783</v>
      </c>
      <c r="J27" s="21">
        <f t="shared" si="15"/>
        <v>3981.180804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8" t="s">
        <v>97</v>
      </c>
      <c r="B28" s="27">
        <v>0.0</v>
      </c>
      <c r="C28" s="27">
        <v>135.0</v>
      </c>
      <c r="D28" s="27">
        <v>149.0</v>
      </c>
      <c r="E28" s="29">
        <v>0.0</v>
      </c>
      <c r="F28" s="29">
        <v>0.0</v>
      </c>
      <c r="G28" s="29">
        <v>0.0</v>
      </c>
      <c r="H28" s="29">
        <v>0.0</v>
      </c>
      <c r="I28" s="29">
        <v>0.0</v>
      </c>
      <c r="J28" s="29">
        <v>0.0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52" t="s">
        <v>99</v>
      </c>
      <c r="B29" s="50">
        <f t="shared" ref="B29:J29" si="16">SUM(B26:B28)</f>
        <v>3855</v>
      </c>
      <c r="C29" s="50">
        <f t="shared" si="16"/>
        <v>4430</v>
      </c>
      <c r="D29" s="50">
        <f t="shared" si="16"/>
        <v>4138</v>
      </c>
      <c r="E29" s="50">
        <f t="shared" si="16"/>
        <v>3625.004551</v>
      </c>
      <c r="F29" s="50">
        <f t="shared" si="16"/>
        <v>4224.314051</v>
      </c>
      <c r="G29" s="50">
        <f t="shared" si="16"/>
        <v>4742.690273</v>
      </c>
      <c r="H29" s="50">
        <f t="shared" si="16"/>
        <v>5286.41615</v>
      </c>
      <c r="I29" s="50">
        <f t="shared" si="16"/>
        <v>5913.834586</v>
      </c>
      <c r="J29" s="50">
        <f t="shared" si="16"/>
        <v>6613.02635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37" t="s">
        <v>100</v>
      </c>
      <c r="B30" s="58">
        <f t="shared" ref="B30:J30" si="17">B22-B29</f>
        <v>-1632</v>
      </c>
      <c r="C30" s="58">
        <f t="shared" si="17"/>
        <v>-388</v>
      </c>
      <c r="D30" s="58">
        <f t="shared" si="17"/>
        <v>-69</v>
      </c>
      <c r="E30" s="58">
        <f t="shared" si="17"/>
        <v>216.2325346</v>
      </c>
      <c r="F30" s="58">
        <f t="shared" si="17"/>
        <v>624.8080339</v>
      </c>
      <c r="G30" s="58">
        <f t="shared" si="17"/>
        <v>1396.617507</v>
      </c>
      <c r="H30" s="58">
        <f t="shared" si="17"/>
        <v>2380.647189</v>
      </c>
      <c r="I30" s="58">
        <f t="shared" si="17"/>
        <v>3569.438707</v>
      </c>
      <c r="J30" s="58">
        <f t="shared" si="17"/>
        <v>5068.122306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39" t="s">
        <v>102</v>
      </c>
      <c r="B31" s="41">
        <f t="shared" ref="B31:J31" si="18">B30/B12</f>
        <v>-0.1387873118</v>
      </c>
      <c r="C31" s="41">
        <f t="shared" si="18"/>
        <v>-0.01807930665</v>
      </c>
      <c r="D31" s="41">
        <f t="shared" si="18"/>
        <v>-0.002807388722</v>
      </c>
      <c r="E31" s="41">
        <f t="shared" si="18"/>
        <v>0.009245793319</v>
      </c>
      <c r="F31" s="41">
        <f t="shared" si="18"/>
        <v>0.02326580448</v>
      </c>
      <c r="G31" s="41">
        <f t="shared" si="18"/>
        <v>0.04484887268</v>
      </c>
      <c r="H31" s="41">
        <f t="shared" si="18"/>
        <v>0.06633386599</v>
      </c>
      <c r="I31" s="41">
        <f t="shared" si="18"/>
        <v>0.08588839533</v>
      </c>
      <c r="J31" s="41">
        <f t="shared" si="18"/>
        <v>0.1052243281</v>
      </c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18"/>
      <c r="B32" s="27"/>
      <c r="C32" s="27"/>
      <c r="D32" s="2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8" t="s">
        <v>105</v>
      </c>
      <c r="B33" s="27">
        <v>19.0</v>
      </c>
      <c r="C33" s="27">
        <v>24.0</v>
      </c>
      <c r="D33" s="27">
        <v>44.0</v>
      </c>
      <c r="E33" s="12">
        <f t="shared" ref="E33:J33" si="19">D33</f>
        <v>44</v>
      </c>
      <c r="F33" s="12">
        <f t="shared" si="19"/>
        <v>44</v>
      </c>
      <c r="G33" s="12">
        <f t="shared" si="19"/>
        <v>44</v>
      </c>
      <c r="H33" s="12">
        <f t="shared" si="19"/>
        <v>44</v>
      </c>
      <c r="I33" s="12">
        <f t="shared" si="19"/>
        <v>44</v>
      </c>
      <c r="J33" s="12">
        <f t="shared" si="19"/>
        <v>44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8" t="s">
        <v>106</v>
      </c>
      <c r="B34" s="18">
        <v>-471.0</v>
      </c>
      <c r="C34" s="18">
        <v>-663.0</v>
      </c>
      <c r="D34" s="18">
        <v>-685.0</v>
      </c>
      <c r="E34" s="28">
        <f>-1*(Debt!E51*Debt!E48)</f>
        <v>-872.55</v>
      </c>
      <c r="F34" s="28">
        <f>-1*(Debt!F51*Debt!F48)</f>
        <v>-852.16275</v>
      </c>
      <c r="G34" s="28">
        <f>-1*(Debt!G51*Debt!G48)</f>
        <v>-825.6719775</v>
      </c>
      <c r="H34" s="28">
        <f>-1*(Debt!H51*Debt!H48)</f>
        <v>-694.4347573</v>
      </c>
      <c r="I34" s="28">
        <f>-1*(Debt!I51*Debt!I48)</f>
        <v>-614.7871648</v>
      </c>
      <c r="J34" s="28">
        <f>-1*(Debt!J51*Debt!J48)</f>
        <v>-615.2802765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8" t="s">
        <v>110</v>
      </c>
      <c r="B35" s="60">
        <v>-125.0</v>
      </c>
      <c r="C35" s="27">
        <v>22.0</v>
      </c>
      <c r="D35" s="27">
        <v>45.0</v>
      </c>
      <c r="E35" s="12">
        <f t="shared" ref="E35:J35" si="20">D35</f>
        <v>45</v>
      </c>
      <c r="F35" s="12">
        <f t="shared" si="20"/>
        <v>45</v>
      </c>
      <c r="G35" s="12">
        <f t="shared" si="20"/>
        <v>45</v>
      </c>
      <c r="H35" s="12">
        <f t="shared" si="20"/>
        <v>45</v>
      </c>
      <c r="I35" s="12">
        <f t="shared" si="20"/>
        <v>45</v>
      </c>
      <c r="J35" s="12">
        <f t="shared" si="20"/>
        <v>45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30" t="s">
        <v>113</v>
      </c>
      <c r="B36" s="61">
        <f t="shared" ref="B36:J36" si="21">B30+SUM(B33:B35)</f>
        <v>-2209</v>
      </c>
      <c r="C36" s="61">
        <f t="shared" si="21"/>
        <v>-1005</v>
      </c>
      <c r="D36" s="61">
        <f t="shared" si="21"/>
        <v>-665</v>
      </c>
      <c r="E36" s="61">
        <f t="shared" si="21"/>
        <v>-567.3174654</v>
      </c>
      <c r="F36" s="61">
        <f t="shared" si="21"/>
        <v>-138.3547161</v>
      </c>
      <c r="G36" s="61">
        <f t="shared" si="21"/>
        <v>659.9455296</v>
      </c>
      <c r="H36" s="61">
        <f t="shared" si="21"/>
        <v>1775.212432</v>
      </c>
      <c r="I36" s="61">
        <f t="shared" si="21"/>
        <v>3043.651542</v>
      </c>
      <c r="J36" s="61">
        <f t="shared" si="21"/>
        <v>4541.842029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8" t="s">
        <v>118</v>
      </c>
      <c r="B37" s="27">
        <v>32.0</v>
      </c>
      <c r="C37" s="27">
        <v>58.0</v>
      </c>
      <c r="D37" s="27">
        <v>110.0</v>
      </c>
      <c r="E37" s="26">
        <f t="shared" ref="E37:J37" si="22">IF(E36&lt;0,0,E36*E60)</f>
        <v>0</v>
      </c>
      <c r="F37" s="27">
        <f t="shared" si="22"/>
        <v>0</v>
      </c>
      <c r="G37" s="64">
        <f t="shared" si="22"/>
        <v>151.7874718</v>
      </c>
      <c r="H37" s="26">
        <f t="shared" si="22"/>
        <v>408.2988593</v>
      </c>
      <c r="I37" s="26">
        <f t="shared" si="22"/>
        <v>700.0398547</v>
      </c>
      <c r="J37" s="26">
        <f t="shared" si="22"/>
        <v>1044.623667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37" t="s">
        <v>27</v>
      </c>
      <c r="B38" s="58">
        <f t="shared" ref="B38:J38" si="23">B36-B37</f>
        <v>-2241</v>
      </c>
      <c r="C38" s="58">
        <f t="shared" si="23"/>
        <v>-1063</v>
      </c>
      <c r="D38" s="58">
        <f t="shared" si="23"/>
        <v>-775</v>
      </c>
      <c r="E38" s="58">
        <f t="shared" si="23"/>
        <v>-567.3174654</v>
      </c>
      <c r="F38" s="58">
        <f t="shared" si="23"/>
        <v>-138.3547161</v>
      </c>
      <c r="G38" s="58">
        <f t="shared" si="23"/>
        <v>508.1580578</v>
      </c>
      <c r="H38" s="58">
        <f t="shared" si="23"/>
        <v>1366.913572</v>
      </c>
      <c r="I38" s="58">
        <f t="shared" si="23"/>
        <v>2343.611688</v>
      </c>
      <c r="J38" s="58">
        <f t="shared" si="23"/>
        <v>3497.218363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62"/>
      <c r="B39" s="18"/>
      <c r="C39" s="18"/>
      <c r="D39" s="2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62" t="s">
        <v>124</v>
      </c>
      <c r="B40" s="18">
        <v>-279.0</v>
      </c>
      <c r="C40" s="18">
        <v>-87.0</v>
      </c>
      <c r="D40" s="27">
        <v>87.0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52" t="s">
        <v>125</v>
      </c>
      <c r="B41" s="65">
        <f t="shared" ref="B41:J41" si="24">B38-B40</f>
        <v>-1962</v>
      </c>
      <c r="C41" s="65">
        <f t="shared" si="24"/>
        <v>-976</v>
      </c>
      <c r="D41" s="65">
        <f t="shared" si="24"/>
        <v>-862</v>
      </c>
      <c r="E41" s="65">
        <f t="shared" si="24"/>
        <v>-567.3174654</v>
      </c>
      <c r="F41" s="65">
        <f t="shared" si="24"/>
        <v>-138.3547161</v>
      </c>
      <c r="G41" s="65">
        <f t="shared" si="24"/>
        <v>508.1580578</v>
      </c>
      <c r="H41" s="65">
        <f t="shared" si="24"/>
        <v>1366.913572</v>
      </c>
      <c r="I41" s="65">
        <f t="shared" si="24"/>
        <v>2343.611688</v>
      </c>
      <c r="J41" s="65">
        <f t="shared" si="24"/>
        <v>3497.218363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9" t="s">
        <v>130</v>
      </c>
      <c r="B42" s="66">
        <v>3.92</v>
      </c>
      <c r="C42" s="66">
        <v>1512.98</v>
      </c>
      <c r="D42" s="66">
        <v>2511.0</v>
      </c>
      <c r="E42" s="21">
        <f>E30+CF!E8</f>
        <v>2372.299479</v>
      </c>
      <c r="F42" s="21">
        <f>F30+CF!F8</f>
        <v>2114.633852</v>
      </c>
      <c r="G42" s="21">
        <f>G30+CF!G8</f>
        <v>3027.85203</v>
      </c>
      <c r="H42" s="21">
        <f>H30+CF!H8</f>
        <v>4167.431286</v>
      </c>
      <c r="I42" s="21">
        <f>I30+CF!I8</f>
        <v>5527.327336</v>
      </c>
      <c r="J42" s="21">
        <f>J30+CF!J8</f>
        <v>7214.225919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67"/>
      <c r="B43" s="68"/>
      <c r="C43" s="68"/>
      <c r="D43" s="68"/>
      <c r="E43" s="69"/>
      <c r="F43" s="69"/>
      <c r="G43" s="69"/>
      <c r="H43" s="69"/>
      <c r="I43" s="69"/>
      <c r="J43" s="69"/>
    </row>
    <row r="44" collapsed="1">
      <c r="A44" s="8" t="s">
        <v>135</v>
      </c>
      <c r="B44" s="5" t="s">
        <v>13</v>
      </c>
      <c r="E44" s="3" t="s">
        <v>14</v>
      </c>
    </row>
    <row r="45" hidden="1" outlineLevel="1">
      <c r="A45" s="18" t="s">
        <v>137</v>
      </c>
      <c r="B45" s="16"/>
      <c r="C45" s="16"/>
      <c r="D45" s="16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idden="1" outlineLevel="1">
      <c r="A46" s="70" t="s">
        <v>139</v>
      </c>
      <c r="B46" s="71">
        <v>11.83</v>
      </c>
      <c r="C46" s="71">
        <v>-5.72</v>
      </c>
      <c r="D46" s="18">
        <v>-4.92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idden="1" outlineLevel="1">
      <c r="A47" s="70" t="s">
        <v>142</v>
      </c>
      <c r="B47" s="71">
        <v>-11.83</v>
      </c>
      <c r="C47" s="71">
        <v>-5.72</v>
      </c>
      <c r="D47" s="18">
        <v>-4.92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idden="1" outlineLevel="1">
      <c r="A48" s="18" t="s">
        <v>144</v>
      </c>
      <c r="B48" s="16"/>
      <c r="C48" s="16"/>
      <c r="D48" s="16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idden="1" outlineLevel="1">
      <c r="A49" s="70" t="s">
        <v>139</v>
      </c>
      <c r="B49" s="26">
        <v>166.0</v>
      </c>
      <c r="C49" s="26">
        <v>171.0</v>
      </c>
      <c r="D49" s="26">
        <v>177.0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idden="1" outlineLevel="1">
      <c r="A50" s="70" t="s">
        <v>142</v>
      </c>
      <c r="B50" s="26">
        <v>166.0</v>
      </c>
      <c r="C50" s="26">
        <v>171.0</v>
      </c>
      <c r="D50" s="26">
        <v>177.0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idden="1" outlineLevel="1">
      <c r="A51" s="29" t="s">
        <v>146</v>
      </c>
      <c r="B51" s="22">
        <v>167.4</v>
      </c>
      <c r="C51" s="22">
        <v>1809.6</v>
      </c>
      <c r="D51" s="22">
        <v>2806.0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idden="1" outlineLevel="1">
      <c r="A52" s="29" t="s">
        <v>148</v>
      </c>
      <c r="B52" s="22">
        <v>182.57</v>
      </c>
      <c r="C52" s="22">
        <v>380.84</v>
      </c>
      <c r="D52" s="22">
        <v>455.0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idden="1" outlineLevel="1">
      <c r="A53" s="29" t="s">
        <v>150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idden="1" outlineLevel="1">
      <c r="A54" s="39" t="s">
        <v>152</v>
      </c>
      <c r="B54" s="76">
        <f t="shared" ref="B54:D54" si="25">(B6-B16)/B6</f>
        <v>0.2120679555</v>
      </c>
      <c r="C54" s="76">
        <f t="shared" si="25"/>
        <v>0.2237976407</v>
      </c>
      <c r="D54" s="76">
        <f t="shared" si="25"/>
        <v>0.2011327185</v>
      </c>
      <c r="E54" s="76"/>
      <c r="F54" s="76"/>
      <c r="G54" s="76"/>
      <c r="H54" s="76"/>
      <c r="I54" s="76"/>
      <c r="J54" s="76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idden="1" outlineLevel="1">
      <c r="A55" s="39" t="s">
        <v>156</v>
      </c>
      <c r="B55" s="78">
        <f t="shared" ref="B55:D55" si="26">(B8-B17)/B8</f>
        <v>0.3604336043</v>
      </c>
      <c r="C55" s="78">
        <f t="shared" si="26"/>
        <v>0.4473386183</v>
      </c>
      <c r="D55" s="78">
        <f t="shared" si="26"/>
        <v>0.4718066743</v>
      </c>
      <c r="E55" s="78"/>
      <c r="F55" s="78"/>
      <c r="G55" s="78"/>
      <c r="H55" s="78"/>
      <c r="I55" s="78"/>
      <c r="J55" s="78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idden="1" outlineLevel="1">
      <c r="A56" s="39" t="s">
        <v>158</v>
      </c>
      <c r="B56" s="78">
        <f t="shared" ref="B56:D56" si="27">(B10-B19)/B10</f>
        <v>0.2168458781</v>
      </c>
      <c r="C56" s="78">
        <f t="shared" si="27"/>
        <v>0.1221864952</v>
      </c>
      <c r="D56" s="78">
        <f t="shared" si="27"/>
        <v>0.1241018942</v>
      </c>
      <c r="E56" s="78"/>
      <c r="F56" s="78"/>
      <c r="G56" s="78"/>
      <c r="H56" s="78"/>
      <c r="I56" s="78"/>
      <c r="J56" s="78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idden="1" outlineLevel="1">
      <c r="A57" s="39" t="s">
        <v>161</v>
      </c>
      <c r="B57" s="51">
        <f t="shared" ref="B57:D57" si="28">(B11-B20)/B11</f>
        <v>-0.2277722278</v>
      </c>
      <c r="C57" s="51">
        <f t="shared" si="28"/>
        <v>-0.3515456506</v>
      </c>
      <c r="D57" s="51">
        <f t="shared" si="28"/>
        <v>-0.2443845463</v>
      </c>
      <c r="E57" s="51"/>
      <c r="F57" s="51"/>
      <c r="G57" s="51"/>
      <c r="H57" s="51"/>
      <c r="I57" s="51"/>
      <c r="J57" s="5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9">
      <c r="A59" s="8" t="s">
        <v>163</v>
      </c>
      <c r="B59" s="5" t="s">
        <v>13</v>
      </c>
      <c r="E59" s="3" t="s">
        <v>14</v>
      </c>
    </row>
    <row r="60" outlineLevel="1">
      <c r="A60" s="29" t="s">
        <v>164</v>
      </c>
      <c r="B60" s="76">
        <f t="shared" ref="B60:D60" si="29">-(B37/B36)</f>
        <v>0.01448619285</v>
      </c>
      <c r="C60" s="76">
        <f t="shared" si="29"/>
        <v>0.05771144279</v>
      </c>
      <c r="D60" s="76">
        <f t="shared" si="29"/>
        <v>0.1654135338</v>
      </c>
      <c r="E60" s="82">
        <v>0.23</v>
      </c>
      <c r="F60" s="82">
        <v>0.23</v>
      </c>
      <c r="G60" s="82">
        <v>0.23</v>
      </c>
      <c r="H60" s="82">
        <v>0.23</v>
      </c>
      <c r="I60" s="82">
        <v>0.23</v>
      </c>
      <c r="J60" s="82">
        <v>0.23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outlineLevel="1">
      <c r="A61" s="29" t="s">
        <v>167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outlineLevel="1">
      <c r="A62" s="39" t="s">
        <v>170</v>
      </c>
      <c r="B62" s="84">
        <f t="shared" ref="B62:D62" si="30">B16/B6</f>
        <v>0.7879320445</v>
      </c>
      <c r="C62" s="84">
        <f t="shared" si="30"/>
        <v>0.7762023593</v>
      </c>
      <c r="D62" s="84">
        <f t="shared" si="30"/>
        <v>0.7988672815</v>
      </c>
      <c r="E62" s="83">
        <f t="shared" ref="E62:E65" si="34">D62</f>
        <v>0.7988672815</v>
      </c>
      <c r="F62" s="83">
        <f t="shared" ref="F62:H62" si="31">E62-0.0175</f>
        <v>0.7813672815</v>
      </c>
      <c r="G62" s="83">
        <f t="shared" si="31"/>
        <v>0.7638672815</v>
      </c>
      <c r="H62" s="83">
        <f t="shared" si="31"/>
        <v>0.7463672815</v>
      </c>
      <c r="I62" s="83">
        <f t="shared" ref="I62:J62" si="32">H62-0.015</f>
        <v>0.7313672815</v>
      </c>
      <c r="J62" s="83">
        <f t="shared" si="32"/>
        <v>0.7163672815</v>
      </c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outlineLevel="1">
      <c r="A63" s="39" t="s">
        <v>177</v>
      </c>
      <c r="B63" s="84">
        <f t="shared" ref="B63:D63" si="33">B17/B8</f>
        <v>0.6395663957</v>
      </c>
      <c r="C63" s="84">
        <f t="shared" si="33"/>
        <v>0.5526613817</v>
      </c>
      <c r="D63" s="84">
        <f t="shared" si="33"/>
        <v>0.5281933257</v>
      </c>
      <c r="E63" s="83">
        <f t="shared" si="34"/>
        <v>0.5281933257</v>
      </c>
      <c r="F63" s="83">
        <f>E63-0.01</f>
        <v>0.5181933257</v>
      </c>
      <c r="G63" s="83">
        <f t="shared" ref="G63:J63" si="35">F63</f>
        <v>0.5181933257</v>
      </c>
      <c r="H63" s="83">
        <f t="shared" si="35"/>
        <v>0.5181933257</v>
      </c>
      <c r="I63" s="83">
        <f t="shared" si="35"/>
        <v>0.5181933257</v>
      </c>
      <c r="J63" s="83">
        <f t="shared" si="35"/>
        <v>0.5181933257</v>
      </c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outlineLevel="1">
      <c r="A64" s="39" t="s">
        <v>180</v>
      </c>
      <c r="B64" s="84">
        <f t="shared" ref="B64:D64" si="36">B19/B10</f>
        <v>0.7831541219</v>
      </c>
      <c r="C64" s="84">
        <f t="shared" si="36"/>
        <v>0.8778135048</v>
      </c>
      <c r="D64" s="84">
        <f t="shared" si="36"/>
        <v>0.8758981058</v>
      </c>
      <c r="E64" s="83">
        <f t="shared" si="34"/>
        <v>0.8758981058</v>
      </c>
      <c r="F64" s="83">
        <f t="shared" ref="F64:J64" si="37">E64-0.005</f>
        <v>0.8708981058</v>
      </c>
      <c r="G64" s="83">
        <f t="shared" si="37"/>
        <v>0.8658981058</v>
      </c>
      <c r="H64" s="83">
        <f t="shared" si="37"/>
        <v>0.8608981058</v>
      </c>
      <c r="I64" s="83">
        <f t="shared" si="37"/>
        <v>0.8558981058</v>
      </c>
      <c r="J64" s="83">
        <f t="shared" si="37"/>
        <v>0.8508981058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outlineLevel="1">
      <c r="A65" s="39" t="s">
        <v>182</v>
      </c>
      <c r="B65" s="84">
        <f t="shared" ref="B65:D65" si="38">B20/B11</f>
        <v>1.227772228</v>
      </c>
      <c r="C65" s="84">
        <f t="shared" si="38"/>
        <v>1.351545651</v>
      </c>
      <c r="D65" s="84">
        <f t="shared" si="38"/>
        <v>1.244384546</v>
      </c>
      <c r="E65" s="83">
        <f t="shared" si="34"/>
        <v>1.244384546</v>
      </c>
      <c r="F65" s="83">
        <f t="shared" ref="F65:J65" si="39">E65-0.01</f>
        <v>1.234384546</v>
      </c>
      <c r="G65" s="83">
        <f t="shared" si="39"/>
        <v>1.224384546</v>
      </c>
      <c r="H65" s="83">
        <f t="shared" si="39"/>
        <v>1.214384546</v>
      </c>
      <c r="I65" s="83">
        <f t="shared" si="39"/>
        <v>1.204384546</v>
      </c>
      <c r="J65" s="83">
        <f t="shared" si="39"/>
        <v>1.194384546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outlineLevel="1">
      <c r="A66" s="29" t="s">
        <v>92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outlineLevel="1">
      <c r="A67" s="39" t="s">
        <v>186</v>
      </c>
      <c r="B67" s="84">
        <f t="shared" ref="B67:D67" si="40">B26/B$12</f>
        <v>0.1171868356</v>
      </c>
      <c r="C67" s="84">
        <f t="shared" si="40"/>
        <v>0.06803038069</v>
      </c>
      <c r="D67" s="84">
        <f t="shared" si="40"/>
        <v>0.05464236309</v>
      </c>
      <c r="E67" s="82">
        <v>0.05</v>
      </c>
      <c r="F67" s="82">
        <f>D67</f>
        <v>0.05464236309</v>
      </c>
      <c r="G67" s="82">
        <f t="shared" ref="G67:J67" si="41">F67</f>
        <v>0.05464236309</v>
      </c>
      <c r="H67" s="82">
        <f t="shared" si="41"/>
        <v>0.05464236309</v>
      </c>
      <c r="I67" s="82">
        <f t="shared" si="41"/>
        <v>0.05464236309</v>
      </c>
      <c r="J67" s="82">
        <f t="shared" si="41"/>
        <v>0.05464236309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outlineLevel="1">
      <c r="A68" s="39" t="s">
        <v>187</v>
      </c>
      <c r="B68" s="84">
        <f t="shared" ref="B68:D68" si="42">B27/B$12</f>
        <v>0.2106471639</v>
      </c>
      <c r="C68" s="84">
        <f t="shared" si="42"/>
        <v>0.1321000885</v>
      </c>
      <c r="D68" s="84">
        <f t="shared" si="42"/>
        <v>0.1076572545</v>
      </c>
      <c r="E68" s="82">
        <v>0.105</v>
      </c>
      <c r="F68" s="82">
        <f>D68-0.005</f>
        <v>0.1026572545</v>
      </c>
      <c r="G68" s="82">
        <f t="shared" ref="G68:J68" si="43">F68-0.005</f>
        <v>0.09765725446</v>
      </c>
      <c r="H68" s="82">
        <f t="shared" si="43"/>
        <v>0.09265725446</v>
      </c>
      <c r="I68" s="82">
        <f t="shared" si="43"/>
        <v>0.08765725446</v>
      </c>
      <c r="J68" s="82">
        <f t="shared" si="43"/>
        <v>0.08265725446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90">
      <c r="B90" s="5"/>
      <c r="C90" s="5"/>
      <c r="D90" s="5"/>
      <c r="E90" s="6"/>
      <c r="F90" s="6"/>
      <c r="G90" s="6"/>
      <c r="H90" s="6"/>
      <c r="I90" s="6"/>
      <c r="J90" s="6"/>
    </row>
    <row r="91">
      <c r="A91" s="8"/>
      <c r="B91" s="5"/>
      <c r="E91" s="3"/>
    </row>
    <row r="92">
      <c r="A92" s="1"/>
      <c r="B92" s="2"/>
      <c r="E92" s="3"/>
    </row>
    <row r="93">
      <c r="A93" s="4"/>
      <c r="B93" s="5"/>
      <c r="C93" s="5"/>
      <c r="D93" s="5"/>
      <c r="E93" s="6"/>
      <c r="F93" s="6"/>
      <c r="G93" s="6"/>
      <c r="H93" s="6"/>
      <c r="I93" s="6"/>
      <c r="J93" s="6"/>
    </row>
    <row r="94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2"/>
      <c r="B95" s="92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 ht="9.75" customHeight="1">
      <c r="A96" s="92"/>
      <c r="B96" s="92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2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 ht="9.75" customHeight="1">
      <c r="A99" s="92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>
      <c r="A102" s="37"/>
      <c r="B102" s="58"/>
      <c r="C102" s="58"/>
      <c r="D102" s="58"/>
      <c r="E102" s="58"/>
      <c r="F102" s="58"/>
      <c r="G102" s="58"/>
      <c r="H102" s="58"/>
      <c r="I102" s="58"/>
      <c r="J102" s="58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95"/>
      <c r="B103" s="96"/>
      <c r="C103" s="96"/>
      <c r="D103" s="96"/>
      <c r="E103" s="96"/>
      <c r="F103" s="96"/>
      <c r="G103" s="96"/>
      <c r="H103" s="96"/>
      <c r="I103" s="96"/>
      <c r="J103" s="96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>
      <c r="A104" s="95"/>
      <c r="B104" s="96"/>
      <c r="C104" s="96"/>
      <c r="D104" s="96"/>
      <c r="E104" s="96"/>
      <c r="F104" s="96"/>
      <c r="G104" s="96"/>
      <c r="H104" s="96"/>
      <c r="I104" s="96"/>
      <c r="J104" s="96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>
      <c r="A105" s="95"/>
      <c r="B105" s="96"/>
      <c r="C105" s="96"/>
      <c r="D105" s="96"/>
      <c r="E105" s="96"/>
      <c r="F105" s="96"/>
      <c r="G105" s="96"/>
      <c r="H105" s="96"/>
      <c r="I105" s="96"/>
      <c r="J105" s="96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</sheetData>
  <mergeCells count="12">
    <mergeCell ref="B59:D59"/>
    <mergeCell ref="B91:D91"/>
    <mergeCell ref="E91:J91"/>
    <mergeCell ref="B92:D92"/>
    <mergeCell ref="E92:J92"/>
    <mergeCell ref="B1:D1"/>
    <mergeCell ref="E1:J1"/>
    <mergeCell ref="B4:D4"/>
    <mergeCell ref="E4:J4"/>
    <mergeCell ref="B44:D44"/>
    <mergeCell ref="E44:J44"/>
    <mergeCell ref="E59:J5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9.0"/>
  </cols>
  <sheetData>
    <row r="1">
      <c r="A1" s="1" t="s">
        <v>0</v>
      </c>
      <c r="B1" s="2" t="s">
        <v>1</v>
      </c>
      <c r="E1" s="3" t="s">
        <v>2</v>
      </c>
    </row>
    <row r="2">
      <c r="A2" s="4"/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>
      <c r="A3" s="7"/>
      <c r="B3" s="7"/>
      <c r="C3" s="7"/>
      <c r="D3" s="7"/>
    </row>
    <row r="4">
      <c r="A4" s="8" t="s">
        <v>12</v>
      </c>
      <c r="B4" s="5" t="s">
        <v>13</v>
      </c>
      <c r="E4" s="3" t="s">
        <v>14</v>
      </c>
    </row>
    <row r="5">
      <c r="A5" s="9" t="s">
        <v>15</v>
      </c>
      <c r="B5" s="10" t="str">
        <f t="shared" ref="B5:J5" si="1">IF(B27=B56,"OK","Check")</f>
        <v>OK</v>
      </c>
      <c r="C5" s="10" t="str">
        <f t="shared" si="1"/>
        <v>OK</v>
      </c>
      <c r="D5" s="10" t="str">
        <f t="shared" si="1"/>
        <v>OK</v>
      </c>
      <c r="E5" s="11" t="str">
        <f t="shared" si="1"/>
        <v>OK</v>
      </c>
      <c r="F5" s="11" t="str">
        <f t="shared" si="1"/>
        <v>OK</v>
      </c>
      <c r="G5" s="11" t="str">
        <f t="shared" si="1"/>
        <v>OK</v>
      </c>
      <c r="H5" s="11" t="str">
        <f t="shared" si="1"/>
        <v>OK</v>
      </c>
      <c r="I5" s="11" t="str">
        <f t="shared" si="1"/>
        <v>OK</v>
      </c>
      <c r="J5" s="11" t="str">
        <f t="shared" si="1"/>
        <v>OK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/>
      <c r="B6" s="14">
        <f t="shared" ref="B6:J6" si="2">B27-B56</f>
        <v>0</v>
      </c>
      <c r="C6" s="14">
        <f t="shared" si="2"/>
        <v>0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5" t="s">
        <v>16</v>
      </c>
      <c r="B7" s="16"/>
      <c r="C7" s="17"/>
      <c r="D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8" t="s">
        <v>17</v>
      </c>
      <c r="B8" s="19"/>
      <c r="C8" s="19"/>
      <c r="D8" s="19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8" t="s">
        <v>18</v>
      </c>
      <c r="B9" s="20">
        <v>3368.0</v>
      </c>
      <c r="C9" s="20">
        <v>3686.0</v>
      </c>
      <c r="D9" s="20">
        <v>6268.0</v>
      </c>
      <c r="E9" s="20">
        <f>CF!E60</f>
        <v>6642.888152</v>
      </c>
      <c r="F9" s="20">
        <f>CF!F60</f>
        <v>8770.350909</v>
      </c>
      <c r="G9" s="20">
        <f>CF!G60</f>
        <v>10304.67992</v>
      </c>
      <c r="H9" s="20">
        <f>CF!H60</f>
        <v>13682.36073</v>
      </c>
      <c r="I9" s="20">
        <f>CF!I60</f>
        <v>19538.45413</v>
      </c>
      <c r="J9" s="20">
        <f>CF!J60</f>
        <v>25644.71484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8" t="s">
        <v>19</v>
      </c>
      <c r="B10" s="21">
        <v>155.0</v>
      </c>
      <c r="C10" s="21">
        <v>193.0</v>
      </c>
      <c r="D10" s="21">
        <v>246.0</v>
      </c>
      <c r="E10" s="22">
        <v>0.0</v>
      </c>
      <c r="F10" s="21">
        <f t="shared" ref="F10:J10" si="3">E10</f>
        <v>0</v>
      </c>
      <c r="G10" s="21">
        <f t="shared" si="3"/>
        <v>0</v>
      </c>
      <c r="H10" s="21">
        <f t="shared" si="3"/>
        <v>0</v>
      </c>
      <c r="I10" s="21">
        <f t="shared" si="3"/>
        <v>0</v>
      </c>
      <c r="J10" s="21">
        <f t="shared" si="3"/>
        <v>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8" t="s">
        <v>20</v>
      </c>
      <c r="B11" s="21">
        <v>515.0</v>
      </c>
      <c r="C11" s="21">
        <v>949.0</v>
      </c>
      <c r="D11" s="21">
        <v>1324.0</v>
      </c>
      <c r="E11" s="23">
        <f>(IS!E12*E61)/E60</f>
        <v>1259.848442</v>
      </c>
      <c r="F11" s="23">
        <f>(IS!F12*F61)/F60</f>
        <v>1446.671668</v>
      </c>
      <c r="G11" s="23">
        <f>(IS!G12*G61)/G60</f>
        <v>1677.5188</v>
      </c>
      <c r="H11" s="23">
        <f>(IS!H12*H61)/H60</f>
        <v>1933.308561</v>
      </c>
      <c r="I11" s="23">
        <f>(IS!I12*I61)/I60</f>
        <v>2238.756631</v>
      </c>
      <c r="J11" s="23">
        <f>(IS!J12*J61)/J60</f>
        <v>2594.611693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8" t="s">
        <v>21</v>
      </c>
      <c r="B12" s="21">
        <v>2264.0</v>
      </c>
      <c r="C12" s="21">
        <v>3113.0</v>
      </c>
      <c r="D12" s="21">
        <v>3552.0</v>
      </c>
      <c r="E12" s="23">
        <f>(IS!E21*E62)/E60</f>
        <v>3385.196641</v>
      </c>
      <c r="F12" s="23">
        <f>(IS!F21*F62)/F60</f>
        <v>3811.283803</v>
      </c>
      <c r="G12" s="23">
        <f>(IS!G21*G62)/G60</f>
        <v>4330.017496</v>
      </c>
      <c r="H12" s="23">
        <f>(IS!H21*H62)/H60</f>
        <v>4887.7976</v>
      </c>
      <c r="I12" s="23">
        <f>(IS!I21*I62)/I60</f>
        <v>5555.273324</v>
      </c>
      <c r="J12" s="23">
        <f>(IS!J21*J62)/J60</f>
        <v>6318.708288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8" t="s">
        <v>22</v>
      </c>
      <c r="B13" s="21">
        <v>268.0</v>
      </c>
      <c r="C13" s="21">
        <v>366.0</v>
      </c>
      <c r="D13" s="21">
        <v>713.0</v>
      </c>
      <c r="E13" s="23">
        <f>E63*IS!E12</f>
        <v>678.4531261</v>
      </c>
      <c r="F13" s="23">
        <f>F63*IS!F12</f>
        <v>779.0611023</v>
      </c>
      <c r="G13" s="23">
        <f>G63*IS!G12</f>
        <v>903.3768158</v>
      </c>
      <c r="H13" s="23">
        <f>H63*IS!H12</f>
        <v>1041.124625</v>
      </c>
      <c r="I13" s="23">
        <f>I63*IS!I12</f>
        <v>1205.614409</v>
      </c>
      <c r="J13" s="23">
        <f>J63*IS!J12</f>
        <v>1397.249348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4" t="s">
        <v>23</v>
      </c>
      <c r="B14" s="25">
        <v>6571.0</v>
      </c>
      <c r="C14" s="25">
        <f t="shared" ref="C14:J14" si="4">SUM(C9:C13)</f>
        <v>8307</v>
      </c>
      <c r="D14" s="25">
        <f t="shared" si="4"/>
        <v>12103</v>
      </c>
      <c r="E14" s="25">
        <f t="shared" si="4"/>
        <v>11966.38636</v>
      </c>
      <c r="F14" s="25">
        <f t="shared" si="4"/>
        <v>14807.36748</v>
      </c>
      <c r="G14" s="25">
        <f t="shared" si="4"/>
        <v>17215.59303</v>
      </c>
      <c r="H14" s="25">
        <f t="shared" si="4"/>
        <v>21544.59151</v>
      </c>
      <c r="I14" s="25">
        <f t="shared" si="4"/>
        <v>28538.09849</v>
      </c>
      <c r="J14" s="25">
        <f t="shared" si="4"/>
        <v>35955.28417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8"/>
      <c r="B15" s="22"/>
      <c r="C15" s="22"/>
      <c r="D15" s="2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8" t="s">
        <v>24</v>
      </c>
      <c r="B16" s="22">
        <v>11751.0</v>
      </c>
      <c r="C16" s="22">
        <v>14029.0</v>
      </c>
      <c r="D16" s="22">
        <v>14130.0</v>
      </c>
      <c r="E16" s="21">
        <f>Schedules!E8</f>
        <v>15457</v>
      </c>
      <c r="F16" s="21">
        <f>Schedules!F8</f>
        <v>16916.7</v>
      </c>
      <c r="G16" s="21">
        <f>Schedules!G8</f>
        <v>18522.37</v>
      </c>
      <c r="H16" s="21">
        <f>Schedules!H8</f>
        <v>20288.607</v>
      </c>
      <c r="I16" s="21">
        <f>Schedules!I8</f>
        <v>22231.4677</v>
      </c>
      <c r="J16" s="21">
        <f>Schedules!J8</f>
        <v>24368.61447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9" t="s">
        <v>42</v>
      </c>
      <c r="B17" s="22">
        <v>1724.0</v>
      </c>
      <c r="C17" s="22">
        <v>2699.0</v>
      </c>
      <c r="D17" s="22">
        <v>3734.0</v>
      </c>
      <c r="E17" s="21">
        <f>Schedules!E16</f>
        <v>5095.272451</v>
      </c>
      <c r="F17" s="21">
        <f>Schedules!F16</f>
        <v>6585.09827</v>
      </c>
      <c r="G17" s="21">
        <f>Schedules!G16</f>
        <v>8216.332792</v>
      </c>
      <c r="H17" s="21">
        <f>Schedules!H16</f>
        <v>10003.11689</v>
      </c>
      <c r="I17" s="21">
        <f>Schedules!I16</f>
        <v>11961.00552</v>
      </c>
      <c r="J17" s="21">
        <f>Schedules!J16</f>
        <v>14107.10913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30" t="s">
        <v>43</v>
      </c>
      <c r="B18" s="33">
        <v>10028.0</v>
      </c>
      <c r="C18" s="25">
        <f t="shared" ref="C18:J18" si="5">C16-C17</f>
        <v>11330</v>
      </c>
      <c r="D18" s="25">
        <f t="shared" si="5"/>
        <v>10396</v>
      </c>
      <c r="E18" s="25">
        <f t="shared" si="5"/>
        <v>10361.72755</v>
      </c>
      <c r="F18" s="25">
        <f t="shared" si="5"/>
        <v>10331.60173</v>
      </c>
      <c r="G18" s="25">
        <f t="shared" si="5"/>
        <v>10306.03721</v>
      </c>
      <c r="H18" s="25">
        <f t="shared" si="5"/>
        <v>10285.49011</v>
      </c>
      <c r="I18" s="25">
        <f t="shared" si="5"/>
        <v>10270.46218</v>
      </c>
      <c r="J18" s="25">
        <f t="shared" si="5"/>
        <v>10261.50534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8" t="s">
        <v>44</v>
      </c>
      <c r="B19" s="21">
        <v>4117.0</v>
      </c>
      <c r="C19" s="21">
        <v>2090.0</v>
      </c>
      <c r="D19" s="21">
        <v>2447.0</v>
      </c>
      <c r="E19" s="21">
        <f>Schedules!E35</f>
        <v>2785.130841</v>
      </c>
      <c r="F19" s="21">
        <f>Schedules!F35</f>
        <v>2410.559683</v>
      </c>
      <c r="G19" s="21">
        <f>Schedules!G35</f>
        <v>2067.634417</v>
      </c>
      <c r="H19" s="21">
        <f>Schedules!H35</f>
        <v>1682.602898</v>
      </c>
      <c r="I19" s="21">
        <f>Schedules!I35</f>
        <v>1234.878965</v>
      </c>
      <c r="J19" s="21">
        <f>Schedules!J35</f>
        <v>716.8145239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8" t="s">
        <v>45</v>
      </c>
      <c r="B20" s="21">
        <v>6347.0</v>
      </c>
      <c r="C20" s="21">
        <v>6271.0</v>
      </c>
      <c r="D20" s="21">
        <v>6138.0</v>
      </c>
      <c r="E20" s="22">
        <f>Schedules!E53</f>
        <v>5816.5127</v>
      </c>
      <c r="F20" s="22">
        <f>Schedules!F53</f>
        <v>5572.0254</v>
      </c>
      <c r="G20" s="22">
        <f>Schedules!G53</f>
        <v>5327.5381</v>
      </c>
      <c r="H20" s="22">
        <f>Schedules!H53</f>
        <v>5083.050799</v>
      </c>
      <c r="I20" s="22">
        <f>Schedules!I53</f>
        <v>4838.563499</v>
      </c>
      <c r="J20" s="22">
        <f>Schedules!J53</f>
        <v>4594.076199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8" t="s">
        <v>46</v>
      </c>
      <c r="B21" s="34" t="s">
        <v>47</v>
      </c>
      <c r="C21" s="34" t="s">
        <v>47</v>
      </c>
      <c r="D21" s="21">
        <v>1218.0</v>
      </c>
      <c r="E21" s="21">
        <f t="shared" ref="E21:J21" si="6">D21</f>
        <v>1218</v>
      </c>
      <c r="F21" s="21">
        <f t="shared" si="6"/>
        <v>1218</v>
      </c>
      <c r="G21" s="21">
        <f t="shared" si="6"/>
        <v>1218</v>
      </c>
      <c r="H21" s="21">
        <f t="shared" si="6"/>
        <v>1218</v>
      </c>
      <c r="I21" s="21">
        <f t="shared" si="6"/>
        <v>1218</v>
      </c>
      <c r="J21" s="21">
        <f t="shared" si="6"/>
        <v>1218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8" t="s">
        <v>52</v>
      </c>
      <c r="B22" s="21">
        <v>362.0</v>
      </c>
      <c r="C22" s="21">
        <v>282.0</v>
      </c>
      <c r="D22" s="21">
        <v>339.0</v>
      </c>
      <c r="E22" s="21">
        <f>Schedules!E69</f>
        <v>372.2303821</v>
      </c>
      <c r="F22" s="21">
        <f>Schedules!F69</f>
        <v>325.4607642</v>
      </c>
      <c r="G22" s="21">
        <f>Schedules!G69</f>
        <v>278.6911464</v>
      </c>
      <c r="H22" s="21">
        <f>Schedules!H69</f>
        <v>231.9215285</v>
      </c>
      <c r="I22" s="21">
        <f>Schedules!I69</f>
        <v>185.1519106</v>
      </c>
      <c r="J22" s="21">
        <f>Schedules!J69</f>
        <v>138.3822927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8" t="s">
        <v>53</v>
      </c>
      <c r="B23" s="21">
        <v>60.0</v>
      </c>
      <c r="C23" s="21">
        <v>68.0</v>
      </c>
      <c r="D23" s="21">
        <v>198.0</v>
      </c>
      <c r="E23" s="21">
        <f t="shared" ref="E23:J23" si="7">D23</f>
        <v>198</v>
      </c>
      <c r="F23" s="21">
        <f t="shared" si="7"/>
        <v>198</v>
      </c>
      <c r="G23" s="21">
        <f t="shared" si="7"/>
        <v>198</v>
      </c>
      <c r="H23" s="21">
        <f t="shared" si="7"/>
        <v>198</v>
      </c>
      <c r="I23" s="21">
        <f t="shared" si="7"/>
        <v>198</v>
      </c>
      <c r="J23" s="21">
        <f t="shared" si="7"/>
        <v>198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8" t="s">
        <v>54</v>
      </c>
      <c r="B24" s="21">
        <v>457.0</v>
      </c>
      <c r="C24" s="21">
        <v>422.0</v>
      </c>
      <c r="D24" s="21">
        <v>393.0</v>
      </c>
      <c r="E24" s="21">
        <f t="shared" ref="E24:J24" si="8">D24</f>
        <v>393</v>
      </c>
      <c r="F24" s="21">
        <f t="shared" si="8"/>
        <v>393</v>
      </c>
      <c r="G24" s="21">
        <f t="shared" si="8"/>
        <v>393</v>
      </c>
      <c r="H24" s="21">
        <f t="shared" si="8"/>
        <v>393</v>
      </c>
      <c r="I24" s="21">
        <f t="shared" si="8"/>
        <v>393</v>
      </c>
      <c r="J24" s="21">
        <f t="shared" si="8"/>
        <v>393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8" t="s">
        <v>55</v>
      </c>
      <c r="B25" s="21">
        <v>442.0</v>
      </c>
      <c r="C25" s="36">
        <v>398.0</v>
      </c>
      <c r="D25" s="36">
        <v>269.0</v>
      </c>
      <c r="E25" s="22">
        <v>0.0</v>
      </c>
      <c r="F25" s="21">
        <f t="shared" ref="F25:J25" si="9">E25</f>
        <v>0</v>
      </c>
      <c r="G25" s="21">
        <f t="shared" si="9"/>
        <v>0</v>
      </c>
      <c r="H25" s="21">
        <f t="shared" si="9"/>
        <v>0</v>
      </c>
      <c r="I25" s="21">
        <f t="shared" si="9"/>
        <v>0</v>
      </c>
      <c r="J25" s="21">
        <f t="shared" si="9"/>
        <v>0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8" t="s">
        <v>56</v>
      </c>
      <c r="B26" s="21">
        <v>273.0</v>
      </c>
      <c r="C26" s="36">
        <v>572.0</v>
      </c>
      <c r="D26" s="36">
        <v>808.0</v>
      </c>
      <c r="E26" s="28">
        <f>E64*IS!E12</f>
        <v>768.8501065</v>
      </c>
      <c r="F26" s="28">
        <f>F64*IS!F12</f>
        <v>882.8630725</v>
      </c>
      <c r="G26" s="28">
        <f>G64*IS!G12</f>
        <v>1023.742591</v>
      </c>
      <c r="H26" s="28">
        <f>H64*IS!H12</f>
        <v>1179.843895</v>
      </c>
      <c r="I26" s="28">
        <f>I64*IS!I12</f>
        <v>1366.25027</v>
      </c>
      <c r="J26" s="28">
        <f>J64*IS!J12</f>
        <v>1583.418616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37" t="s">
        <v>57</v>
      </c>
      <c r="B27" s="38">
        <v>28655.0</v>
      </c>
      <c r="C27" s="38">
        <f t="shared" ref="C27:D27" si="10">C14+SUM(C19:C20)+C18+SUM(C21:C26)</f>
        <v>29740</v>
      </c>
      <c r="D27" s="38">
        <f t="shared" si="10"/>
        <v>34309</v>
      </c>
      <c r="E27" s="38">
        <f t="shared" ref="E27:J27" si="11">E14+SUM(E18:E26)</f>
        <v>33879.83794</v>
      </c>
      <c r="F27" s="38">
        <f t="shared" si="11"/>
        <v>36138.87813</v>
      </c>
      <c r="G27" s="38">
        <f t="shared" si="11"/>
        <v>38028.2365</v>
      </c>
      <c r="H27" s="38">
        <f t="shared" si="11"/>
        <v>41816.50075</v>
      </c>
      <c r="I27" s="38">
        <f t="shared" si="11"/>
        <v>48242.40532</v>
      </c>
      <c r="J27" s="38">
        <f t="shared" si="11"/>
        <v>55058.48114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8"/>
      <c r="B28" s="21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5" t="s">
        <v>59</v>
      </c>
      <c r="B29" s="21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8" t="s">
        <v>60</v>
      </c>
      <c r="B30" s="36"/>
      <c r="C30" s="36"/>
      <c r="D30" s="36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8" t="s">
        <v>61</v>
      </c>
      <c r="B31" s="21">
        <v>2390.0</v>
      </c>
      <c r="C31" s="21">
        <v>3405.0</v>
      </c>
      <c r="D31" s="21">
        <v>3771.0</v>
      </c>
      <c r="E31" s="21">
        <f>(E66*IS!E21)/E60</f>
        <v>3593.912312</v>
      </c>
      <c r="F31" s="21">
        <f>(F66*IS!F21)/F60</f>
        <v>4046.270051</v>
      </c>
      <c r="G31" s="21">
        <f>(G66*IS!G21)/G60</f>
        <v>4596.98648</v>
      </c>
      <c r="H31" s="21">
        <f>(H66*IS!H21)/H60</f>
        <v>5189.156742</v>
      </c>
      <c r="I31" s="21">
        <f>(I66*IS!I21)/I60</f>
        <v>5897.785952</v>
      </c>
      <c r="J31" s="21">
        <f>(J66*IS!J21)/J60</f>
        <v>6708.29081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8" t="s">
        <v>63</v>
      </c>
      <c r="B32" s="21">
        <v>1731.0</v>
      </c>
      <c r="C32" s="21">
        <v>2094.0</v>
      </c>
      <c r="D32" s="21">
        <v>2905.0</v>
      </c>
      <c r="E32" s="28">
        <f>E67*IS!E12</f>
        <v>2764.244504</v>
      </c>
      <c r="F32" s="28">
        <f>F67*IS!F12</f>
        <v>3174.154982</v>
      </c>
      <c r="G32" s="28">
        <f>G67*IS!G12</f>
        <v>3680.658696</v>
      </c>
      <c r="H32" s="28">
        <f>H67*IS!H12</f>
        <v>4241.889252</v>
      </c>
      <c r="I32" s="28">
        <f>I67*IS!I12</f>
        <v>4912.075539</v>
      </c>
      <c r="J32" s="28">
        <f>J67*IS!J12</f>
        <v>5692.860247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8" t="s">
        <v>64</v>
      </c>
      <c r="B33" s="21">
        <v>1015.0</v>
      </c>
      <c r="C33" s="36">
        <v>630.0</v>
      </c>
      <c r="D33" s="21">
        <v>1163.0</v>
      </c>
      <c r="E33" s="28">
        <f>(E68*IS!E12)*E69</f>
        <v>1106.649349</v>
      </c>
      <c r="F33" s="28">
        <f>(F68*IS!F12)*F69</f>
        <v>1270.754645</v>
      </c>
      <c r="G33" s="28">
        <f>(G68*IS!G12)*G69</f>
        <v>1473.530486</v>
      </c>
      <c r="H33" s="28">
        <f>(H68*IS!H12)*H69</f>
        <v>1698.215903</v>
      </c>
      <c r="I33" s="28">
        <f>(I68*IS!I12)*I69</f>
        <v>1966.521119</v>
      </c>
      <c r="J33" s="28">
        <f>(J68*IS!J12)*J69</f>
        <v>2279.103775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8" t="s">
        <v>65</v>
      </c>
      <c r="B34" s="21">
        <v>787.0</v>
      </c>
      <c r="C34" s="36">
        <v>503.0</v>
      </c>
      <c r="D34" s="36">
        <v>317.0</v>
      </c>
      <c r="E34" s="28">
        <f t="shared" ref="E34:J34" si="12">E71*E70</f>
        <v>202.9518414</v>
      </c>
      <c r="F34" s="28">
        <f t="shared" si="12"/>
        <v>305.325779</v>
      </c>
      <c r="G34" s="28">
        <f t="shared" si="12"/>
        <v>305.325779</v>
      </c>
      <c r="H34" s="28">
        <f t="shared" si="12"/>
        <v>305.325779</v>
      </c>
      <c r="I34" s="28">
        <f t="shared" si="12"/>
        <v>305.325779</v>
      </c>
      <c r="J34" s="28">
        <f t="shared" si="12"/>
        <v>305.325779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8" t="s">
        <v>67</v>
      </c>
      <c r="B35" s="21">
        <v>854.0</v>
      </c>
      <c r="C35" s="36">
        <v>793.0</v>
      </c>
      <c r="D35" s="36">
        <v>726.0</v>
      </c>
      <c r="E35" s="28">
        <f t="shared" ref="E35:J35" si="13">D35*(1+E72)</f>
        <v>664.6607818</v>
      </c>
      <c r="F35" s="28">
        <f t="shared" si="13"/>
        <v>608.5040701</v>
      </c>
      <c r="G35" s="28">
        <f t="shared" si="13"/>
        <v>557.0919986</v>
      </c>
      <c r="H35" s="28">
        <f t="shared" si="13"/>
        <v>510.0236961</v>
      </c>
      <c r="I35" s="28">
        <f t="shared" si="13"/>
        <v>466.9321606</v>
      </c>
      <c r="J35" s="28">
        <f t="shared" si="13"/>
        <v>427.481398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8" t="s">
        <v>69</v>
      </c>
      <c r="B36" s="21">
        <v>797.0</v>
      </c>
      <c r="C36" s="21">
        <v>2568.0</v>
      </c>
      <c r="D36" s="21">
        <v>1785.0</v>
      </c>
      <c r="E36" s="22">
        <f>E73*IS!E12</f>
        <v>1698.511683</v>
      </c>
      <c r="F36" s="22">
        <f>F73*IS!F12</f>
        <v>1950.384387</v>
      </c>
      <c r="G36" s="22">
        <f>G73*IS!G12</f>
        <v>2261.60956</v>
      </c>
      <c r="H36" s="22">
        <f>H73*IS!H12</f>
        <v>2606.46207</v>
      </c>
      <c r="I36" s="22">
        <f>I73*IS!I12</f>
        <v>3018.263283</v>
      </c>
      <c r="J36" s="22">
        <f>J73*IS!J12</f>
        <v>3498.022562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8" t="s">
        <v>71</v>
      </c>
      <c r="B37" s="21">
        <v>100.0</v>
      </c>
      <c r="C37" s="47">
        <v>0.0</v>
      </c>
      <c r="D37" s="47">
        <v>0.0</v>
      </c>
      <c r="E37" s="21">
        <f t="shared" ref="E37:J37" si="14">D37</f>
        <v>0</v>
      </c>
      <c r="F37" s="21">
        <f t="shared" si="14"/>
        <v>0</v>
      </c>
      <c r="G37" s="21">
        <f t="shared" si="14"/>
        <v>0</v>
      </c>
      <c r="H37" s="21">
        <f t="shared" si="14"/>
        <v>0</v>
      </c>
      <c r="I37" s="21">
        <f t="shared" si="14"/>
        <v>0</v>
      </c>
      <c r="J37" s="21">
        <f t="shared" si="14"/>
        <v>0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4" t="s">
        <v>72</v>
      </c>
      <c r="B38" s="25">
        <v>7675.0</v>
      </c>
      <c r="C38" s="25">
        <f t="shared" ref="C38:J38" si="15">SUM(C31:C37)</f>
        <v>9993</v>
      </c>
      <c r="D38" s="25">
        <f t="shared" si="15"/>
        <v>10667</v>
      </c>
      <c r="E38" s="25">
        <f t="shared" si="15"/>
        <v>10030.93047</v>
      </c>
      <c r="F38" s="25">
        <f t="shared" si="15"/>
        <v>11355.39391</v>
      </c>
      <c r="G38" s="25">
        <f t="shared" si="15"/>
        <v>12875.203</v>
      </c>
      <c r="H38" s="25">
        <f t="shared" si="15"/>
        <v>14551.07344</v>
      </c>
      <c r="I38" s="25">
        <f t="shared" si="15"/>
        <v>16566.90383</v>
      </c>
      <c r="J38" s="25">
        <f t="shared" si="15"/>
        <v>18911.08457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5"/>
      <c r="B39" s="21"/>
      <c r="C39" s="21"/>
      <c r="D39" s="21"/>
      <c r="E39" s="21"/>
      <c r="F39" s="21"/>
      <c r="G39" s="21"/>
      <c r="H39" s="21"/>
      <c r="I39" s="21"/>
      <c r="J39" s="2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8" t="s">
        <v>75</v>
      </c>
      <c r="B40" s="21">
        <v>9418.0</v>
      </c>
      <c r="C40" s="21">
        <v>9404.0</v>
      </c>
      <c r="D40" s="21">
        <v>11634.0</v>
      </c>
      <c r="E40" s="21">
        <f>Debt!E44</f>
        <v>11362.17</v>
      </c>
      <c r="F40" s="21">
        <f>Debt!F44</f>
        <v>11008.9597</v>
      </c>
      <c r="G40" s="21">
        <f>Debt!G44</f>
        <v>9259.130097</v>
      </c>
      <c r="H40" s="21">
        <f>Debt!H44</f>
        <v>8197.162198</v>
      </c>
      <c r="I40" s="21">
        <f>Debt!I44</f>
        <v>8203.73702</v>
      </c>
      <c r="J40" s="21">
        <f>Debt!J44</f>
        <v>6831.21559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8" t="s">
        <v>77</v>
      </c>
      <c r="B41" s="21">
        <v>1178.0</v>
      </c>
      <c r="C41" s="21">
        <v>991.0</v>
      </c>
      <c r="D41" s="21">
        <v>1207.0</v>
      </c>
      <c r="E41" s="28">
        <f>(E68*IS!E12)-E33</f>
        <v>1148.517424</v>
      </c>
      <c r="F41" s="28">
        <f>(F68*IS!F12)-F33</f>
        <v>1318.831347</v>
      </c>
      <c r="G41" s="28">
        <f>(G68*IS!G12)-G33</f>
        <v>1529.278845</v>
      </c>
      <c r="H41" s="28">
        <f>(H68*IS!H12)-H33</f>
        <v>1762.464828</v>
      </c>
      <c r="I41" s="28">
        <f>(I68*IS!I12)-I33</f>
        <v>2040.920887</v>
      </c>
      <c r="J41" s="28">
        <f>(J68*IS!J12)-J33</f>
        <v>2365.329542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8" t="s">
        <v>80</v>
      </c>
      <c r="B42" s="21">
        <v>2309.0</v>
      </c>
      <c r="C42" s="21">
        <v>329.0</v>
      </c>
      <c r="D42" s="21">
        <v>36.0</v>
      </c>
      <c r="E42" s="49">
        <f t="shared" ref="E42:J42" si="16">E70-E34</f>
        <v>23.04815864</v>
      </c>
      <c r="F42" s="49">
        <f t="shared" si="16"/>
        <v>34.67422096</v>
      </c>
      <c r="G42" s="49">
        <f t="shared" si="16"/>
        <v>34.67422096</v>
      </c>
      <c r="H42" s="49">
        <f t="shared" si="16"/>
        <v>34.67422096</v>
      </c>
      <c r="I42" s="49">
        <f t="shared" si="16"/>
        <v>34.67422096</v>
      </c>
      <c r="J42" s="49">
        <f t="shared" si="16"/>
        <v>34.67422096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8" t="s">
        <v>108</v>
      </c>
      <c r="B43" s="21">
        <v>2443.0</v>
      </c>
      <c r="C43" s="21">
        <v>2710.0</v>
      </c>
      <c r="D43" s="21">
        <v>2655.0</v>
      </c>
      <c r="E43" s="21">
        <f t="shared" ref="E43:J43" si="17">D43</f>
        <v>2655</v>
      </c>
      <c r="F43" s="21">
        <f t="shared" si="17"/>
        <v>2655</v>
      </c>
      <c r="G43" s="21">
        <f t="shared" si="17"/>
        <v>2655</v>
      </c>
      <c r="H43" s="21">
        <f t="shared" si="17"/>
        <v>2655</v>
      </c>
      <c r="I43" s="21">
        <f t="shared" si="17"/>
        <v>2655</v>
      </c>
      <c r="J43" s="21">
        <f t="shared" si="17"/>
        <v>2655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48" t="s">
        <v>109</v>
      </c>
      <c r="B44" s="59">
        <v>23023.0</v>
      </c>
      <c r="C44" s="59">
        <f t="shared" ref="C44:J44" si="18">C38+SUM(C40:C43)</f>
        <v>23427</v>
      </c>
      <c r="D44" s="59">
        <f t="shared" si="18"/>
        <v>26199</v>
      </c>
      <c r="E44" s="59">
        <f t="shared" si="18"/>
        <v>25219.66605</v>
      </c>
      <c r="F44" s="59">
        <f t="shared" si="18"/>
        <v>26372.85918</v>
      </c>
      <c r="G44" s="59">
        <f t="shared" si="18"/>
        <v>26353.28616</v>
      </c>
      <c r="H44" s="59">
        <f t="shared" si="18"/>
        <v>27200.37469</v>
      </c>
      <c r="I44" s="59">
        <f t="shared" si="18"/>
        <v>29501.23596</v>
      </c>
      <c r="J44" s="59">
        <f t="shared" si="18"/>
        <v>30797.30392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8" t="s">
        <v>115</v>
      </c>
      <c r="B45" s="21">
        <v>398.0</v>
      </c>
      <c r="C45" s="36">
        <v>556.0</v>
      </c>
      <c r="D45" s="36">
        <v>643.0</v>
      </c>
      <c r="E45" s="12">
        <f t="shared" ref="E45:J45" si="19">D45</f>
        <v>643</v>
      </c>
      <c r="F45" s="12">
        <f t="shared" si="19"/>
        <v>643</v>
      </c>
      <c r="G45" s="12">
        <f t="shared" si="19"/>
        <v>643</v>
      </c>
      <c r="H45" s="12">
        <f t="shared" si="19"/>
        <v>643</v>
      </c>
      <c r="I45" s="12">
        <f t="shared" si="19"/>
        <v>643</v>
      </c>
      <c r="J45" s="12">
        <f t="shared" si="19"/>
        <v>643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8"/>
      <c r="B46" s="36"/>
      <c r="C46" s="36"/>
      <c r="D46" s="36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5" t="s">
        <v>116</v>
      </c>
      <c r="B47" s="36"/>
      <c r="C47" s="36"/>
      <c r="D47" s="36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8" t="s">
        <v>117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62" t="s">
        <v>119</v>
      </c>
      <c r="B49" s="63">
        <v>0.0</v>
      </c>
      <c r="C49" s="63">
        <v>0.0</v>
      </c>
      <c r="D49" s="63">
        <v>0.0</v>
      </c>
      <c r="E49" s="12">
        <f t="shared" ref="E49:J49" si="20">D49</f>
        <v>0</v>
      </c>
      <c r="F49" s="12">
        <f t="shared" si="20"/>
        <v>0</v>
      </c>
      <c r="G49" s="12">
        <f t="shared" si="20"/>
        <v>0</v>
      </c>
      <c r="H49" s="12">
        <f t="shared" si="20"/>
        <v>0</v>
      </c>
      <c r="I49" s="12">
        <f t="shared" si="20"/>
        <v>0</v>
      </c>
      <c r="J49" s="12">
        <f t="shared" si="20"/>
        <v>0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62" t="s">
        <v>120</v>
      </c>
      <c r="B50" s="36">
        <v>0.0</v>
      </c>
      <c r="C50" s="36">
        <v>0.0</v>
      </c>
      <c r="D50" s="36">
        <v>0.0</v>
      </c>
      <c r="E50" s="21">
        <f>CF!E41</f>
        <v>0</v>
      </c>
      <c r="F50" s="12">
        <f>CF!F41</f>
        <v>0</v>
      </c>
      <c r="G50" s="12">
        <f>CF!G41</f>
        <v>0</v>
      </c>
      <c r="H50" s="12">
        <f>CF!H41</f>
        <v>0</v>
      </c>
      <c r="I50" s="12">
        <f>CF!I41</f>
        <v>0</v>
      </c>
      <c r="J50" s="12">
        <f>CF!J41</f>
        <v>0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8" t="s">
        <v>123</v>
      </c>
      <c r="B51" s="21">
        <v>9178.0</v>
      </c>
      <c r="C51" s="21">
        <v>10249.0</v>
      </c>
      <c r="D51" s="21">
        <v>12737.0</v>
      </c>
      <c r="E51" s="21">
        <f>D51+CF!E9+CF!E45</f>
        <v>13854.48935</v>
      </c>
      <c r="F51" s="21">
        <f>E51+CF!F9+CF!F45</f>
        <v>15098.69113</v>
      </c>
      <c r="G51" s="21">
        <f>F51+CF!G9+CF!G45</f>
        <v>16499.46446</v>
      </c>
      <c r="H51" s="21">
        <f>G51+CF!H9+CF!H45</f>
        <v>18073.72661</v>
      </c>
      <c r="I51" s="21">
        <f>H51+CF!I9+CF!I45</f>
        <v>19855.15822</v>
      </c>
      <c r="J51" s="21">
        <f>I51+CF!J9+CF!J45</f>
        <v>21877.94772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8" t="s">
        <v>129</v>
      </c>
      <c r="B52" s="21">
        <v>33.0</v>
      </c>
      <c r="C52" s="36">
        <v>-8.0</v>
      </c>
      <c r="D52" s="36">
        <v>-36.0</v>
      </c>
      <c r="E52" s="29">
        <f t="shared" ref="E52:J52" si="21">D52</f>
        <v>-36</v>
      </c>
      <c r="F52" s="12">
        <f t="shared" si="21"/>
        <v>-36</v>
      </c>
      <c r="G52" s="12">
        <f t="shared" si="21"/>
        <v>-36</v>
      </c>
      <c r="H52" s="12">
        <f t="shared" si="21"/>
        <v>-36</v>
      </c>
      <c r="I52" s="12">
        <f t="shared" si="21"/>
        <v>-36</v>
      </c>
      <c r="J52" s="12">
        <f t="shared" si="21"/>
        <v>-36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8" t="s">
        <v>132</v>
      </c>
      <c r="B53" s="21">
        <v>-4974.0</v>
      </c>
      <c r="C53" s="21">
        <v>-5318.0</v>
      </c>
      <c r="D53" s="21">
        <v>-6083.0</v>
      </c>
      <c r="E53" s="21">
        <f>D53+IS!E38</f>
        <v>-6650.317465</v>
      </c>
      <c r="F53" s="21">
        <f>E53+IS!F38</f>
        <v>-6788.672182</v>
      </c>
      <c r="G53" s="21">
        <f>F53+IS!G38</f>
        <v>-6280.514124</v>
      </c>
      <c r="H53" s="21">
        <f>G53+IS!H38</f>
        <v>-4913.600551</v>
      </c>
      <c r="I53" s="21">
        <f>H53+IS!I38</f>
        <v>-2569.988864</v>
      </c>
      <c r="J53" s="21">
        <f>I53+IS!J38</f>
        <v>927.2294986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48" t="s">
        <v>134</v>
      </c>
      <c r="B54" s="59">
        <v>4237.0</v>
      </c>
      <c r="C54" s="59">
        <f t="shared" ref="C54:J54" si="22">SUM(C49:C53)</f>
        <v>4923</v>
      </c>
      <c r="D54" s="59">
        <f t="shared" si="22"/>
        <v>6618</v>
      </c>
      <c r="E54" s="59">
        <f t="shared" si="22"/>
        <v>7168.171886</v>
      </c>
      <c r="F54" s="59">
        <f t="shared" si="22"/>
        <v>8274.018951</v>
      </c>
      <c r="G54" s="59">
        <f t="shared" si="22"/>
        <v>10182.95033</v>
      </c>
      <c r="H54" s="59">
        <f t="shared" si="22"/>
        <v>13124.12606</v>
      </c>
      <c r="I54" s="59">
        <f t="shared" si="22"/>
        <v>17249.16936</v>
      </c>
      <c r="J54" s="59">
        <f t="shared" si="22"/>
        <v>22769.17722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8" t="s">
        <v>138</v>
      </c>
      <c r="B55" s="21">
        <v>997.0</v>
      </c>
      <c r="C55" s="36">
        <v>834.0</v>
      </c>
      <c r="D55" s="36">
        <v>849.0</v>
      </c>
      <c r="E55" s="12">
        <f t="shared" ref="E55:J55" si="23">D55</f>
        <v>849</v>
      </c>
      <c r="F55" s="12">
        <f t="shared" si="23"/>
        <v>849</v>
      </c>
      <c r="G55" s="12">
        <f t="shared" si="23"/>
        <v>849</v>
      </c>
      <c r="H55" s="12">
        <f t="shared" si="23"/>
        <v>849</v>
      </c>
      <c r="I55" s="12">
        <f t="shared" si="23"/>
        <v>849</v>
      </c>
      <c r="J55" s="12">
        <f t="shared" si="23"/>
        <v>849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37" t="s">
        <v>141</v>
      </c>
      <c r="B56" s="72">
        <v>28655.0</v>
      </c>
      <c r="C56" s="72">
        <f t="shared" ref="C56:J56" si="24">C44+C45+C54+C55</f>
        <v>29740</v>
      </c>
      <c r="D56" s="72">
        <f t="shared" si="24"/>
        <v>34309</v>
      </c>
      <c r="E56" s="72">
        <f t="shared" si="24"/>
        <v>33879.83794</v>
      </c>
      <c r="F56" s="72">
        <f t="shared" si="24"/>
        <v>36138.87813</v>
      </c>
      <c r="G56" s="72">
        <f t="shared" si="24"/>
        <v>38028.2365</v>
      </c>
      <c r="H56" s="72">
        <f t="shared" si="24"/>
        <v>41816.50075</v>
      </c>
      <c r="I56" s="72">
        <f t="shared" si="24"/>
        <v>48242.40532</v>
      </c>
      <c r="J56" s="72">
        <f t="shared" si="24"/>
        <v>55058.48114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73" t="s">
        <v>151</v>
      </c>
      <c r="B59" s="74" t="s">
        <v>13</v>
      </c>
      <c r="E59" s="75" t="s">
        <v>14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29" t="s">
        <v>153</v>
      </c>
      <c r="B60" s="29">
        <v>360.0</v>
      </c>
      <c r="C60" s="29">
        <v>360.0</v>
      </c>
      <c r="D60" s="29">
        <v>360.0</v>
      </c>
      <c r="E60" s="29">
        <v>360.0</v>
      </c>
      <c r="F60" s="29">
        <v>360.0</v>
      </c>
      <c r="G60" s="29">
        <v>360.0</v>
      </c>
      <c r="H60" s="29">
        <v>360.0</v>
      </c>
      <c r="I60" s="29">
        <v>360.0</v>
      </c>
      <c r="J60" s="29">
        <v>360.0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29" t="s">
        <v>155</v>
      </c>
      <c r="B61" s="23">
        <f>(B11/IS!B12)*B60</f>
        <v>15.76664682</v>
      </c>
      <c r="C61" s="23">
        <f>(C11/IS!C12)*C60</f>
        <v>15.91910908</v>
      </c>
      <c r="D61" s="23">
        <f>(D11/IS!D12)*D60</f>
        <v>19.39295305</v>
      </c>
      <c r="E61" s="79">
        <f t="shared" ref="E61:J61" si="25">D61</f>
        <v>19.39295305</v>
      </c>
      <c r="F61" s="79">
        <f t="shared" si="25"/>
        <v>19.39295305</v>
      </c>
      <c r="G61" s="79">
        <f t="shared" si="25"/>
        <v>19.39295305</v>
      </c>
      <c r="H61" s="79">
        <f t="shared" si="25"/>
        <v>19.39295305</v>
      </c>
      <c r="I61" s="79">
        <f t="shared" si="25"/>
        <v>19.39295305</v>
      </c>
      <c r="J61" s="79">
        <f t="shared" si="25"/>
        <v>19.39295305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29" t="s">
        <v>160</v>
      </c>
      <c r="B62" s="23">
        <f>(B12/IS!B21)*B60</f>
        <v>85.46979866</v>
      </c>
      <c r="C62" s="23">
        <f>(C12/IS!C21)*C60</f>
        <v>64.33664389</v>
      </c>
      <c r="D62" s="23">
        <f>(D12/IS!D21)*D60</f>
        <v>62.34921254</v>
      </c>
      <c r="E62" s="79">
        <f t="shared" ref="E62:J62" si="26">D62</f>
        <v>62.34921254</v>
      </c>
      <c r="F62" s="79">
        <f t="shared" si="26"/>
        <v>62.34921254</v>
      </c>
      <c r="G62" s="79">
        <f t="shared" si="26"/>
        <v>62.34921254</v>
      </c>
      <c r="H62" s="79">
        <f t="shared" si="26"/>
        <v>62.34921254</v>
      </c>
      <c r="I62" s="79">
        <f t="shared" si="26"/>
        <v>62.34921254</v>
      </c>
      <c r="J62" s="79">
        <f t="shared" si="26"/>
        <v>62.34921254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29" t="s">
        <v>165</v>
      </c>
      <c r="B63" s="76">
        <f>BS!B13/IS!B12</f>
        <v>0.02279105366</v>
      </c>
      <c r="C63" s="76">
        <f>BS!C13/IS!C12</f>
        <v>0.01705419132</v>
      </c>
      <c r="D63" s="76">
        <f>BS!D13/IS!D12</f>
        <v>0.02900968346</v>
      </c>
      <c r="E63" s="83">
        <f t="shared" ref="E63:J63" si="27">D63</f>
        <v>0.02900968346</v>
      </c>
      <c r="F63" s="83">
        <f t="shared" si="27"/>
        <v>0.02900968346</v>
      </c>
      <c r="G63" s="83">
        <f t="shared" si="27"/>
        <v>0.02900968346</v>
      </c>
      <c r="H63" s="83">
        <f t="shared" si="27"/>
        <v>0.02900968346</v>
      </c>
      <c r="I63" s="83">
        <f t="shared" si="27"/>
        <v>0.02900968346</v>
      </c>
      <c r="J63" s="83">
        <f t="shared" si="27"/>
        <v>0.02900968346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29" t="s">
        <v>174</v>
      </c>
      <c r="B64" s="76">
        <f>B26/IS!B12</f>
        <v>0.02321625989</v>
      </c>
      <c r="C64" s="76">
        <f>C26/IS!C12</f>
        <v>0.02665299846</v>
      </c>
      <c r="D64" s="76">
        <f>D26/IS!D12</f>
        <v>0.0328749288</v>
      </c>
      <c r="E64" s="83">
        <f t="shared" ref="E64:J64" si="28">D64</f>
        <v>0.0328749288</v>
      </c>
      <c r="F64" s="83">
        <f t="shared" si="28"/>
        <v>0.0328749288</v>
      </c>
      <c r="G64" s="83">
        <f t="shared" si="28"/>
        <v>0.0328749288</v>
      </c>
      <c r="H64" s="83">
        <f t="shared" si="28"/>
        <v>0.0328749288</v>
      </c>
      <c r="I64" s="83">
        <f t="shared" si="28"/>
        <v>0.0328749288</v>
      </c>
      <c r="J64" s="83">
        <f t="shared" si="28"/>
        <v>0.0328749288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29" t="s">
        <v>181</v>
      </c>
      <c r="B66" s="23">
        <f>B60/(IS!B21/BS!B31)</f>
        <v>90.22651007</v>
      </c>
      <c r="C66" s="23">
        <f>C60/(IS!C21/BS!C31)</f>
        <v>70.37143349</v>
      </c>
      <c r="D66" s="23">
        <f>D60/(IS!D21/BS!D31)</f>
        <v>66.19337852</v>
      </c>
      <c r="E66" s="79">
        <f t="shared" ref="E66:J66" si="29">D66</f>
        <v>66.19337852</v>
      </c>
      <c r="F66" s="79">
        <f t="shared" si="29"/>
        <v>66.19337852</v>
      </c>
      <c r="G66" s="79">
        <f t="shared" si="29"/>
        <v>66.19337852</v>
      </c>
      <c r="H66" s="79">
        <f t="shared" si="29"/>
        <v>66.19337852</v>
      </c>
      <c r="I66" s="79">
        <f t="shared" si="29"/>
        <v>66.19337852</v>
      </c>
      <c r="J66" s="79">
        <f t="shared" si="29"/>
        <v>66.19337852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8" t="s">
        <v>185</v>
      </c>
      <c r="B67" s="76">
        <f>B32/IS!B12</f>
        <v>0.1472063951</v>
      </c>
      <c r="C67" s="76">
        <f>C32/IS!C12</f>
        <v>0.09757234052</v>
      </c>
      <c r="D67" s="76">
        <f>D32/IS!D12</f>
        <v>0.1181951339</v>
      </c>
      <c r="E67" s="83">
        <f t="shared" ref="E67:J67" si="30">D67</f>
        <v>0.1181951339</v>
      </c>
      <c r="F67" s="83">
        <f t="shared" si="30"/>
        <v>0.1181951339</v>
      </c>
      <c r="G67" s="83">
        <f t="shared" si="30"/>
        <v>0.1181951339</v>
      </c>
      <c r="H67" s="83">
        <f t="shared" si="30"/>
        <v>0.1181951339</v>
      </c>
      <c r="I67" s="83">
        <f t="shared" si="30"/>
        <v>0.1181951339</v>
      </c>
      <c r="J67" s="83">
        <f t="shared" si="30"/>
        <v>0.1181951339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8" t="s">
        <v>188</v>
      </c>
      <c r="B68" s="76">
        <f>(B33+B41)/IS!B12</f>
        <v>0.1864954503</v>
      </c>
      <c r="C68" s="76">
        <f>(C33+C41)/IS!C12</f>
        <v>0.07553236103</v>
      </c>
      <c r="D68" s="76">
        <f>(D33+D41)/IS!D12</f>
        <v>0.09642769957</v>
      </c>
      <c r="E68" s="83">
        <f t="shared" ref="E68:J68" si="31">D68</f>
        <v>0.09642769957</v>
      </c>
      <c r="F68" s="83">
        <f t="shared" si="31"/>
        <v>0.09642769957</v>
      </c>
      <c r="G68" s="83">
        <f t="shared" si="31"/>
        <v>0.09642769957</v>
      </c>
      <c r="H68" s="83">
        <f t="shared" si="31"/>
        <v>0.09642769957</v>
      </c>
      <c r="I68" s="83">
        <f t="shared" si="31"/>
        <v>0.09642769957</v>
      </c>
      <c r="J68" s="83">
        <f t="shared" si="31"/>
        <v>0.09642769957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29" t="s">
        <v>189</v>
      </c>
      <c r="B69" s="76">
        <f t="shared" ref="B69:D69" si="32">B33/(B33+B41)</f>
        <v>0.4628362973</v>
      </c>
      <c r="C69" s="76">
        <f t="shared" si="32"/>
        <v>0.3886489821</v>
      </c>
      <c r="D69" s="76">
        <f t="shared" si="32"/>
        <v>0.4907172996</v>
      </c>
      <c r="E69" s="83">
        <f t="shared" ref="E69:J69" si="33">D69</f>
        <v>0.4907172996</v>
      </c>
      <c r="F69" s="83">
        <f t="shared" si="33"/>
        <v>0.4907172996</v>
      </c>
      <c r="G69" s="83">
        <f t="shared" si="33"/>
        <v>0.4907172996</v>
      </c>
      <c r="H69" s="83">
        <f t="shared" si="33"/>
        <v>0.4907172996</v>
      </c>
      <c r="I69" s="83">
        <f t="shared" si="33"/>
        <v>0.4907172996</v>
      </c>
      <c r="J69" s="83">
        <f t="shared" si="33"/>
        <v>0.4907172996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29" t="s">
        <v>190</v>
      </c>
      <c r="B70" s="21">
        <f t="shared" ref="B70:D70" si="34">(B34+B42)</f>
        <v>3096</v>
      </c>
      <c r="C70" s="21">
        <f t="shared" si="34"/>
        <v>832</v>
      </c>
      <c r="D70" s="21">
        <f t="shared" si="34"/>
        <v>353</v>
      </c>
      <c r="E70" s="94">
        <v>226.0</v>
      </c>
      <c r="F70" s="94">
        <v>340.0</v>
      </c>
      <c r="G70" s="94">
        <f t="shared" ref="G70:J70" si="35">F70</f>
        <v>340</v>
      </c>
      <c r="H70" s="94">
        <f t="shared" si="35"/>
        <v>340</v>
      </c>
      <c r="I70" s="94">
        <f t="shared" si="35"/>
        <v>340</v>
      </c>
      <c r="J70" s="94">
        <f t="shared" si="35"/>
        <v>340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8" t="s">
        <v>193</v>
      </c>
      <c r="B71" s="76">
        <f t="shared" ref="B71:D71" si="36">B34/B70</f>
        <v>0.2541989664</v>
      </c>
      <c r="C71" s="76">
        <f t="shared" si="36"/>
        <v>0.6045673077</v>
      </c>
      <c r="D71" s="76">
        <f t="shared" si="36"/>
        <v>0.8980169972</v>
      </c>
      <c r="E71" s="83">
        <f t="shared" ref="E71:J71" si="37">D71</f>
        <v>0.8980169972</v>
      </c>
      <c r="F71" s="83">
        <f t="shared" si="37"/>
        <v>0.8980169972</v>
      </c>
      <c r="G71" s="83">
        <f t="shared" si="37"/>
        <v>0.8980169972</v>
      </c>
      <c r="H71" s="83">
        <f t="shared" si="37"/>
        <v>0.8980169972</v>
      </c>
      <c r="I71" s="83">
        <f t="shared" si="37"/>
        <v>0.8980169972</v>
      </c>
      <c r="J71" s="83">
        <f t="shared" si="37"/>
        <v>0.8980169972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29" t="s">
        <v>195</v>
      </c>
      <c r="B72" s="63" t="s">
        <v>47</v>
      </c>
      <c r="C72" s="76">
        <f t="shared" ref="C72:D72" si="38">(C35-B35)/B35</f>
        <v>-0.07142857143</v>
      </c>
      <c r="D72" s="76">
        <f t="shared" si="38"/>
        <v>-0.08448928121</v>
      </c>
      <c r="E72" s="83">
        <f t="shared" ref="E72:J72" si="39">D72</f>
        <v>-0.08448928121</v>
      </c>
      <c r="F72" s="83">
        <f t="shared" si="39"/>
        <v>-0.08448928121</v>
      </c>
      <c r="G72" s="83">
        <f t="shared" si="39"/>
        <v>-0.08448928121</v>
      </c>
      <c r="H72" s="83">
        <f t="shared" si="39"/>
        <v>-0.08448928121</v>
      </c>
      <c r="I72" s="83">
        <f t="shared" si="39"/>
        <v>-0.08448928121</v>
      </c>
      <c r="J72" s="83">
        <f t="shared" si="39"/>
        <v>-0.08448928121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8" t="s">
        <v>196</v>
      </c>
      <c r="B73" s="76">
        <f>B36/IS!B12</f>
        <v>0.06777787227</v>
      </c>
      <c r="C73" s="76">
        <f>C36/IS!C12</f>
        <v>0.1196589162</v>
      </c>
      <c r="D73" s="76">
        <f>D36/IS!D12</f>
        <v>0.07262592562</v>
      </c>
      <c r="E73" s="83">
        <f t="shared" ref="E73:J73" si="40">D73</f>
        <v>0.07262592562</v>
      </c>
      <c r="F73" s="83">
        <f t="shared" si="40"/>
        <v>0.07262592562</v>
      </c>
      <c r="G73" s="83">
        <f t="shared" si="40"/>
        <v>0.07262592562</v>
      </c>
      <c r="H73" s="83">
        <f t="shared" si="40"/>
        <v>0.07262592562</v>
      </c>
      <c r="I73" s="83">
        <f t="shared" si="40"/>
        <v>0.07262592562</v>
      </c>
      <c r="J73" s="83">
        <f t="shared" si="40"/>
        <v>0.07262592562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</sheetData>
  <mergeCells count="6">
    <mergeCell ref="B1:D1"/>
    <mergeCell ref="E1:J1"/>
    <mergeCell ref="B4:D4"/>
    <mergeCell ref="E4:J4"/>
    <mergeCell ref="B59:D59"/>
    <mergeCell ref="E59:J59"/>
  </mergeCells>
  <conditionalFormatting sqref="E5:J5">
    <cfRule type="cellIs" dxfId="0" priority="1" operator="equal">
      <formula>"OK"</formula>
    </cfRule>
  </conditionalFormatting>
  <conditionalFormatting sqref="B5:J5">
    <cfRule type="cellIs" dxfId="1" priority="2" operator="equal">
      <formula>"Check"</formula>
    </cfRule>
  </conditionalFormatting>
  <conditionalFormatting sqref="B5:D5">
    <cfRule type="cellIs" dxfId="2" priority="3" operator="equal">
      <formula>"OK"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68.71"/>
    <col customWidth="1" min="2" max="5" width="13.86"/>
  </cols>
  <sheetData>
    <row r="1">
      <c r="A1" s="1" t="s">
        <v>0</v>
      </c>
      <c r="B1" s="2" t="s">
        <v>1</v>
      </c>
      <c r="E1" s="3" t="s">
        <v>2</v>
      </c>
    </row>
    <row r="2">
      <c r="A2" s="4"/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>
      <c r="A3" s="7"/>
      <c r="B3" s="7"/>
      <c r="C3" s="7"/>
      <c r="D3" s="7"/>
    </row>
    <row r="4">
      <c r="A4" s="8" t="s">
        <v>25</v>
      </c>
      <c r="B4" s="5" t="s">
        <v>13</v>
      </c>
      <c r="E4" s="3" t="s">
        <v>14</v>
      </c>
    </row>
    <row r="5">
      <c r="A5" s="15" t="s">
        <v>26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8" t="s">
        <v>27</v>
      </c>
      <c r="B6" s="19">
        <v>-2241.0</v>
      </c>
      <c r="C6" s="19">
        <v>-1063.0</v>
      </c>
      <c r="D6" s="19">
        <v>-775.0</v>
      </c>
      <c r="E6" s="20">
        <f>IS!E38</f>
        <v>-567.3174654</v>
      </c>
      <c r="F6" s="20">
        <f>IS!F38</f>
        <v>-138.3547161</v>
      </c>
      <c r="G6" s="20">
        <f>IS!G38</f>
        <v>508.1580578</v>
      </c>
      <c r="H6" s="20">
        <f>IS!H38</f>
        <v>1366.913572</v>
      </c>
      <c r="I6" s="20">
        <f>IS!I38</f>
        <v>2343.611688</v>
      </c>
      <c r="J6" s="20">
        <f>IS!J38</f>
        <v>3497.218363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8" t="s">
        <v>28</v>
      </c>
      <c r="B7" s="16"/>
      <c r="C7" s="16"/>
      <c r="D7" s="16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8" t="s">
        <v>29</v>
      </c>
      <c r="B8" s="26">
        <v>1636.0</v>
      </c>
      <c r="C8" s="26">
        <v>1901.0</v>
      </c>
      <c r="D8" s="26">
        <v>2154.0</v>
      </c>
      <c r="E8" s="21">
        <f>Schedules!E72</f>
        <v>2156.066945</v>
      </c>
      <c r="F8" s="21">
        <f>BS!F17-BS!E17</f>
        <v>1489.825819</v>
      </c>
      <c r="G8" s="21">
        <f>BS!G17-BS!F17</f>
        <v>1631.234523</v>
      </c>
      <c r="H8" s="21">
        <f>BS!H17-BS!G17</f>
        <v>1786.784097</v>
      </c>
      <c r="I8" s="21">
        <f>BS!I17-BS!H17</f>
        <v>1957.888629</v>
      </c>
      <c r="J8" s="21">
        <f>BS!J17-BS!I17</f>
        <v>2146.103614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8" t="s">
        <v>30</v>
      </c>
      <c r="B9" s="27">
        <v>467.0</v>
      </c>
      <c r="C9" s="27">
        <v>749.0</v>
      </c>
      <c r="D9" s="27">
        <v>898.0</v>
      </c>
      <c r="E9" s="28">
        <f>E73*IS!E12</f>
        <v>854.489351</v>
      </c>
      <c r="F9" s="28">
        <f>F73*IS!F12</f>
        <v>981.2017811</v>
      </c>
      <c r="G9" s="28">
        <f>G73*IS!G12</f>
        <v>1137.773325</v>
      </c>
      <c r="H9" s="28">
        <f>H73*IS!H12</f>
        <v>1311.262151</v>
      </c>
      <c r="I9" s="28">
        <f>I73*IS!I12</f>
        <v>1518.431612</v>
      </c>
      <c r="J9" s="28">
        <f>J73*IS!J12</f>
        <v>1759.789502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8" t="s">
        <v>31</v>
      </c>
      <c r="B10" s="27">
        <v>91.0</v>
      </c>
      <c r="C10" s="27">
        <v>159.0</v>
      </c>
      <c r="D10" s="27">
        <v>188.0</v>
      </c>
      <c r="E10" s="29">
        <v>0.0</v>
      </c>
      <c r="F10" s="12">
        <f t="shared" ref="F10:J10" si="1">E10</f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2">
        <f t="shared" si="1"/>
        <v>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8" t="s">
        <v>32</v>
      </c>
      <c r="B11" s="27">
        <v>132.0</v>
      </c>
      <c r="C11" s="27">
        <v>85.0</v>
      </c>
      <c r="D11" s="27">
        <v>193.0</v>
      </c>
      <c r="E11" s="29">
        <v>0.0</v>
      </c>
      <c r="F11" s="12">
        <f t="shared" ref="F11:J11" si="2">E11</f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8" t="s">
        <v>33</v>
      </c>
      <c r="B12" s="27">
        <v>106.0</v>
      </c>
      <c r="C12" s="27">
        <v>162.0</v>
      </c>
      <c r="D12" s="27">
        <v>146.0</v>
      </c>
      <c r="E12" s="29">
        <v>0.0</v>
      </c>
      <c r="F12" s="12">
        <f t="shared" ref="F12:J12" si="3">E12</f>
        <v>0</v>
      </c>
      <c r="G12" s="12">
        <f t="shared" si="3"/>
        <v>0</v>
      </c>
      <c r="H12" s="12">
        <f t="shared" si="3"/>
        <v>0</v>
      </c>
      <c r="I12" s="12">
        <f t="shared" si="3"/>
        <v>0</v>
      </c>
      <c r="J12" s="12">
        <f t="shared" si="3"/>
        <v>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8" t="s">
        <v>34</v>
      </c>
      <c r="B13" s="27">
        <v>52.0</v>
      </c>
      <c r="C13" s="27">
        <v>-2.0</v>
      </c>
      <c r="D13" s="27">
        <v>-48.0</v>
      </c>
      <c r="E13" s="29">
        <v>0.0</v>
      </c>
      <c r="F13" s="12">
        <f t="shared" ref="F13:J13" si="4">E13</f>
        <v>0</v>
      </c>
      <c r="G13" s="12">
        <f t="shared" si="4"/>
        <v>0</v>
      </c>
      <c r="H13" s="12">
        <f t="shared" si="4"/>
        <v>0</v>
      </c>
      <c r="I13" s="12">
        <f t="shared" si="4"/>
        <v>0</v>
      </c>
      <c r="J13" s="12">
        <f t="shared" si="4"/>
        <v>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8" t="s">
        <v>35</v>
      </c>
      <c r="B14" s="27">
        <v>58.0</v>
      </c>
      <c r="C14" s="27">
        <v>0.0</v>
      </c>
      <c r="D14" s="27">
        <v>0.0</v>
      </c>
      <c r="E14" s="12">
        <f t="shared" ref="E14:J14" si="5">D14</f>
        <v>0</v>
      </c>
      <c r="F14" s="12">
        <f t="shared" si="5"/>
        <v>0</v>
      </c>
      <c r="G14" s="12">
        <f t="shared" si="5"/>
        <v>0</v>
      </c>
      <c r="H14" s="12">
        <f t="shared" si="5"/>
        <v>0</v>
      </c>
      <c r="I14" s="12">
        <f t="shared" si="5"/>
        <v>0</v>
      </c>
      <c r="J14" s="12">
        <f t="shared" si="5"/>
        <v>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8" t="s">
        <v>36</v>
      </c>
      <c r="B15" s="27">
        <v>135.0</v>
      </c>
      <c r="C15" s="27">
        <v>49.0</v>
      </c>
      <c r="D15" s="27">
        <v>186.0</v>
      </c>
      <c r="E15" s="29">
        <v>0.0</v>
      </c>
      <c r="F15" s="12">
        <f t="shared" ref="F15:J15" si="6">E15</f>
        <v>0</v>
      </c>
      <c r="G15" s="12">
        <f t="shared" si="6"/>
        <v>0</v>
      </c>
      <c r="H15" s="12">
        <f t="shared" si="6"/>
        <v>0</v>
      </c>
      <c r="I15" s="12">
        <f t="shared" si="6"/>
        <v>0</v>
      </c>
      <c r="J15" s="12">
        <f t="shared" si="6"/>
        <v>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8" t="s">
        <v>37</v>
      </c>
      <c r="B16" s="27">
        <v>0.0</v>
      </c>
      <c r="C16" s="27">
        <v>0.0</v>
      </c>
      <c r="D16" s="27">
        <v>-188.0</v>
      </c>
      <c r="E16" s="29">
        <v>0.0</v>
      </c>
      <c r="F16" s="12">
        <f t="shared" ref="F16:J16" si="7">E16</f>
        <v>0</v>
      </c>
      <c r="G16" s="12">
        <f t="shared" si="7"/>
        <v>0</v>
      </c>
      <c r="H16" s="12">
        <f t="shared" si="7"/>
        <v>0</v>
      </c>
      <c r="I16" s="12">
        <f t="shared" si="7"/>
        <v>0</v>
      </c>
      <c r="J16" s="12">
        <f t="shared" si="7"/>
        <v>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30" t="s">
        <v>38</v>
      </c>
      <c r="B17" s="31">
        <f t="shared" ref="B17:J17" si="8">SUM(B8:B16)</f>
        <v>2677</v>
      </c>
      <c r="C17" s="31">
        <f t="shared" si="8"/>
        <v>3103</v>
      </c>
      <c r="D17" s="31">
        <f t="shared" si="8"/>
        <v>3529</v>
      </c>
      <c r="E17" s="32">
        <f t="shared" si="8"/>
        <v>3010.556296</v>
      </c>
      <c r="F17" s="32">
        <f t="shared" si="8"/>
        <v>2471.0276</v>
      </c>
      <c r="G17" s="32">
        <f t="shared" si="8"/>
        <v>2769.007847</v>
      </c>
      <c r="H17" s="32">
        <f t="shared" si="8"/>
        <v>3098.046248</v>
      </c>
      <c r="I17" s="32">
        <f t="shared" si="8"/>
        <v>3476.320241</v>
      </c>
      <c r="J17" s="32">
        <f t="shared" si="8"/>
        <v>3905.893115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8" t="s">
        <v>39</v>
      </c>
      <c r="B18" s="16"/>
      <c r="C18" s="16"/>
      <c r="D18" s="16"/>
      <c r="E18" s="28"/>
      <c r="F18" s="28"/>
      <c r="G18" s="28"/>
      <c r="H18" s="28"/>
      <c r="I18" s="28"/>
      <c r="J18" s="28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8" t="s">
        <v>40</v>
      </c>
      <c r="B19" s="27">
        <v>-25.0</v>
      </c>
      <c r="C19" s="27">
        <v>-497.0</v>
      </c>
      <c r="D19" s="27">
        <v>-367.0</v>
      </c>
      <c r="E19" s="21">
        <f>BS!D11-BS!E11</f>
        <v>64.15155818</v>
      </c>
      <c r="F19" s="23">
        <f>BS!E11-BS!F11</f>
        <v>-186.8232265</v>
      </c>
      <c r="G19" s="23">
        <f>BS!F11-BS!G11</f>
        <v>-230.8471313</v>
      </c>
      <c r="H19" s="23">
        <f>BS!G11-BS!H11</f>
        <v>-255.7897612</v>
      </c>
      <c r="I19" s="23">
        <f>BS!H11-BS!I11</f>
        <v>-305.4480703</v>
      </c>
      <c r="J19" s="23">
        <f>BS!I11-BS!J11</f>
        <v>-355.8550616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8" t="s">
        <v>41</v>
      </c>
      <c r="B20" s="27">
        <v>-179.0</v>
      </c>
      <c r="C20" s="26">
        <v>-1023.0</v>
      </c>
      <c r="D20" s="27">
        <v>-429.0</v>
      </c>
      <c r="E20" s="21">
        <f>BS!D12-BS!E12</f>
        <v>166.8033593</v>
      </c>
      <c r="F20" s="23">
        <f>BS!E12-BS!F12</f>
        <v>-426.0871619</v>
      </c>
      <c r="G20" s="23">
        <f>BS!F12-BS!G12</f>
        <v>-518.7336929</v>
      </c>
      <c r="H20" s="23">
        <f>BS!G12-BS!H12</f>
        <v>-557.7801041</v>
      </c>
      <c r="I20" s="23">
        <f>BS!H12-BS!I12</f>
        <v>-667.4757239</v>
      </c>
      <c r="J20" s="23">
        <f>BS!I12-BS!J12</f>
        <v>-763.4349649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8" t="s">
        <v>70</v>
      </c>
      <c r="B21" s="26">
        <v>-1523.0</v>
      </c>
      <c r="C21" s="27">
        <v>-215.0</v>
      </c>
      <c r="D21" s="27">
        <v>-764.0</v>
      </c>
      <c r="E21" s="21">
        <f>Schedules!D26-Schedules!E26</f>
        <v>-844.6684168</v>
      </c>
      <c r="F21" s="21">
        <f>BS!E19-BS!F19</f>
        <v>374.5711583</v>
      </c>
      <c r="G21" s="21">
        <f>BS!F19-BS!G19</f>
        <v>342.9252662</v>
      </c>
      <c r="H21" s="21">
        <f>BS!G19-BS!H19</f>
        <v>385.0315187</v>
      </c>
      <c r="I21" s="21">
        <f>BS!H19-BS!I19</f>
        <v>447.7239328</v>
      </c>
      <c r="J21" s="21">
        <f>BS!I19-BS!J19</f>
        <v>518.0644415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8" t="s">
        <v>73</v>
      </c>
      <c r="B22" s="27">
        <v>-72.0</v>
      </c>
      <c r="C22" s="27">
        <v>-82.0</v>
      </c>
      <c r="D22" s="27">
        <v>-288.0</v>
      </c>
      <c r="E22" s="21">
        <f>BS!D13-BS!E13</f>
        <v>34.54687385</v>
      </c>
      <c r="F22" s="23">
        <f>BS!E13-BS!F13</f>
        <v>-100.6079762</v>
      </c>
      <c r="G22" s="23">
        <f>BS!F13-BS!G13</f>
        <v>-124.3157135</v>
      </c>
      <c r="H22" s="23">
        <f>BS!G13-BS!H13</f>
        <v>-137.7478095</v>
      </c>
      <c r="I22" s="23">
        <f>BS!H13-BS!I13</f>
        <v>-164.4897841</v>
      </c>
      <c r="J22" s="23">
        <f>BS!I13-BS!J13</f>
        <v>-191.6349388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8" t="s">
        <v>76</v>
      </c>
      <c r="B23" s="27">
        <v>-15.0</v>
      </c>
      <c r="C23" s="27">
        <v>-207.0</v>
      </c>
      <c r="D23" s="27">
        <v>115.0</v>
      </c>
      <c r="E23" s="28">
        <f>BS!D26-BS!E26</f>
        <v>39.14989351</v>
      </c>
      <c r="F23" s="28">
        <f>BS!E26-BS!F26</f>
        <v>-114.012966</v>
      </c>
      <c r="G23" s="28">
        <f>BS!F26-BS!G26</f>
        <v>-140.8795182</v>
      </c>
      <c r="H23" s="28">
        <f>BS!G26-BS!H26</f>
        <v>-156.1013044</v>
      </c>
      <c r="I23" s="28">
        <f>BS!H26-BS!I26</f>
        <v>-186.4063752</v>
      </c>
      <c r="J23" s="28">
        <f>BS!I26-BS!J26</f>
        <v>-217.1683458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8" t="s">
        <v>78</v>
      </c>
      <c r="B24" s="27">
        <v>388.0</v>
      </c>
      <c r="C24" s="26">
        <v>1723.0</v>
      </c>
      <c r="D24" s="27">
        <v>682.0</v>
      </c>
      <c r="E24" s="21">
        <f>(BS!E31+BS!E32)-(BS!D31+BS!D32)</f>
        <v>-317.8431839</v>
      </c>
      <c r="F24" s="21">
        <f>(BS!F31+BS!F32)-(BS!E31+BS!E32)</f>
        <v>862.2682167</v>
      </c>
      <c r="G24" s="21">
        <f>(BS!G31+BS!G32)-(BS!F31+BS!F32)</f>
        <v>1057.220142</v>
      </c>
      <c r="H24" s="21">
        <f>(BS!H31+BS!H32)-(BS!G31+BS!G32)</f>
        <v>1153.400819</v>
      </c>
      <c r="I24" s="21">
        <f>(BS!I31+BS!I32)-(BS!H31+BS!H32)</f>
        <v>1378.815497</v>
      </c>
      <c r="J24" s="21">
        <f>(BS!J31+BS!J32)-(BS!I31+BS!I32)</f>
        <v>1591.289566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8" t="s">
        <v>81</v>
      </c>
      <c r="B25" s="27">
        <v>469.0</v>
      </c>
      <c r="C25" s="27">
        <v>406.0</v>
      </c>
      <c r="D25" s="27">
        <v>801.0</v>
      </c>
      <c r="E25" s="28">
        <f>(BS!E33-BS!D33)+(BS!E41-BS!D41)</f>
        <v>-114.8332272</v>
      </c>
      <c r="F25" s="28">
        <f>(BS!F33-BS!E33)+(BS!F41-BS!E41)</f>
        <v>334.4192196</v>
      </c>
      <c r="G25" s="28">
        <f>(BS!G33-BS!F33)+(BS!G41-BS!F41)</f>
        <v>413.2233393</v>
      </c>
      <c r="H25" s="28">
        <f>(BS!H33-BS!G33)+(BS!H41-BS!G41)</f>
        <v>457.8714003</v>
      </c>
      <c r="I25" s="28">
        <f>(BS!I33-BS!H33)+(BS!I41-BS!H41)</f>
        <v>546.7612739</v>
      </c>
      <c r="J25" s="28">
        <f>(BS!J33-BS!I33)+(BS!J41-BS!I41)</f>
        <v>636.9913112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8" t="s">
        <v>83</v>
      </c>
      <c r="B26" s="27">
        <v>170.0</v>
      </c>
      <c r="C26" s="27">
        <v>-96.0</v>
      </c>
      <c r="D26" s="27">
        <v>-58.0</v>
      </c>
      <c r="E26" s="28">
        <f>BS!E35-BS!D35</f>
        <v>-61.33921816</v>
      </c>
      <c r="F26" s="28">
        <f>BS!F35-BS!E35</f>
        <v>-56.15671171</v>
      </c>
      <c r="G26" s="28">
        <f>BS!G35-BS!F35</f>
        <v>-51.4120715</v>
      </c>
      <c r="H26" s="28">
        <f>BS!H35-BS!G35</f>
        <v>-47.06830253</v>
      </c>
      <c r="I26" s="28">
        <f>BS!I35-BS!H35</f>
        <v>-43.09153548</v>
      </c>
      <c r="J26" s="28">
        <f>BS!J35-BS!I35</f>
        <v>-39.45076262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8" t="s">
        <v>85</v>
      </c>
      <c r="B27" s="27">
        <v>209.0</v>
      </c>
      <c r="C27" s="27">
        <v>-111.0</v>
      </c>
      <c r="D27" s="27">
        <v>-150.0</v>
      </c>
      <c r="E27" s="28">
        <f>(BS!E34-BS!D34)+(BS!E42-BS!D42)</f>
        <v>-127</v>
      </c>
      <c r="F27" s="28">
        <f>(BS!F34-BS!E34)+(BS!F42-BS!E42)</f>
        <v>114</v>
      </c>
      <c r="G27" s="28">
        <f>(BS!G34-BS!F34)+(BS!G42-BS!F42)</f>
        <v>0</v>
      </c>
      <c r="H27" s="28">
        <f>(BS!H34-BS!G34)+(BS!H42-BS!G42)</f>
        <v>0</v>
      </c>
      <c r="I27" s="28">
        <f>(BS!I34-BS!H34)+(BS!I42-BS!H42)</f>
        <v>0</v>
      </c>
      <c r="J27" s="28">
        <f>(BS!J34-BS!I34)+(BS!J42-BS!I42)</f>
        <v>0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8" t="s">
        <v>87</v>
      </c>
      <c r="B28" s="27">
        <v>81.0</v>
      </c>
      <c r="C28" s="27">
        <v>160.0</v>
      </c>
      <c r="D28" s="27">
        <v>109.0</v>
      </c>
      <c r="E28" s="21">
        <f>BS!E43-BS!D43</f>
        <v>0</v>
      </c>
      <c r="F28" s="21">
        <f>BS!F43-BS!E43</f>
        <v>0</v>
      </c>
      <c r="G28" s="21">
        <f>BS!G43-BS!F43</f>
        <v>0</v>
      </c>
      <c r="H28" s="21">
        <f>BS!H43-BS!G43</f>
        <v>0</v>
      </c>
      <c r="I28" s="21">
        <f>BS!I43-BS!H43</f>
        <v>0</v>
      </c>
      <c r="J28" s="21">
        <f>BS!J43-BS!I43</f>
        <v>0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30" t="s">
        <v>89</v>
      </c>
      <c r="B29" s="54">
        <f t="shared" ref="B29:J29" si="9">SUM(B19:B28)</f>
        <v>-497</v>
      </c>
      <c r="C29" s="54">
        <f t="shared" si="9"/>
        <v>58</v>
      </c>
      <c r="D29" s="54">
        <f t="shared" si="9"/>
        <v>-349</v>
      </c>
      <c r="E29" s="46">
        <f t="shared" si="9"/>
        <v>-1161.032361</v>
      </c>
      <c r="F29" s="55">
        <f t="shared" si="9"/>
        <v>801.5705523</v>
      </c>
      <c r="G29" s="55">
        <f t="shared" si="9"/>
        <v>747.1806205</v>
      </c>
      <c r="H29" s="55">
        <f t="shared" si="9"/>
        <v>841.816456</v>
      </c>
      <c r="I29" s="55">
        <f t="shared" si="9"/>
        <v>1006.389215</v>
      </c>
      <c r="J29" s="55">
        <f t="shared" si="9"/>
        <v>1178.801245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48" t="s">
        <v>91</v>
      </c>
      <c r="B30" s="56">
        <f t="shared" ref="B30:J30" si="10">B6+B17+B29</f>
        <v>-61</v>
      </c>
      <c r="C30" s="56">
        <f t="shared" si="10"/>
        <v>2098</v>
      </c>
      <c r="D30" s="56">
        <f t="shared" si="10"/>
        <v>2405</v>
      </c>
      <c r="E30" s="56">
        <f t="shared" si="10"/>
        <v>1282.206469</v>
      </c>
      <c r="F30" s="56">
        <f t="shared" si="10"/>
        <v>3134.243436</v>
      </c>
      <c r="G30" s="56">
        <f t="shared" si="10"/>
        <v>4024.346526</v>
      </c>
      <c r="H30" s="56">
        <f t="shared" si="10"/>
        <v>5306.776276</v>
      </c>
      <c r="I30" s="56">
        <f t="shared" si="10"/>
        <v>6826.321144</v>
      </c>
      <c r="J30" s="56">
        <f t="shared" si="10"/>
        <v>8581.912722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8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5" t="s">
        <v>94</v>
      </c>
      <c r="B32" s="16"/>
      <c r="C32" s="16"/>
      <c r="D32" s="16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8" t="s">
        <v>95</v>
      </c>
      <c r="B33" s="26">
        <v>-3415.0</v>
      </c>
      <c r="C33" s="26">
        <v>-2101.0</v>
      </c>
      <c r="D33" s="26">
        <v>-1327.0</v>
      </c>
      <c r="E33" s="57">
        <f>Schedules!D8-Schedules!E8</f>
        <v>-1327</v>
      </c>
      <c r="F33" s="57">
        <f t="shared" ref="F33:J33" si="11">F74</f>
        <v>-1459.7</v>
      </c>
      <c r="G33" s="57">
        <f t="shared" si="11"/>
        <v>-1605.67</v>
      </c>
      <c r="H33" s="57">
        <f t="shared" si="11"/>
        <v>-1766.237</v>
      </c>
      <c r="I33" s="57">
        <f t="shared" si="11"/>
        <v>-1942.8607</v>
      </c>
      <c r="J33" s="57">
        <f t="shared" si="11"/>
        <v>-2137.14677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8" t="s">
        <v>98</v>
      </c>
      <c r="B34" s="27">
        <v>-666.0</v>
      </c>
      <c r="C34" s="27">
        <v>-218.0</v>
      </c>
      <c r="D34" s="27">
        <v>-105.0</v>
      </c>
      <c r="E34" s="21">
        <f>Schedules!E42-Schedules!D42</f>
        <v>0</v>
      </c>
      <c r="F34" s="21">
        <f>BS!E20-BS!F20</f>
        <v>244.4873001</v>
      </c>
      <c r="G34" s="21">
        <f>BS!F20-BS!G20</f>
        <v>244.4873001</v>
      </c>
      <c r="H34" s="21">
        <f>BS!G20-BS!H20</f>
        <v>244.4873001</v>
      </c>
      <c r="I34" s="21">
        <f>BS!H20-BS!I20</f>
        <v>244.4873001</v>
      </c>
      <c r="J34" s="21">
        <f>BS!I20-BS!J20</f>
        <v>244.4873001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8" t="s">
        <v>101</v>
      </c>
      <c r="B35" s="27">
        <v>0.0</v>
      </c>
      <c r="C35" s="27">
        <v>0.0</v>
      </c>
      <c r="D35" s="27">
        <v>-5.0</v>
      </c>
      <c r="E35" s="21">
        <f>Schedules!E60-Schedules!D60</f>
        <v>0</v>
      </c>
      <c r="F35" s="21">
        <f>BS!E22-BS!F22</f>
        <v>46.76961788</v>
      </c>
      <c r="G35" s="21">
        <f>BS!F22-BS!G22</f>
        <v>46.76961788</v>
      </c>
      <c r="H35" s="21">
        <f>BS!G22-BS!H22</f>
        <v>46.76961788</v>
      </c>
      <c r="I35" s="21">
        <f>BS!H22-BS!I22</f>
        <v>46.76961788</v>
      </c>
      <c r="J35" s="21">
        <f>BS!I22-BS!J22</f>
        <v>46.76961788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8" t="s">
        <v>103</v>
      </c>
      <c r="B36" s="27">
        <v>0.0</v>
      </c>
      <c r="C36" s="27">
        <v>0.0</v>
      </c>
      <c r="D36" s="27">
        <v>46.0</v>
      </c>
      <c r="E36" s="29">
        <v>0.0</v>
      </c>
      <c r="F36" s="12">
        <f t="shared" ref="F36:J36" si="12">E36</f>
        <v>0</v>
      </c>
      <c r="G36" s="12">
        <f t="shared" si="12"/>
        <v>0</v>
      </c>
      <c r="H36" s="12">
        <f t="shared" si="12"/>
        <v>0</v>
      </c>
      <c r="I36" s="12">
        <f t="shared" si="12"/>
        <v>0</v>
      </c>
      <c r="J36" s="12">
        <f t="shared" si="12"/>
        <v>0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8" t="s">
        <v>104</v>
      </c>
      <c r="B37" s="27">
        <v>-115.0</v>
      </c>
      <c r="C37" s="27">
        <v>-18.0</v>
      </c>
      <c r="D37" s="27">
        <v>-45.0</v>
      </c>
      <c r="E37" s="21">
        <f>BS!D23-BS!E23</f>
        <v>0</v>
      </c>
      <c r="F37" s="21">
        <f>BS!E23-BS!F23</f>
        <v>0</v>
      </c>
      <c r="G37" s="21">
        <f>BS!F23-BS!G23</f>
        <v>0</v>
      </c>
      <c r="H37" s="21">
        <f>BS!G23-BS!H23</f>
        <v>0</v>
      </c>
      <c r="I37" s="21">
        <f>BS!H23-BS!I23</f>
        <v>0</v>
      </c>
      <c r="J37" s="21">
        <f>BS!I23-BS!J23</f>
        <v>0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48" t="s">
        <v>107</v>
      </c>
      <c r="B38" s="50">
        <f t="shared" ref="B38:J38" si="13">SUM(B33:B37)</f>
        <v>-4196</v>
      </c>
      <c r="C38" s="50">
        <f t="shared" si="13"/>
        <v>-2337</v>
      </c>
      <c r="D38" s="50">
        <f t="shared" si="13"/>
        <v>-1436</v>
      </c>
      <c r="E38" s="50">
        <f t="shared" si="13"/>
        <v>-1327</v>
      </c>
      <c r="F38" s="50">
        <f t="shared" si="13"/>
        <v>-1168.443082</v>
      </c>
      <c r="G38" s="50">
        <f t="shared" si="13"/>
        <v>-1314.413082</v>
      </c>
      <c r="H38" s="50">
        <f t="shared" si="13"/>
        <v>-1474.980082</v>
      </c>
      <c r="I38" s="50">
        <f t="shared" si="13"/>
        <v>-1651.603782</v>
      </c>
      <c r="J38" s="50">
        <f t="shared" si="13"/>
        <v>-1845.889852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8"/>
      <c r="B39" s="16"/>
      <c r="C39" s="16"/>
      <c r="D39" s="16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5" t="s">
        <v>111</v>
      </c>
      <c r="B40" s="16"/>
      <c r="C40" s="16"/>
      <c r="D40" s="16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8" t="s">
        <v>112</v>
      </c>
      <c r="B41" s="27">
        <v>400.0</v>
      </c>
      <c r="C41" s="27" t="s">
        <v>47</v>
      </c>
      <c r="D41" s="27">
        <v>848.0</v>
      </c>
      <c r="E41" s="22">
        <v>0.0</v>
      </c>
      <c r="F41" s="29">
        <v>0.0</v>
      </c>
      <c r="G41" s="12">
        <f t="shared" ref="G41:J41" si="14">F41</f>
        <v>0</v>
      </c>
      <c r="H41" s="12">
        <f t="shared" si="14"/>
        <v>0</v>
      </c>
      <c r="I41" s="12">
        <f t="shared" si="14"/>
        <v>0</v>
      </c>
      <c r="J41" s="12">
        <f t="shared" si="14"/>
        <v>0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8" t="s">
        <v>114</v>
      </c>
      <c r="B42" s="26">
        <f>7138-3996</f>
        <v>3142</v>
      </c>
      <c r="C42" s="26">
        <f>6176-5247</f>
        <v>929</v>
      </c>
      <c r="D42" s="26">
        <f>10669-9161</f>
        <v>1508</v>
      </c>
      <c r="E42" s="21">
        <f>(BS!E40+BS!E36)-(BS!D40+BS!D36)</f>
        <v>-358.3183167</v>
      </c>
      <c r="F42" s="21">
        <f>(BS!F40+BS!F36)-(BS!E40+BS!E36)</f>
        <v>-101.3375966</v>
      </c>
      <c r="G42" s="21">
        <f>(BS!G40+BS!G36)-(BS!F40+BS!F36)</f>
        <v>-1438.60443</v>
      </c>
      <c r="H42" s="21">
        <f>(BS!H40+BS!H36)-(BS!G40+BS!G36)</f>
        <v>-717.1153887</v>
      </c>
      <c r="I42" s="21">
        <f>(BS!I40+BS!I36)-(BS!H40+BS!H36)</f>
        <v>418.3760346</v>
      </c>
      <c r="J42" s="21">
        <f>(BS!J40+BS!J36)-(BS!I40+BS!I36)</f>
        <v>-892.7621511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8" t="s">
        <v>121</v>
      </c>
      <c r="B43" s="27">
        <v>-165.0</v>
      </c>
      <c r="C43" s="27">
        <v>-100.0</v>
      </c>
      <c r="D43" s="27">
        <v>0.0</v>
      </c>
      <c r="E43" s="29">
        <v>0.0</v>
      </c>
      <c r="F43" s="12">
        <f t="shared" ref="F43:J43" si="15">E43</f>
        <v>0</v>
      </c>
      <c r="G43" s="12">
        <f t="shared" si="15"/>
        <v>0</v>
      </c>
      <c r="H43" s="12">
        <f t="shared" si="15"/>
        <v>0</v>
      </c>
      <c r="I43" s="12">
        <f t="shared" si="15"/>
        <v>0</v>
      </c>
      <c r="J43" s="12">
        <f t="shared" si="15"/>
        <v>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8" t="s">
        <v>122</v>
      </c>
      <c r="B44" s="27">
        <v>511.0</v>
      </c>
      <c r="C44" s="27">
        <v>-559.0</v>
      </c>
      <c r="D44" s="27">
        <v>-389.0</v>
      </c>
      <c r="E44" s="21">
        <f>(BS!D21-BS!E21)</f>
        <v>0</v>
      </c>
      <c r="F44" s="21">
        <f>(BS!E21-BS!F21)</f>
        <v>0</v>
      </c>
      <c r="G44" s="21">
        <f>(BS!F21-BS!G21)</f>
        <v>0</v>
      </c>
      <c r="H44" s="21">
        <f>(BS!G21-BS!H21)</f>
        <v>0</v>
      </c>
      <c r="I44" s="21">
        <f>(BS!H21-BS!I21)</f>
        <v>0</v>
      </c>
      <c r="J44" s="21">
        <f>(BS!I21-BS!J21)</f>
        <v>0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8" t="s">
        <v>126</v>
      </c>
      <c r="B45" s="27">
        <v>259.0</v>
      </c>
      <c r="C45" s="27">
        <v>296.0</v>
      </c>
      <c r="D45" s="27">
        <v>263.0</v>
      </c>
      <c r="E45" s="12">
        <f t="shared" ref="E45:J45" si="16">D45</f>
        <v>263</v>
      </c>
      <c r="F45" s="12">
        <f t="shared" si="16"/>
        <v>263</v>
      </c>
      <c r="G45" s="12">
        <f t="shared" si="16"/>
        <v>263</v>
      </c>
      <c r="H45" s="12">
        <f t="shared" si="16"/>
        <v>263</v>
      </c>
      <c r="I45" s="12">
        <f t="shared" si="16"/>
        <v>263</v>
      </c>
      <c r="J45" s="12">
        <f t="shared" si="16"/>
        <v>263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8" t="s">
        <v>127</v>
      </c>
      <c r="B46" s="27">
        <v>-103.0</v>
      </c>
      <c r="C46" s="27">
        <v>-181.0</v>
      </c>
      <c r="D46" s="27">
        <v>-321.0</v>
      </c>
      <c r="E46" s="29">
        <v>0.0</v>
      </c>
      <c r="F46" s="29">
        <v>0.0</v>
      </c>
      <c r="G46" s="29">
        <v>0.0</v>
      </c>
      <c r="H46" s="29">
        <v>0.0</v>
      </c>
      <c r="I46" s="29">
        <v>0.0</v>
      </c>
      <c r="J46" s="29">
        <v>0.0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8" t="s">
        <v>128</v>
      </c>
      <c r="B47" s="27">
        <v>-63.0</v>
      </c>
      <c r="C47" s="27">
        <v>-15.0</v>
      </c>
      <c r="D47" s="27">
        <v>-37.0</v>
      </c>
      <c r="E47" s="29">
        <v>0.0</v>
      </c>
      <c r="F47" s="12">
        <f t="shared" ref="F47:J47" si="17">E47</f>
        <v>0</v>
      </c>
      <c r="G47" s="12">
        <f t="shared" si="17"/>
        <v>0</v>
      </c>
      <c r="H47" s="12">
        <f t="shared" si="17"/>
        <v>0</v>
      </c>
      <c r="I47" s="12">
        <f t="shared" si="17"/>
        <v>0</v>
      </c>
      <c r="J47" s="12">
        <f t="shared" si="17"/>
        <v>0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8" t="s">
        <v>131</v>
      </c>
      <c r="B48" s="27">
        <v>-204.0</v>
      </c>
      <c r="C48" s="27">
        <v>0.0</v>
      </c>
      <c r="D48" s="27">
        <v>-476.0</v>
      </c>
      <c r="E48" s="21">
        <f>BS!D24-BS!E24</f>
        <v>0</v>
      </c>
      <c r="F48" s="21">
        <f>BS!E24-BS!F24</f>
        <v>0</v>
      </c>
      <c r="G48" s="21">
        <f>BS!F24-BS!G24</f>
        <v>0</v>
      </c>
      <c r="H48" s="21">
        <f>BS!G24-BS!H24</f>
        <v>0</v>
      </c>
      <c r="I48" s="21">
        <f>BS!H24-BS!I24</f>
        <v>0</v>
      </c>
      <c r="J48" s="21">
        <f>BS!I24-BS!J24</f>
        <v>0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8" t="s">
        <v>133</v>
      </c>
      <c r="B49" s="27">
        <v>287.0</v>
      </c>
      <c r="C49" s="27">
        <v>0.0</v>
      </c>
      <c r="D49" s="27">
        <v>0.0</v>
      </c>
      <c r="E49" s="21">
        <f>BS!E37-BS!D37</f>
        <v>0</v>
      </c>
      <c r="F49" s="21">
        <f>BS!F37-BS!E37</f>
        <v>0</v>
      </c>
      <c r="G49" s="21">
        <f>BS!G37-BS!F37</f>
        <v>0</v>
      </c>
      <c r="H49" s="21">
        <f>BS!H37-BS!G37</f>
        <v>0</v>
      </c>
      <c r="I49" s="21">
        <f>BS!I37-BS!H37</f>
        <v>0</v>
      </c>
      <c r="J49" s="21">
        <f>BS!J37-BS!I37</f>
        <v>0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8" t="s">
        <v>136</v>
      </c>
      <c r="B50" s="27">
        <v>53.0</v>
      </c>
      <c r="C50" s="27">
        <v>0.0</v>
      </c>
      <c r="D50" s="27">
        <v>174.0</v>
      </c>
      <c r="E50" s="29">
        <v>0.0</v>
      </c>
      <c r="F50" s="12">
        <f t="shared" ref="F50:J50" si="18">E50</f>
        <v>0</v>
      </c>
      <c r="G50" s="12">
        <f t="shared" si="18"/>
        <v>0</v>
      </c>
      <c r="H50" s="12">
        <f t="shared" si="18"/>
        <v>0</v>
      </c>
      <c r="I50" s="12">
        <f t="shared" si="18"/>
        <v>0</v>
      </c>
      <c r="J50" s="12">
        <f t="shared" si="18"/>
        <v>0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8" t="s">
        <v>140</v>
      </c>
      <c r="B51" s="27">
        <v>-230.0</v>
      </c>
      <c r="C51" s="27">
        <v>0.0</v>
      </c>
      <c r="D51" s="27">
        <v>0.0</v>
      </c>
      <c r="E51" s="29">
        <f t="shared" ref="E51:J51" si="19">D51</f>
        <v>0</v>
      </c>
      <c r="F51" s="29">
        <f t="shared" si="19"/>
        <v>0</v>
      </c>
      <c r="G51" s="29">
        <f t="shared" si="19"/>
        <v>0</v>
      </c>
      <c r="H51" s="29">
        <f t="shared" si="19"/>
        <v>0</v>
      </c>
      <c r="I51" s="29">
        <f t="shared" si="19"/>
        <v>0</v>
      </c>
      <c r="J51" s="29">
        <f t="shared" si="19"/>
        <v>0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8" t="s">
        <v>143</v>
      </c>
      <c r="B52" s="27">
        <v>790.0</v>
      </c>
      <c r="C52" s="27">
        <v>437.0</v>
      </c>
      <c r="D52" s="27">
        <v>279.0</v>
      </c>
      <c r="E52" s="29">
        <v>0.0</v>
      </c>
      <c r="F52" s="12">
        <f t="shared" ref="F52:J52" si="20">E52</f>
        <v>0</v>
      </c>
      <c r="G52" s="12">
        <f t="shared" si="20"/>
        <v>0</v>
      </c>
      <c r="H52" s="12">
        <f t="shared" si="20"/>
        <v>0</v>
      </c>
      <c r="I52" s="12">
        <f t="shared" si="20"/>
        <v>0</v>
      </c>
      <c r="J52" s="12">
        <f t="shared" si="20"/>
        <v>0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8" t="s">
        <v>145</v>
      </c>
      <c r="B53" s="27">
        <v>-262.0</v>
      </c>
      <c r="C53" s="27">
        <v>-227.0</v>
      </c>
      <c r="D53" s="27">
        <v>-311.0</v>
      </c>
      <c r="E53" s="29">
        <v>0.0</v>
      </c>
      <c r="F53" s="12">
        <f t="shared" ref="F53:J53" si="21">E53</f>
        <v>0</v>
      </c>
      <c r="G53" s="12">
        <f t="shared" si="21"/>
        <v>0</v>
      </c>
      <c r="H53" s="12">
        <f t="shared" si="21"/>
        <v>0</v>
      </c>
      <c r="I53" s="12">
        <f t="shared" si="21"/>
        <v>0</v>
      </c>
      <c r="J53" s="12">
        <f t="shared" si="21"/>
        <v>0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8" t="s">
        <v>147</v>
      </c>
      <c r="B54" s="27">
        <v>0.0</v>
      </c>
      <c r="C54" s="27">
        <v>-6.0</v>
      </c>
      <c r="D54" s="27">
        <v>-9.0</v>
      </c>
      <c r="E54" s="29">
        <v>0.0</v>
      </c>
      <c r="F54" s="12">
        <f t="shared" ref="F54:J54" si="22">E54</f>
        <v>0</v>
      </c>
      <c r="G54" s="12">
        <f t="shared" si="22"/>
        <v>0</v>
      </c>
      <c r="H54" s="12">
        <f t="shared" si="22"/>
        <v>0</v>
      </c>
      <c r="I54" s="12">
        <f t="shared" si="22"/>
        <v>0</v>
      </c>
      <c r="J54" s="12">
        <f t="shared" si="22"/>
        <v>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48" t="s">
        <v>149</v>
      </c>
      <c r="B55" s="50">
        <f t="shared" ref="B55:J55" si="23">SUM(B41:B54)</f>
        <v>4415</v>
      </c>
      <c r="C55" s="50">
        <f t="shared" si="23"/>
        <v>574</v>
      </c>
      <c r="D55" s="50">
        <f t="shared" si="23"/>
        <v>1529</v>
      </c>
      <c r="E55" s="50">
        <f t="shared" si="23"/>
        <v>-95.31831673</v>
      </c>
      <c r="F55" s="50">
        <f t="shared" si="23"/>
        <v>161.6624034</v>
      </c>
      <c r="G55" s="50">
        <f t="shared" si="23"/>
        <v>-1175.60443</v>
      </c>
      <c r="H55" s="50">
        <f t="shared" si="23"/>
        <v>-454.1153887</v>
      </c>
      <c r="I55" s="50">
        <f t="shared" si="23"/>
        <v>681.3760346</v>
      </c>
      <c r="J55" s="50">
        <f t="shared" si="23"/>
        <v>-629.7621511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8" t="s">
        <v>19</v>
      </c>
      <c r="B56" s="27"/>
      <c r="C56" s="27"/>
      <c r="D56" s="27"/>
      <c r="E56" s="29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8" t="s">
        <v>154</v>
      </c>
      <c r="B57" s="27">
        <v>40.0</v>
      </c>
      <c r="C57" s="27">
        <v>-23.0</v>
      </c>
      <c r="D57" s="27">
        <v>8.0</v>
      </c>
      <c r="E57" s="77">
        <v>0.0</v>
      </c>
      <c r="F57" s="77">
        <v>0.0</v>
      </c>
      <c r="G57" s="77">
        <v>0.0</v>
      </c>
      <c r="H57" s="77">
        <v>0.0</v>
      </c>
      <c r="I57" s="77">
        <v>0.0</v>
      </c>
      <c r="J57" s="77">
        <v>0.0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52" t="s">
        <v>157</v>
      </c>
      <c r="B58" s="50">
        <f t="shared" ref="B58:J58" si="24">B30+B38+B55+B57</f>
        <v>198</v>
      </c>
      <c r="C58" s="50">
        <f t="shared" si="24"/>
        <v>312</v>
      </c>
      <c r="D58" s="50">
        <f t="shared" si="24"/>
        <v>2506</v>
      </c>
      <c r="E58" s="50">
        <f t="shared" si="24"/>
        <v>-140.1118477</v>
      </c>
      <c r="F58" s="50">
        <f t="shared" si="24"/>
        <v>2127.462757</v>
      </c>
      <c r="G58" s="50">
        <f t="shared" si="24"/>
        <v>1534.329014</v>
      </c>
      <c r="H58" s="50">
        <f t="shared" si="24"/>
        <v>3377.680805</v>
      </c>
      <c r="I58" s="50">
        <f t="shared" si="24"/>
        <v>5856.093396</v>
      </c>
      <c r="J58" s="50">
        <f t="shared" si="24"/>
        <v>6106.260719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8" t="s">
        <v>159</v>
      </c>
      <c r="B59" s="26">
        <v>3767.0</v>
      </c>
      <c r="C59" s="26">
        <f t="shared" ref="C59:J59" si="25">B60</f>
        <v>3965</v>
      </c>
      <c r="D59" s="26">
        <f t="shared" si="25"/>
        <v>4277</v>
      </c>
      <c r="E59" s="20">
        <f t="shared" si="25"/>
        <v>6783</v>
      </c>
      <c r="F59" s="20">
        <f t="shared" si="25"/>
        <v>6642.888152</v>
      </c>
      <c r="G59" s="20">
        <f t="shared" si="25"/>
        <v>8770.350909</v>
      </c>
      <c r="H59" s="20">
        <f t="shared" si="25"/>
        <v>10304.67992</v>
      </c>
      <c r="I59" s="20">
        <f t="shared" si="25"/>
        <v>13682.36073</v>
      </c>
      <c r="J59" s="20">
        <f t="shared" si="25"/>
        <v>19538.45413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0" t="s">
        <v>162</v>
      </c>
      <c r="B60" s="81">
        <f t="shared" ref="B60:J60" si="26">B58+B59</f>
        <v>3965</v>
      </c>
      <c r="C60" s="81">
        <f t="shared" si="26"/>
        <v>4277</v>
      </c>
      <c r="D60" s="81">
        <f t="shared" si="26"/>
        <v>6783</v>
      </c>
      <c r="E60" s="81">
        <f t="shared" si="26"/>
        <v>6642.888152</v>
      </c>
      <c r="F60" s="81">
        <f t="shared" si="26"/>
        <v>8770.350909</v>
      </c>
      <c r="G60" s="81">
        <f t="shared" si="26"/>
        <v>10304.67992</v>
      </c>
      <c r="H60" s="81">
        <f t="shared" si="26"/>
        <v>13682.36073</v>
      </c>
      <c r="I60" s="81">
        <f t="shared" si="26"/>
        <v>19538.45413</v>
      </c>
      <c r="J60" s="81">
        <f t="shared" si="26"/>
        <v>25644.71484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8"/>
      <c r="B61" s="16"/>
      <c r="C61" s="16"/>
      <c r="D61" s="16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ollapsed="1">
      <c r="A62" s="8" t="s">
        <v>135</v>
      </c>
      <c r="B62" s="5" t="s">
        <v>13</v>
      </c>
      <c r="E62" s="3" t="s">
        <v>14</v>
      </c>
    </row>
    <row r="63" hidden="1" outlineLevel="1">
      <c r="A63" s="15" t="s">
        <v>166</v>
      </c>
      <c r="B63" s="16"/>
      <c r="C63" s="16"/>
      <c r="D63" s="16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idden="1" outlineLevel="1">
      <c r="A64" s="18" t="s">
        <v>168</v>
      </c>
      <c r="B64" s="27" t="s">
        <v>169</v>
      </c>
      <c r="C64" s="27" t="s">
        <v>169</v>
      </c>
      <c r="D64" s="19">
        <v>207.0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idden="1" outlineLevel="1">
      <c r="A65" s="18" t="s">
        <v>171</v>
      </c>
      <c r="B65" s="19">
        <v>914.0</v>
      </c>
      <c r="C65" s="19">
        <v>249.0</v>
      </c>
      <c r="D65" s="19">
        <v>562.0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idden="1" outlineLevel="1">
      <c r="A66" s="18" t="s">
        <v>172</v>
      </c>
      <c r="B66" s="19">
        <v>313.0</v>
      </c>
      <c r="C66" s="19">
        <v>94.0</v>
      </c>
      <c r="D66" s="27" t="s">
        <v>169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idden="1" outlineLevel="1">
      <c r="A67" s="18"/>
      <c r="B67" s="16"/>
      <c r="C67" s="16"/>
      <c r="D67" s="16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idden="1" outlineLevel="1">
      <c r="A68" s="15" t="s">
        <v>173</v>
      </c>
      <c r="B68" s="16"/>
      <c r="C68" s="16"/>
      <c r="D68" s="16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idden="1" outlineLevel="1">
      <c r="A69" s="18" t="s">
        <v>175</v>
      </c>
      <c r="B69" s="19">
        <v>183.0</v>
      </c>
      <c r="C69" s="19">
        <v>381.0</v>
      </c>
      <c r="D69" s="19">
        <v>455.0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idden="1" outlineLevel="1">
      <c r="A70" s="18" t="s">
        <v>176</v>
      </c>
      <c r="B70" s="19">
        <v>66.0</v>
      </c>
      <c r="C70" s="19">
        <v>35.0</v>
      </c>
      <c r="D70" s="19">
        <v>54.0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B71" s="16"/>
      <c r="C71" s="16"/>
    </row>
    <row r="72">
      <c r="A72" s="8" t="s">
        <v>178</v>
      </c>
      <c r="B72" s="5" t="s">
        <v>13</v>
      </c>
      <c r="E72" s="3" t="s">
        <v>14</v>
      </c>
    </row>
    <row r="73">
      <c r="A73" s="18" t="s">
        <v>179</v>
      </c>
      <c r="B73" s="76">
        <f>B9/IS!B12</f>
        <v>0.03971426142</v>
      </c>
      <c r="C73" s="76">
        <f>C9/IS!C12</f>
        <v>0.03490051722</v>
      </c>
      <c r="D73" s="76">
        <f>D9/IS!D12</f>
        <v>0.03653674017</v>
      </c>
      <c r="E73" s="83">
        <f t="shared" ref="E73:J73" si="27">D73</f>
        <v>0.03653674017</v>
      </c>
      <c r="F73" s="83">
        <f t="shared" si="27"/>
        <v>0.03653674017</v>
      </c>
      <c r="G73" s="83">
        <f t="shared" si="27"/>
        <v>0.03653674017</v>
      </c>
      <c r="H73" s="83">
        <f t="shared" si="27"/>
        <v>0.03653674017</v>
      </c>
      <c r="I73" s="83">
        <f t="shared" si="27"/>
        <v>0.03653674017</v>
      </c>
      <c r="J73" s="83">
        <f t="shared" si="27"/>
        <v>0.03653674017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8" t="s">
        <v>95</v>
      </c>
      <c r="B74" s="21">
        <f t="shared" ref="B74:D74" si="28">B33</f>
        <v>-3415</v>
      </c>
      <c r="C74" s="21">
        <f t="shared" si="28"/>
        <v>-2101</v>
      </c>
      <c r="D74" s="21">
        <f t="shared" si="28"/>
        <v>-1327</v>
      </c>
      <c r="E74" s="85">
        <f>D74</f>
        <v>-1327</v>
      </c>
      <c r="F74" s="85">
        <f t="shared" ref="F74:J74" si="29">E74*(1.1)</f>
        <v>-1459.7</v>
      </c>
      <c r="G74" s="85">
        <f t="shared" si="29"/>
        <v>-1605.67</v>
      </c>
      <c r="H74" s="85">
        <f t="shared" si="29"/>
        <v>-1766.237</v>
      </c>
      <c r="I74" s="85">
        <f t="shared" si="29"/>
        <v>-1942.8607</v>
      </c>
      <c r="J74" s="85">
        <f t="shared" si="29"/>
        <v>-2137.14677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101">
      <c r="A101" s="4"/>
      <c r="B101" s="5" t="s">
        <v>3</v>
      </c>
      <c r="C101" s="5" t="s">
        <v>4</v>
      </c>
      <c r="D101" s="5" t="s">
        <v>5</v>
      </c>
      <c r="E101" s="6" t="s">
        <v>6</v>
      </c>
      <c r="F101" s="6" t="s">
        <v>7</v>
      </c>
      <c r="G101" s="6" t="s">
        <v>8</v>
      </c>
      <c r="H101" s="6" t="s">
        <v>9</v>
      </c>
      <c r="I101" s="6" t="s">
        <v>10</v>
      </c>
      <c r="J101" s="6" t="s">
        <v>11</v>
      </c>
    </row>
    <row r="102">
      <c r="A102" s="35" t="s">
        <v>183</v>
      </c>
      <c r="B102" s="86">
        <v>1636.0</v>
      </c>
      <c r="C102" s="86">
        <v>1901.0</v>
      </c>
      <c r="D102" s="86">
        <v>2154.0</v>
      </c>
      <c r="E102" s="87">
        <v>2167.7373826158746</v>
      </c>
      <c r="F102" s="87">
        <v>1462.551051289116</v>
      </c>
      <c r="G102" s="87">
        <v>1563.8296512158022</v>
      </c>
      <c r="H102" s="87">
        <v>1665.1082511424893</v>
      </c>
      <c r="I102" s="87">
        <v>1766.3868510691755</v>
      </c>
      <c r="J102" s="87">
        <v>1867.6654509958626</v>
      </c>
    </row>
    <row r="103">
      <c r="A103" s="35" t="s">
        <v>184</v>
      </c>
      <c r="B103" s="86">
        <v>-3415.0</v>
      </c>
      <c r="C103" s="86">
        <v>-2101.0</v>
      </c>
      <c r="D103" s="86">
        <v>-1327.0</v>
      </c>
      <c r="E103" s="87">
        <v>-1327.0</v>
      </c>
      <c r="F103" s="87">
        <v>-1150.0</v>
      </c>
      <c r="G103" s="87">
        <v>-1150.0</v>
      </c>
      <c r="H103" s="87">
        <v>-1150.0</v>
      </c>
      <c r="I103" s="87">
        <v>-1150.0</v>
      </c>
      <c r="J103" s="87">
        <v>-1150.0</v>
      </c>
    </row>
    <row r="105">
      <c r="A105" s="48" t="s">
        <v>157</v>
      </c>
      <c r="B105" s="88">
        <v>198.0</v>
      </c>
      <c r="C105" s="88">
        <v>312.0</v>
      </c>
      <c r="D105" s="88">
        <v>2506.0</v>
      </c>
      <c r="E105" s="88">
        <v>1120.8417829463015</v>
      </c>
      <c r="F105" s="88">
        <v>2897.8697205243056</v>
      </c>
      <c r="G105" s="88">
        <v>3196.1113334237416</v>
      </c>
      <c r="H105" s="88">
        <v>6403.318043628247</v>
      </c>
      <c r="I105" s="88">
        <v>11245.412210438517</v>
      </c>
      <c r="J105" s="88">
        <v>15938.273823149177</v>
      </c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</sheetData>
  <mergeCells count="8">
    <mergeCell ref="B1:D1"/>
    <mergeCell ref="E1:J1"/>
    <mergeCell ref="B4:D4"/>
    <mergeCell ref="E4:J4"/>
    <mergeCell ref="B62:D62"/>
    <mergeCell ref="E62:J62"/>
    <mergeCell ref="B72:D72"/>
    <mergeCell ref="E72:J7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59.43"/>
  </cols>
  <sheetData>
    <row r="1">
      <c r="A1" s="1" t="s">
        <v>0</v>
      </c>
      <c r="B1" s="2" t="s">
        <v>1</v>
      </c>
      <c r="E1" s="3" t="s">
        <v>2</v>
      </c>
    </row>
    <row r="2">
      <c r="A2" s="4"/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>
      <c r="A3" s="67"/>
      <c r="B3" s="68"/>
      <c r="C3" s="68"/>
      <c r="D3" s="68"/>
      <c r="E3" s="69"/>
      <c r="F3" s="69"/>
      <c r="G3" s="69"/>
      <c r="H3" s="69"/>
      <c r="I3" s="69"/>
      <c r="J3" s="69"/>
    </row>
    <row r="4">
      <c r="A4" s="8" t="s">
        <v>191</v>
      </c>
      <c r="B4" s="5" t="s">
        <v>13</v>
      </c>
      <c r="E4" s="3" t="s">
        <v>14</v>
      </c>
    </row>
    <row r="5">
      <c r="A5" s="18" t="s">
        <v>192</v>
      </c>
      <c r="B5" s="22">
        <v>6980.442</v>
      </c>
      <c r="C5" s="22">
        <f t="shared" ref="C5:J5" si="1">B8</f>
        <v>11751.316</v>
      </c>
      <c r="D5" s="22">
        <f t="shared" si="1"/>
        <v>14029.175</v>
      </c>
      <c r="E5" s="22">
        <f t="shared" si="1"/>
        <v>14130</v>
      </c>
      <c r="F5" s="22">
        <f t="shared" si="1"/>
        <v>15457</v>
      </c>
      <c r="G5" s="22">
        <f t="shared" si="1"/>
        <v>16916.7</v>
      </c>
      <c r="H5" s="22">
        <f t="shared" si="1"/>
        <v>18522.37</v>
      </c>
      <c r="I5" s="22">
        <f t="shared" si="1"/>
        <v>20288.607</v>
      </c>
      <c r="J5" s="22">
        <f t="shared" si="1"/>
        <v>22231.4677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9" t="s">
        <v>194</v>
      </c>
      <c r="B6" s="22">
        <f>-1*(CF!B33)</f>
        <v>3415</v>
      </c>
      <c r="C6" s="22">
        <f>-1*(CF!C33)</f>
        <v>2101</v>
      </c>
      <c r="D6" s="22">
        <f>-1*(CF!D33)</f>
        <v>1327</v>
      </c>
      <c r="E6" s="22">
        <f>D6</f>
        <v>1327</v>
      </c>
      <c r="F6" s="22">
        <f>-1*(CF!F33)</f>
        <v>1459.7</v>
      </c>
      <c r="G6" s="22">
        <f>-1*(CF!G33)</f>
        <v>1605.67</v>
      </c>
      <c r="H6" s="22">
        <f>-1*(CF!H33)</f>
        <v>1766.237</v>
      </c>
      <c r="I6" s="22">
        <f>-1*(CF!I33)</f>
        <v>1942.8607</v>
      </c>
      <c r="J6" s="22">
        <f>-1*(CF!J33)</f>
        <v>2137.14677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9" t="s">
        <v>197</v>
      </c>
      <c r="B7" s="21">
        <f t="shared" ref="B7:D7" si="2">B8-SUM(B5:B6)</f>
        <v>1355.874</v>
      </c>
      <c r="C7" s="21">
        <f t="shared" si="2"/>
        <v>176.859</v>
      </c>
      <c r="D7" s="21">
        <f t="shared" si="2"/>
        <v>-1226.175</v>
      </c>
      <c r="E7" s="29">
        <v>0.0</v>
      </c>
      <c r="F7" s="29">
        <v>0.0</v>
      </c>
      <c r="G7" s="29">
        <v>0.0</v>
      </c>
      <c r="H7" s="29">
        <v>0.0</v>
      </c>
      <c r="I7" s="29">
        <v>0.0</v>
      </c>
      <c r="J7" s="29">
        <v>0.0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98" t="s">
        <v>198</v>
      </c>
      <c r="B8" s="99">
        <v>11751.316</v>
      </c>
      <c r="C8" s="99">
        <v>14029.175</v>
      </c>
      <c r="D8" s="99">
        <v>14130.0</v>
      </c>
      <c r="E8" s="59">
        <f t="shared" ref="E8:J8" si="3">SUM(E5:E7)</f>
        <v>15457</v>
      </c>
      <c r="F8" s="59">
        <f t="shared" si="3"/>
        <v>16916.7</v>
      </c>
      <c r="G8" s="59">
        <f t="shared" si="3"/>
        <v>18522.37</v>
      </c>
      <c r="H8" s="59">
        <f t="shared" si="3"/>
        <v>20288.607</v>
      </c>
      <c r="I8" s="59">
        <f t="shared" si="3"/>
        <v>22231.4677</v>
      </c>
      <c r="J8" s="59">
        <f t="shared" si="3"/>
        <v>24368.61447</v>
      </c>
      <c r="K8" s="2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29"/>
      <c r="C9" s="29"/>
      <c r="D9" s="29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8" t="s">
        <v>199</v>
      </c>
      <c r="B10" s="22">
        <v>997.485</v>
      </c>
      <c r="C10" s="22">
        <f t="shared" ref="C10:J10" si="4">B16</f>
        <v>1723.794</v>
      </c>
      <c r="D10" s="22">
        <f t="shared" si="4"/>
        <v>2699.098</v>
      </c>
      <c r="E10" s="22">
        <f t="shared" si="4"/>
        <v>3734</v>
      </c>
      <c r="F10" s="22">
        <f t="shared" si="4"/>
        <v>5095.272451</v>
      </c>
      <c r="G10" s="22">
        <f t="shared" si="4"/>
        <v>6585.09827</v>
      </c>
      <c r="H10" s="22">
        <f t="shared" si="4"/>
        <v>8216.332792</v>
      </c>
      <c r="I10" s="22">
        <f t="shared" si="4"/>
        <v>10003.11689</v>
      </c>
      <c r="J10" s="22">
        <f t="shared" si="4"/>
        <v>11961.00552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8" t="s">
        <v>200</v>
      </c>
      <c r="B11" s="22">
        <v>769.3</v>
      </c>
      <c r="C11" s="22">
        <v>1110.0</v>
      </c>
      <c r="D11" s="22">
        <v>1370.0</v>
      </c>
      <c r="E11" s="100">
        <f t="shared" ref="E11:J11" si="5">(E5+E6-E7)/E12</f>
        <v>1361.272451</v>
      </c>
      <c r="F11" s="100">
        <f t="shared" si="5"/>
        <v>1489.825819</v>
      </c>
      <c r="G11" s="100">
        <f t="shared" si="5"/>
        <v>1631.234523</v>
      </c>
      <c r="H11" s="100">
        <f t="shared" si="5"/>
        <v>1786.784097</v>
      </c>
      <c r="I11" s="100">
        <f t="shared" si="5"/>
        <v>1957.888629</v>
      </c>
      <c r="J11" s="100">
        <f t="shared" si="5"/>
        <v>2146.103614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ollapsed="1">
      <c r="A12" s="18" t="s">
        <v>201</v>
      </c>
      <c r="B12" s="66">
        <f t="shared" ref="B12:D12" si="6">(AVERAGE(B5,B8)/B11)</f>
        <v>12.17454699</v>
      </c>
      <c r="C12" s="66">
        <f t="shared" si="6"/>
        <v>11.61283378</v>
      </c>
      <c r="D12" s="66">
        <f t="shared" si="6"/>
        <v>10.27707117</v>
      </c>
      <c r="E12" s="101">
        <f t="shared" ref="E12:J12" si="7">average($B$12:$D$12)</f>
        <v>11.35481731</v>
      </c>
      <c r="F12" s="101">
        <f t="shared" si="7"/>
        <v>11.35481731</v>
      </c>
      <c r="G12" s="101">
        <f t="shared" si="7"/>
        <v>11.35481731</v>
      </c>
      <c r="H12" s="101">
        <f t="shared" si="7"/>
        <v>11.35481731</v>
      </c>
      <c r="I12" s="101">
        <f t="shared" si="7"/>
        <v>11.35481731</v>
      </c>
      <c r="J12" s="101">
        <f t="shared" si="7"/>
        <v>11.35481731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idden="1" outlineLevel="1">
      <c r="A13" s="102" t="s">
        <v>202</v>
      </c>
      <c r="B13" s="104">
        <f>B11/(IS!B$21+IS!B$29)</f>
        <v>0.05744903293</v>
      </c>
      <c r="C13" s="104">
        <f>C11/(IS!C21+IS!C29)</f>
        <v>0.05080324042</v>
      </c>
      <c r="D13" s="104">
        <f>D11/(IS!D21+IS!D29)</f>
        <v>0.0555848582</v>
      </c>
      <c r="E13" s="104">
        <f>E11/(IS!E21+IS!E29)</f>
        <v>0.05874924268</v>
      </c>
      <c r="F13" s="104">
        <f>F11/(IS!F21+IS!F29)</f>
        <v>0.05679767686</v>
      </c>
      <c r="G13" s="104">
        <f>G11/(IS!G21+IS!G29)</f>
        <v>0.05484264103</v>
      </c>
      <c r="H13" s="104">
        <f>H11/(IS!H21+IS!H29)</f>
        <v>0.05332375732</v>
      </c>
      <c r="I13" s="104">
        <f>I11/(IS!I21+IS!I29)</f>
        <v>0.0515374969</v>
      </c>
      <c r="J13" s="104">
        <f>J11/(IS!J21+IS!J29)</f>
        <v>0.04979727667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idden="1" outlineLevel="1">
      <c r="A14" s="102" t="s">
        <v>206</v>
      </c>
      <c r="B14" s="104">
        <f>B11/B$77</f>
        <v>0.4702322738</v>
      </c>
      <c r="C14" s="104">
        <f t="shared" ref="C14:J14" si="8">C11/C77</f>
        <v>0.5880171637</v>
      </c>
      <c r="D14" s="104">
        <f t="shared" si="8"/>
        <v>0.654875717</v>
      </c>
      <c r="E14" s="104">
        <f t="shared" si="8"/>
        <v>0.6313683602</v>
      </c>
      <c r="F14" s="104">
        <f t="shared" si="8"/>
        <v>1</v>
      </c>
      <c r="G14" s="104">
        <f t="shared" si="8"/>
        <v>1</v>
      </c>
      <c r="H14" s="104">
        <f t="shared" si="8"/>
        <v>1</v>
      </c>
      <c r="I14" s="104">
        <f t="shared" si="8"/>
        <v>1</v>
      </c>
      <c r="J14" s="104">
        <f t="shared" si="8"/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8" t="s">
        <v>207</v>
      </c>
      <c r="B15" s="22">
        <f t="shared" ref="B15:D15" si="9">B16-B11-B10</f>
        <v>-42.991</v>
      </c>
      <c r="C15" s="22">
        <f t="shared" si="9"/>
        <v>-134.696</v>
      </c>
      <c r="D15" s="22">
        <f t="shared" si="9"/>
        <v>-335.098</v>
      </c>
      <c r="E15" s="29">
        <v>0.0</v>
      </c>
      <c r="F15" s="29">
        <v>0.0</v>
      </c>
      <c r="G15" s="29">
        <v>0.0</v>
      </c>
      <c r="H15" s="29">
        <v>0.0</v>
      </c>
      <c r="I15" s="29">
        <v>0.0</v>
      </c>
      <c r="J15" s="29">
        <v>0.0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30" t="s">
        <v>209</v>
      </c>
      <c r="B16" s="33">
        <v>1723.794</v>
      </c>
      <c r="C16" s="33">
        <v>2699.098</v>
      </c>
      <c r="D16" s="33">
        <v>3734.0</v>
      </c>
      <c r="E16" s="25">
        <f t="shared" ref="E16:J16" si="10">E10+E11+E15</f>
        <v>5095.272451</v>
      </c>
      <c r="F16" s="25">
        <f t="shared" si="10"/>
        <v>6585.09827</v>
      </c>
      <c r="G16" s="25">
        <f t="shared" si="10"/>
        <v>8216.332792</v>
      </c>
      <c r="H16" s="25">
        <f t="shared" si="10"/>
        <v>10003.11689</v>
      </c>
      <c r="I16" s="25">
        <f t="shared" si="10"/>
        <v>11961.00552</v>
      </c>
      <c r="J16" s="25">
        <f t="shared" si="10"/>
        <v>14107.10913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48" t="s">
        <v>43</v>
      </c>
      <c r="B17" s="99">
        <f t="shared" ref="B17:C17" si="11">B8-B16</f>
        <v>10027.522</v>
      </c>
      <c r="C17" s="99">
        <f t="shared" si="11"/>
        <v>11330.077</v>
      </c>
      <c r="D17" s="99">
        <v>10396.0</v>
      </c>
      <c r="E17" s="59">
        <f t="shared" ref="E17:J17" si="12">E8-E16</f>
        <v>10361.72755</v>
      </c>
      <c r="F17" s="59">
        <f t="shared" si="12"/>
        <v>10331.60173</v>
      </c>
      <c r="G17" s="59">
        <f t="shared" si="12"/>
        <v>10306.03721</v>
      </c>
      <c r="H17" s="59">
        <f t="shared" si="12"/>
        <v>10285.49011</v>
      </c>
      <c r="I17" s="59">
        <f t="shared" si="12"/>
        <v>10270.46218</v>
      </c>
      <c r="J17" s="59">
        <f t="shared" si="12"/>
        <v>10261.50534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B18" s="29"/>
      <c r="C18" s="29"/>
      <c r="D18" s="29"/>
    </row>
    <row r="19">
      <c r="B19" s="29"/>
      <c r="C19" s="29"/>
      <c r="D19" s="29"/>
    </row>
    <row r="20">
      <c r="A20" s="8" t="s">
        <v>212</v>
      </c>
      <c r="B20" s="5" t="s">
        <v>13</v>
      </c>
      <c r="E20" s="3" t="s">
        <v>14</v>
      </c>
    </row>
    <row r="21">
      <c r="A21" s="29" t="s">
        <v>213</v>
      </c>
      <c r="B21" s="22">
        <v>3530.0</v>
      </c>
      <c r="C21" s="22">
        <f t="shared" ref="C21:J21" si="13">B26</f>
        <v>4850</v>
      </c>
      <c r="D21" s="22">
        <f t="shared" si="13"/>
        <v>2550</v>
      </c>
      <c r="E21" s="22">
        <f t="shared" si="13"/>
        <v>2850</v>
      </c>
      <c r="F21" s="22">
        <f t="shared" si="13"/>
        <v>3694.668417</v>
      </c>
      <c r="G21" s="22">
        <f t="shared" si="13"/>
        <v>4118.674799</v>
      </c>
      <c r="H21" s="22">
        <f t="shared" si="13"/>
        <v>4673.055449</v>
      </c>
      <c r="I21" s="22">
        <f t="shared" si="13"/>
        <v>5302.179602</v>
      </c>
      <c r="J21" s="22">
        <f t="shared" si="13"/>
        <v>6004.69325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ollapsed="1">
      <c r="A22" s="18" t="s">
        <v>207</v>
      </c>
      <c r="B22" s="22">
        <f t="shared" ref="B22:D22" si="14">B26-(B25+B21)</f>
        <v>-203</v>
      </c>
      <c r="C22" s="22">
        <f t="shared" si="14"/>
        <v>-2515</v>
      </c>
      <c r="D22" s="22">
        <f t="shared" si="14"/>
        <v>-464</v>
      </c>
      <c r="E22" s="22">
        <f t="shared" ref="E22:F22" si="15">-C25</f>
        <v>-215</v>
      </c>
      <c r="F22" s="22">
        <f t="shared" si="15"/>
        <v>-764</v>
      </c>
      <c r="G22" s="22">
        <f t="shared" ref="G22:J22" si="16">-E24*(6/8)</f>
        <v>-794.7513126</v>
      </c>
      <c r="H22" s="22">
        <f t="shared" si="16"/>
        <v>-891.0047865</v>
      </c>
      <c r="I22" s="22">
        <f t="shared" si="16"/>
        <v>-1011.848972</v>
      </c>
      <c r="J22" s="22">
        <f t="shared" si="16"/>
        <v>-1140.096705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idden="1" outlineLevel="1">
      <c r="A23" s="102" t="s">
        <v>217</v>
      </c>
      <c r="B23" s="108">
        <f>-1*(B22/B21)</f>
        <v>0.05750708215</v>
      </c>
      <c r="C23" s="108">
        <f t="shared" ref="C23:D23" si="17">-1*(C22/average(C21,B21))</f>
        <v>0.6002386635</v>
      </c>
      <c r="D23" s="108">
        <f t="shared" si="17"/>
        <v>0.1254054054</v>
      </c>
      <c r="E23" s="108">
        <f t="shared" ref="E23:J23" si="18">ABS(E22/E21)</f>
        <v>0.07543859649</v>
      </c>
      <c r="F23" s="108">
        <f t="shared" si="18"/>
        <v>0.2067844564</v>
      </c>
      <c r="G23" s="108">
        <f t="shared" si="18"/>
        <v>0.1929628707</v>
      </c>
      <c r="H23" s="108">
        <f t="shared" si="18"/>
        <v>0.1906685671</v>
      </c>
      <c r="I23" s="108">
        <f t="shared" si="18"/>
        <v>0.1908364197</v>
      </c>
      <c r="J23" s="108">
        <f t="shared" si="18"/>
        <v>0.1898676015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9" t="s">
        <v>220</v>
      </c>
      <c r="B24" s="112" t="s">
        <v>221</v>
      </c>
      <c r="C24" s="113"/>
      <c r="D24" s="114"/>
      <c r="E24" s="115">
        <f>(('Revenue Build'!E7*'Revenue Build'!E10*IS!E62)+('Revenue Build'!E15*'Revenue Build'!E18*IS!E62))/1000000</f>
        <v>1059.668417</v>
      </c>
      <c r="F24" s="115">
        <f>(('Revenue Build'!F7*'Revenue Build'!F10*IS!F62)+('Revenue Build'!F15*'Revenue Build'!F18*IS!F62))/1000000</f>
        <v>1188.006382</v>
      </c>
      <c r="G24" s="115">
        <f>(('Revenue Build'!G7*'Revenue Build'!G10*IS!G62)+('Revenue Build'!G15*'Revenue Build'!G18*IS!G62))/1000000</f>
        <v>1349.131962</v>
      </c>
      <c r="H24" s="115">
        <f>(('Revenue Build'!H7*'Revenue Build'!H10*IS!H62)+('Revenue Build'!H15*'Revenue Build'!H18*IS!H62))/1000000</f>
        <v>1520.12894</v>
      </c>
      <c r="I24" s="115">
        <f>(('Revenue Build'!I7*'Revenue Build'!I10*IS!I62)+('Revenue Build'!I15*'Revenue Build'!I18*IS!I62))/1000000</f>
        <v>1714.362619</v>
      </c>
      <c r="J24" s="115">
        <f>(('Revenue Build'!J7*'Revenue Build'!J10*IS!J62)+('Revenue Build'!J15*'Revenue Build'!J18*IS!J62))/1000000</f>
        <v>1921.561373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9" t="s">
        <v>228</v>
      </c>
      <c r="B25" s="21">
        <f>-1*(CF!B21)</f>
        <v>1523</v>
      </c>
      <c r="C25" s="21">
        <f>-1*(CF!C21)</f>
        <v>215</v>
      </c>
      <c r="D25" s="21">
        <f>-1*(CF!D21)</f>
        <v>764</v>
      </c>
      <c r="E25" s="21">
        <f t="shared" ref="E25:J25" si="19">E24+E22</f>
        <v>844.6684168</v>
      </c>
      <c r="F25" s="21">
        <f t="shared" si="19"/>
        <v>424.0063819</v>
      </c>
      <c r="G25" s="21">
        <f t="shared" si="19"/>
        <v>554.3806499</v>
      </c>
      <c r="H25" s="21">
        <f t="shared" si="19"/>
        <v>629.1241538</v>
      </c>
      <c r="I25" s="21">
        <f t="shared" si="19"/>
        <v>702.5136475</v>
      </c>
      <c r="J25" s="21">
        <f t="shared" si="19"/>
        <v>781.4646676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98" t="s">
        <v>231</v>
      </c>
      <c r="B26" s="99">
        <v>4850.0</v>
      </c>
      <c r="C26" s="99">
        <v>2550.0</v>
      </c>
      <c r="D26" s="99">
        <v>2850.0</v>
      </c>
      <c r="E26" s="59">
        <f t="shared" ref="E26:J26" si="20">E21+E25</f>
        <v>3694.668417</v>
      </c>
      <c r="F26" s="59">
        <f t="shared" si="20"/>
        <v>4118.674799</v>
      </c>
      <c r="G26" s="59">
        <f t="shared" si="20"/>
        <v>4673.055449</v>
      </c>
      <c r="H26" s="59">
        <f t="shared" si="20"/>
        <v>5302.179602</v>
      </c>
      <c r="I26" s="59">
        <f t="shared" si="20"/>
        <v>6004.69325</v>
      </c>
      <c r="J26" s="59">
        <f t="shared" si="20"/>
        <v>6786.157917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8" t="s">
        <v>199</v>
      </c>
      <c r="B28" s="22">
        <v>399.5</v>
      </c>
      <c r="C28" s="21">
        <f t="shared" ref="C28:J28" si="21">B34</f>
        <v>733.3</v>
      </c>
      <c r="D28" s="21">
        <f t="shared" si="21"/>
        <v>457.6</v>
      </c>
      <c r="E28" s="21">
        <f t="shared" si="21"/>
        <v>406</v>
      </c>
      <c r="F28" s="21">
        <f t="shared" si="21"/>
        <v>909.5375753</v>
      </c>
      <c r="G28" s="21">
        <f t="shared" si="21"/>
        <v>1708.115116</v>
      </c>
      <c r="H28" s="21">
        <f t="shared" si="21"/>
        <v>2605.421032</v>
      </c>
      <c r="I28" s="21">
        <f t="shared" si="21"/>
        <v>3619.576704</v>
      </c>
      <c r="J28" s="21">
        <f t="shared" si="21"/>
        <v>4769.814285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8" t="s">
        <v>200</v>
      </c>
      <c r="B29" s="22">
        <v>538.407</v>
      </c>
      <c r="C29" s="21">
        <f t="shared" ref="C29:D29" si="22">C77-C11-C45-C63</f>
        <v>454.803</v>
      </c>
      <c r="D29" s="21">
        <f t="shared" si="22"/>
        <v>460.363</v>
      </c>
      <c r="E29" s="100">
        <f t="shared" ref="E29:J29" si="23">AVERAGE(E21,E26)/E30</f>
        <v>450.6820915</v>
      </c>
      <c r="F29" s="100">
        <f t="shared" si="23"/>
        <v>538.0461832</v>
      </c>
      <c r="G29" s="100">
        <f t="shared" si="23"/>
        <v>605.4203397</v>
      </c>
      <c r="H29" s="100">
        <f t="shared" si="23"/>
        <v>686.9194144</v>
      </c>
      <c r="I29" s="100">
        <f t="shared" si="23"/>
        <v>778.6192945</v>
      </c>
      <c r="J29" s="100">
        <f t="shared" si="23"/>
        <v>880.8097201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ollapsed="1">
      <c r="A30" s="18" t="s">
        <v>235</v>
      </c>
      <c r="B30" s="21">
        <f t="shared" ref="B30:D30" si="24">AVERAGE(B21,B26)/B29</f>
        <v>7.782216799</v>
      </c>
      <c r="C30" s="21">
        <f t="shared" si="24"/>
        <v>8.135390488</v>
      </c>
      <c r="D30" s="21">
        <f t="shared" si="24"/>
        <v>5.864937017</v>
      </c>
      <c r="E30" s="21">
        <f>AVERAGE(B30:D30)</f>
        <v>7.260848101</v>
      </c>
      <c r="F30" s="21">
        <f t="shared" ref="F30:J30" si="25">E30</f>
        <v>7.260848101</v>
      </c>
      <c r="G30" s="21">
        <f t="shared" si="25"/>
        <v>7.260848101</v>
      </c>
      <c r="H30" s="21">
        <f t="shared" si="25"/>
        <v>7.260848101</v>
      </c>
      <c r="I30" s="21">
        <f t="shared" si="25"/>
        <v>7.260848101</v>
      </c>
      <c r="J30" s="21">
        <f t="shared" si="25"/>
        <v>7.260848101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idden="1" outlineLevel="1">
      <c r="A31" s="102" t="s">
        <v>238</v>
      </c>
      <c r="B31" s="104">
        <f>B29/(IS!B$21+IS!B$29)</f>
        <v>0.04020663132</v>
      </c>
      <c r="C31" s="104">
        <f>C29/(IS!C$21+IS!C$29)</f>
        <v>0.02081573527</v>
      </c>
      <c r="D31" s="104">
        <f>D29/(IS!D$21+IS!D$29)</f>
        <v>0.01867825699</v>
      </c>
      <c r="E31" s="104">
        <f>E29/(IS!E$21+IS!E$29)</f>
        <v>0.01945035437</v>
      </c>
      <c r="F31" s="104">
        <f>F29/(IS!F$21+IS!F$29)</f>
        <v>0.02051231283</v>
      </c>
      <c r="G31" s="104">
        <f>G29/(IS!G$21+IS!G$29)</f>
        <v>0.02035443089</v>
      </c>
      <c r="H31" s="104">
        <f>H29/(IS!H$21+IS!H$29)</f>
        <v>0.02050002808</v>
      </c>
      <c r="I31" s="104">
        <f>I29/(IS!I$21+IS!I$29)</f>
        <v>0.02049559351</v>
      </c>
      <c r="J31" s="104">
        <f>J29/(IS!J$21+IS!J$29)</f>
        <v>0.02043793461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idden="1" outlineLevel="1">
      <c r="A32" s="102" t="s">
        <v>243</v>
      </c>
      <c r="B32" s="104">
        <f t="shared" ref="B32:J32" si="26">B29/B$77</f>
        <v>0.3290996333</v>
      </c>
      <c r="C32" s="104">
        <f t="shared" si="26"/>
        <v>0.2409297028</v>
      </c>
      <c r="D32" s="104">
        <f t="shared" si="26"/>
        <v>0.2200587954</v>
      </c>
      <c r="E32" s="104">
        <f t="shared" si="26"/>
        <v>0.2090297301</v>
      </c>
      <c r="F32" s="104">
        <f t="shared" si="26"/>
        <v>0.3611470391</v>
      </c>
      <c r="G32" s="104">
        <f t="shared" si="26"/>
        <v>0.371142427</v>
      </c>
      <c r="H32" s="104">
        <f t="shared" si="26"/>
        <v>0.3844445535</v>
      </c>
      <c r="I32" s="104">
        <f t="shared" si="26"/>
        <v>0.3976831384</v>
      </c>
      <c r="J32" s="104">
        <f t="shared" si="26"/>
        <v>0.4104227375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8" t="s">
        <v>207</v>
      </c>
      <c r="B33" s="21">
        <f t="shared" ref="B33:D33" si="27">B34-SUM(B28:B29)</f>
        <v>-204.607</v>
      </c>
      <c r="C33" s="21">
        <f t="shared" si="27"/>
        <v>-730.503</v>
      </c>
      <c r="D33" s="21">
        <f t="shared" si="27"/>
        <v>-511.963</v>
      </c>
      <c r="E33" s="22">
        <f t="shared" ref="E33:F33" si="28">-1*(C25/C30)*2</f>
        <v>-52.85548378</v>
      </c>
      <c r="F33" s="22">
        <f t="shared" si="28"/>
        <v>-260.531357</v>
      </c>
      <c r="G33" s="22">
        <f t="shared" ref="G33:J33" si="29">-1*(E24/E30)*2</f>
        <v>-291.8855765</v>
      </c>
      <c r="H33" s="22">
        <f t="shared" si="29"/>
        <v>-327.2362582</v>
      </c>
      <c r="I33" s="22">
        <f t="shared" si="29"/>
        <v>-371.6182858</v>
      </c>
      <c r="J33" s="22">
        <f t="shared" si="29"/>
        <v>-418.719389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6" t="s">
        <v>209</v>
      </c>
      <c r="B34" s="128">
        <v>733.3</v>
      </c>
      <c r="C34" s="128">
        <v>457.6</v>
      </c>
      <c r="D34" s="128">
        <v>406.0</v>
      </c>
      <c r="E34" s="129">
        <f t="shared" ref="E34:J34" si="30">E28+E29-E33</f>
        <v>909.5375753</v>
      </c>
      <c r="F34" s="129">
        <f t="shared" si="30"/>
        <v>1708.115116</v>
      </c>
      <c r="G34" s="129">
        <f t="shared" si="30"/>
        <v>2605.421032</v>
      </c>
      <c r="H34" s="129">
        <f t="shared" si="30"/>
        <v>3619.576704</v>
      </c>
      <c r="I34" s="129">
        <f t="shared" si="30"/>
        <v>4769.814285</v>
      </c>
      <c r="J34" s="129">
        <f t="shared" si="30"/>
        <v>6069.343394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03" t="s">
        <v>44</v>
      </c>
      <c r="B35" s="21">
        <f t="shared" ref="B35:J35" si="31">B26-B34</f>
        <v>4116.7</v>
      </c>
      <c r="C35" s="21">
        <f t="shared" si="31"/>
        <v>2092.4</v>
      </c>
      <c r="D35" s="21">
        <f t="shared" si="31"/>
        <v>2444</v>
      </c>
      <c r="E35" s="21">
        <f t="shared" si="31"/>
        <v>2785.130841</v>
      </c>
      <c r="F35" s="21">
        <f t="shared" si="31"/>
        <v>2410.559683</v>
      </c>
      <c r="G35" s="21">
        <f t="shared" si="31"/>
        <v>2067.634417</v>
      </c>
      <c r="H35" s="21">
        <f t="shared" si="31"/>
        <v>1682.602898</v>
      </c>
      <c r="I35" s="21">
        <f t="shared" si="31"/>
        <v>1234.878965</v>
      </c>
      <c r="J35" s="21">
        <f t="shared" si="31"/>
        <v>716.8145239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7">
      <c r="A37" s="8" t="s">
        <v>248</v>
      </c>
      <c r="B37" s="5" t="s">
        <v>13</v>
      </c>
      <c r="E37" s="3" t="s">
        <v>14</v>
      </c>
    </row>
    <row r="38">
      <c r="A38" s="29" t="s">
        <v>249</v>
      </c>
      <c r="B38" s="22">
        <v>5960.19</v>
      </c>
      <c r="C38" s="21">
        <f>B42</f>
        <v>6567.6</v>
      </c>
      <c r="D38" s="22">
        <v>6682.0</v>
      </c>
      <c r="E38" s="21">
        <f t="shared" ref="E38:J38" si="32">D42</f>
        <v>6784</v>
      </c>
      <c r="F38" s="21">
        <f t="shared" si="32"/>
        <v>6784</v>
      </c>
      <c r="G38" s="21">
        <f t="shared" si="32"/>
        <v>6784</v>
      </c>
      <c r="H38" s="21">
        <f t="shared" si="32"/>
        <v>6784</v>
      </c>
      <c r="I38" s="21">
        <f t="shared" si="32"/>
        <v>6784</v>
      </c>
      <c r="J38" s="21">
        <f t="shared" si="32"/>
        <v>6784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9" t="s">
        <v>250</v>
      </c>
      <c r="B39" s="21">
        <f>-1*(CF!B34)</f>
        <v>666</v>
      </c>
      <c r="C39" s="21">
        <f>-1*(CF!C34)</f>
        <v>218</v>
      </c>
      <c r="D39" s="22">
        <v>102.0</v>
      </c>
      <c r="E39" s="21">
        <f>E40*IS!E10</f>
        <v>0</v>
      </c>
      <c r="F39" s="21">
        <f>F40*IS!F10</f>
        <v>0</v>
      </c>
      <c r="G39" s="21">
        <f>G40*IS!G10</f>
        <v>0</v>
      </c>
      <c r="H39" s="21">
        <f>H40*IS!H10</f>
        <v>0</v>
      </c>
      <c r="I39" s="21">
        <f>I40*IS!I10</f>
        <v>0</v>
      </c>
      <c r="J39" s="21">
        <f>J40*IS!J10</f>
        <v>0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7" t="s">
        <v>252</v>
      </c>
      <c r="B40" s="111">
        <f>B39/IS!B10</f>
        <v>0.5967741935</v>
      </c>
      <c r="C40" s="111">
        <f>C39/IS!C10</f>
        <v>0.140192926</v>
      </c>
      <c r="D40" s="111">
        <f>D39/IS!D10</f>
        <v>0.06662312214</v>
      </c>
      <c r="E40" s="132"/>
      <c r="F40" s="132"/>
      <c r="G40" s="132"/>
      <c r="H40" s="132"/>
      <c r="I40" s="132"/>
      <c r="J40" s="13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29" t="s">
        <v>207</v>
      </c>
      <c r="B41" s="21">
        <f t="shared" ref="B41:D41" si="33">B42-SUM(B38:B39)</f>
        <v>-58.59</v>
      </c>
      <c r="C41" s="21">
        <f t="shared" si="33"/>
        <v>-8.69</v>
      </c>
      <c r="D41" s="21">
        <f t="shared" si="33"/>
        <v>0</v>
      </c>
      <c r="E41" s="22">
        <v>0.0</v>
      </c>
      <c r="F41" s="22">
        <v>0.0</v>
      </c>
      <c r="G41" s="22">
        <v>0.0</v>
      </c>
      <c r="H41" s="22">
        <v>0.0</v>
      </c>
      <c r="I41" s="22">
        <v>0.0</v>
      </c>
      <c r="J41" s="22">
        <v>0.0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98" t="s">
        <v>254</v>
      </c>
      <c r="B42" s="99">
        <v>6567.6</v>
      </c>
      <c r="C42" s="99">
        <v>6776.91</v>
      </c>
      <c r="D42" s="99">
        <f>D38+D39</f>
        <v>6784</v>
      </c>
      <c r="E42" s="59">
        <f t="shared" ref="E42:J42" si="34">E38+E39-E41</f>
        <v>6784</v>
      </c>
      <c r="F42" s="59">
        <f t="shared" si="34"/>
        <v>6784</v>
      </c>
      <c r="G42" s="59">
        <f t="shared" si="34"/>
        <v>6784</v>
      </c>
      <c r="H42" s="59">
        <f t="shared" si="34"/>
        <v>6784</v>
      </c>
      <c r="I42" s="59">
        <f t="shared" si="34"/>
        <v>6784</v>
      </c>
      <c r="J42" s="59">
        <f t="shared" si="34"/>
        <v>6784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8" t="s">
        <v>199</v>
      </c>
      <c r="B44" s="22">
        <v>20.157</v>
      </c>
      <c r="C44" s="21">
        <f t="shared" ref="C44:J44" si="35">B50</f>
        <v>220.11</v>
      </c>
      <c r="D44" s="21">
        <f t="shared" si="35"/>
        <v>495.518</v>
      </c>
      <c r="E44" s="21">
        <f t="shared" si="35"/>
        <v>723</v>
      </c>
      <c r="F44" s="21">
        <f t="shared" si="35"/>
        <v>967.4873001</v>
      </c>
      <c r="G44" s="21">
        <f t="shared" si="35"/>
        <v>1211.9746</v>
      </c>
      <c r="H44" s="21">
        <f t="shared" si="35"/>
        <v>1456.4619</v>
      </c>
      <c r="I44" s="21">
        <f t="shared" si="35"/>
        <v>1700.949201</v>
      </c>
      <c r="J44" s="21">
        <f t="shared" si="35"/>
        <v>1945.436501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8" t="s">
        <v>200</v>
      </c>
      <c r="B45" s="22">
        <v>213.0</v>
      </c>
      <c r="C45" s="22">
        <v>276.0</v>
      </c>
      <c r="D45" s="22">
        <v>227.0</v>
      </c>
      <c r="E45" s="100">
        <f t="shared" ref="E45:J45" si="36">AVERAGE(E38,E42)/E46</f>
        <v>244.4873001</v>
      </c>
      <c r="F45" s="100">
        <f t="shared" si="36"/>
        <v>244.4873001</v>
      </c>
      <c r="G45" s="100">
        <f t="shared" si="36"/>
        <v>244.4873001</v>
      </c>
      <c r="H45" s="100">
        <f t="shared" si="36"/>
        <v>244.4873001</v>
      </c>
      <c r="I45" s="100">
        <f t="shared" si="36"/>
        <v>244.4873001</v>
      </c>
      <c r="J45" s="100">
        <f t="shared" si="36"/>
        <v>244.4873001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ollapsed="1">
      <c r="A46" s="18" t="s">
        <v>235</v>
      </c>
      <c r="B46" s="21">
        <f t="shared" ref="B46:D46" si="37">AVERAGE(B38,B42)/B45</f>
        <v>29.40795775</v>
      </c>
      <c r="C46" s="21">
        <f t="shared" si="37"/>
        <v>24.17483696</v>
      </c>
      <c r="D46" s="21">
        <f t="shared" si="37"/>
        <v>29.66079295</v>
      </c>
      <c r="E46" s="21">
        <f>AVERAGE(B46:D46)</f>
        <v>27.74786255</v>
      </c>
      <c r="F46" s="21">
        <f t="shared" ref="F46:J46" si="38">E46</f>
        <v>27.74786255</v>
      </c>
      <c r="G46" s="21">
        <f t="shared" si="38"/>
        <v>27.74786255</v>
      </c>
      <c r="H46" s="21">
        <f t="shared" si="38"/>
        <v>27.74786255</v>
      </c>
      <c r="I46" s="21">
        <f t="shared" si="38"/>
        <v>27.74786255</v>
      </c>
      <c r="J46" s="21">
        <f t="shared" si="38"/>
        <v>27.74786255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idden="1" outlineLevel="1">
      <c r="A47" s="102" t="s">
        <v>260</v>
      </c>
      <c r="B47" s="104">
        <f>B45/(IS!B$21+IS!B$29)</f>
        <v>0.01590620566</v>
      </c>
      <c r="C47" s="104">
        <f>C45/(IS!C$21+IS!C$29)</f>
        <v>0.01263215708</v>
      </c>
      <c r="D47" s="104">
        <f>D45/(IS!D$21+IS!D$29)</f>
        <v>0.009210045847</v>
      </c>
      <c r="E47" s="104">
        <f>E45/(IS!E$21+IS!E$29)</f>
        <v>0.01055148344</v>
      </c>
      <c r="F47" s="104">
        <f>F45/(IS!F$21+IS!F$29)</f>
        <v>0.00932076119</v>
      </c>
      <c r="G47" s="104">
        <f>G45/(IS!G$21+IS!G$29)</f>
        <v>0.008219743423</v>
      </c>
      <c r="H47" s="104">
        <f>H45/(IS!H$21+IS!H$29)</f>
        <v>0.007296338424</v>
      </c>
      <c r="I47" s="104">
        <f>I45/(IS!I$21+IS!I$29)</f>
        <v>0.006435638518</v>
      </c>
      <c r="J47" s="104">
        <f>J45/(IS!J$21+IS!J$29)</f>
        <v>0.005672979464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idden="1" outlineLevel="1">
      <c r="A48" s="102" t="s">
        <v>261</v>
      </c>
      <c r="B48" s="104">
        <f t="shared" ref="B48:J48" si="39">B45/B$77</f>
        <v>0.130195599</v>
      </c>
      <c r="C48" s="104">
        <f t="shared" si="39"/>
        <v>0.1462096731</v>
      </c>
      <c r="D48" s="104">
        <f t="shared" si="39"/>
        <v>0.1085086042</v>
      </c>
      <c r="E48" s="104">
        <f t="shared" si="39"/>
        <v>0.1133950413</v>
      </c>
      <c r="F48" s="104">
        <f t="shared" si="39"/>
        <v>0.1641046202</v>
      </c>
      <c r="G48" s="104">
        <f t="shared" si="39"/>
        <v>0.1498786942</v>
      </c>
      <c r="H48" s="104">
        <f t="shared" si="39"/>
        <v>0.1368309135</v>
      </c>
      <c r="I48" s="104">
        <f t="shared" si="39"/>
        <v>0.1248729353</v>
      </c>
      <c r="J48" s="104">
        <f t="shared" si="39"/>
        <v>0.1139214801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8" t="s">
        <v>207</v>
      </c>
      <c r="B49" s="21">
        <f t="shared" ref="B49:D49" si="40">B50-SUM(B44:B45)</f>
        <v>-13.047</v>
      </c>
      <c r="C49" s="21">
        <f t="shared" si="40"/>
        <v>-0.592</v>
      </c>
      <c r="D49" s="21">
        <f t="shared" si="40"/>
        <v>0.482</v>
      </c>
      <c r="E49" s="22">
        <v>0.0</v>
      </c>
      <c r="F49" s="22">
        <v>0.0</v>
      </c>
      <c r="G49" s="22">
        <v>0.0</v>
      </c>
      <c r="H49" s="22">
        <v>0.0</v>
      </c>
      <c r="I49" s="22">
        <v>0.0</v>
      </c>
      <c r="J49" s="22">
        <v>0.0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30" t="s">
        <v>209</v>
      </c>
      <c r="B50" s="33">
        <v>220.11</v>
      </c>
      <c r="C50" s="33">
        <v>495.518</v>
      </c>
      <c r="D50" s="33">
        <v>723.0</v>
      </c>
      <c r="E50" s="25">
        <f t="shared" ref="E50:J50" si="41">E44+E45-E49</f>
        <v>967.4873001</v>
      </c>
      <c r="F50" s="25">
        <f t="shared" si="41"/>
        <v>1211.9746</v>
      </c>
      <c r="G50" s="25">
        <f t="shared" si="41"/>
        <v>1456.4619</v>
      </c>
      <c r="H50" s="25">
        <f t="shared" si="41"/>
        <v>1700.949201</v>
      </c>
      <c r="I50" s="25">
        <f t="shared" si="41"/>
        <v>1945.436501</v>
      </c>
      <c r="J50" s="25">
        <f t="shared" si="41"/>
        <v>2189.923801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9" t="s">
        <v>263</v>
      </c>
      <c r="B51" s="21"/>
      <c r="C51" s="21"/>
      <c r="D51" s="22">
        <v>18.0</v>
      </c>
      <c r="E51" s="21"/>
      <c r="F51" s="21"/>
      <c r="G51" s="21"/>
      <c r="H51" s="21"/>
      <c r="I51" s="21"/>
      <c r="J51" s="2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29" t="s">
        <v>265</v>
      </c>
      <c r="B52" s="21"/>
      <c r="C52" s="21"/>
      <c r="D52" s="22">
        <v>59.0</v>
      </c>
      <c r="E52" s="21"/>
      <c r="F52" s="21"/>
      <c r="G52" s="21"/>
      <c r="H52" s="21"/>
      <c r="I52" s="21"/>
      <c r="J52" s="2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03" t="s">
        <v>266</v>
      </c>
      <c r="B53" s="21">
        <f t="shared" ref="B53:C53" si="42">B42-B50</f>
        <v>6347.49</v>
      </c>
      <c r="C53" s="21">
        <f t="shared" si="42"/>
        <v>6281.392</v>
      </c>
      <c r="D53" s="22">
        <f>D42-D50+D51+D52</f>
        <v>6138</v>
      </c>
      <c r="E53" s="21">
        <f t="shared" ref="E53:J53" si="43">E42-E50</f>
        <v>5816.5127</v>
      </c>
      <c r="F53" s="21">
        <f t="shared" si="43"/>
        <v>5572.0254</v>
      </c>
      <c r="G53" s="21">
        <f t="shared" si="43"/>
        <v>5327.5381</v>
      </c>
      <c r="H53" s="21">
        <f t="shared" si="43"/>
        <v>5083.050799</v>
      </c>
      <c r="I53" s="21">
        <f t="shared" si="43"/>
        <v>4838.563499</v>
      </c>
      <c r="J53" s="21">
        <f t="shared" si="43"/>
        <v>4594.076199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5">
      <c r="A55" s="8" t="s">
        <v>269</v>
      </c>
      <c r="B55" s="5" t="s">
        <v>13</v>
      </c>
      <c r="E55" s="3" t="s">
        <v>14</v>
      </c>
    </row>
    <row r="56">
      <c r="A56" s="29" t="s">
        <v>270</v>
      </c>
      <c r="B56" s="22">
        <v>383.189</v>
      </c>
      <c r="C56" s="21">
        <f t="shared" ref="C56:J56" si="44">B60</f>
        <v>404.912</v>
      </c>
      <c r="D56" s="21">
        <f t="shared" si="44"/>
        <v>406.372</v>
      </c>
      <c r="E56" s="21">
        <f t="shared" si="44"/>
        <v>510</v>
      </c>
      <c r="F56" s="21">
        <f t="shared" si="44"/>
        <v>510</v>
      </c>
      <c r="G56" s="21">
        <f t="shared" si="44"/>
        <v>510</v>
      </c>
      <c r="H56" s="21">
        <f t="shared" si="44"/>
        <v>510</v>
      </c>
      <c r="I56" s="21">
        <f t="shared" si="44"/>
        <v>510</v>
      </c>
      <c r="J56" s="21">
        <f t="shared" si="44"/>
        <v>510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29" t="s">
        <v>271</v>
      </c>
      <c r="B57" s="21">
        <f>CF!B35</f>
        <v>0</v>
      </c>
      <c r="C57" s="21">
        <f>CF!C35</f>
        <v>0</v>
      </c>
      <c r="D57" s="21">
        <f>-1*CF!D35</f>
        <v>5</v>
      </c>
      <c r="E57" s="100"/>
      <c r="F57" s="100"/>
      <c r="G57" s="100"/>
      <c r="H57" s="100"/>
      <c r="I57" s="100"/>
      <c r="J57" s="10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29" t="s">
        <v>272</v>
      </c>
      <c r="B58" s="21">
        <f t="shared" ref="B58:D58" si="45">B60-SUM(B56:B57)</f>
        <v>21.723</v>
      </c>
      <c r="C58" s="21">
        <f t="shared" si="45"/>
        <v>1.46</v>
      </c>
      <c r="D58" s="21">
        <f t="shared" si="45"/>
        <v>98.628</v>
      </c>
      <c r="E58" s="21">
        <f>E59*IS!E26</f>
        <v>0</v>
      </c>
      <c r="F58" s="21">
        <f>F59*IS!F26</f>
        <v>0</v>
      </c>
      <c r="G58" s="21">
        <f>G59*IS!G26</f>
        <v>0</v>
      </c>
      <c r="H58" s="21">
        <f>H59*IS!H26</f>
        <v>0</v>
      </c>
      <c r="I58" s="21">
        <f>I59*IS!I26</f>
        <v>0</v>
      </c>
      <c r="J58" s="21">
        <f>J59*IS!J26</f>
        <v>0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9" t="s">
        <v>274</v>
      </c>
      <c r="B59" s="108">
        <f>B58/834.408</f>
        <v>0.02603402652</v>
      </c>
      <c r="C59" s="108">
        <f>C58/IS!B26</f>
        <v>0.001059506531</v>
      </c>
      <c r="D59" s="108">
        <f>D58/IS!C26</f>
        <v>0.06755342466</v>
      </c>
      <c r="E59" s="82"/>
      <c r="F59" s="82"/>
      <c r="G59" s="82"/>
      <c r="H59" s="82"/>
      <c r="I59" s="82"/>
      <c r="J59" s="8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98" t="s">
        <v>275</v>
      </c>
      <c r="B60" s="99">
        <v>404.912</v>
      </c>
      <c r="C60" s="99">
        <v>406.372</v>
      </c>
      <c r="D60" s="99">
        <v>510.0</v>
      </c>
      <c r="E60" s="59">
        <f t="shared" ref="E60:J60" si="46">E56+E57+E58</f>
        <v>510</v>
      </c>
      <c r="F60" s="59">
        <f t="shared" si="46"/>
        <v>510</v>
      </c>
      <c r="G60" s="59">
        <f t="shared" si="46"/>
        <v>510</v>
      </c>
      <c r="H60" s="59">
        <f t="shared" si="46"/>
        <v>510</v>
      </c>
      <c r="I60" s="59">
        <f t="shared" si="46"/>
        <v>510</v>
      </c>
      <c r="J60" s="59">
        <f t="shared" si="46"/>
        <v>510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8" t="s">
        <v>276</v>
      </c>
      <c r="B62" s="22">
        <v>7.044</v>
      </c>
      <c r="C62" s="21">
        <f t="shared" ref="C62:J62" si="47">B68</f>
        <v>46.655</v>
      </c>
      <c r="D62" s="21">
        <f t="shared" si="47"/>
        <v>112.71</v>
      </c>
      <c r="E62" s="21">
        <f t="shared" si="47"/>
        <v>91</v>
      </c>
      <c r="F62" s="21">
        <f t="shared" si="47"/>
        <v>137.7696179</v>
      </c>
      <c r="G62" s="21">
        <f t="shared" si="47"/>
        <v>184.5392358</v>
      </c>
      <c r="H62" s="21">
        <f t="shared" si="47"/>
        <v>231.3088536</v>
      </c>
      <c r="I62" s="21">
        <f t="shared" si="47"/>
        <v>278.0784715</v>
      </c>
      <c r="J62" s="21">
        <f t="shared" si="47"/>
        <v>324.8480894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8" t="s">
        <v>277</v>
      </c>
      <c r="B63" s="22">
        <v>36.366</v>
      </c>
      <c r="C63" s="22">
        <v>46.897</v>
      </c>
      <c r="D63" s="22">
        <v>34.637</v>
      </c>
      <c r="E63" s="100">
        <f t="shared" ref="E63:J63" si="48">AVERAGE(E60,E56)/E64</f>
        <v>46.76961788</v>
      </c>
      <c r="F63" s="100">
        <f t="shared" si="48"/>
        <v>46.76961788</v>
      </c>
      <c r="G63" s="100">
        <f t="shared" si="48"/>
        <v>46.76961788</v>
      </c>
      <c r="H63" s="100">
        <f t="shared" si="48"/>
        <v>46.76961788</v>
      </c>
      <c r="I63" s="100">
        <f t="shared" si="48"/>
        <v>46.76961788</v>
      </c>
      <c r="J63" s="100">
        <f t="shared" si="48"/>
        <v>46.76961788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ollapsed="1">
      <c r="A64" s="18" t="s">
        <v>235</v>
      </c>
      <c r="B64" s="22">
        <f t="shared" ref="B64:D64" si="49">AVERAGE(B60,B56)/B63</f>
        <v>10.83568443</v>
      </c>
      <c r="C64" s="22">
        <f t="shared" si="49"/>
        <v>8.649636437</v>
      </c>
      <c r="D64" s="22">
        <f t="shared" si="49"/>
        <v>13.22822415</v>
      </c>
      <c r="E64" s="21">
        <f>AVERAGE(B64:D64)</f>
        <v>10.90451501</v>
      </c>
      <c r="F64" s="21">
        <f t="shared" ref="F64:J64" si="50">E64</f>
        <v>10.90451501</v>
      </c>
      <c r="G64" s="21">
        <f t="shared" si="50"/>
        <v>10.90451501</v>
      </c>
      <c r="H64" s="21">
        <f t="shared" si="50"/>
        <v>10.90451501</v>
      </c>
      <c r="I64" s="21">
        <f t="shared" si="50"/>
        <v>10.90451501</v>
      </c>
      <c r="J64" s="21">
        <f t="shared" si="50"/>
        <v>10.90451501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idden="1" outlineLevel="1">
      <c r="A65" s="102" t="s">
        <v>279</v>
      </c>
      <c r="B65" s="104">
        <f>B63/(IS!B$21+IS!B$29)</f>
        <v>0.002715704578</v>
      </c>
      <c r="C65" s="104">
        <f>C63/(IS!C$21+IS!C$29)</f>
        <v>0.002146414024</v>
      </c>
      <c r="D65" s="104">
        <f>D63/(IS!D$21+IS!D$29)</f>
        <v>0.001405323163</v>
      </c>
      <c r="E65" s="104">
        <f>E63/(IS!E$21+IS!E$29)</f>
        <v>0.002018464142</v>
      </c>
      <c r="F65" s="104">
        <f>F63/(IS!F$21+IS!F$29)</f>
        <v>0.001783031016</v>
      </c>
      <c r="G65" s="104">
        <f>G63/(IS!G$21+IS!G$29)</f>
        <v>0.001572409932</v>
      </c>
      <c r="H65" s="104">
        <f>H63/(IS!H$21+IS!H$29)</f>
        <v>0.001395765587</v>
      </c>
      <c r="I65" s="104">
        <f>I63/(IS!I$21+IS!I$29)</f>
        <v>0.001231116521</v>
      </c>
      <c r="J65" s="104">
        <f>J63/(IS!J$21+IS!J$29)</f>
        <v>0.001085222347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idden="1" outlineLevel="1">
      <c r="A66" s="102" t="s">
        <v>282</v>
      </c>
      <c r="B66" s="104">
        <f t="shared" ref="B66:J66" si="51">B63/B$77</f>
        <v>0.02222860636</v>
      </c>
      <c r="C66" s="104">
        <f t="shared" si="51"/>
        <v>0.0248434603</v>
      </c>
      <c r="D66" s="104">
        <f t="shared" si="51"/>
        <v>0.01655688337</v>
      </c>
      <c r="E66" s="104">
        <f t="shared" si="51"/>
        <v>0.02169209912</v>
      </c>
      <c r="F66" s="104">
        <f t="shared" si="51"/>
        <v>0.0313926751</v>
      </c>
      <c r="G66" s="104">
        <f t="shared" si="51"/>
        <v>0.02867130215</v>
      </c>
      <c r="H66" s="104">
        <f t="shared" si="51"/>
        <v>0.02617530454</v>
      </c>
      <c r="I66" s="104">
        <f t="shared" si="51"/>
        <v>0.02388778258</v>
      </c>
      <c r="J66" s="104">
        <f t="shared" si="51"/>
        <v>0.02179280515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8" t="s">
        <v>207</v>
      </c>
      <c r="B67" s="21">
        <f t="shared" ref="B67:D67" si="52">B68-SUM(B62:B63)</f>
        <v>3.245</v>
      </c>
      <c r="C67" s="21">
        <f t="shared" si="52"/>
        <v>19.158</v>
      </c>
      <c r="D67" s="21">
        <f t="shared" si="52"/>
        <v>-56.347</v>
      </c>
      <c r="E67" s="22">
        <v>0.0</v>
      </c>
      <c r="F67" s="22">
        <v>0.0</v>
      </c>
      <c r="G67" s="22">
        <v>0.0</v>
      </c>
      <c r="H67" s="22">
        <v>0.0</v>
      </c>
      <c r="I67" s="22">
        <v>0.0</v>
      </c>
      <c r="J67" s="22">
        <v>0.0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6" t="s">
        <v>284</v>
      </c>
      <c r="B68" s="133">
        <v>46.655</v>
      </c>
      <c r="C68" s="133">
        <v>112.71</v>
      </c>
      <c r="D68" s="133">
        <v>91.0</v>
      </c>
      <c r="E68" s="133">
        <f t="shared" ref="E68:J68" si="53">E62+E63-E67</f>
        <v>137.7696179</v>
      </c>
      <c r="F68" s="133">
        <f t="shared" si="53"/>
        <v>184.5392358</v>
      </c>
      <c r="G68" s="133">
        <f t="shared" si="53"/>
        <v>231.3088536</v>
      </c>
      <c r="H68" s="133">
        <f t="shared" si="53"/>
        <v>278.0784715</v>
      </c>
      <c r="I68" s="133">
        <f t="shared" si="53"/>
        <v>324.8480894</v>
      </c>
      <c r="J68" s="133">
        <f t="shared" si="53"/>
        <v>371.6177073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29" t="s">
        <v>285</v>
      </c>
      <c r="B69" s="21">
        <f>B60-B68</f>
        <v>358.257</v>
      </c>
      <c r="C69" s="22">
        <v>282.492</v>
      </c>
      <c r="D69" s="22">
        <v>339.0</v>
      </c>
      <c r="E69" s="21">
        <f t="shared" ref="E69:J69" si="54">E60-E68</f>
        <v>372.2303821</v>
      </c>
      <c r="F69" s="21">
        <f t="shared" si="54"/>
        <v>325.4607642</v>
      </c>
      <c r="G69" s="21">
        <f t="shared" si="54"/>
        <v>278.6911464</v>
      </c>
      <c r="H69" s="21">
        <f t="shared" si="54"/>
        <v>231.9215285</v>
      </c>
      <c r="I69" s="21">
        <f t="shared" si="54"/>
        <v>185.1519106</v>
      </c>
      <c r="J69" s="21">
        <f t="shared" si="54"/>
        <v>138.3822927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29" t="s">
        <v>286</v>
      </c>
      <c r="B71" s="21">
        <f t="shared" ref="B71:J71" si="55">B16+B34+B50+B68</f>
        <v>2723.859</v>
      </c>
      <c r="C71" s="21">
        <f t="shared" si="55"/>
        <v>3764.926</v>
      </c>
      <c r="D71" s="21">
        <f t="shared" si="55"/>
        <v>4954</v>
      </c>
      <c r="E71" s="21">
        <f t="shared" si="55"/>
        <v>7110.066945</v>
      </c>
      <c r="F71" s="21">
        <f t="shared" si="55"/>
        <v>9689.727222</v>
      </c>
      <c r="G71" s="21">
        <f t="shared" si="55"/>
        <v>12509.52458</v>
      </c>
      <c r="H71" s="21">
        <f t="shared" si="55"/>
        <v>15601.72127</v>
      </c>
      <c r="I71" s="21">
        <f t="shared" si="55"/>
        <v>19001.10439</v>
      </c>
      <c r="J71" s="21">
        <f t="shared" si="55"/>
        <v>22737.99403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5" t="s">
        <v>289</v>
      </c>
      <c r="B72" s="125"/>
      <c r="C72" s="134"/>
      <c r="D72" s="134"/>
      <c r="E72" s="134">
        <f t="shared" ref="E72:J72" si="56">E71-D71</f>
        <v>2156.066945</v>
      </c>
      <c r="F72" s="134">
        <f t="shared" si="56"/>
        <v>2579.660277</v>
      </c>
      <c r="G72" s="134">
        <f t="shared" si="56"/>
        <v>2819.797357</v>
      </c>
      <c r="H72" s="134">
        <f t="shared" si="56"/>
        <v>3092.196687</v>
      </c>
      <c r="I72" s="134">
        <f t="shared" si="56"/>
        <v>3399.383127</v>
      </c>
      <c r="J72" s="134">
        <f t="shared" si="56"/>
        <v>3736.889641</v>
      </c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collapsed="1">
      <c r="A73" s="29"/>
      <c r="B73" s="21"/>
      <c r="C73" s="22"/>
      <c r="D73" s="22" t="s">
        <v>290</v>
      </c>
      <c r="E73" s="22">
        <f>SUM((E60-D60),E42-D42,E26-D26,E8-D8)</f>
        <v>2171.668417</v>
      </c>
      <c r="F73" s="22"/>
      <c r="G73" s="22"/>
      <c r="H73" s="22"/>
      <c r="I73" s="22"/>
      <c r="J73" s="2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idden="1" outlineLevel="1">
      <c r="A74" s="29" t="s">
        <v>291</v>
      </c>
      <c r="B74" s="21">
        <f>B77-SUM(B63,B45,B29,B11)</f>
        <v>78.927</v>
      </c>
      <c r="C74" s="22">
        <v>0.0</v>
      </c>
      <c r="D74" s="22">
        <v>0.0</v>
      </c>
      <c r="E74" s="22">
        <v>0.0</v>
      </c>
      <c r="F74" s="22">
        <v>0.0</v>
      </c>
      <c r="G74" s="22">
        <v>0.0</v>
      </c>
      <c r="H74" s="22">
        <v>0.0</v>
      </c>
      <c r="I74" s="22">
        <v>0.0</v>
      </c>
      <c r="J74" s="22">
        <v>0.0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idden="1" outlineLevel="1">
      <c r="A75" s="29" t="s">
        <v>292</v>
      </c>
      <c r="B75" s="21">
        <f t="shared" ref="B75:D75" si="57">B57+B39+B25+B6</f>
        <v>5604</v>
      </c>
      <c r="C75" s="21">
        <f t="shared" si="57"/>
        <v>2534</v>
      </c>
      <c r="D75" s="21">
        <f t="shared" si="57"/>
        <v>2198</v>
      </c>
      <c r="E75" s="21">
        <f t="shared" ref="E75:J75" si="58">E57+E39+E24+E6</f>
        <v>2386.668417</v>
      </c>
      <c r="F75" s="21">
        <f t="shared" si="58"/>
        <v>2647.706382</v>
      </c>
      <c r="G75" s="21">
        <f t="shared" si="58"/>
        <v>2954.801962</v>
      </c>
      <c r="H75" s="21">
        <f t="shared" si="58"/>
        <v>3286.36594</v>
      </c>
      <c r="I75" s="21">
        <f t="shared" si="58"/>
        <v>3657.223319</v>
      </c>
      <c r="J75" s="21">
        <f t="shared" si="58"/>
        <v>4058.708143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idden="1" outlineLevel="1">
      <c r="A76" s="29" t="s">
        <v>293</v>
      </c>
      <c r="B76" s="22">
        <v>0.0</v>
      </c>
      <c r="C76" s="22">
        <v>13.3</v>
      </c>
      <c r="D76" s="21">
        <f>47+15</f>
        <v>62</v>
      </c>
      <c r="E76" s="22">
        <v>0.0</v>
      </c>
      <c r="F76" s="22">
        <v>0.0</v>
      </c>
      <c r="G76" s="22">
        <v>0.0</v>
      </c>
      <c r="H76" s="22">
        <v>0.0</v>
      </c>
      <c r="I76" s="22">
        <v>0.0</v>
      </c>
      <c r="J76" s="22">
        <v>0.0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idden="1" outlineLevel="1">
      <c r="A77" s="29" t="s">
        <v>294</v>
      </c>
      <c r="B77" s="21">
        <f>CF!B8</f>
        <v>1636</v>
      </c>
      <c r="C77" s="21">
        <f>CF!C8-C76</f>
        <v>1887.7</v>
      </c>
      <c r="D77" s="21">
        <f>CF!D8-D76</f>
        <v>2092</v>
      </c>
      <c r="E77" s="21">
        <f>CF!E8-E76</f>
        <v>2156.066945</v>
      </c>
      <c r="F77" s="21">
        <f>CF!F8-F76</f>
        <v>1489.825819</v>
      </c>
      <c r="G77" s="21">
        <f>CF!G8-G76</f>
        <v>1631.234523</v>
      </c>
      <c r="H77" s="21">
        <f>CF!H8-H76</f>
        <v>1786.784097</v>
      </c>
      <c r="I77" s="21">
        <f>CF!I8-I76</f>
        <v>1957.888629</v>
      </c>
      <c r="J77" s="21">
        <f>CF!J8-J76</f>
        <v>2146.103614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idden="1" outlineLevel="1">
      <c r="A78" s="29" t="s">
        <v>289</v>
      </c>
      <c r="B78" s="21">
        <f t="shared" ref="B78:J78" si="59">SUM(B76:B77)</f>
        <v>1636</v>
      </c>
      <c r="C78" s="21">
        <f t="shared" si="59"/>
        <v>1901</v>
      </c>
      <c r="D78" s="21">
        <f t="shared" si="59"/>
        <v>2154</v>
      </c>
      <c r="E78" s="21">
        <f t="shared" si="59"/>
        <v>2156.066945</v>
      </c>
      <c r="F78" s="21">
        <f t="shared" si="59"/>
        <v>1489.825819</v>
      </c>
      <c r="G78" s="21">
        <f t="shared" si="59"/>
        <v>1631.234523</v>
      </c>
      <c r="H78" s="21">
        <f t="shared" si="59"/>
        <v>1786.784097</v>
      </c>
      <c r="I78" s="21">
        <f t="shared" si="59"/>
        <v>1957.888629</v>
      </c>
      <c r="J78" s="21">
        <f t="shared" si="59"/>
        <v>2146.103614</v>
      </c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>
      <c r="D79" s="35" t="s">
        <v>295</v>
      </c>
      <c r="E79" s="135">
        <f>E73-E72</f>
        <v>15.60147212</v>
      </c>
    </row>
    <row r="80">
      <c r="D80" s="135">
        <f>BS!E6</f>
        <v>0</v>
      </c>
    </row>
    <row r="81" collapsed="1">
      <c r="A81" s="8" t="s">
        <v>296</v>
      </c>
      <c r="B81" s="5" t="s">
        <v>13</v>
      </c>
      <c r="E81" s="3" t="s">
        <v>14</v>
      </c>
    </row>
    <row r="82" hidden="1" outlineLevel="1">
      <c r="A82" s="136" t="s">
        <v>297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idden="1" outlineLevel="1">
      <c r="A83" s="137" t="s">
        <v>298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idden="1" outlineLevel="1">
      <c r="A84" s="137" t="s">
        <v>299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idden="1" outlineLevel="1">
      <c r="A85" s="138" t="s">
        <v>300</v>
      </c>
      <c r="B85" s="66">
        <v>827.62</v>
      </c>
      <c r="C85" s="66">
        <f>C87+C86</f>
        <v>869.092</v>
      </c>
      <c r="D85" s="101">
        <f>C90</f>
        <v>912.625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idden="1" outlineLevel="1">
      <c r="A86" s="139" t="s">
        <v>301</v>
      </c>
      <c r="B86" s="101"/>
      <c r="C86" s="101"/>
      <c r="D86" s="101">
        <f>D85</f>
        <v>912.625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idden="1" outlineLevel="1">
      <c r="A87" s="139" t="s">
        <v>302</v>
      </c>
      <c r="B87" s="101">
        <f>B85+B86</f>
        <v>827.62</v>
      </c>
      <c r="C87" s="140">
        <v>869.092</v>
      </c>
      <c r="D87" s="66">
        <v>0.0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idden="1" outlineLevel="1">
      <c r="A88" s="138" t="s">
        <v>304</v>
      </c>
      <c r="B88" s="101"/>
      <c r="C88" s="101"/>
      <c r="D88" s="66">
        <v>920.0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idden="1" outlineLevel="1">
      <c r="A89" s="138" t="s">
        <v>305</v>
      </c>
      <c r="B89" s="101"/>
      <c r="C89" s="101"/>
      <c r="D89" s="10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idden="1" outlineLevel="1">
      <c r="A90" s="139" t="s">
        <v>301</v>
      </c>
      <c r="B90" s="101"/>
      <c r="C90" s="66">
        <v>912.625</v>
      </c>
      <c r="D90" s="66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idden="1" outlineLevel="1">
      <c r="A91" s="139" t="s">
        <v>302</v>
      </c>
      <c r="B91" s="101">
        <f>C87</f>
        <v>869.092</v>
      </c>
      <c r="C91" s="101"/>
      <c r="D91" s="66">
        <f>(D85+D94)-D88</f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idden="1" outlineLevel="1">
      <c r="A92" s="138"/>
      <c r="B92" s="101"/>
      <c r="C92" s="101"/>
      <c r="D92" s="10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idden="1" outlineLevel="1">
      <c r="A93" s="138" t="s">
        <v>307</v>
      </c>
      <c r="B93" s="101">
        <f>A83*A84</f>
        <v>2.3</v>
      </c>
      <c r="C93" s="101">
        <f>B93</f>
        <v>2.3</v>
      </c>
      <c r="D93" s="101">
        <f>C93*(2/12)</f>
        <v>0.3833333333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idden="1" outlineLevel="1">
      <c r="A94" s="138" t="s">
        <v>308</v>
      </c>
      <c r="B94" s="101">
        <f>B91-B87</f>
        <v>41.472</v>
      </c>
      <c r="C94" s="101">
        <f>C90-C87</f>
        <v>43.533</v>
      </c>
      <c r="D94" s="141">
        <f>A83-C90</f>
        <v>7.375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idden="1" outlineLevel="1">
      <c r="A95" s="138" t="s">
        <v>309</v>
      </c>
      <c r="B95" s="101"/>
      <c r="C95" s="101"/>
      <c r="D95" s="10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idden="1" outlineLevel="1">
      <c r="A96" s="142" t="s">
        <v>311</v>
      </c>
      <c r="B96" s="101">
        <f t="shared" ref="B96:C96" si="60">B93+B94</f>
        <v>43.772</v>
      </c>
      <c r="C96" s="101">
        <f t="shared" si="60"/>
        <v>45.833</v>
      </c>
      <c r="D96" s="101">
        <f>sum(D93:D94)</f>
        <v>7.758333333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idden="1" outlineLevel="1"/>
    <row r="98" hidden="1" outlineLevel="1">
      <c r="A98" s="136" t="s">
        <v>312</v>
      </c>
    </row>
    <row r="99" hidden="1" outlineLevel="1">
      <c r="A99" s="143">
        <v>1380.0</v>
      </c>
      <c r="C99" s="144"/>
      <c r="D99" s="144"/>
      <c r="E99" s="144"/>
    </row>
    <row r="100" hidden="1" outlineLevel="1">
      <c r="A100" s="145">
        <v>0.0125</v>
      </c>
      <c r="C100" s="144"/>
      <c r="D100" s="144"/>
      <c r="E100" s="144"/>
    </row>
    <row r="101" hidden="1" outlineLevel="1">
      <c r="A101" s="138" t="s">
        <v>300</v>
      </c>
      <c r="B101" s="87">
        <f t="shared" ref="B101:F101" si="61">B102+B103</f>
        <v>1132.029</v>
      </c>
      <c r="C101" s="144">
        <f t="shared" si="61"/>
        <v>1186.131</v>
      </c>
      <c r="D101" s="144">
        <f t="shared" si="61"/>
        <v>1243.496</v>
      </c>
      <c r="E101" s="144">
        <f t="shared" si="61"/>
        <v>1304</v>
      </c>
      <c r="F101" s="144">
        <f t="shared" si="61"/>
        <v>1369.142857</v>
      </c>
    </row>
    <row r="102" hidden="1" outlineLevel="1">
      <c r="A102" s="139" t="s">
        <v>301</v>
      </c>
      <c r="C102" s="144"/>
      <c r="D102" s="144"/>
      <c r="E102" s="144"/>
      <c r="F102" s="146">
        <f>E106</f>
        <v>1369.142857</v>
      </c>
    </row>
    <row r="103" hidden="1" outlineLevel="1">
      <c r="A103" s="139" t="s">
        <v>302</v>
      </c>
      <c r="B103" s="35">
        <v>1132.029</v>
      </c>
      <c r="C103" s="146">
        <v>1186.131</v>
      </c>
      <c r="D103" s="146">
        <f t="shared" ref="D103:E103" si="62">C107</f>
        <v>1243.496</v>
      </c>
      <c r="E103" s="146">
        <f t="shared" si="62"/>
        <v>1304</v>
      </c>
    </row>
    <row r="104" hidden="1" outlineLevel="1">
      <c r="A104" s="138" t="s">
        <v>304</v>
      </c>
      <c r="C104" s="144"/>
      <c r="D104" s="144"/>
      <c r="E104" s="144"/>
      <c r="F104" s="144">
        <f>A99</f>
        <v>1380</v>
      </c>
    </row>
    <row r="105" hidden="1" outlineLevel="1">
      <c r="A105" s="138" t="s">
        <v>305</v>
      </c>
      <c r="C105" s="144"/>
      <c r="D105" s="144"/>
      <c r="E105" s="144"/>
    </row>
    <row r="106" hidden="1" outlineLevel="1">
      <c r="A106" s="139" t="s">
        <v>301</v>
      </c>
      <c r="C106" s="144"/>
      <c r="D106" s="146"/>
      <c r="E106" s="144">
        <f>E103+E110</f>
        <v>1369.142857</v>
      </c>
    </row>
    <row r="107" hidden="1" outlineLevel="1">
      <c r="A107" s="139" t="s">
        <v>302</v>
      </c>
      <c r="B107" s="144">
        <f>C103</f>
        <v>1186.131</v>
      </c>
      <c r="C107" s="146">
        <v>1243.496</v>
      </c>
      <c r="D107" s="146">
        <v>1304.0</v>
      </c>
      <c r="F107" s="144">
        <f>(F102+F110)-F104</f>
        <v>0</v>
      </c>
    </row>
    <row r="108" hidden="1" outlineLevel="1">
      <c r="A108" s="138"/>
      <c r="C108" s="144"/>
      <c r="D108" s="144"/>
      <c r="E108" s="144"/>
    </row>
    <row r="109" hidden="1" outlineLevel="1">
      <c r="A109" s="138" t="s">
        <v>307</v>
      </c>
      <c r="B109" s="144">
        <f t="shared" ref="B109:E109" si="63">$A$100*$A$99</f>
        <v>17.25</v>
      </c>
      <c r="C109" s="144">
        <f t="shared" si="63"/>
        <v>17.25</v>
      </c>
      <c r="D109" s="144">
        <f t="shared" si="63"/>
        <v>17.25</v>
      </c>
      <c r="E109" s="144">
        <f t="shared" si="63"/>
        <v>17.25</v>
      </c>
      <c r="F109" s="144">
        <f>$A$100*$A$99*(2/12)</f>
        <v>2.875</v>
      </c>
    </row>
    <row r="110" hidden="1" outlineLevel="1">
      <c r="A110" s="138" t="s">
        <v>308</v>
      </c>
      <c r="B110" s="144">
        <f t="shared" ref="B110:D110" si="64">B107-B103</f>
        <v>54.102</v>
      </c>
      <c r="C110" s="144">
        <f t="shared" si="64"/>
        <v>57.365</v>
      </c>
      <c r="D110" s="144">
        <f t="shared" si="64"/>
        <v>60.504</v>
      </c>
      <c r="E110" s="144">
        <f>($A$99-$E$103)*(12/14)</f>
        <v>65.14285714</v>
      </c>
      <c r="F110" s="144">
        <f>($A$99-$E$103)*(2/14)</f>
        <v>10.85714286</v>
      </c>
    </row>
    <row r="111" hidden="1" outlineLevel="1">
      <c r="A111" s="138" t="s">
        <v>309</v>
      </c>
      <c r="B111" s="144"/>
      <c r="C111" s="144"/>
      <c r="D111" s="144"/>
      <c r="E111" s="144"/>
    </row>
    <row r="112" hidden="1" outlineLevel="1">
      <c r="A112" s="142" t="s">
        <v>311</v>
      </c>
      <c r="B112" s="144">
        <f t="shared" ref="B112:F112" si="65">B109+B110</f>
        <v>71.352</v>
      </c>
      <c r="C112" s="144">
        <f t="shared" si="65"/>
        <v>74.615</v>
      </c>
      <c r="D112" s="144">
        <f t="shared" si="65"/>
        <v>77.754</v>
      </c>
      <c r="E112" s="144">
        <f t="shared" si="65"/>
        <v>82.39285714</v>
      </c>
      <c r="F112" s="144">
        <f t="shared" si="65"/>
        <v>13.73214286</v>
      </c>
    </row>
    <row r="113" hidden="1" outlineLevel="1">
      <c r="A113" s="142"/>
      <c r="B113" s="144"/>
      <c r="C113" s="144"/>
      <c r="D113" s="144"/>
      <c r="E113" s="144"/>
      <c r="F113" s="144"/>
    </row>
    <row r="114" hidden="1" outlineLevel="1">
      <c r="A114" s="136" t="s">
        <v>315</v>
      </c>
      <c r="B114" s="144"/>
      <c r="C114" s="144"/>
      <c r="D114" s="144"/>
      <c r="E114" s="144"/>
      <c r="F114" s="144"/>
    </row>
    <row r="115" hidden="1" outlineLevel="1">
      <c r="A115" s="137" t="s">
        <v>316</v>
      </c>
      <c r="B115" s="144"/>
      <c r="C115" s="144"/>
      <c r="D115" s="144"/>
      <c r="E115" s="144"/>
      <c r="F115" s="144"/>
    </row>
    <row r="116" hidden="1" outlineLevel="1">
      <c r="A116" s="137" t="s">
        <v>317</v>
      </c>
      <c r="B116" s="144"/>
      <c r="C116" s="144"/>
      <c r="D116" s="144"/>
      <c r="E116" s="144"/>
      <c r="F116" s="144"/>
    </row>
    <row r="117" hidden="1" outlineLevel="1">
      <c r="A117" s="138" t="s">
        <v>300</v>
      </c>
      <c r="B117" s="144">
        <f t="shared" ref="B117:F117" si="66">B119+B118</f>
        <v>820.938</v>
      </c>
      <c r="C117" s="144">
        <f t="shared" si="66"/>
        <v>841.973</v>
      </c>
      <c r="D117" s="144">
        <f t="shared" si="66"/>
        <v>871.326</v>
      </c>
      <c r="E117" s="144">
        <f t="shared" si="66"/>
        <v>902</v>
      </c>
      <c r="F117" s="144">
        <f t="shared" si="66"/>
        <v>936.62</v>
      </c>
      <c r="G117" s="144">
        <f>G118+G119</f>
        <v>971.2353846</v>
      </c>
    </row>
    <row r="118" hidden="1" outlineLevel="1">
      <c r="A118" s="139" t="s">
        <v>301</v>
      </c>
      <c r="B118" s="144"/>
      <c r="C118" s="144"/>
      <c r="D118" s="144"/>
      <c r="E118" s="144"/>
      <c r="F118" s="144"/>
      <c r="G118" s="144">
        <f>F122</f>
        <v>971.2353846</v>
      </c>
    </row>
    <row r="119" hidden="1" outlineLevel="1">
      <c r="A119" s="139" t="s">
        <v>302</v>
      </c>
      <c r="B119" s="146">
        <v>820.938</v>
      </c>
      <c r="C119" s="146">
        <v>841.973</v>
      </c>
      <c r="D119" s="144">
        <f>C123</f>
        <v>871.326</v>
      </c>
      <c r="E119" s="146">
        <v>902.0</v>
      </c>
      <c r="F119" s="146">
        <v>936.62</v>
      </c>
      <c r="G119" s="146">
        <v>0.0</v>
      </c>
    </row>
    <row r="120" hidden="1" outlineLevel="1">
      <c r="A120" s="138" t="s">
        <v>304</v>
      </c>
      <c r="B120" s="144"/>
      <c r="C120" s="144"/>
      <c r="D120" s="144"/>
      <c r="E120" s="144"/>
      <c r="F120" s="144"/>
      <c r="G120" s="146">
        <v>977.0</v>
      </c>
    </row>
    <row r="121" hidden="1" outlineLevel="1">
      <c r="A121" s="138" t="s">
        <v>305</v>
      </c>
      <c r="B121" s="144">
        <f t="shared" ref="B121:G121" si="67">B122+B123</f>
        <v>841.973</v>
      </c>
      <c r="C121" s="144">
        <f t="shared" si="67"/>
        <v>871.326</v>
      </c>
      <c r="D121" s="144">
        <f t="shared" si="67"/>
        <v>902</v>
      </c>
      <c r="E121" s="144">
        <f t="shared" si="67"/>
        <v>34.61538462</v>
      </c>
      <c r="F121" s="144">
        <f t="shared" si="67"/>
        <v>971.2353846</v>
      </c>
      <c r="G121" s="144">
        <f t="shared" si="67"/>
        <v>0.004615384615</v>
      </c>
    </row>
    <row r="122" hidden="1" outlineLevel="1">
      <c r="A122" s="139" t="s">
        <v>301</v>
      </c>
      <c r="B122" s="144"/>
      <c r="C122" s="144"/>
      <c r="D122" s="144"/>
      <c r="E122" s="144"/>
      <c r="F122" s="144">
        <f>F119+F126</f>
        <v>971.2353846</v>
      </c>
      <c r="G122" s="144"/>
    </row>
    <row r="123" hidden="1" outlineLevel="1">
      <c r="A123" s="139" t="s">
        <v>302</v>
      </c>
      <c r="B123" s="146">
        <v>841.973</v>
      </c>
      <c r="C123" s="146">
        <v>871.326</v>
      </c>
      <c r="D123" s="144">
        <f>902</f>
        <v>902</v>
      </c>
      <c r="E123" s="144">
        <f>($A$115-$E$117)*12/26</f>
        <v>34.61538462</v>
      </c>
      <c r="F123" s="146">
        <v>0.0</v>
      </c>
      <c r="G123" s="144">
        <f>(G118+G126)-G120</f>
        <v>0.004615384615</v>
      </c>
    </row>
    <row r="124" hidden="1" outlineLevel="1">
      <c r="A124" s="138"/>
      <c r="B124" s="144"/>
      <c r="C124" s="144"/>
      <c r="D124" s="144"/>
      <c r="E124" s="144"/>
      <c r="F124" s="144"/>
      <c r="G124" s="144"/>
    </row>
    <row r="125" hidden="1" outlineLevel="1">
      <c r="A125" s="138" t="s">
        <v>307</v>
      </c>
      <c r="B125" s="144">
        <f t="shared" ref="B125:F125" si="68">$A$115*$A$116</f>
        <v>23.20375</v>
      </c>
      <c r="C125" s="144">
        <f t="shared" si="68"/>
        <v>23.20375</v>
      </c>
      <c r="D125" s="144">
        <f t="shared" si="68"/>
        <v>23.20375</v>
      </c>
      <c r="E125" s="144">
        <f t="shared" si="68"/>
        <v>23.20375</v>
      </c>
      <c r="F125" s="144">
        <f t="shared" si="68"/>
        <v>23.20375</v>
      </c>
      <c r="G125" s="144">
        <f>F125*(2/12)</f>
        <v>3.867291667</v>
      </c>
    </row>
    <row r="126" hidden="1" outlineLevel="1">
      <c r="A126" s="138" t="s">
        <v>308</v>
      </c>
      <c r="B126" s="144">
        <f t="shared" ref="B126:D126" si="69">B123-B119</f>
        <v>21.035</v>
      </c>
      <c r="C126" s="144">
        <f t="shared" si="69"/>
        <v>29.353</v>
      </c>
      <c r="D126" s="144">
        <f t="shared" si="69"/>
        <v>30.674</v>
      </c>
      <c r="E126" s="144">
        <f t="shared" ref="E126:F126" si="70">($A$115-$E$119)*(12/26)</f>
        <v>34.61538462</v>
      </c>
      <c r="F126" s="144">
        <f t="shared" si="70"/>
        <v>34.61538462</v>
      </c>
      <c r="G126" s="144">
        <f>($A$115-$E$119)*(2/26)</f>
        <v>5.769230769</v>
      </c>
    </row>
    <row r="127" hidden="1" outlineLevel="1">
      <c r="A127" s="138" t="s">
        <v>309</v>
      </c>
      <c r="B127" s="144"/>
      <c r="C127" s="144"/>
      <c r="D127" s="144"/>
      <c r="E127" s="144"/>
      <c r="F127" s="144"/>
      <c r="G127" s="144"/>
    </row>
    <row r="128" hidden="1" outlineLevel="1">
      <c r="A128" s="29" t="s">
        <v>319</v>
      </c>
      <c r="B128" s="144"/>
      <c r="C128" s="144"/>
      <c r="D128" s="144"/>
      <c r="E128" s="144"/>
      <c r="F128" s="144"/>
      <c r="G128" s="144"/>
    </row>
    <row r="129" hidden="1" outlineLevel="1">
      <c r="A129" s="142" t="s">
        <v>311</v>
      </c>
      <c r="B129" s="144">
        <f t="shared" ref="B129:G129" si="71">sum(B125:B126)</f>
        <v>44.23875</v>
      </c>
      <c r="C129" s="144">
        <f t="shared" si="71"/>
        <v>52.55675</v>
      </c>
      <c r="D129" s="144">
        <f t="shared" si="71"/>
        <v>53.87775</v>
      </c>
      <c r="E129" s="144">
        <f t="shared" si="71"/>
        <v>57.81913462</v>
      </c>
      <c r="F129" s="144">
        <f t="shared" si="71"/>
        <v>57.81913462</v>
      </c>
      <c r="G129" s="144">
        <f t="shared" si="71"/>
        <v>9.636522436</v>
      </c>
    </row>
    <row r="130" hidden="1" outlineLevel="1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idden="1" outlineLevel="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6.5" hidden="1" customHeight="1" outlineLevel="1">
      <c r="A132" s="136" t="s">
        <v>321</v>
      </c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6.5" hidden="1" customHeight="1" outlineLevel="1">
      <c r="A133" s="149" t="s">
        <v>323</v>
      </c>
      <c r="B133" s="154"/>
      <c r="C133" s="154"/>
      <c r="D133" s="154"/>
      <c r="E133" s="154"/>
      <c r="F133" s="154"/>
      <c r="G133" s="154"/>
      <c r="H133" s="154"/>
      <c r="I133" s="154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6.5" hidden="1" customHeight="1" outlineLevel="1">
      <c r="A134" s="149" t="s">
        <v>334</v>
      </c>
      <c r="B134" s="154"/>
      <c r="C134" s="154"/>
      <c r="D134" s="154"/>
      <c r="E134" s="154"/>
      <c r="F134" s="154"/>
      <c r="G134" s="154"/>
      <c r="H134" s="154"/>
      <c r="I134" s="154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6.5" hidden="1" customHeight="1" outlineLevel="1">
      <c r="A135" s="143" t="s">
        <v>300</v>
      </c>
      <c r="B135" s="154"/>
      <c r="C135" s="154"/>
      <c r="D135" s="158">
        <f t="shared" ref="D135:H135" si="72">D137+D136</f>
        <v>1340.143</v>
      </c>
      <c r="E135" s="158">
        <f t="shared" si="72"/>
        <v>1383</v>
      </c>
      <c r="F135" s="158">
        <f t="shared" si="72"/>
        <v>1488.461538</v>
      </c>
      <c r="G135" s="158">
        <f t="shared" si="72"/>
        <v>1593.923077</v>
      </c>
      <c r="H135" s="158">
        <f t="shared" si="72"/>
        <v>1699.384615</v>
      </c>
      <c r="I135" s="158">
        <f>I136+I137</f>
        <v>1804.846154</v>
      </c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6.5" hidden="1" customHeight="1" outlineLevel="1">
      <c r="A136" s="143" t="s">
        <v>301</v>
      </c>
      <c r="B136" s="154"/>
      <c r="C136" s="154"/>
      <c r="D136" s="158"/>
      <c r="E136" s="158"/>
      <c r="F136" s="158"/>
      <c r="G136" s="158"/>
      <c r="H136" s="158"/>
      <c r="I136" s="158">
        <f>H140</f>
        <v>1804.846154</v>
      </c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6.5" hidden="1" customHeight="1" outlineLevel="1">
      <c r="A137" s="143" t="s">
        <v>302</v>
      </c>
      <c r="B137" s="154"/>
      <c r="C137" s="154"/>
      <c r="D137" s="158">
        <v>1340.143</v>
      </c>
      <c r="E137" s="158">
        <f t="shared" ref="E137:I137" si="73">D141</f>
        <v>1383</v>
      </c>
      <c r="F137" s="158">
        <f t="shared" si="73"/>
        <v>1488.461538</v>
      </c>
      <c r="G137" s="158">
        <f t="shared" si="73"/>
        <v>1593.923077</v>
      </c>
      <c r="H137" s="158">
        <f t="shared" si="73"/>
        <v>1699.384615</v>
      </c>
      <c r="I137" s="158" t="str">
        <f t="shared" si="73"/>
        <v/>
      </c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6.5" hidden="1" customHeight="1" outlineLevel="1">
      <c r="A138" s="143" t="s">
        <v>304</v>
      </c>
      <c r="B138" s="154"/>
      <c r="C138" s="154"/>
      <c r="D138" s="158">
        <f>-1*A133</f>
        <v>-1840</v>
      </c>
      <c r="E138" s="158"/>
      <c r="F138" s="158"/>
      <c r="G138" s="158"/>
      <c r="H138" s="158"/>
      <c r="I138" s="158">
        <v>1840.0</v>
      </c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6.5" hidden="1" customHeight="1" outlineLevel="1">
      <c r="A139" s="143" t="s">
        <v>305</v>
      </c>
      <c r="B139" s="154"/>
      <c r="C139" s="154"/>
      <c r="D139" s="158">
        <f t="shared" ref="D139:I139" si="74">D141+D140</f>
        <v>1383</v>
      </c>
      <c r="E139" s="158">
        <f t="shared" si="74"/>
        <v>1488.461538</v>
      </c>
      <c r="F139" s="158">
        <f t="shared" si="74"/>
        <v>1593.923077</v>
      </c>
      <c r="G139" s="158">
        <f t="shared" si="74"/>
        <v>1699.384615</v>
      </c>
      <c r="H139" s="158">
        <f t="shared" si="74"/>
        <v>1804.846154</v>
      </c>
      <c r="I139" s="158">
        <f t="shared" si="74"/>
        <v>0</v>
      </c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6.5" hidden="1" customHeight="1" outlineLevel="1">
      <c r="A140" s="143" t="s">
        <v>301</v>
      </c>
      <c r="B140" s="154"/>
      <c r="C140" s="154"/>
      <c r="D140" s="158"/>
      <c r="E140" s="158"/>
      <c r="F140" s="158"/>
      <c r="G140" s="158"/>
      <c r="H140" s="158">
        <f>H137+H144</f>
        <v>1804.846154</v>
      </c>
      <c r="I140" s="158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6.5" hidden="1" customHeight="1" outlineLevel="1">
      <c r="A141" s="143" t="s">
        <v>302</v>
      </c>
      <c r="B141" s="154"/>
      <c r="C141" s="154"/>
      <c r="D141" s="158">
        <v>1383.0</v>
      </c>
      <c r="E141" s="158">
        <f t="shared" ref="E141:G141" si="75">E137+E144+E145</f>
        <v>1488.461538</v>
      </c>
      <c r="F141" s="158">
        <f t="shared" si="75"/>
        <v>1593.923077</v>
      </c>
      <c r="G141" s="158">
        <f t="shared" si="75"/>
        <v>1699.384615</v>
      </c>
      <c r="H141" s="158"/>
      <c r="I141" s="158">
        <f>(I135+I144+I145)-I138</f>
        <v>0</v>
      </c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6.5" hidden="1" customHeight="1" outlineLevel="1">
      <c r="A142" s="143"/>
      <c r="B142" s="154"/>
      <c r="C142" s="154"/>
      <c r="D142" s="158"/>
      <c r="E142" s="158"/>
      <c r="F142" s="158"/>
      <c r="G142" s="158"/>
      <c r="H142" s="158"/>
      <c r="I142" s="158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6.5" hidden="1" customHeight="1" outlineLevel="1">
      <c r="A143" s="143" t="s">
        <v>307</v>
      </c>
      <c r="B143" s="154"/>
      <c r="C143" s="154"/>
      <c r="D143" s="158">
        <f>$A$133*$A134*(8/12)</f>
        <v>24.53333333</v>
      </c>
      <c r="E143" s="158">
        <f t="shared" ref="E143:H143" si="76">$A$133*$A134</f>
        <v>36.8</v>
      </c>
      <c r="F143" s="158">
        <f t="shared" si="76"/>
        <v>36.8</v>
      </c>
      <c r="G143" s="158">
        <f t="shared" si="76"/>
        <v>36.8</v>
      </c>
      <c r="H143" s="158">
        <f t="shared" si="76"/>
        <v>36.8</v>
      </c>
      <c r="I143" s="158">
        <f>$A$133*$A134*(4/12)</f>
        <v>12.26666667</v>
      </c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6.5" hidden="1" customHeight="1" outlineLevel="1">
      <c r="A144" s="143" t="s">
        <v>308</v>
      </c>
      <c r="B144" s="154"/>
      <c r="C144" s="154"/>
      <c r="D144" s="144">
        <f>D141-D137</f>
        <v>42.857</v>
      </c>
      <c r="E144" s="158">
        <f>(12/52)*($A$133-E137)</f>
        <v>105.4615385</v>
      </c>
      <c r="F144" s="158">
        <f>(12/40)*($A$133-F137)</f>
        <v>105.4615385</v>
      </c>
      <c r="G144" s="158">
        <f>(12/28)*($A$133-G137)</f>
        <v>105.4615385</v>
      </c>
      <c r="H144" s="158">
        <f>(12/16)*($A$133-H137)</f>
        <v>105.4615385</v>
      </c>
      <c r="I144" s="158">
        <f>I138-I136</f>
        <v>35.15384615</v>
      </c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6.5" hidden="1" customHeight="1" outlineLevel="1">
      <c r="A145" s="143" t="s">
        <v>309</v>
      </c>
      <c r="B145" s="154"/>
      <c r="C145" s="154"/>
      <c r="D145" s="158"/>
      <c r="E145" s="158"/>
      <c r="F145" s="158"/>
      <c r="G145" s="158"/>
      <c r="H145" s="158"/>
      <c r="I145" s="158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6.5" hidden="1" customHeight="1" outlineLevel="1">
      <c r="A146" s="66" t="s">
        <v>319</v>
      </c>
      <c r="B146" s="154"/>
      <c r="C146" s="154"/>
      <c r="D146" s="158"/>
      <c r="E146" s="158"/>
      <c r="F146" s="158"/>
      <c r="G146" s="158"/>
      <c r="H146" s="158"/>
      <c r="I146" s="158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6.5" hidden="1" customHeight="1" outlineLevel="1">
      <c r="A147" s="154" t="s">
        <v>311</v>
      </c>
      <c r="B147" s="154"/>
      <c r="C147" s="154"/>
      <c r="D147" s="158">
        <f t="shared" ref="D147:I147" si="77">sum(D143:D144)</f>
        <v>67.39033333</v>
      </c>
      <c r="E147" s="158">
        <f t="shared" si="77"/>
        <v>142.2615385</v>
      </c>
      <c r="F147" s="158">
        <f t="shared" si="77"/>
        <v>142.2615385</v>
      </c>
      <c r="G147" s="158">
        <f t="shared" si="77"/>
        <v>142.2615385</v>
      </c>
      <c r="H147" s="158">
        <f t="shared" si="77"/>
        <v>142.2615385</v>
      </c>
      <c r="I147" s="158">
        <f t="shared" si="77"/>
        <v>47.42051282</v>
      </c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6.5" hidden="1" customHeight="1" outlineLevel="1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6.5" hidden="1" customHeight="1" outlineLevel="1">
      <c r="A149" s="136" t="s">
        <v>355</v>
      </c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6.5" hidden="1" customHeight="1" outlineLevel="1">
      <c r="A150" s="137" t="s">
        <v>356</v>
      </c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6.5" hidden="1" customHeight="1" outlineLevel="1">
      <c r="A151" s="137" t="s">
        <v>357</v>
      </c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6.5" hidden="1" customHeight="1" outlineLevel="1">
      <c r="A152" s="138" t="s">
        <v>300</v>
      </c>
      <c r="B152" s="170">
        <f t="shared" ref="B152:I152" si="78">sum(B154,B153)</f>
        <v>1774.742</v>
      </c>
      <c r="C152" s="170">
        <f t="shared" si="78"/>
        <v>1775.55</v>
      </c>
      <c r="D152" s="170">
        <f t="shared" si="78"/>
        <v>1778.756</v>
      </c>
      <c r="E152" s="170">
        <f t="shared" si="78"/>
        <v>1782</v>
      </c>
      <c r="F152" s="170">
        <f t="shared" si="78"/>
        <v>1785.176471</v>
      </c>
      <c r="G152" s="170">
        <f t="shared" si="78"/>
        <v>1788.352941</v>
      </c>
      <c r="H152" s="170">
        <f t="shared" si="78"/>
        <v>1791.529412</v>
      </c>
      <c r="I152" s="170">
        <f t="shared" si="78"/>
        <v>1794.705882</v>
      </c>
      <c r="J152" s="170">
        <f>sum(J153,J154)</f>
        <v>1797.882353</v>
      </c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6.5" hidden="1" customHeight="1" outlineLevel="1">
      <c r="A153" s="139" t="s">
        <v>301</v>
      </c>
      <c r="B153" s="170"/>
      <c r="C153" s="170"/>
      <c r="D153" s="170"/>
      <c r="E153" s="170"/>
      <c r="F153" s="170"/>
      <c r="G153" s="170"/>
      <c r="H153" s="170"/>
      <c r="I153" s="170"/>
      <c r="J153" s="170">
        <f>I157</f>
        <v>1797.882353</v>
      </c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6.5" hidden="1" customHeight="1" outlineLevel="1">
      <c r="A154" s="139" t="s">
        <v>302</v>
      </c>
      <c r="B154" s="170">
        <v>1774.742</v>
      </c>
      <c r="C154" s="170">
        <f t="shared" ref="C154:I154" si="79">B158</f>
        <v>1775.55</v>
      </c>
      <c r="D154" s="170">
        <f t="shared" si="79"/>
        <v>1778.756</v>
      </c>
      <c r="E154" s="170">
        <f t="shared" si="79"/>
        <v>1782</v>
      </c>
      <c r="F154" s="170">
        <f t="shared" si="79"/>
        <v>1785.176471</v>
      </c>
      <c r="G154" s="170">
        <f t="shared" si="79"/>
        <v>1788.352941</v>
      </c>
      <c r="H154" s="170">
        <f t="shared" si="79"/>
        <v>1791.529412</v>
      </c>
      <c r="I154" s="170">
        <f t="shared" si="79"/>
        <v>1794.705882</v>
      </c>
      <c r="J154" s="173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6.5" hidden="1" customHeight="1" outlineLevel="1">
      <c r="A155" s="138" t="s">
        <v>304</v>
      </c>
      <c r="B155" s="170"/>
      <c r="C155" s="170"/>
      <c r="D155" s="170"/>
      <c r="E155" s="170"/>
      <c r="F155" s="170"/>
      <c r="G155" s="170"/>
      <c r="H155" s="170"/>
      <c r="I155" s="170"/>
      <c r="J155" s="170">
        <v>1800.0</v>
      </c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6.5" hidden="1" customHeight="1" outlineLevel="1">
      <c r="A156" s="138" t="s">
        <v>305</v>
      </c>
      <c r="B156" s="173"/>
      <c r="C156" s="170"/>
      <c r="D156" s="170"/>
      <c r="E156" s="170"/>
      <c r="F156" s="170"/>
      <c r="G156" s="170"/>
      <c r="H156" s="170"/>
      <c r="I156" s="170"/>
      <c r="J156" s="170">
        <f>J158+J157</f>
        <v>0</v>
      </c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6.5" hidden="1" customHeight="1" outlineLevel="1">
      <c r="A157" s="139" t="s">
        <v>301</v>
      </c>
      <c r="B157" s="170"/>
      <c r="C157" s="170"/>
      <c r="D157" s="170"/>
      <c r="E157" s="170"/>
      <c r="F157" s="170"/>
      <c r="G157" s="170"/>
      <c r="H157" s="170"/>
      <c r="I157" s="170">
        <f>I154+I161</f>
        <v>1797.882353</v>
      </c>
      <c r="J157" s="170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6.5" hidden="1" customHeight="1" outlineLevel="1">
      <c r="A158" s="139" t="s">
        <v>302</v>
      </c>
      <c r="B158" s="170">
        <v>1775.55</v>
      </c>
      <c r="C158" s="170">
        <f>1778.756</f>
        <v>1778.756</v>
      </c>
      <c r="D158" s="170">
        <v>1782.0</v>
      </c>
      <c r="E158" s="170">
        <f t="shared" ref="E158:H158" si="80">E154+E161</f>
        <v>1785.176471</v>
      </c>
      <c r="F158" s="170">
        <f t="shared" si="80"/>
        <v>1788.352941</v>
      </c>
      <c r="G158" s="170">
        <f t="shared" si="80"/>
        <v>1791.529412</v>
      </c>
      <c r="H158" s="170">
        <f t="shared" si="80"/>
        <v>1794.705882</v>
      </c>
      <c r="I158" s="173"/>
      <c r="J158" s="175">
        <f>(J153+J161)-J155</f>
        <v>0</v>
      </c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6.5" hidden="1" customHeight="1" outlineLevel="1">
      <c r="A159" s="138"/>
      <c r="B159" s="173"/>
      <c r="C159" s="170"/>
      <c r="D159" s="170"/>
      <c r="E159" s="170"/>
      <c r="F159" s="170"/>
      <c r="G159" s="170"/>
      <c r="H159" s="170"/>
      <c r="I159" s="170"/>
      <c r="J159" s="170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6.5" hidden="1" customHeight="1" outlineLevel="1">
      <c r="A160" s="138" t="s">
        <v>307</v>
      </c>
      <c r="B160" s="170">
        <f t="shared" ref="B160:J160" si="81">$A$150*$A$151</f>
        <v>95.4</v>
      </c>
      <c r="C160" s="170">
        <f t="shared" si="81"/>
        <v>95.4</v>
      </c>
      <c r="D160" s="170">
        <f t="shared" si="81"/>
        <v>95.4</v>
      </c>
      <c r="E160" s="170">
        <f t="shared" si="81"/>
        <v>95.4</v>
      </c>
      <c r="F160" s="170">
        <f t="shared" si="81"/>
        <v>95.4</v>
      </c>
      <c r="G160" s="170">
        <f t="shared" si="81"/>
        <v>95.4</v>
      </c>
      <c r="H160" s="170">
        <f t="shared" si="81"/>
        <v>95.4</v>
      </c>
      <c r="I160" s="170">
        <f t="shared" si="81"/>
        <v>95.4</v>
      </c>
      <c r="J160" s="170">
        <f t="shared" si="81"/>
        <v>95.4</v>
      </c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6.5" hidden="1" customHeight="1" outlineLevel="1">
      <c r="A161" s="138" t="s">
        <v>308</v>
      </c>
      <c r="B161" s="170">
        <f t="shared" ref="B161:D161" si="82">B158-B154</f>
        <v>0.808</v>
      </c>
      <c r="C161" s="170">
        <f t="shared" si="82"/>
        <v>3.206</v>
      </c>
      <c r="D161" s="170">
        <f t="shared" si="82"/>
        <v>3.244</v>
      </c>
      <c r="E161" s="170">
        <f>($A$150-E154)*(12/68)</f>
        <v>3.176470588</v>
      </c>
      <c r="F161" s="170">
        <f>($A$150-F154)*(12/56)</f>
        <v>3.176470588</v>
      </c>
      <c r="G161" s="170">
        <f>($A$150-G154)*(12/44)</f>
        <v>3.176470588</v>
      </c>
      <c r="H161" s="170">
        <f>($A$150-H154)*(12/32)</f>
        <v>3.176470588</v>
      </c>
      <c r="I161" s="170">
        <f>($A$150-I154)*(12/20)</f>
        <v>3.176470588</v>
      </c>
      <c r="J161" s="175">
        <f>J155-J153</f>
        <v>2.117647059</v>
      </c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6.5" hidden="1" customHeight="1" outlineLevel="1">
      <c r="A162" s="138" t="s">
        <v>309</v>
      </c>
      <c r="B162" s="170"/>
      <c r="C162" s="170"/>
      <c r="D162" s="170"/>
      <c r="E162" s="170"/>
      <c r="F162" s="170"/>
      <c r="G162" s="170"/>
      <c r="H162" s="170"/>
      <c r="I162" s="170"/>
      <c r="J162" s="170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6.5" hidden="1" customHeight="1" outlineLevel="1">
      <c r="A163" s="29" t="s">
        <v>319</v>
      </c>
      <c r="B163" s="170"/>
      <c r="C163" s="170"/>
      <c r="D163" s="170"/>
      <c r="E163" s="170"/>
      <c r="F163" s="170"/>
      <c r="G163" s="170"/>
      <c r="H163" s="170"/>
      <c r="I163" s="170"/>
      <c r="J163" s="170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6.5" hidden="1" customHeight="1" outlineLevel="1">
      <c r="A164" s="142" t="s">
        <v>311</v>
      </c>
      <c r="B164" s="170">
        <f t="shared" ref="B164:J164" si="83">sum(B160:B161)</f>
        <v>96.208</v>
      </c>
      <c r="C164" s="170">
        <f t="shared" si="83"/>
        <v>98.606</v>
      </c>
      <c r="D164" s="170">
        <f t="shared" si="83"/>
        <v>98.644</v>
      </c>
      <c r="E164" s="170">
        <f t="shared" si="83"/>
        <v>98.57647059</v>
      </c>
      <c r="F164" s="170">
        <f t="shared" si="83"/>
        <v>98.57647059</v>
      </c>
      <c r="G164" s="170">
        <f t="shared" si="83"/>
        <v>98.57647059</v>
      </c>
      <c r="H164" s="170">
        <f t="shared" si="83"/>
        <v>98.57647059</v>
      </c>
      <c r="I164" s="170">
        <f t="shared" si="83"/>
        <v>98.57647059</v>
      </c>
      <c r="J164" s="170">
        <f t="shared" si="83"/>
        <v>97.51764706</v>
      </c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6.5" hidden="1" customHeight="1" outlineLevel="1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6.5" hidden="1" customHeight="1" outlineLevel="1">
      <c r="A166" s="136" t="s">
        <v>377</v>
      </c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6.5" hidden="1" customHeight="1" outlineLevel="1">
      <c r="A167" s="187">
        <f>AVERAGE(0.027,0.048)</f>
        <v>0.0375</v>
      </c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6.5" hidden="1" customHeight="1" outlineLevel="1">
      <c r="A168" s="189" t="s">
        <v>381</v>
      </c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6.5" hidden="1" customHeight="1" outlineLevel="1">
      <c r="A169" s="138" t="s">
        <v>384</v>
      </c>
      <c r="B169" s="142">
        <v>969.0</v>
      </c>
      <c r="C169" s="142">
        <v>1109.0</v>
      </c>
      <c r="D169" s="142">
        <v>1540.0</v>
      </c>
      <c r="E169" s="142">
        <f t="shared" ref="E169:J169" si="84">D177</f>
        <v>1727</v>
      </c>
      <c r="F169" s="142">
        <f t="shared" si="84"/>
        <v>1586</v>
      </c>
      <c r="G169" s="142">
        <f t="shared" si="84"/>
        <v>1586</v>
      </c>
      <c r="H169" s="142">
        <f t="shared" si="84"/>
        <v>1586</v>
      </c>
      <c r="I169" s="142">
        <f t="shared" si="84"/>
        <v>1586</v>
      </c>
      <c r="J169" s="142">
        <f t="shared" si="84"/>
        <v>1586</v>
      </c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6.5" hidden="1" customHeight="1" outlineLevel="1">
      <c r="A170" s="138" t="s">
        <v>300</v>
      </c>
      <c r="B170" s="193">
        <f t="shared" ref="B170:D170" si="85">B172+B171</f>
        <v>969</v>
      </c>
      <c r="C170" s="193">
        <f t="shared" si="85"/>
        <v>1109</v>
      </c>
      <c r="D170" s="193">
        <f t="shared" si="85"/>
        <v>1540</v>
      </c>
      <c r="E170" s="142">
        <f t="shared" ref="E170:J170" si="86">E171+E172</f>
        <v>1727</v>
      </c>
      <c r="F170" s="142">
        <f t="shared" si="86"/>
        <v>1586</v>
      </c>
      <c r="G170" s="142">
        <f t="shared" si="86"/>
        <v>1586</v>
      </c>
      <c r="H170" s="142">
        <f t="shared" si="86"/>
        <v>1586</v>
      </c>
      <c r="I170" s="142">
        <f t="shared" si="86"/>
        <v>1586</v>
      </c>
      <c r="J170" s="142">
        <f t="shared" si="86"/>
        <v>1586</v>
      </c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6.5" hidden="1" customHeight="1" outlineLevel="1">
      <c r="A171" s="139" t="s">
        <v>301</v>
      </c>
      <c r="B171" s="142">
        <v>0.0</v>
      </c>
      <c r="C171" s="142">
        <v>0.0</v>
      </c>
      <c r="D171" s="142">
        <v>0.0</v>
      </c>
      <c r="E171" s="142">
        <f t="shared" ref="E171:J171" si="87">D175</f>
        <v>141</v>
      </c>
      <c r="F171" s="142">
        <f t="shared" si="87"/>
        <v>0</v>
      </c>
      <c r="G171" s="142">
        <f t="shared" si="87"/>
        <v>0</v>
      </c>
      <c r="H171" s="142">
        <f t="shared" si="87"/>
        <v>0</v>
      </c>
      <c r="I171" s="142">
        <f t="shared" si="87"/>
        <v>0</v>
      </c>
      <c r="J171" s="142">
        <f t="shared" si="87"/>
        <v>0</v>
      </c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6.5" hidden="1" customHeight="1" outlineLevel="1">
      <c r="A172" s="139" t="s">
        <v>302</v>
      </c>
      <c r="B172" s="142">
        <v>969.0</v>
      </c>
      <c r="C172" s="142">
        <v>1109.0</v>
      </c>
      <c r="D172" s="142">
        <v>1540.0</v>
      </c>
      <c r="E172" s="142">
        <f t="shared" ref="E172:J172" si="88">D176+D182</f>
        <v>1586</v>
      </c>
      <c r="F172" s="142">
        <f t="shared" si="88"/>
        <v>1586</v>
      </c>
      <c r="G172" s="142">
        <f t="shared" si="88"/>
        <v>1586</v>
      </c>
      <c r="H172" s="142">
        <f t="shared" si="88"/>
        <v>1586</v>
      </c>
      <c r="I172" s="142">
        <f t="shared" si="88"/>
        <v>1586</v>
      </c>
      <c r="J172" s="142">
        <f t="shared" si="88"/>
        <v>1586</v>
      </c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6.5" hidden="1" customHeight="1" outlineLevel="1">
      <c r="A173" s="138" t="s">
        <v>396</v>
      </c>
      <c r="B173" s="142">
        <f t="shared" ref="B173:D173" si="89">B169-B177</f>
        <v>-140</v>
      </c>
      <c r="C173" s="142">
        <f t="shared" si="89"/>
        <v>-431</v>
      </c>
      <c r="D173" s="142">
        <f t="shared" si="89"/>
        <v>-187</v>
      </c>
      <c r="E173" s="200">
        <f>D175</f>
        <v>141</v>
      </c>
      <c r="F173" s="200">
        <v>0.0</v>
      </c>
      <c r="G173" s="200">
        <v>0.0</v>
      </c>
      <c r="H173" s="200">
        <v>0.0</v>
      </c>
      <c r="I173" s="200">
        <v>0.0</v>
      </c>
      <c r="J173" s="200">
        <v>0.0</v>
      </c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6.5" hidden="1" customHeight="1" outlineLevel="1">
      <c r="A174" s="138" t="s">
        <v>305</v>
      </c>
      <c r="B174" s="201">
        <f t="shared" ref="B174:C174" si="90">C170</f>
        <v>1109</v>
      </c>
      <c r="C174" s="201">
        <f t="shared" si="90"/>
        <v>1540</v>
      </c>
      <c r="D174" s="193">
        <f>D176+D175</f>
        <v>1727</v>
      </c>
      <c r="E174" s="142">
        <f t="shared" ref="E174:J174" si="91">E175+E176</f>
        <v>1586</v>
      </c>
      <c r="F174" s="142">
        <f t="shared" si="91"/>
        <v>1586</v>
      </c>
      <c r="G174" s="142">
        <f t="shared" si="91"/>
        <v>1586</v>
      </c>
      <c r="H174" s="142">
        <f t="shared" si="91"/>
        <v>1586</v>
      </c>
      <c r="I174" s="142">
        <f t="shared" si="91"/>
        <v>1586</v>
      </c>
      <c r="J174" s="142">
        <f t="shared" si="91"/>
        <v>1586</v>
      </c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6.5" hidden="1" customHeight="1" outlineLevel="1">
      <c r="A175" s="139" t="s">
        <v>301</v>
      </c>
      <c r="B175" s="142">
        <f t="shared" ref="B175:C175" si="92">C171</f>
        <v>0</v>
      </c>
      <c r="C175" s="142">
        <f t="shared" si="92"/>
        <v>0</v>
      </c>
      <c r="D175" s="142">
        <v>141.0</v>
      </c>
      <c r="E175" s="142">
        <f t="shared" ref="E175:J175" si="93">if(F173&gt;=0,0,F173)</f>
        <v>0</v>
      </c>
      <c r="F175" s="142">
        <f t="shared" si="93"/>
        <v>0</v>
      </c>
      <c r="G175" s="142">
        <f t="shared" si="93"/>
        <v>0</v>
      </c>
      <c r="H175" s="142">
        <f t="shared" si="93"/>
        <v>0</v>
      </c>
      <c r="I175" s="142">
        <f t="shared" si="93"/>
        <v>0</v>
      </c>
      <c r="J175" s="142">
        <f t="shared" si="93"/>
        <v>0</v>
      </c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6.5" hidden="1" customHeight="1" outlineLevel="1">
      <c r="A176" s="139" t="s">
        <v>302</v>
      </c>
      <c r="B176" s="142">
        <f t="shared" ref="B176:C176" si="94">C172</f>
        <v>1109</v>
      </c>
      <c r="C176" s="142">
        <f t="shared" si="94"/>
        <v>1540</v>
      </c>
      <c r="D176" s="142">
        <v>1586.0</v>
      </c>
      <c r="E176" s="142">
        <f t="shared" ref="E176:J176" si="95">IF(E173&lt;0,E172-E173,E172-E175)</f>
        <v>1586</v>
      </c>
      <c r="F176" s="142">
        <f t="shared" si="95"/>
        <v>1586</v>
      </c>
      <c r="G176" s="142">
        <f t="shared" si="95"/>
        <v>1586</v>
      </c>
      <c r="H176" s="142">
        <f t="shared" si="95"/>
        <v>1586</v>
      </c>
      <c r="I176" s="142">
        <f t="shared" si="95"/>
        <v>1586</v>
      </c>
      <c r="J176" s="142">
        <f t="shared" si="95"/>
        <v>1586</v>
      </c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6.5" hidden="1" customHeight="1" outlineLevel="1">
      <c r="A177" s="138" t="s">
        <v>411</v>
      </c>
      <c r="B177" s="142">
        <f t="shared" ref="B177:C177" si="96">C169</f>
        <v>1109</v>
      </c>
      <c r="C177" s="142">
        <f t="shared" si="96"/>
        <v>1540</v>
      </c>
      <c r="D177" s="142">
        <v>1727.0</v>
      </c>
      <c r="E177" s="142">
        <f t="shared" ref="E177:J177" si="97">E169-E173</f>
        <v>1586</v>
      </c>
      <c r="F177" s="142">
        <f t="shared" si="97"/>
        <v>1586</v>
      </c>
      <c r="G177" s="142">
        <f t="shared" si="97"/>
        <v>1586</v>
      </c>
      <c r="H177" s="142">
        <f t="shared" si="97"/>
        <v>1586</v>
      </c>
      <c r="I177" s="142">
        <f t="shared" si="97"/>
        <v>1586</v>
      </c>
      <c r="J177" s="142">
        <f t="shared" si="97"/>
        <v>1586</v>
      </c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6.5" hidden="1" customHeight="1" outlineLevel="1">
      <c r="A178" s="138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6.5" hidden="1" customHeight="1" outlineLevel="1">
      <c r="A179" s="138" t="s">
        <v>416</v>
      </c>
      <c r="B179" s="201">
        <f t="shared" ref="B179:D179" si="98">B177-B174</f>
        <v>0</v>
      </c>
      <c r="C179" s="201">
        <f t="shared" si="98"/>
        <v>0</v>
      </c>
      <c r="D179" s="201">
        <f t="shared" si="98"/>
        <v>0</v>
      </c>
      <c r="E179" s="201">
        <f t="shared" ref="E179:J179" si="99">D179-D182</f>
        <v>0</v>
      </c>
      <c r="F179" s="201">
        <f t="shared" si="99"/>
        <v>0</v>
      </c>
      <c r="G179" s="201">
        <f t="shared" si="99"/>
        <v>0</v>
      </c>
      <c r="H179" s="201">
        <f t="shared" si="99"/>
        <v>0</v>
      </c>
      <c r="I179" s="201">
        <f t="shared" si="99"/>
        <v>0</v>
      </c>
      <c r="J179" s="201">
        <f t="shared" si="99"/>
        <v>0</v>
      </c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6.5" hidden="1" customHeight="1" outlineLevel="1">
      <c r="A180" s="138" t="s">
        <v>307</v>
      </c>
      <c r="B180" s="142">
        <f t="shared" ref="B180:J180" si="100">($A167*average(B177,B169))</f>
        <v>38.9625</v>
      </c>
      <c r="C180" s="142">
        <f t="shared" si="100"/>
        <v>49.66875</v>
      </c>
      <c r="D180" s="142">
        <f t="shared" si="100"/>
        <v>61.25625</v>
      </c>
      <c r="E180" s="142">
        <f t="shared" si="100"/>
        <v>62.11875</v>
      </c>
      <c r="F180" s="142">
        <f t="shared" si="100"/>
        <v>59.475</v>
      </c>
      <c r="G180" s="142">
        <f t="shared" si="100"/>
        <v>59.475</v>
      </c>
      <c r="H180" s="142">
        <f t="shared" si="100"/>
        <v>59.475</v>
      </c>
      <c r="I180" s="142">
        <f t="shared" si="100"/>
        <v>59.475</v>
      </c>
      <c r="J180" s="142">
        <f t="shared" si="100"/>
        <v>59.475</v>
      </c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6.5" hidden="1" customHeight="1" outlineLevel="1">
      <c r="A181" s="138" t="s">
        <v>308</v>
      </c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6.5" hidden="1" customHeight="1" outlineLevel="1">
      <c r="A182" s="138" t="s">
        <v>309</v>
      </c>
      <c r="B182" s="142">
        <f t="shared" ref="B182:E182" si="101">B179/$A168</f>
        <v>0</v>
      </c>
      <c r="C182" s="142">
        <f t="shared" si="101"/>
        <v>0</v>
      </c>
      <c r="D182" s="142">
        <f t="shared" si="101"/>
        <v>0</v>
      </c>
      <c r="E182" s="142">
        <f t="shared" si="101"/>
        <v>0</v>
      </c>
      <c r="F182" s="142">
        <f>(F179+sum(E182))/$A168</f>
        <v>0</v>
      </c>
      <c r="G182" s="142">
        <f>(G179+SUM(E182:F182))/$A168</f>
        <v>0</v>
      </c>
      <c r="H182" s="142">
        <f>(H179+SUM(E182:G182))/$A168</f>
        <v>0</v>
      </c>
      <c r="I182" s="142">
        <f>(I179+SUM(E182:H182))/$A168</f>
        <v>0</v>
      </c>
      <c r="J182" s="142">
        <f>(J179+SUM(E182:I182))/$A168</f>
        <v>0</v>
      </c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6.5" hidden="1" customHeight="1" outlineLevel="1">
      <c r="A183" s="142" t="s">
        <v>311</v>
      </c>
      <c r="B183" s="142">
        <f t="shared" ref="B183:J183" si="102">B180+B182+B181</f>
        <v>38.9625</v>
      </c>
      <c r="C183" s="142">
        <f t="shared" si="102"/>
        <v>49.66875</v>
      </c>
      <c r="D183" s="142">
        <f t="shared" si="102"/>
        <v>61.25625</v>
      </c>
      <c r="E183" s="142">
        <f t="shared" si="102"/>
        <v>62.11875</v>
      </c>
      <c r="F183" s="142">
        <f t="shared" si="102"/>
        <v>59.475</v>
      </c>
      <c r="G183" s="142">
        <f t="shared" si="102"/>
        <v>59.475</v>
      </c>
      <c r="H183" s="142">
        <f t="shared" si="102"/>
        <v>59.475</v>
      </c>
      <c r="I183" s="142">
        <f t="shared" si="102"/>
        <v>59.475</v>
      </c>
      <c r="J183" s="142">
        <f t="shared" si="102"/>
        <v>59.475</v>
      </c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6.5" hidden="1" customHeight="1" outlineLevel="1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6.5" hidden="1" customHeight="1" outlineLevel="1">
      <c r="A185" s="136" t="s">
        <v>431</v>
      </c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6.5" hidden="1" customHeight="1" outlineLevel="1">
      <c r="A186" s="233">
        <v>0.0</v>
      </c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6.5" hidden="1" customHeight="1" outlineLevel="1">
      <c r="A187" s="189" t="s">
        <v>432</v>
      </c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6.5" hidden="1" customHeight="1" outlineLevel="1">
      <c r="A188" s="138" t="s">
        <v>384</v>
      </c>
      <c r="B188" s="142">
        <v>113.0</v>
      </c>
      <c r="C188" s="142">
        <v>103.0</v>
      </c>
      <c r="D188" s="142">
        <v>103.0</v>
      </c>
      <c r="E188" s="142">
        <f t="shared" ref="E188:J188" si="103">D196</f>
        <v>103</v>
      </c>
      <c r="F188" s="142">
        <f t="shared" si="103"/>
        <v>0</v>
      </c>
      <c r="G188" s="142">
        <f t="shared" si="103"/>
        <v>0</v>
      </c>
      <c r="H188" s="142">
        <f t="shared" si="103"/>
        <v>0</v>
      </c>
      <c r="I188" s="142">
        <f t="shared" si="103"/>
        <v>0</v>
      </c>
      <c r="J188" s="142">
        <f t="shared" si="103"/>
        <v>0</v>
      </c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6.5" hidden="1" customHeight="1" outlineLevel="1">
      <c r="A189" s="138" t="s">
        <v>300</v>
      </c>
      <c r="B189" s="193">
        <f t="shared" ref="B189:D189" si="104">B191+B190</f>
        <v>89.418</v>
      </c>
      <c r="C189" s="193">
        <f t="shared" si="104"/>
        <v>86.475</v>
      </c>
      <c r="D189" s="193">
        <f t="shared" si="104"/>
        <v>92</v>
      </c>
      <c r="E189" s="142">
        <f t="shared" ref="E189:J189" si="105">E190+E191</f>
        <v>97</v>
      </c>
      <c r="F189" s="142">
        <f t="shared" si="105"/>
        <v>0</v>
      </c>
      <c r="G189" s="142">
        <f t="shared" si="105"/>
        <v>0</v>
      </c>
      <c r="H189" s="142">
        <f t="shared" si="105"/>
        <v>0</v>
      </c>
      <c r="I189" s="142">
        <f t="shared" si="105"/>
        <v>0</v>
      </c>
      <c r="J189" s="142">
        <f t="shared" si="105"/>
        <v>0</v>
      </c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6.5" hidden="1" customHeight="1" outlineLevel="1">
      <c r="A190" s="139" t="s">
        <v>301</v>
      </c>
      <c r="B190" s="142">
        <v>0.0</v>
      </c>
      <c r="C190" s="142">
        <v>0.0</v>
      </c>
      <c r="D190" s="142">
        <v>0.0</v>
      </c>
      <c r="E190" s="142">
        <f t="shared" ref="E190:J190" si="106">D194</f>
        <v>97</v>
      </c>
      <c r="F190" s="142">
        <f t="shared" si="106"/>
        <v>0</v>
      </c>
      <c r="G190" s="142">
        <f t="shared" si="106"/>
        <v>0</v>
      </c>
      <c r="H190" s="142">
        <f t="shared" si="106"/>
        <v>0</v>
      </c>
      <c r="I190" s="142">
        <f t="shared" si="106"/>
        <v>0</v>
      </c>
      <c r="J190" s="142">
        <f t="shared" si="106"/>
        <v>0</v>
      </c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6.5" hidden="1" customHeight="1" outlineLevel="1">
      <c r="A191" s="139" t="s">
        <v>302</v>
      </c>
      <c r="B191" s="142">
        <v>89.418</v>
      </c>
      <c r="C191" s="142">
        <v>86.475</v>
      </c>
      <c r="D191" s="142">
        <v>92.0</v>
      </c>
      <c r="E191" s="142">
        <f t="shared" ref="E191:J191" si="107">D195+D201</f>
        <v>0</v>
      </c>
      <c r="F191" s="142">
        <f t="shared" si="107"/>
        <v>0</v>
      </c>
      <c r="G191" s="142">
        <f t="shared" si="107"/>
        <v>0</v>
      </c>
      <c r="H191" s="142">
        <f t="shared" si="107"/>
        <v>0</v>
      </c>
      <c r="I191" s="142">
        <f t="shared" si="107"/>
        <v>0</v>
      </c>
      <c r="J191" s="142">
        <f t="shared" si="107"/>
        <v>0</v>
      </c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6.5" hidden="1" customHeight="1" outlineLevel="1">
      <c r="A192" s="138" t="s">
        <v>396</v>
      </c>
      <c r="B192" s="142">
        <f t="shared" ref="B192:C192" si="108">B188-B196</f>
        <v>10</v>
      </c>
      <c r="C192" s="142">
        <f t="shared" si="108"/>
        <v>0</v>
      </c>
      <c r="D192" s="142"/>
      <c r="E192" s="200">
        <v>103.0</v>
      </c>
      <c r="F192" s="200">
        <v>0.0</v>
      </c>
      <c r="G192" s="200">
        <v>0.0</v>
      </c>
      <c r="H192" s="200">
        <v>0.0</v>
      </c>
      <c r="I192" s="200">
        <v>0.0</v>
      </c>
      <c r="J192" s="200">
        <v>0.0</v>
      </c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6.5" hidden="1" customHeight="1" outlineLevel="1">
      <c r="A193" s="138" t="s">
        <v>305</v>
      </c>
      <c r="B193" s="201">
        <f t="shared" ref="B193:C193" si="109">C189</f>
        <v>86.475</v>
      </c>
      <c r="C193" s="201">
        <f t="shared" si="109"/>
        <v>92</v>
      </c>
      <c r="D193" s="193">
        <f>D195+D194</f>
        <v>97</v>
      </c>
      <c r="E193" s="142">
        <f t="shared" ref="E193:J193" si="110">E194+E195</f>
        <v>0</v>
      </c>
      <c r="F193" s="142">
        <f t="shared" si="110"/>
        <v>0</v>
      </c>
      <c r="G193" s="142">
        <f t="shared" si="110"/>
        <v>0</v>
      </c>
      <c r="H193" s="142">
        <f t="shared" si="110"/>
        <v>0</v>
      </c>
      <c r="I193" s="142">
        <f t="shared" si="110"/>
        <v>0</v>
      </c>
      <c r="J193" s="142">
        <f t="shared" si="110"/>
        <v>0</v>
      </c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6.5" hidden="1" customHeight="1" outlineLevel="1">
      <c r="A194" s="139" t="s">
        <v>301</v>
      </c>
      <c r="B194" s="142">
        <f t="shared" ref="B194:C194" si="111">C190</f>
        <v>0</v>
      </c>
      <c r="C194" s="142">
        <f t="shared" si="111"/>
        <v>0</v>
      </c>
      <c r="D194" s="142">
        <v>97.0</v>
      </c>
      <c r="E194" s="142">
        <f t="shared" ref="E194:J194" si="112">if(F192&gt;=0,0,F192)</f>
        <v>0</v>
      </c>
      <c r="F194" s="142">
        <f t="shared" si="112"/>
        <v>0</v>
      </c>
      <c r="G194" s="142">
        <f t="shared" si="112"/>
        <v>0</v>
      </c>
      <c r="H194" s="142">
        <f t="shared" si="112"/>
        <v>0</v>
      </c>
      <c r="I194" s="142">
        <f t="shared" si="112"/>
        <v>0</v>
      </c>
      <c r="J194" s="142">
        <f t="shared" si="112"/>
        <v>0</v>
      </c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6.5" hidden="1" customHeight="1" outlineLevel="1">
      <c r="A195" s="139" t="s">
        <v>302</v>
      </c>
      <c r="B195" s="142">
        <f t="shared" ref="B195:C195" si="113">C191</f>
        <v>86.475</v>
      </c>
      <c r="C195" s="142">
        <f t="shared" si="113"/>
        <v>92</v>
      </c>
      <c r="D195" s="142">
        <v>0.0</v>
      </c>
      <c r="E195" s="142">
        <f t="shared" ref="E195:J195" si="114">IF(E192&lt;0,E191-E192,E191-E194)</f>
        <v>0</v>
      </c>
      <c r="F195" s="142">
        <f t="shared" si="114"/>
        <v>0</v>
      </c>
      <c r="G195" s="142">
        <f t="shared" si="114"/>
        <v>0</v>
      </c>
      <c r="H195" s="142">
        <f t="shared" si="114"/>
        <v>0</v>
      </c>
      <c r="I195" s="142">
        <f t="shared" si="114"/>
        <v>0</v>
      </c>
      <c r="J195" s="142">
        <f t="shared" si="114"/>
        <v>0</v>
      </c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6.5" hidden="1" customHeight="1" outlineLevel="1">
      <c r="A196" s="138" t="s">
        <v>411</v>
      </c>
      <c r="B196" s="142">
        <f t="shared" ref="B196:C196" si="115">C188</f>
        <v>103</v>
      </c>
      <c r="C196" s="142">
        <f t="shared" si="115"/>
        <v>103</v>
      </c>
      <c r="D196" s="142">
        <v>103.0</v>
      </c>
      <c r="E196" s="142">
        <f t="shared" ref="E196:J196" si="116">E188-E192</f>
        <v>0</v>
      </c>
      <c r="F196" s="142">
        <f t="shared" si="116"/>
        <v>0</v>
      </c>
      <c r="G196" s="142">
        <f t="shared" si="116"/>
        <v>0</v>
      </c>
      <c r="H196" s="142">
        <f t="shared" si="116"/>
        <v>0</v>
      </c>
      <c r="I196" s="142">
        <f t="shared" si="116"/>
        <v>0</v>
      </c>
      <c r="J196" s="142">
        <f t="shared" si="116"/>
        <v>0</v>
      </c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6.5" hidden="1" customHeight="1" outlineLevel="1">
      <c r="A197" s="138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6.5" hidden="1" customHeight="1" outlineLevel="1">
      <c r="A198" s="138" t="s">
        <v>416</v>
      </c>
      <c r="B198" s="142">
        <v>0.0</v>
      </c>
      <c r="C198" s="142">
        <v>0.0</v>
      </c>
      <c r="D198" s="142">
        <v>0.0</v>
      </c>
      <c r="E198" s="142">
        <v>0.0</v>
      </c>
      <c r="F198" s="142">
        <v>0.0</v>
      </c>
      <c r="G198" s="142">
        <v>0.0</v>
      </c>
      <c r="H198" s="142">
        <v>0.0</v>
      </c>
      <c r="I198" s="142">
        <f t="shared" ref="I198:J198" si="117">H198-H201</f>
        <v>0</v>
      </c>
      <c r="J198" s="142">
        <f t="shared" si="117"/>
        <v>0</v>
      </c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6.5" hidden="1" customHeight="1" outlineLevel="1">
      <c r="A199" s="138" t="s">
        <v>307</v>
      </c>
      <c r="B199" s="142">
        <f t="shared" ref="B199:J199" si="118">($A186*average(B196,B188))</f>
        <v>0</v>
      </c>
      <c r="C199" s="142">
        <f t="shared" si="118"/>
        <v>0</v>
      </c>
      <c r="D199" s="142">
        <f t="shared" si="118"/>
        <v>0</v>
      </c>
      <c r="E199" s="142">
        <f t="shared" si="118"/>
        <v>0</v>
      </c>
      <c r="F199" s="142">
        <f t="shared" si="118"/>
        <v>0</v>
      </c>
      <c r="G199" s="142">
        <f t="shared" si="118"/>
        <v>0</v>
      </c>
      <c r="H199" s="142">
        <f t="shared" si="118"/>
        <v>0</v>
      </c>
      <c r="I199" s="142">
        <f t="shared" si="118"/>
        <v>0</v>
      </c>
      <c r="J199" s="142">
        <f t="shared" si="118"/>
        <v>0</v>
      </c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6.5" hidden="1" customHeight="1" outlineLevel="1">
      <c r="A200" s="138" t="s">
        <v>308</v>
      </c>
      <c r="B200" s="170">
        <f t="shared" ref="B200:J200" si="119">B193-(B189-B192)</f>
        <v>7.057</v>
      </c>
      <c r="C200" s="170">
        <f t="shared" si="119"/>
        <v>5.525</v>
      </c>
      <c r="D200" s="170">
        <f t="shared" si="119"/>
        <v>5</v>
      </c>
      <c r="E200" s="170">
        <f t="shared" si="119"/>
        <v>6</v>
      </c>
      <c r="F200" s="170">
        <f t="shared" si="119"/>
        <v>0</v>
      </c>
      <c r="G200" s="170">
        <f t="shared" si="119"/>
        <v>0</v>
      </c>
      <c r="H200" s="170">
        <f t="shared" si="119"/>
        <v>0</v>
      </c>
      <c r="I200" s="170">
        <f t="shared" si="119"/>
        <v>0</v>
      </c>
      <c r="J200" s="170">
        <f t="shared" si="119"/>
        <v>0</v>
      </c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6.5" hidden="1" customHeight="1" outlineLevel="1">
      <c r="A201" s="138" t="s">
        <v>309</v>
      </c>
      <c r="B201" s="142">
        <f t="shared" ref="B201:E201" si="120">B198/$A187</f>
        <v>0</v>
      </c>
      <c r="C201" s="142">
        <f t="shared" si="120"/>
        <v>0</v>
      </c>
      <c r="D201" s="142">
        <f t="shared" si="120"/>
        <v>0</v>
      </c>
      <c r="E201" s="142">
        <f t="shared" si="120"/>
        <v>0</v>
      </c>
      <c r="F201" s="142">
        <f>(F198+sum(E201))/$A187</f>
        <v>0</v>
      </c>
      <c r="G201" s="142">
        <f>(G198+SUM(E201:F201))/$A187</f>
        <v>0</v>
      </c>
      <c r="H201" s="142">
        <f>(H198+SUM(E201:G201))/$A187</f>
        <v>0</v>
      </c>
      <c r="I201" s="142">
        <f>(I198+SUM(E201:H201))/$A187</f>
        <v>0</v>
      </c>
      <c r="J201" s="142">
        <f>(J198+SUM(E201:I201))/$A187</f>
        <v>0</v>
      </c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6.5" hidden="1" customHeight="1" outlineLevel="1">
      <c r="A202" s="142" t="s">
        <v>311</v>
      </c>
      <c r="B202" s="170">
        <f t="shared" ref="B202:J202" si="121">B199+B201+B200</f>
        <v>7.057</v>
      </c>
      <c r="C202" s="170">
        <f t="shared" si="121"/>
        <v>5.525</v>
      </c>
      <c r="D202" s="170">
        <f t="shared" si="121"/>
        <v>5</v>
      </c>
      <c r="E202" s="170">
        <f t="shared" si="121"/>
        <v>6</v>
      </c>
      <c r="F202" s="170">
        <f t="shared" si="121"/>
        <v>0</v>
      </c>
      <c r="G202" s="170">
        <f t="shared" si="121"/>
        <v>0</v>
      </c>
      <c r="H202" s="170">
        <f t="shared" si="121"/>
        <v>0</v>
      </c>
      <c r="I202" s="170">
        <f t="shared" si="121"/>
        <v>0</v>
      </c>
      <c r="J202" s="170">
        <f t="shared" si="121"/>
        <v>0</v>
      </c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6.5" hidden="1" customHeight="1" outlineLevel="1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6.5" hidden="1" customHeight="1" outlineLevel="1">
      <c r="A204" s="136" t="s">
        <v>433</v>
      </c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6.5" hidden="1" customHeight="1" outlineLevel="1">
      <c r="A205" s="187">
        <f>AVERAGE(0.018,0.058)</f>
        <v>0.038</v>
      </c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6.5" hidden="1" customHeight="1" outlineLevel="1">
      <c r="A206" s="189" t="s">
        <v>434</v>
      </c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6.5" hidden="1" customHeight="1" outlineLevel="1">
      <c r="A207" s="138" t="s">
        <v>384</v>
      </c>
      <c r="B207" s="154">
        <v>332.06</v>
      </c>
      <c r="C207" s="154">
        <v>32.016</v>
      </c>
      <c r="D207" s="154">
        <v>101.0</v>
      </c>
      <c r="E207" s="154">
        <f t="shared" ref="E207:J207" si="122">D215</f>
        <v>70</v>
      </c>
      <c r="F207" s="154">
        <f t="shared" si="122"/>
        <v>55</v>
      </c>
      <c r="G207" s="154">
        <f t="shared" si="122"/>
        <v>55</v>
      </c>
      <c r="H207" s="154">
        <f t="shared" si="122"/>
        <v>55</v>
      </c>
      <c r="I207" s="154">
        <f t="shared" si="122"/>
        <v>55</v>
      </c>
      <c r="J207" s="154">
        <f t="shared" si="122"/>
        <v>55</v>
      </c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6.5" hidden="1" customHeight="1" outlineLevel="1">
      <c r="A208" s="138" t="s">
        <v>300</v>
      </c>
      <c r="B208" s="158">
        <f t="shared" ref="B208:D208" si="123">B210+B209</f>
        <v>330.53</v>
      </c>
      <c r="C208" s="158">
        <f t="shared" si="123"/>
        <v>31.948</v>
      </c>
      <c r="D208" s="158">
        <f t="shared" si="123"/>
        <v>101</v>
      </c>
      <c r="E208" s="154">
        <f t="shared" ref="E208:J208" si="124">E209+E210</f>
        <v>68.00226667</v>
      </c>
      <c r="F208" s="154">
        <f t="shared" si="124"/>
        <v>53.06885778</v>
      </c>
      <c r="G208" s="154">
        <f t="shared" si="124"/>
        <v>53.13544889</v>
      </c>
      <c r="H208" s="154">
        <f t="shared" si="124"/>
        <v>53.20204</v>
      </c>
      <c r="I208" s="154">
        <f t="shared" si="124"/>
        <v>53.26863111</v>
      </c>
      <c r="J208" s="154">
        <f t="shared" si="124"/>
        <v>53.33522222</v>
      </c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6.5" hidden="1" customHeight="1" outlineLevel="1">
      <c r="A209" s="139" t="s">
        <v>301</v>
      </c>
      <c r="B209" s="154">
        <v>181.582</v>
      </c>
      <c r="C209" s="154">
        <v>7.008</v>
      </c>
      <c r="D209" s="154">
        <v>1.0</v>
      </c>
      <c r="E209" s="154">
        <f t="shared" ref="E209:J209" si="125">D213</f>
        <v>15</v>
      </c>
      <c r="F209" s="154">
        <f t="shared" si="125"/>
        <v>0</v>
      </c>
      <c r="G209" s="154">
        <f t="shared" si="125"/>
        <v>0</v>
      </c>
      <c r="H209" s="154">
        <f t="shared" si="125"/>
        <v>0</v>
      </c>
      <c r="I209" s="154">
        <f t="shared" si="125"/>
        <v>0</v>
      </c>
      <c r="J209" s="154">
        <f t="shared" si="125"/>
        <v>0</v>
      </c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6.5" hidden="1" customHeight="1" outlineLevel="1">
      <c r="A210" s="139" t="s">
        <v>302</v>
      </c>
      <c r="B210" s="154">
        <v>148.948</v>
      </c>
      <c r="C210" s="154">
        <v>24.94</v>
      </c>
      <c r="D210" s="154">
        <v>100.0</v>
      </c>
      <c r="E210" s="154">
        <f t="shared" ref="E210:J210" si="126">D214+D220</f>
        <v>53.00226667</v>
      </c>
      <c r="F210" s="154">
        <f t="shared" si="126"/>
        <v>53.06885778</v>
      </c>
      <c r="G210" s="154">
        <f t="shared" si="126"/>
        <v>53.13544889</v>
      </c>
      <c r="H210" s="154">
        <f t="shared" si="126"/>
        <v>53.20204</v>
      </c>
      <c r="I210" s="154">
        <f t="shared" si="126"/>
        <v>53.26863111</v>
      </c>
      <c r="J210" s="154">
        <f t="shared" si="126"/>
        <v>53.33522222</v>
      </c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6.5" hidden="1" customHeight="1" outlineLevel="1">
      <c r="A211" s="138" t="s">
        <v>396</v>
      </c>
      <c r="B211" s="154">
        <f t="shared" ref="B211:D211" si="127">B207-B215</f>
        <v>300.044</v>
      </c>
      <c r="C211" s="154">
        <f t="shared" si="127"/>
        <v>-68.984</v>
      </c>
      <c r="D211" s="154">
        <f t="shared" si="127"/>
        <v>31</v>
      </c>
      <c r="E211" s="234">
        <f>D213</f>
        <v>15</v>
      </c>
      <c r="F211" s="234">
        <v>0.0</v>
      </c>
      <c r="G211" s="234">
        <v>0.0</v>
      </c>
      <c r="H211" s="234">
        <v>0.0</v>
      </c>
      <c r="I211" s="234">
        <v>0.0</v>
      </c>
      <c r="J211" s="234">
        <v>0.0</v>
      </c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6.5" hidden="1" customHeight="1" outlineLevel="1">
      <c r="A212" s="138" t="s">
        <v>305</v>
      </c>
      <c r="B212" s="158">
        <f t="shared" ref="B212:D212" si="128">B214+B213</f>
        <v>31.948</v>
      </c>
      <c r="C212" s="158">
        <f t="shared" si="128"/>
        <v>101</v>
      </c>
      <c r="D212" s="158">
        <f t="shared" si="128"/>
        <v>68</v>
      </c>
      <c r="E212" s="154">
        <f t="shared" ref="E212:J212" si="129">E213+E214</f>
        <v>53.00226667</v>
      </c>
      <c r="F212" s="154">
        <f t="shared" si="129"/>
        <v>53.06885778</v>
      </c>
      <c r="G212" s="154">
        <f t="shared" si="129"/>
        <v>53.13544889</v>
      </c>
      <c r="H212" s="154">
        <f t="shared" si="129"/>
        <v>53.20204</v>
      </c>
      <c r="I212" s="154">
        <f t="shared" si="129"/>
        <v>53.26863111</v>
      </c>
      <c r="J212" s="154">
        <f t="shared" si="129"/>
        <v>53.33522222</v>
      </c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6.5" hidden="1" customHeight="1" outlineLevel="1">
      <c r="A213" s="139" t="s">
        <v>301</v>
      </c>
      <c r="B213" s="154">
        <f t="shared" ref="B213:C213" si="130">C209</f>
        <v>7.008</v>
      </c>
      <c r="C213" s="154">
        <f t="shared" si="130"/>
        <v>1</v>
      </c>
      <c r="D213" s="154">
        <v>15.0</v>
      </c>
      <c r="E213" s="154">
        <f t="shared" ref="E213:J213" si="131">if(F211&gt;=0,0,F211)</f>
        <v>0</v>
      </c>
      <c r="F213" s="154">
        <f t="shared" si="131"/>
        <v>0</v>
      </c>
      <c r="G213" s="154">
        <f t="shared" si="131"/>
        <v>0</v>
      </c>
      <c r="H213" s="154">
        <f t="shared" si="131"/>
        <v>0</v>
      </c>
      <c r="I213" s="154">
        <f t="shared" si="131"/>
        <v>0</v>
      </c>
      <c r="J213" s="154">
        <f t="shared" si="131"/>
        <v>0</v>
      </c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6.5" hidden="1" customHeight="1" outlineLevel="1">
      <c r="A214" s="139" t="s">
        <v>302</v>
      </c>
      <c r="B214" s="154">
        <f t="shared" ref="B214:C214" si="132">C210</f>
        <v>24.94</v>
      </c>
      <c r="C214" s="154">
        <f t="shared" si="132"/>
        <v>100</v>
      </c>
      <c r="D214" s="154">
        <v>53.0</v>
      </c>
      <c r="E214" s="154">
        <f t="shared" ref="E214:J214" si="133">IF(E211&lt;0,E210-E211,E210-E213)</f>
        <v>53.00226667</v>
      </c>
      <c r="F214" s="154">
        <f t="shared" si="133"/>
        <v>53.06885778</v>
      </c>
      <c r="G214" s="154">
        <f t="shared" si="133"/>
        <v>53.13544889</v>
      </c>
      <c r="H214" s="154">
        <f t="shared" si="133"/>
        <v>53.20204</v>
      </c>
      <c r="I214" s="154">
        <f t="shared" si="133"/>
        <v>53.26863111</v>
      </c>
      <c r="J214" s="154">
        <f t="shared" si="133"/>
        <v>53.33522222</v>
      </c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6.5" hidden="1" customHeight="1" outlineLevel="1">
      <c r="A215" s="138" t="s">
        <v>411</v>
      </c>
      <c r="B215" s="154">
        <f t="shared" ref="B215:C215" si="134">C207</f>
        <v>32.016</v>
      </c>
      <c r="C215" s="154">
        <f t="shared" si="134"/>
        <v>101</v>
      </c>
      <c r="D215" s="154">
        <v>70.0</v>
      </c>
      <c r="E215" s="154">
        <f t="shared" ref="E215:J215" si="135">E207-E211</f>
        <v>55</v>
      </c>
      <c r="F215" s="154">
        <f t="shared" si="135"/>
        <v>55</v>
      </c>
      <c r="G215" s="154">
        <f t="shared" si="135"/>
        <v>55</v>
      </c>
      <c r="H215" s="154">
        <f t="shared" si="135"/>
        <v>55</v>
      </c>
      <c r="I215" s="154">
        <f t="shared" si="135"/>
        <v>55</v>
      </c>
      <c r="J215" s="154">
        <f t="shared" si="135"/>
        <v>55</v>
      </c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6.5" hidden="1" customHeight="1" outlineLevel="1">
      <c r="A216" s="138"/>
      <c r="B216" s="154"/>
      <c r="C216" s="154"/>
      <c r="D216" s="154"/>
      <c r="E216" s="154"/>
      <c r="F216" s="154"/>
      <c r="G216" s="154"/>
      <c r="H216" s="154"/>
      <c r="I216" s="154"/>
      <c r="J216" s="154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6.5" hidden="1" customHeight="1" outlineLevel="1">
      <c r="A217" s="138" t="s">
        <v>416</v>
      </c>
      <c r="B217" s="154">
        <f t="shared" ref="B217:D217" si="136">B215-B212</f>
        <v>0.068</v>
      </c>
      <c r="C217" s="154">
        <f t="shared" si="136"/>
        <v>0</v>
      </c>
      <c r="D217" s="154">
        <f t="shared" si="136"/>
        <v>2</v>
      </c>
      <c r="E217" s="154">
        <f t="shared" ref="E217:J217" si="137">D217-D220</f>
        <v>1.997733333</v>
      </c>
      <c r="F217" s="154">
        <f t="shared" si="137"/>
        <v>1.931142222</v>
      </c>
      <c r="G217" s="154">
        <f t="shared" si="137"/>
        <v>1.864551111</v>
      </c>
      <c r="H217" s="154">
        <f t="shared" si="137"/>
        <v>1.79796</v>
      </c>
      <c r="I217" s="154">
        <f t="shared" si="137"/>
        <v>1.731368889</v>
      </c>
      <c r="J217" s="154">
        <f t="shared" si="137"/>
        <v>1.664777778</v>
      </c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6.5" hidden="1" customHeight="1" outlineLevel="1">
      <c r="A218" s="138" t="s">
        <v>307</v>
      </c>
      <c r="B218" s="154">
        <f t="shared" ref="B218:J218" si="138">($A205*average(B215,B207))</f>
        <v>6.917444</v>
      </c>
      <c r="C218" s="154">
        <f t="shared" si="138"/>
        <v>2.527304</v>
      </c>
      <c r="D218" s="154">
        <f t="shared" si="138"/>
        <v>3.249</v>
      </c>
      <c r="E218" s="154">
        <f t="shared" si="138"/>
        <v>2.375</v>
      </c>
      <c r="F218" s="154">
        <f t="shared" si="138"/>
        <v>2.09</v>
      </c>
      <c r="G218" s="154">
        <f t="shared" si="138"/>
        <v>2.09</v>
      </c>
      <c r="H218" s="154">
        <f t="shared" si="138"/>
        <v>2.09</v>
      </c>
      <c r="I218" s="154">
        <f t="shared" si="138"/>
        <v>2.09</v>
      </c>
      <c r="J218" s="154">
        <f t="shared" si="138"/>
        <v>2.09</v>
      </c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6.5" hidden="1" customHeight="1" outlineLevel="1">
      <c r="A219" s="138" t="s">
        <v>308</v>
      </c>
      <c r="B219" s="154"/>
      <c r="C219" s="154"/>
      <c r="D219" s="154"/>
      <c r="E219" s="154"/>
      <c r="F219" s="154"/>
      <c r="G219" s="154"/>
      <c r="H219" s="154"/>
      <c r="I219" s="154"/>
      <c r="J219" s="154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6.5" hidden="1" customHeight="1" outlineLevel="1">
      <c r="A220" s="138" t="s">
        <v>309</v>
      </c>
      <c r="B220" s="154">
        <f t="shared" ref="B220:D220" si="139">$B$217/$A206</f>
        <v>0.002266666667</v>
      </c>
      <c r="C220" s="154">
        <f t="shared" si="139"/>
        <v>0.002266666667</v>
      </c>
      <c r="D220" s="154">
        <f t="shared" si="139"/>
        <v>0.002266666667</v>
      </c>
      <c r="E220" s="154">
        <f>E217/$A206</f>
        <v>0.06659111111</v>
      </c>
      <c r="F220" s="154">
        <f>(F217+sum(E220))/$A206</f>
        <v>0.06659111111</v>
      </c>
      <c r="G220" s="154">
        <f>(G217+SUM(E220:F220))/$A206</f>
        <v>0.06659111111</v>
      </c>
      <c r="H220" s="154">
        <f>(H217+SUM(E220:G220))/$A206</f>
        <v>0.06659111111</v>
      </c>
      <c r="I220" s="154">
        <f>(I217+SUM(E220:H220))/$A206</f>
        <v>0.06659111111</v>
      </c>
      <c r="J220" s="154">
        <f>(J217+SUM(E220:I220))/$A206</f>
        <v>0.06659111111</v>
      </c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6.5" hidden="1" customHeight="1" outlineLevel="1">
      <c r="A221" s="142" t="s">
        <v>311</v>
      </c>
      <c r="B221" s="154">
        <f t="shared" ref="B221:J221" si="140">B218+B220+B219</f>
        <v>6.919710667</v>
      </c>
      <c r="C221" s="154">
        <f t="shared" si="140"/>
        <v>2.529570667</v>
      </c>
      <c r="D221" s="154">
        <f t="shared" si="140"/>
        <v>3.251266667</v>
      </c>
      <c r="E221" s="154">
        <f t="shared" si="140"/>
        <v>2.441591111</v>
      </c>
      <c r="F221" s="154">
        <f t="shared" si="140"/>
        <v>2.156591111</v>
      </c>
      <c r="G221" s="154">
        <f t="shared" si="140"/>
        <v>2.156591111</v>
      </c>
      <c r="H221" s="154">
        <f t="shared" si="140"/>
        <v>2.156591111</v>
      </c>
      <c r="I221" s="154">
        <f t="shared" si="140"/>
        <v>2.156591111</v>
      </c>
      <c r="J221" s="154">
        <f t="shared" si="140"/>
        <v>2.156591111</v>
      </c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idden="1" outlineLevel="1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idden="1" outlineLevel="1">
      <c r="A223" s="136" t="s">
        <v>435</v>
      </c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idden="1" outlineLevel="1">
      <c r="A224" s="187">
        <f>AVERAGE(0.023,0.079)</f>
        <v>0.051</v>
      </c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idden="1" outlineLevel="1">
      <c r="A225" s="138" t="s">
        <v>384</v>
      </c>
      <c r="B225" s="142"/>
      <c r="C225" s="142"/>
      <c r="D225" s="142">
        <v>1178.0</v>
      </c>
      <c r="E225" s="142">
        <f t="shared" ref="E225:J225" si="141">D233</f>
        <v>1577</v>
      </c>
      <c r="F225" s="142">
        <f t="shared" si="141"/>
        <v>1004</v>
      </c>
      <c r="G225" s="142">
        <f t="shared" si="141"/>
        <v>1004</v>
      </c>
      <c r="H225" s="142">
        <f t="shared" si="141"/>
        <v>1004</v>
      </c>
      <c r="I225" s="142">
        <f t="shared" si="141"/>
        <v>1004</v>
      </c>
      <c r="J225" s="142">
        <f t="shared" si="141"/>
        <v>1004</v>
      </c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idden="1" outlineLevel="1">
      <c r="A226" s="138" t="s">
        <v>300</v>
      </c>
      <c r="B226" s="142"/>
      <c r="C226" s="142"/>
      <c r="D226" s="142">
        <f t="shared" ref="D226:J226" si="142">D227+D228</f>
        <v>1172</v>
      </c>
      <c r="E226" s="142">
        <f t="shared" si="142"/>
        <v>1571.166667</v>
      </c>
      <c r="F226" s="142">
        <f t="shared" si="142"/>
        <v>999.1388889</v>
      </c>
      <c r="G226" s="142">
        <f t="shared" si="142"/>
        <v>1000.111111</v>
      </c>
      <c r="H226" s="142">
        <f t="shared" si="142"/>
        <v>1001.083333</v>
      </c>
      <c r="I226" s="142">
        <f t="shared" si="142"/>
        <v>1002.055556</v>
      </c>
      <c r="J226" s="142">
        <f t="shared" si="142"/>
        <v>1003.027778</v>
      </c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idden="1" outlineLevel="1">
      <c r="A227" s="139" t="s">
        <v>301</v>
      </c>
      <c r="B227" s="142"/>
      <c r="C227" s="142"/>
      <c r="D227" s="142">
        <v>468.0</v>
      </c>
      <c r="E227" s="142">
        <f t="shared" ref="E227:J227" si="143">D231</f>
        <v>573</v>
      </c>
      <c r="F227" s="142">
        <f t="shared" si="143"/>
        <v>0</v>
      </c>
      <c r="G227" s="142">
        <f t="shared" si="143"/>
        <v>0</v>
      </c>
      <c r="H227" s="142">
        <f t="shared" si="143"/>
        <v>0</v>
      </c>
      <c r="I227" s="142">
        <f t="shared" si="143"/>
        <v>0</v>
      </c>
      <c r="J227" s="142">
        <f t="shared" si="143"/>
        <v>0</v>
      </c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idden="1" outlineLevel="1">
      <c r="A228" s="139" t="s">
        <v>302</v>
      </c>
      <c r="B228" s="142"/>
      <c r="C228" s="142"/>
      <c r="D228" s="142">
        <v>704.0</v>
      </c>
      <c r="E228" s="142">
        <f t="shared" ref="E228:J228" si="144">D232+D238</f>
        <v>998.1666667</v>
      </c>
      <c r="F228" s="142">
        <f t="shared" si="144"/>
        <v>999.1388889</v>
      </c>
      <c r="G228" s="142">
        <f t="shared" si="144"/>
        <v>1000.111111</v>
      </c>
      <c r="H228" s="142">
        <f t="shared" si="144"/>
        <v>1001.083333</v>
      </c>
      <c r="I228" s="142">
        <f t="shared" si="144"/>
        <v>1002.055556</v>
      </c>
      <c r="J228" s="142">
        <f t="shared" si="144"/>
        <v>1003.027778</v>
      </c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idden="1" outlineLevel="1">
      <c r="A229" s="138" t="s">
        <v>396</v>
      </c>
      <c r="B229" s="142"/>
      <c r="C229" s="142">
        <f t="shared" ref="C229:D229" si="145">C225-C233</f>
        <v>-1178</v>
      </c>
      <c r="D229" s="142">
        <f t="shared" si="145"/>
        <v>-399</v>
      </c>
      <c r="E229" s="200">
        <f>D231</f>
        <v>573</v>
      </c>
      <c r="F229" s="200">
        <v>0.0</v>
      </c>
      <c r="G229" s="200">
        <v>0.0</v>
      </c>
      <c r="H229" s="200">
        <v>0.0</v>
      </c>
      <c r="I229" s="200">
        <v>0.0</v>
      </c>
      <c r="J229" s="200">
        <v>0.0</v>
      </c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idden="1" outlineLevel="1">
      <c r="A230" s="138" t="s">
        <v>305</v>
      </c>
      <c r="B230" s="142" t="str">
        <f t="shared" ref="B230:C230" si="146">C226</f>
        <v/>
      </c>
      <c r="C230" s="142">
        <f t="shared" si="146"/>
        <v>1172</v>
      </c>
      <c r="D230" s="142">
        <f t="shared" ref="D230:J230" si="147">D231+D232</f>
        <v>1570</v>
      </c>
      <c r="E230" s="142">
        <f t="shared" si="147"/>
        <v>998.1666667</v>
      </c>
      <c r="F230" s="142">
        <f t="shared" si="147"/>
        <v>999.1388889</v>
      </c>
      <c r="G230" s="142">
        <f t="shared" si="147"/>
        <v>1000.111111</v>
      </c>
      <c r="H230" s="142">
        <f t="shared" si="147"/>
        <v>1001.083333</v>
      </c>
      <c r="I230" s="142">
        <f t="shared" si="147"/>
        <v>1002.055556</v>
      </c>
      <c r="J230" s="142">
        <f t="shared" si="147"/>
        <v>1003.027778</v>
      </c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idden="1" outlineLevel="1">
      <c r="A231" s="139" t="s">
        <v>301</v>
      </c>
      <c r="B231" s="142" t="str">
        <f t="shared" ref="B231:C231" si="148">C227</f>
        <v/>
      </c>
      <c r="C231" s="142">
        <f t="shared" si="148"/>
        <v>468</v>
      </c>
      <c r="D231" s="142">
        <v>573.0</v>
      </c>
      <c r="E231" s="142">
        <f t="shared" ref="E231:J231" si="149">if(F229&gt;=0,0,F229)</f>
        <v>0</v>
      </c>
      <c r="F231" s="142">
        <f t="shared" si="149"/>
        <v>0</v>
      </c>
      <c r="G231" s="142">
        <f t="shared" si="149"/>
        <v>0</v>
      </c>
      <c r="H231" s="142">
        <f t="shared" si="149"/>
        <v>0</v>
      </c>
      <c r="I231" s="142">
        <f t="shared" si="149"/>
        <v>0</v>
      </c>
      <c r="J231" s="142">
        <f t="shared" si="149"/>
        <v>0</v>
      </c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idden="1" outlineLevel="1">
      <c r="A232" s="139" t="s">
        <v>302</v>
      </c>
      <c r="B232" s="142" t="str">
        <f t="shared" ref="B232:C232" si="150">C228</f>
        <v/>
      </c>
      <c r="C232" s="142">
        <f t="shared" si="150"/>
        <v>704</v>
      </c>
      <c r="D232" s="142">
        <v>997.0</v>
      </c>
      <c r="E232" s="142">
        <f t="shared" ref="E232:J232" si="151">IF(E229&lt;0,E228-E229,E228-E231)</f>
        <v>998.1666667</v>
      </c>
      <c r="F232" s="142">
        <f t="shared" si="151"/>
        <v>999.1388889</v>
      </c>
      <c r="G232" s="142">
        <f t="shared" si="151"/>
        <v>1000.111111</v>
      </c>
      <c r="H232" s="142">
        <f t="shared" si="151"/>
        <v>1001.083333</v>
      </c>
      <c r="I232" s="142">
        <f t="shared" si="151"/>
        <v>1002.055556</v>
      </c>
      <c r="J232" s="142">
        <f t="shared" si="151"/>
        <v>1003.027778</v>
      </c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idden="1" outlineLevel="1">
      <c r="A233" s="138" t="s">
        <v>411</v>
      </c>
      <c r="B233" s="142" t="str">
        <f t="shared" ref="B233:C233" si="152">C225</f>
        <v/>
      </c>
      <c r="C233" s="142">
        <f t="shared" si="152"/>
        <v>1178</v>
      </c>
      <c r="D233" s="142">
        <v>1577.0</v>
      </c>
      <c r="E233" s="142">
        <f t="shared" ref="E233:J233" si="153">E225-E229</f>
        <v>1004</v>
      </c>
      <c r="F233" s="142">
        <f t="shared" si="153"/>
        <v>1004</v>
      </c>
      <c r="G233" s="142">
        <f t="shared" si="153"/>
        <v>1004</v>
      </c>
      <c r="H233" s="142">
        <f t="shared" si="153"/>
        <v>1004</v>
      </c>
      <c r="I233" s="142">
        <f t="shared" si="153"/>
        <v>1004</v>
      </c>
      <c r="J233" s="142">
        <f t="shared" si="153"/>
        <v>1004</v>
      </c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idden="1" outlineLevel="1">
      <c r="A234" s="138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idden="1" outlineLevel="1">
      <c r="A235" s="138" t="s">
        <v>416</v>
      </c>
      <c r="B235" s="142"/>
      <c r="C235" s="142">
        <f t="shared" ref="C235:D235" si="154">C233-C230</f>
        <v>6</v>
      </c>
      <c r="D235" s="142">
        <f t="shared" si="154"/>
        <v>7</v>
      </c>
      <c r="E235" s="142">
        <f t="shared" ref="E235:J235" si="155">D235-D238</f>
        <v>5.833333333</v>
      </c>
      <c r="F235" s="142">
        <f t="shared" si="155"/>
        <v>4.861111111</v>
      </c>
      <c r="G235" s="142">
        <f t="shared" si="155"/>
        <v>3.888888889</v>
      </c>
      <c r="H235" s="142">
        <f t="shared" si="155"/>
        <v>2.916666667</v>
      </c>
      <c r="I235" s="142">
        <f t="shared" si="155"/>
        <v>1.944444444</v>
      </c>
      <c r="J235" s="142">
        <f t="shared" si="155"/>
        <v>0.9722222222</v>
      </c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idden="1" outlineLevel="1">
      <c r="A236" s="138" t="s">
        <v>307</v>
      </c>
      <c r="B236" s="142"/>
      <c r="C236" s="142">
        <f>(10/12)*A224*C233</f>
        <v>50.065</v>
      </c>
      <c r="D236" s="142">
        <f t="shared" ref="D236:J236" si="156">$A$224*AVERAGE(D225,D233)</f>
        <v>70.2525</v>
      </c>
      <c r="E236" s="142">
        <f t="shared" si="156"/>
        <v>65.8155</v>
      </c>
      <c r="F236" s="142">
        <f t="shared" si="156"/>
        <v>51.204</v>
      </c>
      <c r="G236" s="142">
        <f t="shared" si="156"/>
        <v>51.204</v>
      </c>
      <c r="H236" s="142">
        <f t="shared" si="156"/>
        <v>51.204</v>
      </c>
      <c r="I236" s="142">
        <f t="shared" si="156"/>
        <v>51.204</v>
      </c>
      <c r="J236" s="142">
        <f t="shared" si="156"/>
        <v>51.204</v>
      </c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idden="1" outlineLevel="1">
      <c r="A237" s="138" t="s">
        <v>308</v>
      </c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idden="1" outlineLevel="1">
      <c r="A238" s="138" t="s">
        <v>309</v>
      </c>
      <c r="B238" s="142"/>
      <c r="C238" s="87">
        <f t="shared" ref="C238:E238" si="157">C235/6</f>
        <v>1</v>
      </c>
      <c r="D238" s="87">
        <f t="shared" si="157"/>
        <v>1.166666667</v>
      </c>
      <c r="E238" s="142">
        <f t="shared" si="157"/>
        <v>0.9722222222</v>
      </c>
      <c r="F238" s="142">
        <f>(F235+E238)/6</f>
        <v>0.9722222222</v>
      </c>
      <c r="G238" s="142">
        <f>(G235+SUM(E238:F238))/6</f>
        <v>0.9722222222</v>
      </c>
      <c r="H238" s="142">
        <f>(H235+SUM(E238:G238))/6</f>
        <v>0.9722222222</v>
      </c>
      <c r="I238" s="142">
        <f>(sum(E238:H238)+I235)/6</f>
        <v>0.9722222222</v>
      </c>
      <c r="J238" s="142">
        <f>(J235+SUM(E238:I238))/6</f>
        <v>0.9722222222</v>
      </c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idden="1" outlineLevel="1">
      <c r="A239" s="142" t="s">
        <v>311</v>
      </c>
      <c r="B239" s="142"/>
      <c r="C239" s="142">
        <f t="shared" ref="C239:J239" si="158">C236+C238+C237</f>
        <v>51.065</v>
      </c>
      <c r="D239" s="142">
        <f t="shared" si="158"/>
        <v>71.41916667</v>
      </c>
      <c r="E239" s="142">
        <f t="shared" si="158"/>
        <v>66.78772222</v>
      </c>
      <c r="F239" s="142">
        <f t="shared" si="158"/>
        <v>52.17622222</v>
      </c>
      <c r="G239" s="142">
        <f t="shared" si="158"/>
        <v>52.17622222</v>
      </c>
      <c r="H239" s="142">
        <f t="shared" si="158"/>
        <v>52.17622222</v>
      </c>
      <c r="I239" s="142">
        <f t="shared" si="158"/>
        <v>52.17622222</v>
      </c>
      <c r="J239" s="142">
        <f t="shared" si="158"/>
        <v>52.17622222</v>
      </c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idden="1" outlineLevel="1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idden="1" outlineLevel="1">
      <c r="A241" s="142" t="s">
        <v>436</v>
      </c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idden="1" outlineLevel="1">
      <c r="A242" s="235">
        <f>AVERAGE(0.04,0.077)</f>
        <v>0.0585</v>
      </c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idden="1" outlineLevel="1">
      <c r="A243" s="189" t="s">
        <v>437</v>
      </c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idden="1" outlineLevel="1">
      <c r="A244" s="138" t="s">
        <v>384</v>
      </c>
      <c r="B244" s="142">
        <v>591.9</v>
      </c>
      <c r="C244" s="142">
        <v>907.241</v>
      </c>
      <c r="D244" s="142">
        <v>1214.0</v>
      </c>
      <c r="E244" s="142">
        <f t="shared" ref="E244:J244" si="159">D252</f>
        <v>1183</v>
      </c>
      <c r="F244" s="142">
        <f t="shared" si="159"/>
        <v>1151</v>
      </c>
      <c r="G244" s="142">
        <f t="shared" si="159"/>
        <v>1151</v>
      </c>
      <c r="H244" s="142">
        <f t="shared" si="159"/>
        <v>1151</v>
      </c>
      <c r="I244" s="142">
        <f t="shared" si="159"/>
        <v>1151</v>
      </c>
      <c r="J244" s="142">
        <f t="shared" si="159"/>
        <v>1151</v>
      </c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idden="1" outlineLevel="1">
      <c r="A245" s="138" t="s">
        <v>300</v>
      </c>
      <c r="B245" s="142">
        <v>595.33</v>
      </c>
      <c r="C245" s="142"/>
      <c r="D245" s="142">
        <f t="shared" ref="D245:J245" si="160">D246+D247</f>
        <v>1183</v>
      </c>
      <c r="E245" s="142">
        <f t="shared" si="160"/>
        <v>1156.4</v>
      </c>
      <c r="F245" s="142">
        <f t="shared" si="160"/>
        <v>1125.73</v>
      </c>
      <c r="G245" s="142">
        <f t="shared" si="160"/>
        <v>1127.06</v>
      </c>
      <c r="H245" s="142">
        <f t="shared" si="160"/>
        <v>1128.39</v>
      </c>
      <c r="I245" s="142">
        <f t="shared" si="160"/>
        <v>1129.72</v>
      </c>
      <c r="J245" s="142">
        <f t="shared" si="160"/>
        <v>1131.05</v>
      </c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idden="1" outlineLevel="1">
      <c r="A246" s="139" t="s">
        <v>301</v>
      </c>
      <c r="B246" s="142"/>
      <c r="C246" s="142">
        <v>23.829</v>
      </c>
      <c r="D246" s="142">
        <v>28.0</v>
      </c>
      <c r="E246" s="142">
        <f t="shared" ref="E246:J246" si="161">D250</f>
        <v>32</v>
      </c>
      <c r="F246" s="142">
        <f t="shared" si="161"/>
        <v>0</v>
      </c>
      <c r="G246" s="142">
        <f t="shared" si="161"/>
        <v>0</v>
      </c>
      <c r="H246" s="142">
        <f t="shared" si="161"/>
        <v>0</v>
      </c>
      <c r="I246" s="142">
        <f t="shared" si="161"/>
        <v>0</v>
      </c>
      <c r="J246" s="142">
        <f t="shared" si="161"/>
        <v>0</v>
      </c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idden="1" outlineLevel="1">
      <c r="A247" s="139" t="s">
        <v>302</v>
      </c>
      <c r="B247" s="142"/>
      <c r="C247" s="142">
        <v>856.586</v>
      </c>
      <c r="D247" s="142">
        <v>1155.0</v>
      </c>
      <c r="E247" s="142">
        <f t="shared" ref="E247:J247" si="162">D251+D257</f>
        <v>1124.4</v>
      </c>
      <c r="F247" s="142">
        <f t="shared" si="162"/>
        <v>1125.73</v>
      </c>
      <c r="G247" s="142">
        <f t="shared" si="162"/>
        <v>1127.06</v>
      </c>
      <c r="H247" s="142">
        <f t="shared" si="162"/>
        <v>1128.39</v>
      </c>
      <c r="I247" s="142">
        <f t="shared" si="162"/>
        <v>1129.72</v>
      </c>
      <c r="J247" s="142">
        <f t="shared" si="162"/>
        <v>1131.05</v>
      </c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hidden="1" outlineLevel="1">
      <c r="A248" s="138" t="s">
        <v>396</v>
      </c>
      <c r="B248" s="142">
        <f t="shared" ref="B248:D248" si="163">B244-B252</f>
        <v>-315.341</v>
      </c>
      <c r="C248" s="142">
        <f t="shared" si="163"/>
        <v>-306.759</v>
      </c>
      <c r="D248" s="142">
        <f t="shared" si="163"/>
        <v>31</v>
      </c>
      <c r="E248" s="200">
        <f>D250</f>
        <v>32</v>
      </c>
      <c r="F248" s="200">
        <v>0.0</v>
      </c>
      <c r="G248" s="200">
        <v>0.0</v>
      </c>
      <c r="H248" s="200">
        <v>0.0</v>
      </c>
      <c r="I248" s="200">
        <v>0.0</v>
      </c>
      <c r="J248" s="200">
        <v>0.0</v>
      </c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hidden="1" outlineLevel="1">
      <c r="A249" s="138" t="s">
        <v>305</v>
      </c>
      <c r="B249" s="142" t="str">
        <f t="shared" ref="B249:C249" si="164">C245</f>
        <v/>
      </c>
      <c r="C249" s="142">
        <f t="shared" si="164"/>
        <v>1183</v>
      </c>
      <c r="D249" s="142">
        <f t="shared" ref="D249:J249" si="165">D250+D251</f>
        <v>1155</v>
      </c>
      <c r="E249" s="142">
        <f t="shared" si="165"/>
        <v>1124.4</v>
      </c>
      <c r="F249" s="142">
        <f t="shared" si="165"/>
        <v>1125.73</v>
      </c>
      <c r="G249" s="142">
        <f t="shared" si="165"/>
        <v>1127.06</v>
      </c>
      <c r="H249" s="142">
        <f t="shared" si="165"/>
        <v>1128.39</v>
      </c>
      <c r="I249" s="142">
        <f t="shared" si="165"/>
        <v>1129.72</v>
      </c>
      <c r="J249" s="142">
        <f t="shared" si="165"/>
        <v>1131.05</v>
      </c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hidden="1" outlineLevel="1">
      <c r="A250" s="139" t="s">
        <v>301</v>
      </c>
      <c r="B250" s="142">
        <f t="shared" ref="B250:C250" si="166">C246</f>
        <v>23.829</v>
      </c>
      <c r="C250" s="142">
        <f t="shared" si="166"/>
        <v>28</v>
      </c>
      <c r="D250" s="142">
        <v>32.0</v>
      </c>
      <c r="E250" s="142">
        <f t="shared" ref="E250:J250" si="167">if(F248&gt;=0,0,F248)</f>
        <v>0</v>
      </c>
      <c r="F250" s="142">
        <f t="shared" si="167"/>
        <v>0</v>
      </c>
      <c r="G250" s="142">
        <f t="shared" si="167"/>
        <v>0</v>
      </c>
      <c r="H250" s="142">
        <f t="shared" si="167"/>
        <v>0</v>
      </c>
      <c r="I250" s="142">
        <f t="shared" si="167"/>
        <v>0</v>
      </c>
      <c r="J250" s="142">
        <f t="shared" si="167"/>
        <v>0</v>
      </c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hidden="1" outlineLevel="1">
      <c r="A251" s="139" t="s">
        <v>302</v>
      </c>
      <c r="B251" s="142">
        <f t="shared" ref="B251:C251" si="168">C247</f>
        <v>856.586</v>
      </c>
      <c r="C251" s="142">
        <f t="shared" si="168"/>
        <v>1155</v>
      </c>
      <c r="D251" s="142">
        <v>1123.0</v>
      </c>
      <c r="E251" s="142">
        <f t="shared" ref="E251:J251" si="169">IF(E248&lt;0,E247-E248,E247-E250)</f>
        <v>1124.4</v>
      </c>
      <c r="F251" s="142">
        <f t="shared" si="169"/>
        <v>1125.73</v>
      </c>
      <c r="G251" s="142">
        <f t="shared" si="169"/>
        <v>1127.06</v>
      </c>
      <c r="H251" s="142">
        <f t="shared" si="169"/>
        <v>1128.39</v>
      </c>
      <c r="I251" s="142">
        <f t="shared" si="169"/>
        <v>1129.72</v>
      </c>
      <c r="J251" s="142">
        <f t="shared" si="169"/>
        <v>1131.05</v>
      </c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hidden="1" outlineLevel="1">
      <c r="A252" s="138" t="s">
        <v>411</v>
      </c>
      <c r="B252" s="142">
        <f t="shared" ref="B252:C252" si="170">C244</f>
        <v>907.241</v>
      </c>
      <c r="C252" s="142">
        <f t="shared" si="170"/>
        <v>1214</v>
      </c>
      <c r="D252" s="142">
        <v>1183.0</v>
      </c>
      <c r="E252" s="142">
        <f t="shared" ref="E252:J252" si="171">E244-E248</f>
        <v>1151</v>
      </c>
      <c r="F252" s="142">
        <f t="shared" si="171"/>
        <v>1151</v>
      </c>
      <c r="G252" s="142">
        <f t="shared" si="171"/>
        <v>1151</v>
      </c>
      <c r="H252" s="142">
        <f t="shared" si="171"/>
        <v>1151</v>
      </c>
      <c r="I252" s="142">
        <f t="shared" si="171"/>
        <v>1151</v>
      </c>
      <c r="J252" s="142">
        <f t="shared" si="171"/>
        <v>1151</v>
      </c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hidden="1" outlineLevel="1">
      <c r="A253" s="138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hidden="1" outlineLevel="1">
      <c r="A254" s="138" t="s">
        <v>416</v>
      </c>
      <c r="B254" s="142">
        <f t="shared" ref="B254:D254" si="172">B252-B249</f>
        <v>907.241</v>
      </c>
      <c r="C254" s="142">
        <f t="shared" si="172"/>
        <v>31</v>
      </c>
      <c r="D254" s="142">
        <f t="shared" si="172"/>
        <v>28</v>
      </c>
      <c r="E254" s="142">
        <f t="shared" ref="E254:J254" si="173">D254-D257</f>
        <v>26.6</v>
      </c>
      <c r="F254" s="142">
        <f t="shared" si="173"/>
        <v>25.27</v>
      </c>
      <c r="G254" s="142">
        <f t="shared" si="173"/>
        <v>23.94</v>
      </c>
      <c r="H254" s="142">
        <f t="shared" si="173"/>
        <v>22.61</v>
      </c>
      <c r="I254" s="142">
        <f t="shared" si="173"/>
        <v>21.28</v>
      </c>
      <c r="J254" s="142">
        <f t="shared" si="173"/>
        <v>19.95</v>
      </c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hidden="1" outlineLevel="1">
      <c r="A255" s="138" t="s">
        <v>307</v>
      </c>
      <c r="B255" s="142">
        <f>($A$242*average(B252,B244))</f>
        <v>43.84987425</v>
      </c>
      <c r="C255" s="142">
        <f>(10/12)*A242*C252</f>
        <v>59.1825</v>
      </c>
      <c r="D255" s="142">
        <f t="shared" ref="D255:J255" si="174">$A$224*AVERAGE(D244,D252)</f>
        <v>61.1235</v>
      </c>
      <c r="E255" s="142">
        <f t="shared" si="174"/>
        <v>59.517</v>
      </c>
      <c r="F255" s="142">
        <f t="shared" si="174"/>
        <v>58.701</v>
      </c>
      <c r="G255" s="142">
        <f t="shared" si="174"/>
        <v>58.701</v>
      </c>
      <c r="H255" s="142">
        <f t="shared" si="174"/>
        <v>58.701</v>
      </c>
      <c r="I255" s="142">
        <f t="shared" si="174"/>
        <v>58.701</v>
      </c>
      <c r="J255" s="142">
        <f t="shared" si="174"/>
        <v>58.701</v>
      </c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hidden="1" outlineLevel="1">
      <c r="A256" s="138" t="s">
        <v>308</v>
      </c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hidden="1" outlineLevel="1">
      <c r="A257" s="138" t="s">
        <v>309</v>
      </c>
      <c r="B257" s="142">
        <f>B254/A243</f>
        <v>45.36205</v>
      </c>
      <c r="C257" s="142">
        <f>C254/A243</f>
        <v>1.55</v>
      </c>
      <c r="D257" s="142">
        <f t="shared" ref="D257:E257" si="175">D254/$A$243</f>
        <v>1.4</v>
      </c>
      <c r="E257" s="142">
        <f t="shared" si="175"/>
        <v>1.33</v>
      </c>
      <c r="F257" s="142">
        <f>(F254+sum(E257))/$A243</f>
        <v>1.33</v>
      </c>
      <c r="G257" s="142">
        <f>(G254+SUM(E257:F257))/$A243</f>
        <v>1.33</v>
      </c>
      <c r="H257" s="142">
        <f>(H254+SUM(E257:G257))/$A243</f>
        <v>1.33</v>
      </c>
      <c r="I257" s="142">
        <f>(I254+SUM(E257:H257))/$A243</f>
        <v>1.33</v>
      </c>
      <c r="J257" s="142">
        <f>(J254+SUM(E257:I257))/$A243</f>
        <v>1.33</v>
      </c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hidden="1" outlineLevel="1">
      <c r="A258" s="142" t="s">
        <v>311</v>
      </c>
      <c r="B258" s="142">
        <f t="shared" ref="B258:J258" si="176">B255+B257+B256</f>
        <v>89.21192425</v>
      </c>
      <c r="C258" s="142">
        <f t="shared" si="176"/>
        <v>60.7325</v>
      </c>
      <c r="D258" s="142">
        <f t="shared" si="176"/>
        <v>62.5235</v>
      </c>
      <c r="E258" s="142">
        <f t="shared" si="176"/>
        <v>60.847</v>
      </c>
      <c r="F258" s="142">
        <f t="shared" si="176"/>
        <v>60.031</v>
      </c>
      <c r="G258" s="142">
        <f t="shared" si="176"/>
        <v>60.031</v>
      </c>
      <c r="H258" s="142">
        <f t="shared" si="176"/>
        <v>60.031</v>
      </c>
      <c r="I258" s="142">
        <f t="shared" si="176"/>
        <v>60.031</v>
      </c>
      <c r="J258" s="142">
        <f t="shared" si="176"/>
        <v>60.031</v>
      </c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hidden="1" outlineLevel="1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</row>
    <row r="260" hidden="1" outlineLevel="1">
      <c r="A260" s="142" t="s">
        <v>438</v>
      </c>
      <c r="B260" s="29"/>
      <c r="C260" s="29"/>
      <c r="D260" s="2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idden="1" outlineLevel="1">
      <c r="A261" s="235">
        <f>AVERAGE(0.037,0.04)</f>
        <v>0.0385</v>
      </c>
      <c r="B261" s="29"/>
      <c r="C261" s="29"/>
      <c r="D261" s="2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idden="1" outlineLevel="1">
      <c r="A262" s="189" t="s">
        <v>439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idden="1" outlineLevel="1">
      <c r="A263" s="138" t="s">
        <v>384</v>
      </c>
      <c r="B263" s="12"/>
      <c r="C263" s="12"/>
      <c r="D263" s="29">
        <v>0.0</v>
      </c>
      <c r="E263" s="142">
        <f t="shared" ref="E263:J263" si="177">D271</f>
        <v>741</v>
      </c>
      <c r="F263" s="142">
        <f t="shared" si="177"/>
        <v>297</v>
      </c>
      <c r="G263" s="142">
        <f t="shared" si="177"/>
        <v>297</v>
      </c>
      <c r="H263" s="142">
        <f t="shared" si="177"/>
        <v>297</v>
      </c>
      <c r="I263" s="142">
        <f t="shared" si="177"/>
        <v>297</v>
      </c>
      <c r="J263" s="142">
        <f t="shared" si="177"/>
        <v>297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idden="1" outlineLevel="1">
      <c r="A264" s="138" t="s">
        <v>300</v>
      </c>
      <c r="B264" s="12"/>
      <c r="C264" s="12"/>
      <c r="D264" s="29">
        <v>0.0</v>
      </c>
      <c r="E264" s="142">
        <f t="shared" ref="E264:J264" si="178">E265+E266</f>
        <v>741</v>
      </c>
      <c r="F264" s="142">
        <f t="shared" si="178"/>
        <v>297</v>
      </c>
      <c r="G264" s="142">
        <f t="shared" si="178"/>
        <v>297</v>
      </c>
      <c r="H264" s="142">
        <f t="shared" si="178"/>
        <v>297</v>
      </c>
      <c r="I264" s="142">
        <f t="shared" si="178"/>
        <v>297</v>
      </c>
      <c r="J264" s="142">
        <f t="shared" si="178"/>
        <v>297</v>
      </c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idden="1" outlineLevel="1">
      <c r="A265" s="139" t="s">
        <v>301</v>
      </c>
      <c r="B265" s="12"/>
      <c r="C265" s="12"/>
      <c r="D265" s="29">
        <v>0.0</v>
      </c>
      <c r="E265" s="142">
        <f t="shared" ref="E265:J265" si="179">D269</f>
        <v>444</v>
      </c>
      <c r="F265" s="142">
        <f t="shared" si="179"/>
        <v>0</v>
      </c>
      <c r="G265" s="142">
        <f t="shared" si="179"/>
        <v>0</v>
      </c>
      <c r="H265" s="142">
        <f t="shared" si="179"/>
        <v>0</v>
      </c>
      <c r="I265" s="142">
        <f t="shared" si="179"/>
        <v>0</v>
      </c>
      <c r="J265" s="142">
        <f t="shared" si="179"/>
        <v>0</v>
      </c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idden="1" outlineLevel="1">
      <c r="A266" s="139" t="s">
        <v>302</v>
      </c>
      <c r="B266" s="12"/>
      <c r="C266" s="12"/>
      <c r="D266" s="29">
        <v>0.0</v>
      </c>
      <c r="E266" s="142">
        <f t="shared" ref="E266:J266" si="180">D270+D276</f>
        <v>297</v>
      </c>
      <c r="F266" s="142">
        <f t="shared" si="180"/>
        <v>297</v>
      </c>
      <c r="G266" s="142">
        <f t="shared" si="180"/>
        <v>297</v>
      </c>
      <c r="H266" s="142">
        <f t="shared" si="180"/>
        <v>297</v>
      </c>
      <c r="I266" s="142">
        <f t="shared" si="180"/>
        <v>297</v>
      </c>
      <c r="J266" s="142">
        <f t="shared" si="180"/>
        <v>297</v>
      </c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idden="1" outlineLevel="1">
      <c r="A267" s="138" t="s">
        <v>396</v>
      </c>
      <c r="D267" s="142">
        <f>D263-D271</f>
        <v>-741</v>
      </c>
      <c r="E267" s="200">
        <f>D269</f>
        <v>444</v>
      </c>
      <c r="F267" s="200">
        <v>0.0</v>
      </c>
      <c r="G267" s="200">
        <v>0.0</v>
      </c>
      <c r="H267" s="200">
        <v>0.0</v>
      </c>
      <c r="I267" s="200">
        <v>0.0</v>
      </c>
      <c r="J267" s="200">
        <v>0.0</v>
      </c>
    </row>
    <row r="268" hidden="1" outlineLevel="1">
      <c r="A268" s="138" t="s">
        <v>305</v>
      </c>
      <c r="D268" s="142">
        <f t="shared" ref="D268:J268" si="181">D269+D270</f>
        <v>741</v>
      </c>
      <c r="E268" s="142">
        <f t="shared" si="181"/>
        <v>297</v>
      </c>
      <c r="F268" s="142">
        <f t="shared" si="181"/>
        <v>297</v>
      </c>
      <c r="G268" s="142">
        <f t="shared" si="181"/>
        <v>297</v>
      </c>
      <c r="H268" s="142">
        <f t="shared" si="181"/>
        <v>297</v>
      </c>
      <c r="I268" s="142">
        <f t="shared" si="181"/>
        <v>297</v>
      </c>
      <c r="J268" s="142">
        <f t="shared" si="181"/>
        <v>297</v>
      </c>
    </row>
    <row r="269" hidden="1" outlineLevel="1">
      <c r="A269" s="139" t="s">
        <v>301</v>
      </c>
      <c r="D269" s="35">
        <v>444.0</v>
      </c>
      <c r="E269" s="142">
        <f t="shared" ref="E269:J269" si="182">if(F267&gt;=0,0,F267)</f>
        <v>0</v>
      </c>
      <c r="F269" s="142">
        <f t="shared" si="182"/>
        <v>0</v>
      </c>
      <c r="G269" s="142">
        <f t="shared" si="182"/>
        <v>0</v>
      </c>
      <c r="H269" s="142">
        <f t="shared" si="182"/>
        <v>0</v>
      </c>
      <c r="I269" s="142">
        <f t="shared" si="182"/>
        <v>0</v>
      </c>
      <c r="J269" s="142">
        <f t="shared" si="182"/>
        <v>0</v>
      </c>
    </row>
    <row r="270" hidden="1" outlineLevel="1">
      <c r="A270" s="139" t="s">
        <v>302</v>
      </c>
      <c r="D270" s="35">
        <v>297.0</v>
      </c>
      <c r="E270" s="142">
        <f t="shared" ref="E270:J270" si="183">IF(E267&lt;0,E266-E267,E266-E269)</f>
        <v>297</v>
      </c>
      <c r="F270" s="142">
        <f t="shared" si="183"/>
        <v>297</v>
      </c>
      <c r="G270" s="142">
        <f t="shared" si="183"/>
        <v>297</v>
      </c>
      <c r="H270" s="142">
        <f t="shared" si="183"/>
        <v>297</v>
      </c>
      <c r="I270" s="142">
        <f t="shared" si="183"/>
        <v>297</v>
      </c>
      <c r="J270" s="142">
        <f t="shared" si="183"/>
        <v>297</v>
      </c>
    </row>
    <row r="271" hidden="1" outlineLevel="1">
      <c r="A271" s="138" t="s">
        <v>411</v>
      </c>
      <c r="D271" s="35">
        <v>741.0</v>
      </c>
      <c r="E271" s="142">
        <f t="shared" ref="E271:J271" si="184">E263-E267</f>
        <v>297</v>
      </c>
      <c r="F271" s="142">
        <f t="shared" si="184"/>
        <v>297</v>
      </c>
      <c r="G271" s="142">
        <f t="shared" si="184"/>
        <v>297</v>
      </c>
      <c r="H271" s="142">
        <f t="shared" si="184"/>
        <v>297</v>
      </c>
      <c r="I271" s="142">
        <f t="shared" si="184"/>
        <v>297</v>
      </c>
      <c r="J271" s="142">
        <f t="shared" si="184"/>
        <v>297</v>
      </c>
    </row>
    <row r="272" hidden="1" outlineLevel="1">
      <c r="A272" s="138"/>
      <c r="E272" s="142"/>
      <c r="F272" s="142"/>
      <c r="G272" s="142"/>
      <c r="H272" s="142"/>
      <c r="I272" s="142"/>
      <c r="J272" s="142"/>
    </row>
    <row r="273" hidden="1" outlineLevel="1">
      <c r="A273" s="138" t="s">
        <v>416</v>
      </c>
      <c r="D273" s="142">
        <f>D271-D268</f>
        <v>0</v>
      </c>
      <c r="E273" s="142">
        <f t="shared" ref="E273:J273" si="185">D273-D276</f>
        <v>0</v>
      </c>
      <c r="F273" s="142">
        <f t="shared" si="185"/>
        <v>0</v>
      </c>
      <c r="G273" s="142">
        <f t="shared" si="185"/>
        <v>0</v>
      </c>
      <c r="H273" s="142">
        <f t="shared" si="185"/>
        <v>0</v>
      </c>
      <c r="I273" s="142">
        <f t="shared" si="185"/>
        <v>0</v>
      </c>
      <c r="J273" s="142">
        <f t="shared" si="185"/>
        <v>0</v>
      </c>
    </row>
    <row r="274" hidden="1" outlineLevel="1">
      <c r="A274" s="138" t="s">
        <v>307</v>
      </c>
      <c r="D274" s="142">
        <f t="shared" ref="D274:J274" si="186">$A261*AVERAGE(D263,D271)</f>
        <v>14.26425</v>
      </c>
      <c r="E274" s="142">
        <f t="shared" si="186"/>
        <v>19.9815</v>
      </c>
      <c r="F274" s="142">
        <f t="shared" si="186"/>
        <v>11.4345</v>
      </c>
      <c r="G274" s="142">
        <f t="shared" si="186"/>
        <v>11.4345</v>
      </c>
      <c r="H274" s="142">
        <f t="shared" si="186"/>
        <v>11.4345</v>
      </c>
      <c r="I274" s="142">
        <f t="shared" si="186"/>
        <v>11.4345</v>
      </c>
      <c r="J274" s="142">
        <f t="shared" si="186"/>
        <v>11.4345</v>
      </c>
    </row>
    <row r="275" hidden="1" outlineLevel="1">
      <c r="A275" s="138" t="s">
        <v>308</v>
      </c>
      <c r="D275" s="142"/>
      <c r="E275" s="142"/>
      <c r="F275" s="142"/>
      <c r="G275" s="142"/>
      <c r="H275" s="142"/>
      <c r="I275" s="142"/>
      <c r="J275" s="142"/>
    </row>
    <row r="276" hidden="1" outlineLevel="1">
      <c r="A276" s="138" t="s">
        <v>309</v>
      </c>
      <c r="D276" s="142">
        <f t="shared" ref="D276:J276" si="187">D273/$A$243</f>
        <v>0</v>
      </c>
      <c r="E276" s="142">
        <f t="shared" si="187"/>
        <v>0</v>
      </c>
      <c r="F276" s="142">
        <f t="shared" si="187"/>
        <v>0</v>
      </c>
      <c r="G276" s="142">
        <f t="shared" si="187"/>
        <v>0</v>
      </c>
      <c r="H276" s="142">
        <f t="shared" si="187"/>
        <v>0</v>
      </c>
      <c r="I276" s="142">
        <f t="shared" si="187"/>
        <v>0</v>
      </c>
      <c r="J276" s="142">
        <f t="shared" si="187"/>
        <v>0</v>
      </c>
    </row>
    <row r="277" hidden="1" outlineLevel="1">
      <c r="A277" s="142" t="s">
        <v>311</v>
      </c>
      <c r="D277" s="142">
        <f t="shared" ref="D277:J277" si="188">D274+D276+D275</f>
        <v>14.26425</v>
      </c>
      <c r="E277" s="142">
        <f t="shared" si="188"/>
        <v>19.9815</v>
      </c>
      <c r="F277" s="142">
        <f t="shared" si="188"/>
        <v>11.4345</v>
      </c>
      <c r="G277" s="142">
        <f t="shared" si="188"/>
        <v>11.4345</v>
      </c>
      <c r="H277" s="142">
        <f t="shared" si="188"/>
        <v>11.4345</v>
      </c>
      <c r="I277" s="142">
        <f t="shared" si="188"/>
        <v>11.4345</v>
      </c>
      <c r="J277" s="142">
        <f t="shared" si="188"/>
        <v>11.4345</v>
      </c>
    </row>
    <row r="278" hidden="1" outlineLevel="1"/>
    <row r="279" hidden="1" outlineLevel="1">
      <c r="A279" s="142" t="s">
        <v>440</v>
      </c>
    </row>
    <row r="280" hidden="1" outlineLevel="1">
      <c r="A280" s="235">
        <v>0.05743</v>
      </c>
    </row>
    <row r="281" hidden="1" outlineLevel="1">
      <c r="A281" s="189" t="s">
        <v>441</v>
      </c>
    </row>
    <row r="282" hidden="1" outlineLevel="1">
      <c r="A282" s="138" t="s">
        <v>384</v>
      </c>
      <c r="B282" s="35">
        <v>501.7</v>
      </c>
      <c r="C282" s="35">
        <v>482.133</v>
      </c>
      <c r="D282" s="35">
        <v>467.0</v>
      </c>
      <c r="E282" s="142">
        <f t="shared" ref="E282:J282" si="189">D290</f>
        <v>454</v>
      </c>
      <c r="F282" s="142">
        <f t="shared" si="189"/>
        <v>444</v>
      </c>
      <c r="G282" s="142">
        <f t="shared" si="189"/>
        <v>444</v>
      </c>
      <c r="H282" s="142">
        <f t="shared" si="189"/>
        <v>444</v>
      </c>
      <c r="I282" s="142">
        <f t="shared" si="189"/>
        <v>444</v>
      </c>
      <c r="J282" s="142">
        <f t="shared" si="189"/>
        <v>444</v>
      </c>
    </row>
    <row r="283" hidden="1" outlineLevel="1">
      <c r="A283" s="138" t="s">
        <v>300</v>
      </c>
      <c r="B283" s="142">
        <f t="shared" ref="B283:J283" si="190">B284+B285</f>
        <v>501.7</v>
      </c>
      <c r="C283" s="142">
        <f t="shared" si="190"/>
        <v>466.755</v>
      </c>
      <c r="D283" s="142">
        <f t="shared" si="190"/>
        <v>453</v>
      </c>
      <c r="E283" s="142">
        <f t="shared" si="190"/>
        <v>441</v>
      </c>
      <c r="F283" s="142">
        <f t="shared" si="190"/>
        <v>431.65</v>
      </c>
      <c r="G283" s="142">
        <f t="shared" si="190"/>
        <v>432.5785714</v>
      </c>
      <c r="H283" s="142">
        <f t="shared" si="190"/>
        <v>433.5071429</v>
      </c>
      <c r="I283" s="142">
        <f t="shared" si="190"/>
        <v>434.4357143</v>
      </c>
      <c r="J283" s="142">
        <f t="shared" si="190"/>
        <v>435.3642857</v>
      </c>
    </row>
    <row r="284" hidden="1" outlineLevel="1">
      <c r="A284" s="139" t="s">
        <v>301</v>
      </c>
      <c r="B284" s="35">
        <v>0.0</v>
      </c>
      <c r="C284" s="35">
        <v>12.334</v>
      </c>
      <c r="D284" s="35">
        <v>11.0</v>
      </c>
      <c r="E284" s="142">
        <f t="shared" ref="E284:J284" si="191">D288</f>
        <v>10</v>
      </c>
      <c r="F284" s="142">
        <f t="shared" si="191"/>
        <v>0</v>
      </c>
      <c r="G284" s="142">
        <f t="shared" si="191"/>
        <v>0</v>
      </c>
      <c r="H284" s="142">
        <f t="shared" si="191"/>
        <v>0</v>
      </c>
      <c r="I284" s="142">
        <f t="shared" si="191"/>
        <v>0</v>
      </c>
      <c r="J284" s="142">
        <f t="shared" si="191"/>
        <v>0</v>
      </c>
    </row>
    <row r="285" hidden="1" outlineLevel="1">
      <c r="A285" s="139" t="s">
        <v>302</v>
      </c>
      <c r="B285" s="35">
        <v>501.7</v>
      </c>
      <c r="C285" s="35">
        <v>454.421</v>
      </c>
      <c r="D285" s="35">
        <v>442.0</v>
      </c>
      <c r="E285" s="142">
        <f t="shared" ref="E285:J285" si="192">D289+D295</f>
        <v>431</v>
      </c>
      <c r="F285" s="142">
        <f t="shared" si="192"/>
        <v>431.65</v>
      </c>
      <c r="G285" s="142">
        <f t="shared" si="192"/>
        <v>432.5785714</v>
      </c>
      <c r="H285" s="142">
        <f t="shared" si="192"/>
        <v>433.5071429</v>
      </c>
      <c r="I285" s="142">
        <f t="shared" si="192"/>
        <v>434.4357143</v>
      </c>
      <c r="J285" s="142">
        <f t="shared" si="192"/>
        <v>435.3642857</v>
      </c>
    </row>
    <row r="286" hidden="1" outlineLevel="1">
      <c r="A286" s="138" t="s">
        <v>396</v>
      </c>
      <c r="B286" s="142">
        <f t="shared" ref="B286:D286" si="193">B282-B290</f>
        <v>19.567</v>
      </c>
      <c r="C286" s="142">
        <f t="shared" si="193"/>
        <v>15.133</v>
      </c>
      <c r="D286" s="142">
        <f t="shared" si="193"/>
        <v>13</v>
      </c>
      <c r="E286" s="200">
        <f>D288</f>
        <v>10</v>
      </c>
      <c r="F286" s="200">
        <v>0.0</v>
      </c>
      <c r="G286" s="200">
        <v>0.0</v>
      </c>
      <c r="H286" s="200">
        <v>0.0</v>
      </c>
      <c r="I286" s="200">
        <v>0.0</v>
      </c>
      <c r="J286" s="200">
        <v>0.0</v>
      </c>
    </row>
    <row r="287" hidden="1" outlineLevel="1">
      <c r="A287" s="138" t="s">
        <v>305</v>
      </c>
      <c r="B287" s="142">
        <f t="shared" ref="B287:C287" si="194">C283</f>
        <v>466.755</v>
      </c>
      <c r="C287" s="142">
        <f t="shared" si="194"/>
        <v>453</v>
      </c>
      <c r="D287" s="142">
        <f t="shared" ref="D287:J287" si="195">D288+D289</f>
        <v>440</v>
      </c>
      <c r="E287" s="142">
        <f t="shared" si="195"/>
        <v>431</v>
      </c>
      <c r="F287" s="142">
        <f t="shared" si="195"/>
        <v>431.65</v>
      </c>
      <c r="G287" s="142">
        <f t="shared" si="195"/>
        <v>432.5785714</v>
      </c>
      <c r="H287" s="142">
        <f t="shared" si="195"/>
        <v>433.5071429</v>
      </c>
      <c r="I287" s="142">
        <f t="shared" si="195"/>
        <v>434.4357143</v>
      </c>
      <c r="J287" s="142">
        <f t="shared" si="195"/>
        <v>435.3642857</v>
      </c>
    </row>
    <row r="288" hidden="1" outlineLevel="1">
      <c r="A288" s="139" t="s">
        <v>301</v>
      </c>
      <c r="B288" s="142">
        <f t="shared" ref="B288:C288" si="196">C284</f>
        <v>12.334</v>
      </c>
      <c r="C288" s="142">
        <f t="shared" si="196"/>
        <v>11</v>
      </c>
      <c r="D288" s="35">
        <v>10.0</v>
      </c>
      <c r="E288" s="142">
        <f t="shared" ref="E288:J288" si="197">if(F286&gt;=0,0,F286)</f>
        <v>0</v>
      </c>
      <c r="F288" s="142">
        <f t="shared" si="197"/>
        <v>0</v>
      </c>
      <c r="G288" s="142">
        <f t="shared" si="197"/>
        <v>0</v>
      </c>
      <c r="H288" s="142">
        <f t="shared" si="197"/>
        <v>0</v>
      </c>
      <c r="I288" s="142">
        <f t="shared" si="197"/>
        <v>0</v>
      </c>
      <c r="J288" s="142">
        <f t="shared" si="197"/>
        <v>0</v>
      </c>
    </row>
    <row r="289" hidden="1" outlineLevel="1">
      <c r="A289" s="139" t="s">
        <v>302</v>
      </c>
      <c r="B289" s="142">
        <f t="shared" ref="B289:C289" si="198">C285</f>
        <v>454.421</v>
      </c>
      <c r="C289" s="142">
        <f t="shared" si="198"/>
        <v>442</v>
      </c>
      <c r="D289" s="35">
        <v>430.0</v>
      </c>
      <c r="E289" s="142">
        <f t="shared" ref="E289:J289" si="199">IF(E286&lt;0,E285-E286,E285-E288)</f>
        <v>431</v>
      </c>
      <c r="F289" s="142">
        <f t="shared" si="199"/>
        <v>431.65</v>
      </c>
      <c r="G289" s="142">
        <f t="shared" si="199"/>
        <v>432.5785714</v>
      </c>
      <c r="H289" s="142">
        <f t="shared" si="199"/>
        <v>433.5071429</v>
      </c>
      <c r="I289" s="142">
        <f t="shared" si="199"/>
        <v>434.4357143</v>
      </c>
      <c r="J289" s="142">
        <f t="shared" si="199"/>
        <v>435.3642857</v>
      </c>
    </row>
    <row r="290" hidden="1" outlineLevel="1">
      <c r="A290" s="138" t="s">
        <v>411</v>
      </c>
      <c r="B290" s="142">
        <f t="shared" ref="B290:C290" si="200">C282</f>
        <v>482.133</v>
      </c>
      <c r="C290" s="142">
        <f t="shared" si="200"/>
        <v>467</v>
      </c>
      <c r="D290" s="35">
        <v>454.0</v>
      </c>
      <c r="E290" s="142">
        <f t="shared" ref="E290:J290" si="201">E282-E286</f>
        <v>444</v>
      </c>
      <c r="F290" s="142">
        <f t="shared" si="201"/>
        <v>444</v>
      </c>
      <c r="G290" s="142">
        <f t="shared" si="201"/>
        <v>444</v>
      </c>
      <c r="H290" s="142">
        <f t="shared" si="201"/>
        <v>444</v>
      </c>
      <c r="I290" s="142">
        <f t="shared" si="201"/>
        <v>444</v>
      </c>
      <c r="J290" s="142">
        <f t="shared" si="201"/>
        <v>444</v>
      </c>
    </row>
    <row r="291" hidden="1" outlineLevel="1">
      <c r="A291" s="138"/>
      <c r="E291" s="142"/>
      <c r="F291" s="142"/>
      <c r="G291" s="142"/>
      <c r="H291" s="142"/>
      <c r="I291" s="142"/>
      <c r="J291" s="142"/>
    </row>
    <row r="292" hidden="1" outlineLevel="1">
      <c r="A292" s="138" t="s">
        <v>416</v>
      </c>
      <c r="B292" s="142">
        <f t="shared" ref="B292:D292" si="202">B290-B287</f>
        <v>15.378</v>
      </c>
      <c r="C292" s="142">
        <f t="shared" si="202"/>
        <v>14</v>
      </c>
      <c r="D292" s="142">
        <f t="shared" si="202"/>
        <v>14</v>
      </c>
      <c r="E292" s="142">
        <f t="shared" ref="E292:J292" si="203">D292-D295</f>
        <v>13</v>
      </c>
      <c r="F292" s="142">
        <f t="shared" si="203"/>
        <v>12.35</v>
      </c>
      <c r="G292" s="142">
        <f t="shared" si="203"/>
        <v>11.42142857</v>
      </c>
      <c r="H292" s="142">
        <f t="shared" si="203"/>
        <v>10.49285714</v>
      </c>
      <c r="I292" s="142">
        <f t="shared" si="203"/>
        <v>9.564285714</v>
      </c>
      <c r="J292" s="142">
        <f t="shared" si="203"/>
        <v>8.635714286</v>
      </c>
    </row>
    <row r="293" hidden="1" outlineLevel="1">
      <c r="A293" s="138" t="s">
        <v>307</v>
      </c>
      <c r="B293" s="142">
        <f t="shared" ref="B293:J293" si="204">($A280*average(B290,B282))</f>
        <v>28.2507646</v>
      </c>
      <c r="C293" s="142">
        <f t="shared" si="204"/>
        <v>27.2543541</v>
      </c>
      <c r="D293" s="142">
        <f t="shared" si="204"/>
        <v>26.446515</v>
      </c>
      <c r="E293" s="142">
        <f t="shared" si="204"/>
        <v>25.78607</v>
      </c>
      <c r="F293" s="142">
        <f t="shared" si="204"/>
        <v>25.49892</v>
      </c>
      <c r="G293" s="142">
        <f t="shared" si="204"/>
        <v>25.49892</v>
      </c>
      <c r="H293" s="142">
        <f t="shared" si="204"/>
        <v>25.49892</v>
      </c>
      <c r="I293" s="142">
        <f t="shared" si="204"/>
        <v>25.49892</v>
      </c>
      <c r="J293" s="142">
        <f t="shared" si="204"/>
        <v>25.49892</v>
      </c>
    </row>
    <row r="294" hidden="1" outlineLevel="1">
      <c r="A294" s="138" t="s">
        <v>308</v>
      </c>
      <c r="B294" s="142"/>
      <c r="C294" s="142"/>
      <c r="D294" s="142"/>
      <c r="E294" s="142"/>
      <c r="F294" s="142"/>
      <c r="G294" s="142"/>
      <c r="H294" s="142"/>
      <c r="I294" s="142"/>
      <c r="J294" s="142"/>
    </row>
    <row r="295" hidden="1" outlineLevel="1">
      <c r="A295" s="138" t="s">
        <v>309</v>
      </c>
      <c r="B295" s="142">
        <f t="shared" ref="B295:D295" si="205">B292/$A281</f>
        <v>1.098428571</v>
      </c>
      <c r="C295" s="142">
        <f t="shared" si="205"/>
        <v>1</v>
      </c>
      <c r="D295" s="142">
        <f t="shared" si="205"/>
        <v>1</v>
      </c>
      <c r="E295" s="142">
        <f>E292/$A$243</f>
        <v>0.65</v>
      </c>
      <c r="F295" s="142">
        <f>(F292+sum(E295))/$A281</f>
        <v>0.9285714286</v>
      </c>
      <c r="G295" s="142">
        <f>(G292+SUM(E295:F295))/$A281</f>
        <v>0.9285714286</v>
      </c>
      <c r="H295" s="142">
        <f>(H292+SUM(E295:G295))/$A281</f>
        <v>0.9285714286</v>
      </c>
      <c r="I295" s="142">
        <f>(I292+SUM(E295:H295))/$A281</f>
        <v>0.9285714286</v>
      </c>
      <c r="J295" s="142">
        <f>(J292+SUM(E295:I295))/$A281</f>
        <v>0.9285714286</v>
      </c>
    </row>
    <row r="296" hidden="1" outlineLevel="1">
      <c r="A296" s="142" t="s">
        <v>311</v>
      </c>
      <c r="B296" s="142">
        <f t="shared" ref="B296:J296" si="206">B293+B295+B294</f>
        <v>29.34919317</v>
      </c>
      <c r="C296" s="142">
        <f t="shared" si="206"/>
        <v>28.2543541</v>
      </c>
      <c r="D296" s="142">
        <f t="shared" si="206"/>
        <v>27.446515</v>
      </c>
      <c r="E296" s="142">
        <f t="shared" si="206"/>
        <v>26.43607</v>
      </c>
      <c r="F296" s="142">
        <f t="shared" si="206"/>
        <v>26.42749143</v>
      </c>
      <c r="G296" s="142">
        <f t="shared" si="206"/>
        <v>26.42749143</v>
      </c>
      <c r="H296" s="142">
        <f t="shared" si="206"/>
        <v>26.42749143</v>
      </c>
      <c r="I296" s="142">
        <f t="shared" si="206"/>
        <v>26.42749143</v>
      </c>
      <c r="J296" s="142">
        <f t="shared" si="206"/>
        <v>26.42749143</v>
      </c>
    </row>
    <row r="297" hidden="1" outlineLevel="1"/>
    <row r="298" hidden="1" outlineLevel="1">
      <c r="A298" s="142" t="s">
        <v>442</v>
      </c>
    </row>
    <row r="299" hidden="1" outlineLevel="1">
      <c r="A299" s="235">
        <f>AVERAGE(0.031,0.036)</f>
        <v>0.0335</v>
      </c>
    </row>
    <row r="300" hidden="1" outlineLevel="1">
      <c r="A300" s="189" t="s">
        <v>432</v>
      </c>
    </row>
    <row r="301" hidden="1" outlineLevel="1">
      <c r="A301" s="138" t="s">
        <v>384</v>
      </c>
      <c r="B301" s="35">
        <v>390.0</v>
      </c>
      <c r="C301" s="35">
        <v>673.811</v>
      </c>
      <c r="D301" s="35">
        <v>92.0</v>
      </c>
      <c r="E301" s="142">
        <f t="shared" ref="E301:J301" si="207">D309</f>
        <v>167</v>
      </c>
      <c r="F301" s="142">
        <f t="shared" si="207"/>
        <v>146</v>
      </c>
      <c r="G301" s="142">
        <f t="shared" si="207"/>
        <v>146</v>
      </c>
      <c r="H301" s="142">
        <f t="shared" si="207"/>
        <v>146</v>
      </c>
      <c r="I301" s="142">
        <f t="shared" si="207"/>
        <v>146</v>
      </c>
      <c r="J301" s="142">
        <f t="shared" si="207"/>
        <v>146</v>
      </c>
    </row>
    <row r="302" hidden="1" outlineLevel="1">
      <c r="A302" s="138" t="s">
        <v>300</v>
      </c>
      <c r="B302" s="142">
        <f t="shared" ref="B302:J302" si="208">B303+B304</f>
        <v>389.918</v>
      </c>
      <c r="C302" s="142">
        <f t="shared" si="208"/>
        <v>673.249</v>
      </c>
      <c r="D302" s="142">
        <f t="shared" si="208"/>
        <v>92</v>
      </c>
      <c r="E302" s="142">
        <f t="shared" si="208"/>
        <v>167</v>
      </c>
      <c r="F302" s="142">
        <f t="shared" si="208"/>
        <v>146</v>
      </c>
      <c r="G302" s="142">
        <f t="shared" si="208"/>
        <v>146</v>
      </c>
      <c r="H302" s="142">
        <f t="shared" si="208"/>
        <v>146</v>
      </c>
      <c r="I302" s="142">
        <f t="shared" si="208"/>
        <v>146</v>
      </c>
      <c r="J302" s="142">
        <f t="shared" si="208"/>
        <v>146</v>
      </c>
    </row>
    <row r="303" hidden="1" outlineLevel="1">
      <c r="A303" s="139" t="s">
        <v>301</v>
      </c>
      <c r="B303" s="142">
        <v>73.708</v>
      </c>
      <c r="C303" s="35">
        <v>195.382</v>
      </c>
      <c r="D303" s="35">
        <v>14.0</v>
      </c>
      <c r="E303" s="142">
        <f t="shared" ref="E303:J303" si="209">D307</f>
        <v>21</v>
      </c>
      <c r="F303" s="142">
        <f t="shared" si="209"/>
        <v>0</v>
      </c>
      <c r="G303" s="142">
        <f t="shared" si="209"/>
        <v>0</v>
      </c>
      <c r="H303" s="142">
        <f t="shared" si="209"/>
        <v>0</v>
      </c>
      <c r="I303" s="142">
        <f t="shared" si="209"/>
        <v>0</v>
      </c>
      <c r="J303" s="142">
        <f t="shared" si="209"/>
        <v>0</v>
      </c>
    </row>
    <row r="304" hidden="1" outlineLevel="1">
      <c r="A304" s="139" t="s">
        <v>302</v>
      </c>
      <c r="B304" s="35">
        <v>316.21</v>
      </c>
      <c r="C304" s="35">
        <v>477.867</v>
      </c>
      <c r="D304" s="35">
        <v>78.0</v>
      </c>
      <c r="E304" s="142">
        <f t="shared" ref="E304:J304" si="210">D308+D314</f>
        <v>146</v>
      </c>
      <c r="F304" s="142">
        <f t="shared" si="210"/>
        <v>146</v>
      </c>
      <c r="G304" s="142">
        <f t="shared" si="210"/>
        <v>146</v>
      </c>
      <c r="H304" s="142">
        <f t="shared" si="210"/>
        <v>146</v>
      </c>
      <c r="I304" s="142">
        <f t="shared" si="210"/>
        <v>146</v>
      </c>
      <c r="J304" s="142">
        <f t="shared" si="210"/>
        <v>146</v>
      </c>
    </row>
    <row r="305" hidden="1" outlineLevel="1">
      <c r="A305" s="138" t="s">
        <v>396</v>
      </c>
      <c r="B305" s="142">
        <f t="shared" ref="B305:D305" si="211">B301-B309</f>
        <v>-283.811</v>
      </c>
      <c r="C305" s="142">
        <f t="shared" si="211"/>
        <v>581.811</v>
      </c>
      <c r="D305" s="142">
        <f t="shared" si="211"/>
        <v>-75</v>
      </c>
      <c r="E305" s="200">
        <f>D307</f>
        <v>21</v>
      </c>
      <c r="F305" s="200">
        <v>0.0</v>
      </c>
      <c r="G305" s="200">
        <v>0.0</v>
      </c>
      <c r="H305" s="200">
        <v>0.0</v>
      </c>
      <c r="I305" s="200">
        <v>0.0</v>
      </c>
      <c r="J305" s="200">
        <v>0.0</v>
      </c>
    </row>
    <row r="306" hidden="1" outlineLevel="1">
      <c r="A306" s="138" t="s">
        <v>305</v>
      </c>
      <c r="B306" s="142">
        <f t="shared" ref="B306:C306" si="212">C302</f>
        <v>673.249</v>
      </c>
      <c r="C306" s="142">
        <f t="shared" si="212"/>
        <v>92</v>
      </c>
      <c r="D306" s="142">
        <f t="shared" ref="D306:J306" si="213">D307+D308</f>
        <v>167</v>
      </c>
      <c r="E306" s="142">
        <f t="shared" si="213"/>
        <v>146</v>
      </c>
      <c r="F306" s="142">
        <f t="shared" si="213"/>
        <v>146</v>
      </c>
      <c r="G306" s="142">
        <f t="shared" si="213"/>
        <v>146</v>
      </c>
      <c r="H306" s="142">
        <f t="shared" si="213"/>
        <v>146</v>
      </c>
      <c r="I306" s="142">
        <f t="shared" si="213"/>
        <v>146</v>
      </c>
      <c r="J306" s="142">
        <f t="shared" si="213"/>
        <v>146</v>
      </c>
    </row>
    <row r="307" hidden="1" outlineLevel="1">
      <c r="A307" s="139" t="s">
        <v>301</v>
      </c>
      <c r="B307" s="142">
        <f t="shared" ref="B307:C307" si="214">C303</f>
        <v>195.382</v>
      </c>
      <c r="C307" s="142">
        <f t="shared" si="214"/>
        <v>14</v>
      </c>
      <c r="D307" s="35">
        <v>21.0</v>
      </c>
      <c r="E307" s="142">
        <f t="shared" ref="E307:J307" si="215">if(F305&gt;=0,0,F305)</f>
        <v>0</v>
      </c>
      <c r="F307" s="142">
        <f t="shared" si="215"/>
        <v>0</v>
      </c>
      <c r="G307" s="142">
        <f t="shared" si="215"/>
        <v>0</v>
      </c>
      <c r="H307" s="142">
        <f t="shared" si="215"/>
        <v>0</v>
      </c>
      <c r="I307" s="142">
        <f t="shared" si="215"/>
        <v>0</v>
      </c>
      <c r="J307" s="142">
        <f t="shared" si="215"/>
        <v>0</v>
      </c>
    </row>
    <row r="308" hidden="1" outlineLevel="1">
      <c r="A308" s="139" t="s">
        <v>302</v>
      </c>
      <c r="B308" s="142">
        <f t="shared" ref="B308:C308" si="216">C304</f>
        <v>477.867</v>
      </c>
      <c r="C308" s="142">
        <f t="shared" si="216"/>
        <v>78</v>
      </c>
      <c r="D308" s="35">
        <v>146.0</v>
      </c>
      <c r="E308" s="142">
        <f t="shared" ref="E308:J308" si="217">IF(E305&lt;0,E304-E305,E304-E307)</f>
        <v>146</v>
      </c>
      <c r="F308" s="142">
        <f t="shared" si="217"/>
        <v>146</v>
      </c>
      <c r="G308" s="142">
        <f t="shared" si="217"/>
        <v>146</v>
      </c>
      <c r="H308" s="142">
        <f t="shared" si="217"/>
        <v>146</v>
      </c>
      <c r="I308" s="142">
        <f t="shared" si="217"/>
        <v>146</v>
      </c>
      <c r="J308" s="142">
        <f t="shared" si="217"/>
        <v>146</v>
      </c>
    </row>
    <row r="309" hidden="1" outlineLevel="1">
      <c r="A309" s="138" t="s">
        <v>411</v>
      </c>
      <c r="B309" s="142">
        <f t="shared" ref="B309:C309" si="218">C301</f>
        <v>673.811</v>
      </c>
      <c r="C309" s="142">
        <f t="shared" si="218"/>
        <v>92</v>
      </c>
      <c r="D309" s="35">
        <v>167.0</v>
      </c>
      <c r="E309" s="142">
        <f t="shared" ref="E309:J309" si="219">E301-E305</f>
        <v>146</v>
      </c>
      <c r="F309" s="142">
        <f t="shared" si="219"/>
        <v>146</v>
      </c>
      <c r="G309" s="142">
        <f t="shared" si="219"/>
        <v>146</v>
      </c>
      <c r="H309" s="142">
        <f t="shared" si="219"/>
        <v>146</v>
      </c>
      <c r="I309" s="142">
        <f t="shared" si="219"/>
        <v>146</v>
      </c>
      <c r="J309" s="142">
        <f t="shared" si="219"/>
        <v>146</v>
      </c>
    </row>
    <row r="310" hidden="1" outlineLevel="1">
      <c r="A310" s="138"/>
      <c r="E310" s="142"/>
      <c r="F310" s="142"/>
      <c r="G310" s="142"/>
      <c r="H310" s="142"/>
      <c r="I310" s="142"/>
      <c r="J310" s="142"/>
    </row>
    <row r="311" hidden="1" outlineLevel="1">
      <c r="A311" s="138" t="s">
        <v>416</v>
      </c>
      <c r="B311" s="142">
        <f t="shared" ref="B311:D311" si="220">B309-B306</f>
        <v>0.562</v>
      </c>
      <c r="C311" s="142">
        <f t="shared" si="220"/>
        <v>0</v>
      </c>
      <c r="D311" s="142">
        <f t="shared" si="220"/>
        <v>0</v>
      </c>
      <c r="E311" s="142">
        <f t="shared" ref="E311:J311" si="221">D311-D314</f>
        <v>0</v>
      </c>
      <c r="F311" s="142">
        <f t="shared" si="221"/>
        <v>0</v>
      </c>
      <c r="G311" s="142">
        <f t="shared" si="221"/>
        <v>0</v>
      </c>
      <c r="H311" s="142">
        <f t="shared" si="221"/>
        <v>0</v>
      </c>
      <c r="I311" s="142">
        <f t="shared" si="221"/>
        <v>0</v>
      </c>
      <c r="J311" s="142">
        <f t="shared" si="221"/>
        <v>0</v>
      </c>
    </row>
    <row r="312" hidden="1" outlineLevel="1">
      <c r="A312" s="138" t="s">
        <v>307</v>
      </c>
      <c r="B312" s="142">
        <f t="shared" ref="B312:J312" si="222">($A299*average(B309,B301))</f>
        <v>17.81883425</v>
      </c>
      <c r="C312" s="142">
        <f t="shared" si="222"/>
        <v>12.82733425</v>
      </c>
      <c r="D312" s="142">
        <f t="shared" si="222"/>
        <v>4.33825</v>
      </c>
      <c r="E312" s="142">
        <f t="shared" si="222"/>
        <v>5.24275</v>
      </c>
      <c r="F312" s="142">
        <f t="shared" si="222"/>
        <v>4.891</v>
      </c>
      <c r="G312" s="142">
        <f t="shared" si="222"/>
        <v>4.891</v>
      </c>
      <c r="H312" s="142">
        <f t="shared" si="222"/>
        <v>4.891</v>
      </c>
      <c r="I312" s="142">
        <f t="shared" si="222"/>
        <v>4.891</v>
      </c>
      <c r="J312" s="142">
        <f t="shared" si="222"/>
        <v>4.891</v>
      </c>
    </row>
    <row r="313" hidden="1" outlineLevel="1">
      <c r="A313" s="138" t="s">
        <v>308</v>
      </c>
      <c r="B313" s="142"/>
      <c r="C313" s="142"/>
      <c r="D313" s="142"/>
      <c r="E313" s="142"/>
      <c r="F313" s="142"/>
      <c r="G313" s="142"/>
      <c r="H313" s="142"/>
      <c r="I313" s="142"/>
      <c r="J313" s="142"/>
    </row>
    <row r="314" hidden="1" outlineLevel="1">
      <c r="A314" s="138" t="s">
        <v>309</v>
      </c>
      <c r="B314" s="142">
        <f>B311</f>
        <v>0.562</v>
      </c>
      <c r="C314" s="142">
        <f t="shared" ref="C314:D314" si="223">C311/$A300</f>
        <v>0</v>
      </c>
      <c r="D314" s="142">
        <f t="shared" si="223"/>
        <v>0</v>
      </c>
      <c r="E314" s="142">
        <f t="shared" ref="E314:J314" si="224">E311/$A$243</f>
        <v>0</v>
      </c>
      <c r="F314" s="142">
        <f t="shared" si="224"/>
        <v>0</v>
      </c>
      <c r="G314" s="142">
        <f t="shared" si="224"/>
        <v>0</v>
      </c>
      <c r="H314" s="142">
        <f t="shared" si="224"/>
        <v>0</v>
      </c>
      <c r="I314" s="142">
        <f t="shared" si="224"/>
        <v>0</v>
      </c>
      <c r="J314" s="142">
        <f t="shared" si="224"/>
        <v>0</v>
      </c>
    </row>
    <row r="315" hidden="1" outlineLevel="1">
      <c r="A315" s="142" t="s">
        <v>311</v>
      </c>
      <c r="B315" s="142">
        <f t="shared" ref="B315:J315" si="225">B312+B314+B313</f>
        <v>18.38083425</v>
      </c>
      <c r="C315" s="142">
        <f t="shared" si="225"/>
        <v>12.82733425</v>
      </c>
      <c r="D315" s="142">
        <f t="shared" si="225"/>
        <v>4.33825</v>
      </c>
      <c r="E315" s="142">
        <f t="shared" si="225"/>
        <v>5.24275</v>
      </c>
      <c r="F315" s="142">
        <f t="shared" si="225"/>
        <v>4.891</v>
      </c>
      <c r="G315" s="142">
        <f t="shared" si="225"/>
        <v>4.891</v>
      </c>
      <c r="H315" s="142">
        <f t="shared" si="225"/>
        <v>4.891</v>
      </c>
      <c r="I315" s="142">
        <f t="shared" si="225"/>
        <v>4.891</v>
      </c>
      <c r="J315" s="142">
        <f t="shared" si="225"/>
        <v>4.891</v>
      </c>
    </row>
    <row r="316" hidden="1" outlineLevel="1"/>
    <row r="317" hidden="1" outlineLevel="1">
      <c r="A317" s="142" t="s">
        <v>443</v>
      </c>
    </row>
    <row r="318" hidden="1" outlineLevel="1">
      <c r="A318" s="235">
        <f>AVERAGE(0.031,0.036)</f>
        <v>0.0335</v>
      </c>
    </row>
    <row r="319" hidden="1" outlineLevel="1">
      <c r="A319" s="189" t="s">
        <v>444</v>
      </c>
    </row>
    <row r="320" hidden="1" outlineLevel="1">
      <c r="A320" s="138" t="s">
        <v>384</v>
      </c>
      <c r="B320" s="35">
        <v>140.586</v>
      </c>
      <c r="C320" s="35">
        <v>244.498</v>
      </c>
      <c r="D320" s="35">
        <v>210.0</v>
      </c>
      <c r="E320" s="142">
        <f t="shared" ref="E320:J320" si="226">D328</f>
        <v>182</v>
      </c>
      <c r="F320" s="142">
        <f t="shared" si="226"/>
        <v>171</v>
      </c>
      <c r="G320" s="142">
        <f t="shared" si="226"/>
        <v>171</v>
      </c>
      <c r="H320" s="142">
        <f t="shared" si="226"/>
        <v>171</v>
      </c>
      <c r="I320" s="142">
        <f t="shared" si="226"/>
        <v>171</v>
      </c>
      <c r="J320" s="142">
        <f t="shared" si="226"/>
        <v>171</v>
      </c>
    </row>
    <row r="321" hidden="1" outlineLevel="1">
      <c r="A321" s="138" t="s">
        <v>300</v>
      </c>
      <c r="B321" s="142">
        <f t="shared" ref="B321:J321" si="227">B322+B323</f>
        <v>137.024</v>
      </c>
      <c r="C321" s="142">
        <f t="shared" si="227"/>
        <v>236.844</v>
      </c>
      <c r="D321" s="142">
        <f t="shared" si="227"/>
        <v>203</v>
      </c>
      <c r="E321" s="142">
        <f t="shared" si="227"/>
        <v>175.2153846</v>
      </c>
      <c r="F321" s="142">
        <f t="shared" si="227"/>
        <v>164.424142</v>
      </c>
      <c r="G321" s="142">
        <f t="shared" si="227"/>
        <v>164.6328994</v>
      </c>
      <c r="H321" s="142">
        <f t="shared" si="227"/>
        <v>164.8416568</v>
      </c>
      <c r="I321" s="142">
        <f t="shared" si="227"/>
        <v>165.0504142</v>
      </c>
      <c r="J321" s="142">
        <f t="shared" si="227"/>
        <v>165.2591716</v>
      </c>
    </row>
    <row r="322" hidden="1" outlineLevel="1">
      <c r="A322" s="139" t="s">
        <v>301</v>
      </c>
      <c r="B322" s="35">
        <v>3.514</v>
      </c>
      <c r="C322" s="35">
        <v>8.006</v>
      </c>
      <c r="D322" s="35">
        <v>10.0</v>
      </c>
      <c r="E322" s="142">
        <f t="shared" ref="E322:J322" si="228">D326</f>
        <v>11</v>
      </c>
      <c r="F322" s="142">
        <f t="shared" si="228"/>
        <v>0</v>
      </c>
      <c r="G322" s="142">
        <f t="shared" si="228"/>
        <v>0</v>
      </c>
      <c r="H322" s="142">
        <f t="shared" si="228"/>
        <v>0</v>
      </c>
      <c r="I322" s="142">
        <f t="shared" si="228"/>
        <v>0</v>
      </c>
      <c r="J322" s="142">
        <f t="shared" si="228"/>
        <v>0</v>
      </c>
    </row>
    <row r="323" hidden="1" outlineLevel="1">
      <c r="A323" s="139" t="s">
        <v>302</v>
      </c>
      <c r="B323" s="35">
        <v>133.51</v>
      </c>
      <c r="C323" s="35">
        <v>228.838</v>
      </c>
      <c r="D323" s="35">
        <v>193.0</v>
      </c>
      <c r="E323" s="142">
        <f t="shared" ref="E323:J323" si="229">D327+D333</f>
        <v>164.2153846</v>
      </c>
      <c r="F323" s="142">
        <f t="shared" si="229"/>
        <v>164.424142</v>
      </c>
      <c r="G323" s="142">
        <f t="shared" si="229"/>
        <v>164.6328994</v>
      </c>
      <c r="H323" s="142">
        <f t="shared" si="229"/>
        <v>164.8416568</v>
      </c>
      <c r="I323" s="142">
        <f t="shared" si="229"/>
        <v>165.0504142</v>
      </c>
      <c r="J323" s="142">
        <f t="shared" si="229"/>
        <v>165.2591716</v>
      </c>
    </row>
    <row r="324" hidden="1" outlineLevel="1">
      <c r="A324" s="138" t="s">
        <v>396</v>
      </c>
      <c r="B324" s="142">
        <f t="shared" ref="B324:D324" si="230">B320-B328</f>
        <v>-103.912</v>
      </c>
      <c r="C324" s="142">
        <f t="shared" si="230"/>
        <v>34.498</v>
      </c>
      <c r="D324" s="142">
        <f t="shared" si="230"/>
        <v>28</v>
      </c>
      <c r="E324" s="200">
        <f>D326</f>
        <v>11</v>
      </c>
      <c r="F324" s="200">
        <v>0.0</v>
      </c>
      <c r="G324" s="200">
        <v>0.0</v>
      </c>
      <c r="H324" s="200">
        <v>0.0</v>
      </c>
      <c r="I324" s="200">
        <v>0.0</v>
      </c>
      <c r="J324" s="200">
        <v>0.0</v>
      </c>
    </row>
    <row r="325" hidden="1" outlineLevel="1">
      <c r="A325" s="138" t="s">
        <v>305</v>
      </c>
      <c r="B325" s="142">
        <f t="shared" ref="B325:C325" si="231">C321</f>
        <v>236.844</v>
      </c>
      <c r="C325" s="142">
        <f t="shared" si="231"/>
        <v>203</v>
      </c>
      <c r="D325" s="142">
        <f t="shared" ref="D325:J325" si="232">D326+D327</f>
        <v>175</v>
      </c>
      <c r="E325" s="142">
        <f t="shared" si="232"/>
        <v>164.2153846</v>
      </c>
      <c r="F325" s="142">
        <f t="shared" si="232"/>
        <v>164.424142</v>
      </c>
      <c r="G325" s="142">
        <f t="shared" si="232"/>
        <v>164.6328994</v>
      </c>
      <c r="H325" s="142">
        <f t="shared" si="232"/>
        <v>164.8416568</v>
      </c>
      <c r="I325" s="142">
        <f t="shared" si="232"/>
        <v>165.0504142</v>
      </c>
      <c r="J325" s="142">
        <f t="shared" si="232"/>
        <v>165.2591716</v>
      </c>
    </row>
    <row r="326" hidden="1" outlineLevel="1">
      <c r="A326" s="139" t="s">
        <v>301</v>
      </c>
      <c r="B326" s="142">
        <f t="shared" ref="B326:C326" si="233">C322</f>
        <v>8.006</v>
      </c>
      <c r="C326" s="142">
        <f t="shared" si="233"/>
        <v>10</v>
      </c>
      <c r="D326" s="35">
        <v>11.0</v>
      </c>
      <c r="E326" s="142">
        <f t="shared" ref="E326:J326" si="234">if(F324&gt;=0,0,F324)</f>
        <v>0</v>
      </c>
      <c r="F326" s="142">
        <f t="shared" si="234"/>
        <v>0</v>
      </c>
      <c r="G326" s="142">
        <f t="shared" si="234"/>
        <v>0</v>
      </c>
      <c r="H326" s="142">
        <f t="shared" si="234"/>
        <v>0</v>
      </c>
      <c r="I326" s="142">
        <f t="shared" si="234"/>
        <v>0</v>
      </c>
      <c r="J326" s="142">
        <f t="shared" si="234"/>
        <v>0</v>
      </c>
    </row>
    <row r="327" hidden="1" outlineLevel="1">
      <c r="A327" s="139" t="s">
        <v>302</v>
      </c>
      <c r="B327" s="142">
        <f t="shared" ref="B327:C327" si="235">C323</f>
        <v>228.838</v>
      </c>
      <c r="C327" s="142">
        <f t="shared" si="235"/>
        <v>193</v>
      </c>
      <c r="D327" s="35">
        <v>164.0</v>
      </c>
      <c r="E327" s="142">
        <f t="shared" ref="E327:J327" si="236">IF(E324&lt;0,E323-E324,E323-E326)</f>
        <v>164.2153846</v>
      </c>
      <c r="F327" s="142">
        <f t="shared" si="236"/>
        <v>164.424142</v>
      </c>
      <c r="G327" s="142">
        <f t="shared" si="236"/>
        <v>164.6328994</v>
      </c>
      <c r="H327" s="142">
        <f t="shared" si="236"/>
        <v>164.8416568</v>
      </c>
      <c r="I327" s="142">
        <f t="shared" si="236"/>
        <v>165.0504142</v>
      </c>
      <c r="J327" s="142">
        <f t="shared" si="236"/>
        <v>165.2591716</v>
      </c>
    </row>
    <row r="328" hidden="1" outlineLevel="1">
      <c r="A328" s="138" t="s">
        <v>411</v>
      </c>
      <c r="B328" s="142">
        <f t="shared" ref="B328:C328" si="237">C320</f>
        <v>244.498</v>
      </c>
      <c r="C328" s="142">
        <f t="shared" si="237"/>
        <v>210</v>
      </c>
      <c r="D328" s="35">
        <v>182.0</v>
      </c>
      <c r="E328" s="142">
        <f t="shared" ref="E328:J328" si="238">E320-E324</f>
        <v>171</v>
      </c>
      <c r="F328" s="142">
        <f t="shared" si="238"/>
        <v>171</v>
      </c>
      <c r="G328" s="142">
        <f t="shared" si="238"/>
        <v>171</v>
      </c>
      <c r="H328" s="142">
        <f t="shared" si="238"/>
        <v>171</v>
      </c>
      <c r="I328" s="142">
        <f t="shared" si="238"/>
        <v>171</v>
      </c>
      <c r="J328" s="142">
        <f t="shared" si="238"/>
        <v>171</v>
      </c>
    </row>
    <row r="329" hidden="1" outlineLevel="1">
      <c r="A329" s="138"/>
      <c r="E329" s="142"/>
      <c r="F329" s="142"/>
      <c r="G329" s="142"/>
      <c r="H329" s="142"/>
      <c r="I329" s="142"/>
      <c r="J329" s="142"/>
    </row>
    <row r="330" hidden="1" outlineLevel="1">
      <c r="A330" s="138" t="s">
        <v>416</v>
      </c>
      <c r="B330" s="142">
        <f t="shared" ref="B330:D330" si="239">B328-B325</f>
        <v>7.654</v>
      </c>
      <c r="C330" s="142">
        <f t="shared" si="239"/>
        <v>7</v>
      </c>
      <c r="D330" s="142">
        <f t="shared" si="239"/>
        <v>7</v>
      </c>
      <c r="E330" s="142">
        <f t="shared" ref="E330:J330" si="240">D330-D333</f>
        <v>6.784615385</v>
      </c>
      <c r="F330" s="142">
        <f t="shared" si="240"/>
        <v>6.575857988</v>
      </c>
      <c r="G330" s="142">
        <f t="shared" si="240"/>
        <v>6.367100592</v>
      </c>
      <c r="H330" s="142">
        <f t="shared" si="240"/>
        <v>6.158343195</v>
      </c>
      <c r="I330" s="142">
        <f t="shared" si="240"/>
        <v>5.949585799</v>
      </c>
      <c r="J330" s="142">
        <f t="shared" si="240"/>
        <v>5.740828402</v>
      </c>
    </row>
    <row r="331" hidden="1" outlineLevel="1">
      <c r="A331" s="138" t="s">
        <v>307</v>
      </c>
      <c r="B331" s="142">
        <f t="shared" ref="B331:J331" si="241">($A318*average(B328,B320))</f>
        <v>6.450157</v>
      </c>
      <c r="C331" s="142">
        <f t="shared" si="241"/>
        <v>7.6128415</v>
      </c>
      <c r="D331" s="142">
        <f t="shared" si="241"/>
        <v>6.566</v>
      </c>
      <c r="E331" s="142">
        <f t="shared" si="241"/>
        <v>5.91275</v>
      </c>
      <c r="F331" s="142">
        <f t="shared" si="241"/>
        <v>5.7285</v>
      </c>
      <c r="G331" s="142">
        <f t="shared" si="241"/>
        <v>5.7285</v>
      </c>
      <c r="H331" s="142">
        <f t="shared" si="241"/>
        <v>5.7285</v>
      </c>
      <c r="I331" s="142">
        <f t="shared" si="241"/>
        <v>5.7285</v>
      </c>
      <c r="J331" s="142">
        <f t="shared" si="241"/>
        <v>5.7285</v>
      </c>
    </row>
    <row r="332" hidden="1" outlineLevel="1">
      <c r="A332" s="138" t="s">
        <v>308</v>
      </c>
      <c r="B332" s="142"/>
      <c r="C332" s="142"/>
      <c r="D332" s="142"/>
      <c r="E332" s="142"/>
      <c r="F332" s="142"/>
      <c r="G332" s="142"/>
      <c r="H332" s="142"/>
      <c r="I332" s="142"/>
      <c r="J332" s="142"/>
    </row>
    <row r="333" hidden="1" outlineLevel="1">
      <c r="A333" s="138" t="s">
        <v>309</v>
      </c>
      <c r="B333" s="142">
        <f t="shared" ref="B333:E333" si="242">B330/$A319</f>
        <v>0.2355076923</v>
      </c>
      <c r="C333" s="142">
        <f t="shared" si="242"/>
        <v>0.2153846154</v>
      </c>
      <c r="D333" s="142">
        <f t="shared" si="242"/>
        <v>0.2153846154</v>
      </c>
      <c r="E333" s="142">
        <f t="shared" si="242"/>
        <v>0.2087573964</v>
      </c>
      <c r="F333" s="142">
        <f>(F330+sum(E333))/$A319</f>
        <v>0.2087573964</v>
      </c>
      <c r="G333" s="142">
        <f>(G330+SUM(E333:F333))/$A319</f>
        <v>0.2087573964</v>
      </c>
      <c r="H333" s="142">
        <f>(H330+SUM(E333:G333))/$A319</f>
        <v>0.2087573964</v>
      </c>
      <c r="I333" s="142">
        <f>(I330+SUM(E333:H333))/$A319</f>
        <v>0.2087573964</v>
      </c>
      <c r="J333" s="142">
        <f>(J330+SUM(E333:I333))/$A319</f>
        <v>0.2087573964</v>
      </c>
    </row>
    <row r="334" hidden="1" outlineLevel="1">
      <c r="A334" s="142" t="s">
        <v>311</v>
      </c>
      <c r="B334" s="142">
        <f t="shared" ref="B334:J334" si="243">B331+B333+B332</f>
        <v>6.685664692</v>
      </c>
      <c r="C334" s="142">
        <f t="shared" si="243"/>
        <v>7.828226115</v>
      </c>
      <c r="D334" s="142">
        <f t="shared" si="243"/>
        <v>6.781384615</v>
      </c>
      <c r="E334" s="142">
        <f t="shared" si="243"/>
        <v>6.121507396</v>
      </c>
      <c r="F334" s="142">
        <f t="shared" si="243"/>
        <v>5.937257396</v>
      </c>
      <c r="G334" s="142">
        <f t="shared" si="243"/>
        <v>5.937257396</v>
      </c>
      <c r="H334" s="142">
        <f t="shared" si="243"/>
        <v>5.937257396</v>
      </c>
      <c r="I334" s="142">
        <f t="shared" si="243"/>
        <v>5.937257396</v>
      </c>
      <c r="J334" s="142">
        <f t="shared" si="243"/>
        <v>5.937257396</v>
      </c>
    </row>
    <row r="335" hidden="1" outlineLevel="1"/>
    <row r="336" hidden="1" outlineLevel="1">
      <c r="A336" s="142" t="s">
        <v>445</v>
      </c>
    </row>
    <row r="337" hidden="1" outlineLevel="1">
      <c r="A337" s="235">
        <v>0.054</v>
      </c>
    </row>
    <row r="338" hidden="1" outlineLevel="1">
      <c r="A338" s="189" t="s">
        <v>432</v>
      </c>
    </row>
    <row r="339" hidden="1" outlineLevel="1">
      <c r="A339" s="138" t="s">
        <v>384</v>
      </c>
      <c r="B339" s="35">
        <v>183.388</v>
      </c>
      <c r="C339" s="35">
        <v>176.29</v>
      </c>
      <c r="D339" s="35">
        <v>350.0</v>
      </c>
      <c r="E339" s="142">
        <f t="shared" ref="E339:J339" si="244">D347</f>
        <v>161</v>
      </c>
      <c r="F339" s="142">
        <f t="shared" si="244"/>
        <v>153</v>
      </c>
      <c r="G339" s="142">
        <f t="shared" si="244"/>
        <v>153</v>
      </c>
      <c r="H339" s="142">
        <f t="shared" si="244"/>
        <v>153</v>
      </c>
      <c r="I339" s="142">
        <f t="shared" si="244"/>
        <v>153</v>
      </c>
      <c r="J339" s="142">
        <f t="shared" si="244"/>
        <v>153</v>
      </c>
    </row>
    <row r="340" hidden="1" outlineLevel="1">
      <c r="A340" s="138" t="s">
        <v>300</v>
      </c>
      <c r="B340" s="142">
        <f t="shared" ref="B340:J340" si="245">B341+B342</f>
        <v>182.55</v>
      </c>
      <c r="C340" s="142">
        <f t="shared" si="245"/>
        <v>175.237</v>
      </c>
      <c r="D340" s="142">
        <f t="shared" si="245"/>
        <v>350</v>
      </c>
      <c r="E340" s="142">
        <f t="shared" si="245"/>
        <v>160.2</v>
      </c>
      <c r="F340" s="142">
        <f t="shared" si="245"/>
        <v>152.36</v>
      </c>
      <c r="G340" s="142">
        <f t="shared" si="245"/>
        <v>152.52</v>
      </c>
      <c r="H340" s="142">
        <f t="shared" si="245"/>
        <v>152.68</v>
      </c>
      <c r="I340" s="142">
        <f t="shared" si="245"/>
        <v>152.84</v>
      </c>
      <c r="J340" s="142">
        <f t="shared" si="245"/>
        <v>153</v>
      </c>
    </row>
    <row r="341" hidden="1" outlineLevel="1">
      <c r="A341" s="139" t="s">
        <v>301</v>
      </c>
      <c r="B341" s="35">
        <v>5.86</v>
      </c>
      <c r="C341" s="35">
        <v>5.885</v>
      </c>
      <c r="D341" s="35">
        <v>188.0</v>
      </c>
      <c r="E341" s="142">
        <f t="shared" ref="E341:J341" si="246">D345</f>
        <v>8</v>
      </c>
      <c r="F341" s="142">
        <f t="shared" si="246"/>
        <v>0</v>
      </c>
      <c r="G341" s="142">
        <f t="shared" si="246"/>
        <v>0</v>
      </c>
      <c r="H341" s="142">
        <f t="shared" si="246"/>
        <v>0</v>
      </c>
      <c r="I341" s="142">
        <f t="shared" si="246"/>
        <v>0</v>
      </c>
      <c r="J341" s="142">
        <f t="shared" si="246"/>
        <v>0</v>
      </c>
    </row>
    <row r="342" hidden="1" outlineLevel="1">
      <c r="A342" s="139" t="s">
        <v>302</v>
      </c>
      <c r="B342" s="35">
        <v>176.69</v>
      </c>
      <c r="C342" s="35">
        <v>169.352</v>
      </c>
      <c r="D342" s="35">
        <v>162.0</v>
      </c>
      <c r="E342" s="142">
        <f t="shared" ref="E342:J342" si="247">D346+D352</f>
        <v>152.2</v>
      </c>
      <c r="F342" s="142">
        <f t="shared" si="247"/>
        <v>152.36</v>
      </c>
      <c r="G342" s="142">
        <f t="shared" si="247"/>
        <v>152.52</v>
      </c>
      <c r="H342" s="142">
        <f t="shared" si="247"/>
        <v>152.68</v>
      </c>
      <c r="I342" s="142">
        <f t="shared" si="247"/>
        <v>152.84</v>
      </c>
      <c r="J342" s="142">
        <f t="shared" si="247"/>
        <v>153</v>
      </c>
    </row>
    <row r="343" hidden="1" outlineLevel="1">
      <c r="A343" s="138" t="s">
        <v>396</v>
      </c>
      <c r="B343" s="142">
        <f t="shared" ref="B343:D343" si="248">B339-B347</f>
        <v>7.098</v>
      </c>
      <c r="C343" s="142">
        <f t="shared" si="248"/>
        <v>-173.71</v>
      </c>
      <c r="D343" s="142">
        <f t="shared" si="248"/>
        <v>189</v>
      </c>
      <c r="E343" s="200">
        <f>D345</f>
        <v>8</v>
      </c>
      <c r="F343" s="200">
        <v>0.0</v>
      </c>
      <c r="G343" s="200">
        <v>0.0</v>
      </c>
      <c r="H343" s="200">
        <v>0.0</v>
      </c>
      <c r="I343" s="200">
        <v>0.0</v>
      </c>
      <c r="J343" s="200">
        <v>0.0</v>
      </c>
    </row>
    <row r="344" hidden="1" outlineLevel="1">
      <c r="A344" s="138" t="s">
        <v>305</v>
      </c>
      <c r="B344" s="142">
        <f t="shared" ref="B344:C344" si="249">C340</f>
        <v>175.237</v>
      </c>
      <c r="C344" s="142">
        <f t="shared" si="249"/>
        <v>350</v>
      </c>
      <c r="D344" s="142">
        <f t="shared" ref="D344:J344" si="250">D345+D346</f>
        <v>160</v>
      </c>
      <c r="E344" s="142">
        <f t="shared" si="250"/>
        <v>152.2</v>
      </c>
      <c r="F344" s="142">
        <f t="shared" si="250"/>
        <v>152.36</v>
      </c>
      <c r="G344" s="142">
        <f t="shared" si="250"/>
        <v>152.52</v>
      </c>
      <c r="H344" s="142">
        <f t="shared" si="250"/>
        <v>152.68</v>
      </c>
      <c r="I344" s="142">
        <f t="shared" si="250"/>
        <v>152.84</v>
      </c>
      <c r="J344" s="142">
        <f t="shared" si="250"/>
        <v>153</v>
      </c>
    </row>
    <row r="345" hidden="1" outlineLevel="1">
      <c r="A345" s="139" t="s">
        <v>301</v>
      </c>
      <c r="B345" s="142">
        <f t="shared" ref="B345:C345" si="251">C341</f>
        <v>5.885</v>
      </c>
      <c r="C345" s="142">
        <f t="shared" si="251"/>
        <v>188</v>
      </c>
      <c r="D345" s="35">
        <v>8.0</v>
      </c>
      <c r="E345" s="142">
        <f t="shared" ref="E345:J345" si="252">if(F343&gt;=0,0,F343)</f>
        <v>0</v>
      </c>
      <c r="F345" s="142">
        <f t="shared" si="252"/>
        <v>0</v>
      </c>
      <c r="G345" s="142">
        <f t="shared" si="252"/>
        <v>0</v>
      </c>
      <c r="H345" s="142">
        <f t="shared" si="252"/>
        <v>0</v>
      </c>
      <c r="I345" s="142">
        <f t="shared" si="252"/>
        <v>0</v>
      </c>
      <c r="J345" s="142">
        <f t="shared" si="252"/>
        <v>0</v>
      </c>
    </row>
    <row r="346" hidden="1" outlineLevel="1">
      <c r="A346" s="139" t="s">
        <v>302</v>
      </c>
      <c r="B346" s="142">
        <f t="shared" ref="B346:C346" si="253">C342</f>
        <v>169.352</v>
      </c>
      <c r="C346" s="142">
        <f t="shared" si="253"/>
        <v>162</v>
      </c>
      <c r="D346" s="35">
        <v>152.0</v>
      </c>
      <c r="E346" s="142">
        <f t="shared" ref="E346:J346" si="254">IF(E343&lt;0,E342-E343,E342-E345)</f>
        <v>152.2</v>
      </c>
      <c r="F346" s="142">
        <f t="shared" si="254"/>
        <v>152.36</v>
      </c>
      <c r="G346" s="142">
        <f t="shared" si="254"/>
        <v>152.52</v>
      </c>
      <c r="H346" s="142">
        <f t="shared" si="254"/>
        <v>152.68</v>
      </c>
      <c r="I346" s="142">
        <f t="shared" si="254"/>
        <v>152.84</v>
      </c>
      <c r="J346" s="142">
        <f t="shared" si="254"/>
        <v>153</v>
      </c>
    </row>
    <row r="347" hidden="1" outlineLevel="1">
      <c r="A347" s="138" t="s">
        <v>411</v>
      </c>
      <c r="B347" s="142">
        <f t="shared" ref="B347:C347" si="255">C339</f>
        <v>176.29</v>
      </c>
      <c r="C347" s="142">
        <f t="shared" si="255"/>
        <v>350</v>
      </c>
      <c r="D347" s="35">
        <v>161.0</v>
      </c>
      <c r="E347" s="142">
        <f t="shared" ref="E347:J347" si="256">E339-E343</f>
        <v>153</v>
      </c>
      <c r="F347" s="142">
        <f t="shared" si="256"/>
        <v>153</v>
      </c>
      <c r="G347" s="142">
        <f t="shared" si="256"/>
        <v>153</v>
      </c>
      <c r="H347" s="142">
        <f t="shared" si="256"/>
        <v>153</v>
      </c>
      <c r="I347" s="142">
        <f t="shared" si="256"/>
        <v>153</v>
      </c>
      <c r="J347" s="142">
        <f t="shared" si="256"/>
        <v>153</v>
      </c>
    </row>
    <row r="348" hidden="1" outlineLevel="1">
      <c r="A348" s="138"/>
      <c r="E348" s="142"/>
      <c r="F348" s="142"/>
      <c r="G348" s="142"/>
      <c r="H348" s="142"/>
      <c r="I348" s="142"/>
      <c r="J348" s="142"/>
    </row>
    <row r="349" hidden="1" outlineLevel="1">
      <c r="A349" s="138" t="s">
        <v>416</v>
      </c>
      <c r="B349" s="142">
        <f t="shared" ref="B349:D349" si="257">B347-B344</f>
        <v>1.053</v>
      </c>
      <c r="C349" s="142">
        <f t="shared" si="257"/>
        <v>0</v>
      </c>
      <c r="D349" s="142">
        <f t="shared" si="257"/>
        <v>1</v>
      </c>
      <c r="E349" s="142">
        <f t="shared" ref="E349:J349" si="258">D349-D352</f>
        <v>0.8</v>
      </c>
      <c r="F349" s="142">
        <f t="shared" si="258"/>
        <v>0.64</v>
      </c>
      <c r="G349" s="142">
        <f t="shared" si="258"/>
        <v>0.48</v>
      </c>
      <c r="H349" s="142">
        <f t="shared" si="258"/>
        <v>0.32</v>
      </c>
      <c r="I349" s="142">
        <f t="shared" si="258"/>
        <v>0.16</v>
      </c>
      <c r="J349" s="142">
        <f t="shared" si="258"/>
        <v>0</v>
      </c>
    </row>
    <row r="350" hidden="1" outlineLevel="1">
      <c r="A350" s="138" t="s">
        <v>307</v>
      </c>
      <c r="B350" s="142">
        <f t="shared" ref="B350:J350" si="259">($A337*average(B347,B339))</f>
        <v>9.711306</v>
      </c>
      <c r="C350" s="142">
        <f t="shared" si="259"/>
        <v>14.20983</v>
      </c>
      <c r="D350" s="142">
        <f t="shared" si="259"/>
        <v>13.797</v>
      </c>
      <c r="E350" s="142">
        <f t="shared" si="259"/>
        <v>8.478</v>
      </c>
      <c r="F350" s="142">
        <f t="shared" si="259"/>
        <v>8.262</v>
      </c>
      <c r="G350" s="142">
        <f t="shared" si="259"/>
        <v>8.262</v>
      </c>
      <c r="H350" s="142">
        <f t="shared" si="259"/>
        <v>8.262</v>
      </c>
      <c r="I350" s="142">
        <f t="shared" si="259"/>
        <v>8.262</v>
      </c>
      <c r="J350" s="142">
        <f t="shared" si="259"/>
        <v>8.262</v>
      </c>
    </row>
    <row r="351" hidden="1" outlineLevel="1">
      <c r="A351" s="138" t="s">
        <v>308</v>
      </c>
      <c r="B351" s="142"/>
      <c r="C351" s="142"/>
      <c r="D351" s="142"/>
      <c r="E351" s="142"/>
      <c r="F351" s="142"/>
      <c r="G351" s="142"/>
      <c r="H351" s="142"/>
      <c r="I351" s="142"/>
      <c r="J351" s="142"/>
    </row>
    <row r="352" hidden="1" outlineLevel="1">
      <c r="A352" s="138" t="s">
        <v>309</v>
      </c>
      <c r="B352" s="142">
        <f t="shared" ref="B352:E352" si="260">B349/$A338</f>
        <v>0.2106</v>
      </c>
      <c r="C352" s="142">
        <f t="shared" si="260"/>
        <v>0</v>
      </c>
      <c r="D352" s="142">
        <f t="shared" si="260"/>
        <v>0.2</v>
      </c>
      <c r="E352" s="142">
        <f t="shared" si="260"/>
        <v>0.16</v>
      </c>
      <c r="F352" s="142">
        <f>(F349+sum(E352))/$A338</f>
        <v>0.16</v>
      </c>
      <c r="G352" s="142">
        <f>(G349+SUM(E352:F352))/$A338</f>
        <v>0.16</v>
      </c>
      <c r="H352" s="142">
        <f>(H349+SUM(E352:G352))/$A338</f>
        <v>0.16</v>
      </c>
      <c r="I352" s="142">
        <f>(I349+SUM(E352:H352))/$A338</f>
        <v>0.16</v>
      </c>
      <c r="J352" s="142">
        <f>(J349+SUM(E352:I352))/$A338</f>
        <v>0.16</v>
      </c>
    </row>
    <row r="353" hidden="1" outlineLevel="1">
      <c r="A353" s="142" t="s">
        <v>311</v>
      </c>
      <c r="B353" s="142">
        <f t="shared" ref="B353:J353" si="261">B350+B352+B351</f>
        <v>9.921906</v>
      </c>
      <c r="C353" s="142">
        <f t="shared" si="261"/>
        <v>14.20983</v>
      </c>
      <c r="D353" s="142">
        <f t="shared" si="261"/>
        <v>13.997</v>
      </c>
      <c r="E353" s="142">
        <f t="shared" si="261"/>
        <v>8.638</v>
      </c>
      <c r="F353" s="142">
        <f t="shared" si="261"/>
        <v>8.422</v>
      </c>
      <c r="G353" s="142">
        <f t="shared" si="261"/>
        <v>8.422</v>
      </c>
      <c r="H353" s="142">
        <f t="shared" si="261"/>
        <v>8.422</v>
      </c>
      <c r="I353" s="142">
        <f t="shared" si="261"/>
        <v>8.422</v>
      </c>
      <c r="J353" s="142">
        <f t="shared" si="261"/>
        <v>8.422</v>
      </c>
    </row>
    <row r="354" hidden="1" outlineLevel="1"/>
    <row r="355" hidden="1" outlineLevel="1">
      <c r="A355" s="142" t="s">
        <v>446</v>
      </c>
    </row>
    <row r="356" hidden="1" outlineLevel="1">
      <c r="A356" s="235">
        <f>AVERAGE(0.042,0.059)</f>
        <v>0.0505</v>
      </c>
    </row>
    <row r="357" hidden="1" outlineLevel="1">
      <c r="A357" s="189" t="s">
        <v>447</v>
      </c>
    </row>
    <row r="358" hidden="1" outlineLevel="1">
      <c r="A358" s="138" t="s">
        <v>384</v>
      </c>
      <c r="B358" s="35">
        <v>67.342</v>
      </c>
      <c r="C358" s="35">
        <v>86.78</v>
      </c>
      <c r="D358" s="35">
        <v>73.0</v>
      </c>
      <c r="E358" s="142">
        <f t="shared" ref="E358:J358" si="262">D366</f>
        <v>40</v>
      </c>
      <c r="F358" s="142">
        <f t="shared" si="262"/>
        <v>16</v>
      </c>
      <c r="G358" s="142">
        <f t="shared" si="262"/>
        <v>16</v>
      </c>
      <c r="H358" s="142">
        <f t="shared" si="262"/>
        <v>16</v>
      </c>
      <c r="I358" s="142">
        <f t="shared" si="262"/>
        <v>16</v>
      </c>
      <c r="J358" s="142">
        <f t="shared" si="262"/>
        <v>16</v>
      </c>
    </row>
    <row r="359" hidden="1" outlineLevel="1">
      <c r="A359" s="138" t="s">
        <v>300</v>
      </c>
      <c r="C359" s="142">
        <f t="shared" ref="C359:J359" si="263">C360+C361</f>
        <v>86.709</v>
      </c>
      <c r="D359" s="142">
        <f t="shared" si="263"/>
        <v>73</v>
      </c>
      <c r="E359" s="142">
        <f t="shared" si="263"/>
        <v>40</v>
      </c>
      <c r="F359" s="142">
        <f t="shared" si="263"/>
        <v>16</v>
      </c>
      <c r="G359" s="142">
        <f t="shared" si="263"/>
        <v>16</v>
      </c>
      <c r="H359" s="142">
        <f t="shared" si="263"/>
        <v>16</v>
      </c>
      <c r="I359" s="142">
        <f t="shared" si="263"/>
        <v>16</v>
      </c>
      <c r="J359" s="142">
        <f t="shared" si="263"/>
        <v>16</v>
      </c>
    </row>
    <row r="360" hidden="1" outlineLevel="1">
      <c r="A360" s="139" t="s">
        <v>301</v>
      </c>
      <c r="B360" s="35">
        <v>18.489</v>
      </c>
      <c r="C360" s="35">
        <v>31.106</v>
      </c>
      <c r="D360" s="35">
        <v>32.0</v>
      </c>
      <c r="E360" s="142">
        <f t="shared" ref="E360:J360" si="264">D364</f>
        <v>24</v>
      </c>
      <c r="F360" s="142">
        <f t="shared" si="264"/>
        <v>0</v>
      </c>
      <c r="G360" s="142">
        <f t="shared" si="264"/>
        <v>0</v>
      </c>
      <c r="H360" s="142">
        <f t="shared" si="264"/>
        <v>0</v>
      </c>
      <c r="I360" s="142">
        <f t="shared" si="264"/>
        <v>0</v>
      </c>
      <c r="J360" s="142">
        <f t="shared" si="264"/>
        <v>0</v>
      </c>
    </row>
    <row r="361" hidden="1" outlineLevel="1">
      <c r="A361" s="139" t="s">
        <v>302</v>
      </c>
      <c r="B361" s="35">
        <v>48.853</v>
      </c>
      <c r="C361" s="35">
        <v>55.603</v>
      </c>
      <c r="D361" s="35">
        <v>41.0</v>
      </c>
      <c r="E361" s="142">
        <f t="shared" ref="E361:J361" si="265">D365+D371</f>
        <v>16</v>
      </c>
      <c r="F361" s="142">
        <f t="shared" si="265"/>
        <v>16</v>
      </c>
      <c r="G361" s="142">
        <f t="shared" si="265"/>
        <v>16</v>
      </c>
      <c r="H361" s="142">
        <f t="shared" si="265"/>
        <v>16</v>
      </c>
      <c r="I361" s="142">
        <f t="shared" si="265"/>
        <v>16</v>
      </c>
      <c r="J361" s="142">
        <f t="shared" si="265"/>
        <v>16</v>
      </c>
    </row>
    <row r="362" hidden="1" outlineLevel="1">
      <c r="A362" s="138" t="s">
        <v>396</v>
      </c>
      <c r="B362" s="142">
        <f t="shared" ref="B362:D362" si="266">B358-B366</f>
        <v>-19.438</v>
      </c>
      <c r="C362" s="142">
        <f t="shared" si="266"/>
        <v>13.78</v>
      </c>
      <c r="D362" s="142">
        <f t="shared" si="266"/>
        <v>33</v>
      </c>
      <c r="E362" s="200">
        <f>D364</f>
        <v>24</v>
      </c>
      <c r="F362" s="200">
        <v>0.0</v>
      </c>
      <c r="G362" s="200">
        <v>0.0</v>
      </c>
      <c r="H362" s="200">
        <v>0.0</v>
      </c>
      <c r="I362" s="200">
        <v>0.0</v>
      </c>
      <c r="J362" s="200">
        <v>0.0</v>
      </c>
    </row>
    <row r="363" hidden="1" outlineLevel="1">
      <c r="A363" s="138" t="s">
        <v>305</v>
      </c>
      <c r="B363" s="142">
        <f t="shared" ref="B363:C363" si="267">C359</f>
        <v>86.709</v>
      </c>
      <c r="C363" s="142">
        <f t="shared" si="267"/>
        <v>73</v>
      </c>
      <c r="D363" s="142">
        <f t="shared" ref="D363:J363" si="268">D364+D365</f>
        <v>40</v>
      </c>
      <c r="E363" s="142">
        <f t="shared" si="268"/>
        <v>16</v>
      </c>
      <c r="F363" s="142">
        <f t="shared" si="268"/>
        <v>16</v>
      </c>
      <c r="G363" s="142">
        <f t="shared" si="268"/>
        <v>16</v>
      </c>
      <c r="H363" s="142">
        <f t="shared" si="268"/>
        <v>16</v>
      </c>
      <c r="I363" s="142">
        <f t="shared" si="268"/>
        <v>16</v>
      </c>
      <c r="J363" s="142">
        <f t="shared" si="268"/>
        <v>16</v>
      </c>
    </row>
    <row r="364" hidden="1" outlineLevel="1">
      <c r="A364" s="139" t="s">
        <v>301</v>
      </c>
      <c r="B364" s="142">
        <f t="shared" ref="B364:C364" si="269">C360</f>
        <v>31.106</v>
      </c>
      <c r="C364" s="142">
        <f t="shared" si="269"/>
        <v>32</v>
      </c>
      <c r="D364" s="35">
        <v>24.0</v>
      </c>
      <c r="E364" s="142">
        <f t="shared" ref="E364:J364" si="270">if(F362&gt;=0,0,F362)</f>
        <v>0</v>
      </c>
      <c r="F364" s="142">
        <f t="shared" si="270"/>
        <v>0</v>
      </c>
      <c r="G364" s="142">
        <f t="shared" si="270"/>
        <v>0</v>
      </c>
      <c r="H364" s="142">
        <f t="shared" si="270"/>
        <v>0</v>
      </c>
      <c r="I364" s="142">
        <f t="shared" si="270"/>
        <v>0</v>
      </c>
      <c r="J364" s="142">
        <f t="shared" si="270"/>
        <v>0</v>
      </c>
    </row>
    <row r="365" hidden="1" outlineLevel="1">
      <c r="A365" s="139" t="s">
        <v>302</v>
      </c>
      <c r="B365" s="142">
        <f t="shared" ref="B365:C365" si="271">C361</f>
        <v>55.603</v>
      </c>
      <c r="C365" s="142">
        <f t="shared" si="271"/>
        <v>41</v>
      </c>
      <c r="D365" s="35">
        <v>16.0</v>
      </c>
      <c r="E365" s="142">
        <f t="shared" ref="E365:J365" si="272">IF(E362&lt;0,E361-E362,E361-E364)</f>
        <v>16</v>
      </c>
      <c r="F365" s="142">
        <f t="shared" si="272"/>
        <v>16</v>
      </c>
      <c r="G365" s="142">
        <f t="shared" si="272"/>
        <v>16</v>
      </c>
      <c r="H365" s="142">
        <f t="shared" si="272"/>
        <v>16</v>
      </c>
      <c r="I365" s="142">
        <f t="shared" si="272"/>
        <v>16</v>
      </c>
      <c r="J365" s="142">
        <f t="shared" si="272"/>
        <v>16</v>
      </c>
    </row>
    <row r="366" hidden="1" outlineLevel="1">
      <c r="A366" s="138" t="s">
        <v>411</v>
      </c>
      <c r="B366" s="142">
        <f t="shared" ref="B366:C366" si="273">C358</f>
        <v>86.78</v>
      </c>
      <c r="C366" s="142">
        <f t="shared" si="273"/>
        <v>73</v>
      </c>
      <c r="D366" s="35">
        <v>40.0</v>
      </c>
      <c r="E366" s="142">
        <f t="shared" ref="E366:J366" si="274">E358-E362</f>
        <v>16</v>
      </c>
      <c r="F366" s="142">
        <f t="shared" si="274"/>
        <v>16</v>
      </c>
      <c r="G366" s="142">
        <f t="shared" si="274"/>
        <v>16</v>
      </c>
      <c r="H366" s="142">
        <f t="shared" si="274"/>
        <v>16</v>
      </c>
      <c r="I366" s="142">
        <f t="shared" si="274"/>
        <v>16</v>
      </c>
      <c r="J366" s="142">
        <f t="shared" si="274"/>
        <v>16</v>
      </c>
    </row>
    <row r="367" hidden="1" outlineLevel="1">
      <c r="A367" s="138"/>
    </row>
    <row r="368" hidden="1" outlineLevel="1">
      <c r="A368" s="138" t="s">
        <v>416</v>
      </c>
      <c r="B368" s="142">
        <f t="shared" ref="B368:D368" si="275">B366-B363</f>
        <v>0.071</v>
      </c>
      <c r="C368" s="142">
        <f t="shared" si="275"/>
        <v>0</v>
      </c>
      <c r="D368" s="142">
        <f t="shared" si="275"/>
        <v>0</v>
      </c>
      <c r="E368" s="142">
        <f t="shared" ref="E368:J368" si="276">D368-D371</f>
        <v>0</v>
      </c>
      <c r="F368" s="142">
        <f t="shared" si="276"/>
        <v>0</v>
      </c>
      <c r="G368" s="142">
        <f t="shared" si="276"/>
        <v>0</v>
      </c>
      <c r="H368" s="142">
        <f t="shared" si="276"/>
        <v>0</v>
      </c>
      <c r="I368" s="142">
        <f t="shared" si="276"/>
        <v>0</v>
      </c>
      <c r="J368" s="142">
        <f t="shared" si="276"/>
        <v>0</v>
      </c>
    </row>
    <row r="369" hidden="1" outlineLevel="1">
      <c r="A369" s="138" t="s">
        <v>307</v>
      </c>
      <c r="B369" s="142">
        <f t="shared" ref="B369:J369" si="277">($A356*average(B366,B358))</f>
        <v>3.8915805</v>
      </c>
      <c r="C369" s="142">
        <f t="shared" si="277"/>
        <v>4.034445</v>
      </c>
      <c r="D369" s="142">
        <f t="shared" si="277"/>
        <v>2.85325</v>
      </c>
      <c r="E369" s="142">
        <f t="shared" si="277"/>
        <v>1.414</v>
      </c>
      <c r="F369" s="142">
        <f t="shared" si="277"/>
        <v>0.808</v>
      </c>
      <c r="G369" s="142">
        <f t="shared" si="277"/>
        <v>0.808</v>
      </c>
      <c r="H369" s="142">
        <f t="shared" si="277"/>
        <v>0.808</v>
      </c>
      <c r="I369" s="142">
        <f t="shared" si="277"/>
        <v>0.808</v>
      </c>
      <c r="J369" s="142">
        <f t="shared" si="277"/>
        <v>0.808</v>
      </c>
    </row>
    <row r="370" hidden="1" outlineLevel="1">
      <c r="A370" s="138" t="s">
        <v>308</v>
      </c>
      <c r="B370" s="142"/>
      <c r="C370" s="142"/>
      <c r="D370" s="142"/>
      <c r="E370" s="142"/>
      <c r="F370" s="142"/>
      <c r="G370" s="142"/>
      <c r="H370" s="142"/>
      <c r="I370" s="142"/>
      <c r="J370" s="142"/>
    </row>
    <row r="371" hidden="1" outlineLevel="1">
      <c r="A371" s="138" t="s">
        <v>309</v>
      </c>
      <c r="B371" s="142">
        <f t="shared" ref="B371:E371" si="278">B368/$A357</f>
        <v>0.01183333333</v>
      </c>
      <c r="C371" s="142">
        <f t="shared" si="278"/>
        <v>0</v>
      </c>
      <c r="D371" s="142">
        <f t="shared" si="278"/>
        <v>0</v>
      </c>
      <c r="E371" s="142">
        <f t="shared" si="278"/>
        <v>0</v>
      </c>
      <c r="F371" s="142">
        <f>(F368+sum(E371))/$A357</f>
        <v>0</v>
      </c>
      <c r="G371" s="142">
        <f>(G368+SUM(E371:F371))/$A357</f>
        <v>0</v>
      </c>
      <c r="H371" s="142">
        <f>(H368+SUM(E371:G371))/$A357</f>
        <v>0</v>
      </c>
      <c r="I371" s="142">
        <f>(I368+SUM(E371:H371))/$A357</f>
        <v>0</v>
      </c>
      <c r="J371" s="142">
        <f>(J368+SUM(E371:I371))/$A357</f>
        <v>0</v>
      </c>
    </row>
    <row r="372" hidden="1" outlineLevel="1">
      <c r="A372" s="142" t="s">
        <v>311</v>
      </c>
      <c r="B372" s="142">
        <f t="shared" ref="B372:J372" si="279">B369+B371+B370</f>
        <v>3.903413833</v>
      </c>
      <c r="C372" s="142">
        <f t="shared" si="279"/>
        <v>4.034445</v>
      </c>
      <c r="D372" s="142">
        <f t="shared" si="279"/>
        <v>2.85325</v>
      </c>
      <c r="E372" s="142">
        <f t="shared" si="279"/>
        <v>1.414</v>
      </c>
      <c r="F372" s="142">
        <f t="shared" si="279"/>
        <v>0.808</v>
      </c>
      <c r="G372" s="142">
        <f t="shared" si="279"/>
        <v>0.808</v>
      </c>
      <c r="H372" s="142">
        <f t="shared" si="279"/>
        <v>0.808</v>
      </c>
      <c r="I372" s="142">
        <f t="shared" si="279"/>
        <v>0.808</v>
      </c>
      <c r="J372" s="142">
        <f t="shared" si="279"/>
        <v>0.808</v>
      </c>
    </row>
    <row r="373" hidden="1" outlineLevel="1"/>
    <row r="374" hidden="1" outlineLevel="1">
      <c r="A374" s="142" t="s">
        <v>448</v>
      </c>
    </row>
    <row r="375" hidden="1" outlineLevel="1">
      <c r="A375" s="235">
        <f>average(0.045,0.074)</f>
        <v>0.0595</v>
      </c>
    </row>
    <row r="376" hidden="1" outlineLevel="1">
      <c r="A376" s="189" t="s">
        <v>447</v>
      </c>
    </row>
    <row r="377" hidden="1" outlineLevel="1">
      <c r="A377" s="138" t="s">
        <v>384</v>
      </c>
      <c r="B377" s="35">
        <v>38.124</v>
      </c>
      <c r="C377" s="35">
        <v>38.575</v>
      </c>
      <c r="D377" s="35">
        <v>27.0</v>
      </c>
      <c r="E377" s="142">
        <f t="shared" ref="E377:J377" si="280">D385</f>
        <v>90</v>
      </c>
      <c r="F377" s="142">
        <f t="shared" si="280"/>
        <v>67</v>
      </c>
      <c r="G377" s="142">
        <f t="shared" si="280"/>
        <v>67</v>
      </c>
      <c r="H377" s="142">
        <f t="shared" si="280"/>
        <v>67</v>
      </c>
      <c r="I377" s="142">
        <f t="shared" si="280"/>
        <v>67</v>
      </c>
      <c r="J377" s="142">
        <f t="shared" si="280"/>
        <v>67</v>
      </c>
    </row>
    <row r="378" hidden="1" outlineLevel="1">
      <c r="A378" s="138" t="s">
        <v>300</v>
      </c>
      <c r="D378" s="142">
        <f t="shared" ref="D378:J378" si="281">D379+D380</f>
        <v>26</v>
      </c>
      <c r="E378" s="142">
        <f t="shared" si="281"/>
        <v>90</v>
      </c>
      <c r="F378" s="142">
        <f t="shared" si="281"/>
        <v>67</v>
      </c>
      <c r="G378" s="142">
        <f t="shared" si="281"/>
        <v>67</v>
      </c>
      <c r="H378" s="142">
        <f t="shared" si="281"/>
        <v>67</v>
      </c>
      <c r="I378" s="142">
        <f t="shared" si="281"/>
        <v>67</v>
      </c>
      <c r="J378" s="142">
        <f t="shared" si="281"/>
        <v>67</v>
      </c>
    </row>
    <row r="379" hidden="1" outlineLevel="1">
      <c r="A379" s="139" t="s">
        <v>301</v>
      </c>
      <c r="B379" s="35">
        <v>12.491</v>
      </c>
      <c r="C379" s="35">
        <v>15.858</v>
      </c>
      <c r="D379" s="35">
        <v>16.0</v>
      </c>
      <c r="E379" s="142">
        <f t="shared" ref="E379:J379" si="282">D383</f>
        <v>23</v>
      </c>
      <c r="F379" s="142">
        <f t="shared" si="282"/>
        <v>0</v>
      </c>
      <c r="G379" s="142">
        <f t="shared" si="282"/>
        <v>0</v>
      </c>
      <c r="H379" s="142">
        <f t="shared" si="282"/>
        <v>0</v>
      </c>
      <c r="I379" s="142">
        <f t="shared" si="282"/>
        <v>0</v>
      </c>
      <c r="J379" s="142">
        <f t="shared" si="282"/>
        <v>0</v>
      </c>
    </row>
    <row r="380" hidden="1" outlineLevel="1">
      <c r="A380" s="139" t="s">
        <v>302</v>
      </c>
      <c r="B380" s="35">
        <v>26.262</v>
      </c>
      <c r="C380" s="35">
        <v>22.774</v>
      </c>
      <c r="D380" s="35">
        <v>10.0</v>
      </c>
      <c r="E380" s="142">
        <f t="shared" ref="E380:J380" si="283">D384+D390</f>
        <v>67</v>
      </c>
      <c r="F380" s="142">
        <f t="shared" si="283"/>
        <v>67</v>
      </c>
      <c r="G380" s="142">
        <f t="shared" si="283"/>
        <v>67</v>
      </c>
      <c r="H380" s="142">
        <f t="shared" si="283"/>
        <v>67</v>
      </c>
      <c r="I380" s="142">
        <f t="shared" si="283"/>
        <v>67</v>
      </c>
      <c r="J380" s="142">
        <f t="shared" si="283"/>
        <v>67</v>
      </c>
    </row>
    <row r="381" hidden="1" outlineLevel="1">
      <c r="A381" s="138" t="s">
        <v>396</v>
      </c>
      <c r="B381" s="142">
        <f t="shared" ref="B381:D381" si="284">B377-B385</f>
        <v>-0.451</v>
      </c>
      <c r="C381" s="142">
        <f t="shared" si="284"/>
        <v>11.575</v>
      </c>
      <c r="D381" s="142">
        <f t="shared" si="284"/>
        <v>-63</v>
      </c>
      <c r="E381" s="200">
        <f>D383</f>
        <v>23</v>
      </c>
      <c r="F381" s="200">
        <v>0.0</v>
      </c>
      <c r="G381" s="200">
        <v>0.0</v>
      </c>
      <c r="H381" s="200">
        <v>0.0</v>
      </c>
      <c r="I381" s="200">
        <v>0.0</v>
      </c>
      <c r="J381" s="200">
        <v>0.0</v>
      </c>
    </row>
    <row r="382" hidden="1" outlineLevel="1">
      <c r="A382" s="138" t="s">
        <v>305</v>
      </c>
      <c r="B382" s="142">
        <f t="shared" ref="B382:J382" si="285">B383+B384</f>
        <v>38.632</v>
      </c>
      <c r="C382" s="142">
        <f t="shared" si="285"/>
        <v>26</v>
      </c>
      <c r="D382" s="142">
        <f t="shared" si="285"/>
        <v>90</v>
      </c>
      <c r="E382" s="142">
        <f t="shared" si="285"/>
        <v>67</v>
      </c>
      <c r="F382" s="142">
        <f t="shared" si="285"/>
        <v>67</v>
      </c>
      <c r="G382" s="142">
        <f t="shared" si="285"/>
        <v>67</v>
      </c>
      <c r="H382" s="142">
        <f t="shared" si="285"/>
        <v>67</v>
      </c>
      <c r="I382" s="142">
        <f t="shared" si="285"/>
        <v>67</v>
      </c>
      <c r="J382" s="142">
        <f t="shared" si="285"/>
        <v>67</v>
      </c>
    </row>
    <row r="383" hidden="1" outlineLevel="1">
      <c r="A383" s="139" t="s">
        <v>301</v>
      </c>
      <c r="B383" s="142">
        <f t="shared" ref="B383:C383" si="286">C379</f>
        <v>15.858</v>
      </c>
      <c r="C383" s="142">
        <f t="shared" si="286"/>
        <v>16</v>
      </c>
      <c r="D383" s="35">
        <v>23.0</v>
      </c>
      <c r="E383" s="142">
        <f t="shared" ref="E383:J383" si="287">if(F381&gt;=0,0,F381)</f>
        <v>0</v>
      </c>
      <c r="F383" s="142">
        <f t="shared" si="287"/>
        <v>0</v>
      </c>
      <c r="G383" s="142">
        <f t="shared" si="287"/>
        <v>0</v>
      </c>
      <c r="H383" s="142">
        <f t="shared" si="287"/>
        <v>0</v>
      </c>
      <c r="I383" s="142">
        <f t="shared" si="287"/>
        <v>0</v>
      </c>
      <c r="J383" s="142">
        <f t="shared" si="287"/>
        <v>0</v>
      </c>
    </row>
    <row r="384" hidden="1" outlineLevel="1">
      <c r="A384" s="139" t="s">
        <v>302</v>
      </c>
      <c r="B384" s="142">
        <f t="shared" ref="B384:C384" si="288">C380</f>
        <v>22.774</v>
      </c>
      <c r="C384" s="142">
        <f t="shared" si="288"/>
        <v>10</v>
      </c>
      <c r="D384" s="35">
        <v>67.0</v>
      </c>
      <c r="E384" s="142">
        <f t="shared" ref="E384:J384" si="289">IF(E381&lt;0,E380-E381,E380-E383)</f>
        <v>67</v>
      </c>
      <c r="F384" s="142">
        <f t="shared" si="289"/>
        <v>67</v>
      </c>
      <c r="G384" s="142">
        <f t="shared" si="289"/>
        <v>67</v>
      </c>
      <c r="H384" s="142">
        <f t="shared" si="289"/>
        <v>67</v>
      </c>
      <c r="I384" s="142">
        <f t="shared" si="289"/>
        <v>67</v>
      </c>
      <c r="J384" s="142">
        <f t="shared" si="289"/>
        <v>67</v>
      </c>
    </row>
    <row r="385" hidden="1" outlineLevel="1">
      <c r="A385" s="138" t="s">
        <v>411</v>
      </c>
      <c r="B385" s="142">
        <f t="shared" ref="B385:C385" si="290">C377</f>
        <v>38.575</v>
      </c>
      <c r="C385" s="142">
        <f t="shared" si="290"/>
        <v>27</v>
      </c>
      <c r="D385" s="35">
        <v>90.0</v>
      </c>
      <c r="E385" s="142">
        <f t="shared" ref="E385:J385" si="291">E377-E381</f>
        <v>67</v>
      </c>
      <c r="F385" s="142">
        <f t="shared" si="291"/>
        <v>67</v>
      </c>
      <c r="G385" s="142">
        <f t="shared" si="291"/>
        <v>67</v>
      </c>
      <c r="H385" s="142">
        <f t="shared" si="291"/>
        <v>67</v>
      </c>
      <c r="I385" s="142">
        <f t="shared" si="291"/>
        <v>67</v>
      </c>
      <c r="J385" s="142">
        <f t="shared" si="291"/>
        <v>67</v>
      </c>
    </row>
    <row r="386" hidden="1" outlineLevel="1">
      <c r="A386" s="138"/>
    </row>
    <row r="387" hidden="1" outlineLevel="1">
      <c r="A387" s="138" t="s">
        <v>416</v>
      </c>
      <c r="B387" s="142">
        <f t="shared" ref="B387:D387" si="292">B385-B382</f>
        <v>-0.057</v>
      </c>
      <c r="C387" s="142">
        <f t="shared" si="292"/>
        <v>1</v>
      </c>
      <c r="D387" s="142">
        <f t="shared" si="292"/>
        <v>0</v>
      </c>
      <c r="E387" s="142">
        <f t="shared" ref="E387:J387" si="293">D387-D390</f>
        <v>0</v>
      </c>
      <c r="F387" s="142">
        <f t="shared" si="293"/>
        <v>0</v>
      </c>
      <c r="G387" s="142">
        <f t="shared" si="293"/>
        <v>0</v>
      </c>
      <c r="H387" s="142">
        <f t="shared" si="293"/>
        <v>0</v>
      </c>
      <c r="I387" s="142">
        <f t="shared" si="293"/>
        <v>0</v>
      </c>
      <c r="J387" s="142">
        <f t="shared" si="293"/>
        <v>0</v>
      </c>
    </row>
    <row r="388" hidden="1" outlineLevel="1">
      <c r="A388" s="138" t="s">
        <v>307</v>
      </c>
      <c r="B388" s="142">
        <f t="shared" ref="B388:J388" si="294">($A375*average(B385,B377))</f>
        <v>2.28179525</v>
      </c>
      <c r="C388" s="142">
        <f t="shared" si="294"/>
        <v>1.95085625</v>
      </c>
      <c r="D388" s="142">
        <f t="shared" si="294"/>
        <v>3.48075</v>
      </c>
      <c r="E388" s="142">
        <f t="shared" si="294"/>
        <v>4.67075</v>
      </c>
      <c r="F388" s="142">
        <f t="shared" si="294"/>
        <v>3.9865</v>
      </c>
      <c r="G388" s="142">
        <f t="shared" si="294"/>
        <v>3.9865</v>
      </c>
      <c r="H388" s="142">
        <f t="shared" si="294"/>
        <v>3.9865</v>
      </c>
      <c r="I388" s="142">
        <f t="shared" si="294"/>
        <v>3.9865</v>
      </c>
      <c r="J388" s="142">
        <f t="shared" si="294"/>
        <v>3.9865</v>
      </c>
    </row>
    <row r="389" hidden="1" outlineLevel="1">
      <c r="A389" s="138" t="s">
        <v>308</v>
      </c>
      <c r="B389" s="142"/>
      <c r="C389" s="142"/>
      <c r="D389" s="142"/>
      <c r="E389" s="142"/>
      <c r="F389" s="142"/>
      <c r="G389" s="142"/>
      <c r="H389" s="142"/>
      <c r="I389" s="142"/>
      <c r="J389" s="142"/>
    </row>
    <row r="390" hidden="1" outlineLevel="1">
      <c r="A390" s="138" t="s">
        <v>309</v>
      </c>
      <c r="B390" s="142">
        <f t="shared" ref="B390:E390" si="295">B387/$A376</f>
        <v>-0.0095</v>
      </c>
      <c r="C390" s="142">
        <f t="shared" si="295"/>
        <v>0.1666666667</v>
      </c>
      <c r="D390" s="142">
        <f t="shared" si="295"/>
        <v>0</v>
      </c>
      <c r="E390" s="142">
        <f t="shared" si="295"/>
        <v>0</v>
      </c>
      <c r="F390" s="142">
        <f>(F387+sum(E390))/$A376</f>
        <v>0</v>
      </c>
      <c r="G390" s="142">
        <f>(G387+SUM(E390:F390))/$A376</f>
        <v>0</v>
      </c>
      <c r="H390" s="142">
        <f>(H387+SUM(E390:G390))/$A376</f>
        <v>0</v>
      </c>
      <c r="I390" s="142">
        <f>(I387+SUM(E390:H390))/$A376</f>
        <v>0</v>
      </c>
      <c r="J390" s="142">
        <f>(J387+SUM(E390:I390))/$A376</f>
        <v>0</v>
      </c>
    </row>
    <row r="391" hidden="1" outlineLevel="1">
      <c r="A391" s="142" t="s">
        <v>311</v>
      </c>
      <c r="B391" s="142">
        <f t="shared" ref="B391:J391" si="296">B388+B390+B389</f>
        <v>2.27229525</v>
      </c>
      <c r="C391" s="142">
        <f t="shared" si="296"/>
        <v>2.117522917</v>
      </c>
      <c r="D391" s="142">
        <f t="shared" si="296"/>
        <v>3.48075</v>
      </c>
      <c r="E391" s="142">
        <f t="shared" si="296"/>
        <v>4.67075</v>
      </c>
      <c r="F391" s="142">
        <f t="shared" si="296"/>
        <v>3.9865</v>
      </c>
      <c r="G391" s="142">
        <f t="shared" si="296"/>
        <v>3.9865</v>
      </c>
      <c r="H391" s="142">
        <f t="shared" si="296"/>
        <v>3.9865</v>
      </c>
      <c r="I391" s="142">
        <f t="shared" si="296"/>
        <v>3.9865</v>
      </c>
      <c r="J391" s="142">
        <f t="shared" si="296"/>
        <v>3.9865</v>
      </c>
    </row>
    <row r="392" hidden="1" outlineLevel="1"/>
    <row r="393" hidden="1" outlineLevel="1"/>
    <row r="394" hidden="1" outlineLevel="1">
      <c r="A394" s="138" t="s">
        <v>307</v>
      </c>
      <c r="B394" s="144">
        <f t="shared" ref="B394:J394" si="297">B388+B369+B350+B331+B312+B293+B274+B255+B236+B143+B125+B109+B93+B218+B199+B180+B160</f>
        <v>296.2880058</v>
      </c>
      <c r="C394" s="144">
        <f t="shared" si="297"/>
        <v>367.4869651</v>
      </c>
      <c r="D394" s="144">
        <f t="shared" si="297"/>
        <v>428.3976817</v>
      </c>
      <c r="E394" s="144">
        <f t="shared" si="297"/>
        <v>433.96582</v>
      </c>
      <c r="F394" s="144">
        <f t="shared" si="297"/>
        <v>390.35817</v>
      </c>
      <c r="G394" s="144">
        <f t="shared" si="297"/>
        <v>368.1467117</v>
      </c>
      <c r="H394" s="144">
        <f t="shared" si="297"/>
        <v>364.27942</v>
      </c>
      <c r="I394" s="144">
        <f t="shared" si="297"/>
        <v>339.7460867</v>
      </c>
      <c r="J394" s="144">
        <f t="shared" si="297"/>
        <v>327.47942</v>
      </c>
    </row>
    <row r="395" hidden="1" outlineLevel="1">
      <c r="A395" s="138" t="s">
        <v>308</v>
      </c>
      <c r="B395" s="144">
        <f t="shared" ref="B395:J395" si="298">B389+B370+B351+B332+B313+B294+B275+B256+B237+B219+B200+B181+B161+B144+B126+B110+B94</f>
        <v>124.474</v>
      </c>
      <c r="C395" s="144">
        <f t="shared" si="298"/>
        <v>138.982</v>
      </c>
      <c r="D395" s="144">
        <f t="shared" si="298"/>
        <v>149.654</v>
      </c>
      <c r="E395" s="144">
        <f t="shared" si="298"/>
        <v>214.3962508</v>
      </c>
      <c r="F395" s="144">
        <f t="shared" si="298"/>
        <v>154.1105365</v>
      </c>
      <c r="G395" s="144">
        <f t="shared" si="298"/>
        <v>114.4072398</v>
      </c>
      <c r="H395" s="144">
        <f t="shared" si="298"/>
        <v>108.638009</v>
      </c>
      <c r="I395" s="144">
        <f t="shared" si="298"/>
        <v>38.33031674</v>
      </c>
      <c r="J395" s="144">
        <f t="shared" si="298"/>
        <v>2.117647059</v>
      </c>
    </row>
    <row r="396" hidden="1" outlineLevel="1">
      <c r="A396" s="138" t="s">
        <v>309</v>
      </c>
      <c r="B396" s="144">
        <f t="shared" ref="B396:J396" si="299">B390+B371+B352+B333+B314+B295+B276+B257+B238+B220+B201+B182+B162+B145+B127+B111+B95</f>
        <v>47.47318626</v>
      </c>
      <c r="C396" s="144">
        <f t="shared" si="299"/>
        <v>3.934317949</v>
      </c>
      <c r="D396" s="144">
        <f t="shared" si="299"/>
        <v>3.984317949</v>
      </c>
      <c r="E396" s="144">
        <f t="shared" si="299"/>
        <v>3.38757073</v>
      </c>
      <c r="F396" s="144">
        <f t="shared" si="299"/>
        <v>3.666142158</v>
      </c>
      <c r="G396" s="144">
        <f t="shared" si="299"/>
        <v>3.666142158</v>
      </c>
      <c r="H396" s="144">
        <f t="shared" si="299"/>
        <v>3.666142158</v>
      </c>
      <c r="I396" s="144">
        <f t="shared" si="299"/>
        <v>3.666142158</v>
      </c>
      <c r="J396" s="144">
        <f t="shared" si="299"/>
        <v>3.666142158</v>
      </c>
    </row>
    <row r="397" hidden="1" outlineLevel="1">
      <c r="A397" s="142" t="s">
        <v>311</v>
      </c>
      <c r="B397" s="144">
        <f t="shared" ref="B397:J397" si="300">B394+B395+B396</f>
        <v>468.2351921</v>
      </c>
      <c r="C397" s="144">
        <f t="shared" si="300"/>
        <v>510.403283</v>
      </c>
      <c r="D397" s="144">
        <f t="shared" si="300"/>
        <v>582.0359996</v>
      </c>
      <c r="E397" s="144">
        <f t="shared" si="300"/>
        <v>651.7496415</v>
      </c>
      <c r="F397" s="144">
        <f t="shared" si="300"/>
        <v>548.1348487</v>
      </c>
      <c r="G397" s="144">
        <f t="shared" si="300"/>
        <v>486.2200936</v>
      </c>
      <c r="H397" s="144">
        <f t="shared" si="300"/>
        <v>476.5835712</v>
      </c>
      <c r="I397" s="144">
        <f t="shared" si="300"/>
        <v>381.7425456</v>
      </c>
      <c r="J397" s="144">
        <f t="shared" si="300"/>
        <v>333.2632092</v>
      </c>
    </row>
    <row r="398" hidden="1" outlineLevel="1"/>
    <row r="399" hidden="1" outlineLevel="1">
      <c r="A399" s="8" t="s">
        <v>449</v>
      </c>
      <c r="B399" s="5" t="s">
        <v>13</v>
      </c>
      <c r="E399" s="3" t="s">
        <v>14</v>
      </c>
    </row>
    <row r="400" hidden="1" outlineLevel="1">
      <c r="A400" s="35" t="s">
        <v>450</v>
      </c>
      <c r="B400" s="236" t="s">
        <v>451</v>
      </c>
      <c r="D400" s="87">
        <f>D401+D402</f>
        <v>1491.042</v>
      </c>
    </row>
    <row r="401" hidden="1" outlineLevel="1">
      <c r="A401" s="139" t="s">
        <v>301</v>
      </c>
      <c r="B401" s="237"/>
      <c r="C401" s="237"/>
      <c r="D401" s="35">
        <v>353.115</v>
      </c>
    </row>
    <row r="402" hidden="1" outlineLevel="1">
      <c r="A402" s="139" t="s">
        <v>302</v>
      </c>
      <c r="B402" s="237"/>
      <c r="C402" s="237"/>
      <c r="D402" s="35">
        <v>1137.927</v>
      </c>
    </row>
    <row r="403" hidden="1" outlineLevel="1">
      <c r="A403" s="35" t="s">
        <v>452</v>
      </c>
      <c r="B403" s="237"/>
      <c r="C403" s="237"/>
    </row>
    <row r="404" hidden="1" outlineLevel="1">
      <c r="A404" s="35" t="s">
        <v>453</v>
      </c>
      <c r="B404" s="237"/>
      <c r="C404" s="237"/>
    </row>
    <row r="405" hidden="1" outlineLevel="1">
      <c r="A405" s="35" t="s">
        <v>454</v>
      </c>
      <c r="B405" s="237"/>
      <c r="C405" s="237"/>
      <c r="D405" s="87">
        <f>D406+D407</f>
        <v>1618</v>
      </c>
    </row>
    <row r="406" hidden="1" outlineLevel="1">
      <c r="A406" s="139" t="s">
        <v>301</v>
      </c>
      <c r="B406" s="237"/>
      <c r="C406" s="237"/>
      <c r="D406" s="35">
        <v>386.0</v>
      </c>
    </row>
    <row r="407" hidden="1" outlineLevel="1">
      <c r="A407" s="139" t="s">
        <v>302</v>
      </c>
      <c r="B407" s="237"/>
      <c r="C407" s="237"/>
      <c r="D407" s="35">
        <v>1232.0</v>
      </c>
    </row>
    <row r="408" hidden="1" outlineLevel="1">
      <c r="B408" s="237"/>
      <c r="C408" s="237"/>
    </row>
    <row r="409" hidden="1" outlineLevel="1">
      <c r="B409" s="237"/>
      <c r="C409" s="237"/>
    </row>
    <row r="410" hidden="1" outlineLevel="1">
      <c r="A410" s="35" t="s">
        <v>455</v>
      </c>
      <c r="B410" s="238"/>
      <c r="C410" s="238"/>
      <c r="D410" s="92">
        <v>0.065</v>
      </c>
      <c r="E410" s="92">
        <v>0.065</v>
      </c>
      <c r="F410" s="92">
        <v>0.065</v>
      </c>
      <c r="G410" s="92">
        <v>0.065</v>
      </c>
      <c r="H410" s="92">
        <v>0.065</v>
      </c>
      <c r="I410" s="92">
        <v>0.065</v>
      </c>
      <c r="J410" s="92">
        <v>0.065</v>
      </c>
    </row>
    <row r="411" hidden="1" outlineLevel="1">
      <c r="A411" s="35" t="s">
        <v>456</v>
      </c>
    </row>
    <row r="413">
      <c r="E413" s="135">
        <f>SUM(E68-D68,E50-D50,E34-D34,E16-D16)</f>
        <v>2156.066945</v>
      </c>
    </row>
  </sheetData>
  <mergeCells count="16">
    <mergeCell ref="B1:D1"/>
    <mergeCell ref="E1:J1"/>
    <mergeCell ref="B4:D4"/>
    <mergeCell ref="E4:J4"/>
    <mergeCell ref="B20:D20"/>
    <mergeCell ref="E20:J20"/>
    <mergeCell ref="B24:D24"/>
    <mergeCell ref="B399:D399"/>
    <mergeCell ref="B400:C400"/>
    <mergeCell ref="B37:D37"/>
    <mergeCell ref="E37:J37"/>
    <mergeCell ref="B55:D55"/>
    <mergeCell ref="E55:J55"/>
    <mergeCell ref="B81:D81"/>
    <mergeCell ref="E81:J81"/>
    <mergeCell ref="E399:J399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3.43"/>
  </cols>
  <sheetData>
    <row r="1">
      <c r="A1" s="1" t="s">
        <v>0</v>
      </c>
      <c r="B1" s="2" t="s">
        <v>1</v>
      </c>
      <c r="E1" s="3" t="s">
        <v>2</v>
      </c>
    </row>
    <row r="2">
      <c r="A2" s="4"/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4">
      <c r="A4" s="8" t="s">
        <v>215</v>
      </c>
      <c r="B4" s="5" t="s">
        <v>13</v>
      </c>
      <c r="E4" s="3" t="s">
        <v>14</v>
      </c>
    </row>
    <row r="5" outlineLevel="1">
      <c r="A5" s="29" t="s">
        <v>216</v>
      </c>
      <c r="B5" s="22">
        <v>101250.0</v>
      </c>
      <c r="C5" s="22">
        <v>149030.0</v>
      </c>
      <c r="D5" s="22">
        <v>66771.0</v>
      </c>
      <c r="E5" s="21">
        <f t="shared" ref="E5:J5" si="1">D5*(1+E6)</f>
        <v>61763.175</v>
      </c>
      <c r="F5" s="21">
        <f t="shared" si="1"/>
        <v>67321.86075</v>
      </c>
      <c r="G5" s="21">
        <f t="shared" si="1"/>
        <v>75232.17939</v>
      </c>
      <c r="H5" s="21">
        <f t="shared" si="1"/>
        <v>84260.04091</v>
      </c>
      <c r="I5" s="21">
        <f t="shared" si="1"/>
        <v>92686.04501</v>
      </c>
      <c r="J5" s="21">
        <f t="shared" si="1"/>
        <v>100100.9286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outlineLevel="1">
      <c r="A6" s="109" t="s">
        <v>218</v>
      </c>
      <c r="B6" s="110" t="s">
        <v>47</v>
      </c>
      <c r="C6" s="111">
        <f t="shared" ref="C6:D6" si="2">(C5-B5)/B5</f>
        <v>0.4719012346</v>
      </c>
      <c r="D6" s="111">
        <f t="shared" si="2"/>
        <v>-0.5519626921</v>
      </c>
      <c r="E6" s="82">
        <v>-0.075</v>
      </c>
      <c r="F6" s="82">
        <v>0.09</v>
      </c>
      <c r="G6" s="82">
        <v>0.1175</v>
      </c>
      <c r="H6" s="82">
        <v>0.12</v>
      </c>
      <c r="I6" s="82">
        <v>0.1</v>
      </c>
      <c r="J6" s="82">
        <v>0.08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outlineLevel="1">
      <c r="A7" s="29" t="s">
        <v>222</v>
      </c>
      <c r="B7" s="22">
        <v>2263.0</v>
      </c>
      <c r="C7" s="22">
        <v>6718.0</v>
      </c>
      <c r="D7" s="22">
        <v>8578.0</v>
      </c>
      <c r="E7" s="21">
        <f t="shared" ref="E7:J7" si="3">E8*E5</f>
        <v>6176.3175</v>
      </c>
      <c r="F7" s="21">
        <f t="shared" si="3"/>
        <v>6732.186075</v>
      </c>
      <c r="G7" s="21">
        <f t="shared" si="3"/>
        <v>7523.217939</v>
      </c>
      <c r="H7" s="21">
        <f t="shared" si="3"/>
        <v>8426.004091</v>
      </c>
      <c r="I7" s="21">
        <f t="shared" si="3"/>
        <v>9268.604501</v>
      </c>
      <c r="J7" s="21">
        <f t="shared" si="3"/>
        <v>10010.09286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outlineLevel="1">
      <c r="A8" s="109" t="s">
        <v>223</v>
      </c>
      <c r="B8" s="111">
        <f t="shared" ref="B8:D8" si="4">B7/(B5)</f>
        <v>0.02235061728</v>
      </c>
      <c r="C8" s="111">
        <f t="shared" si="4"/>
        <v>0.04507817218</v>
      </c>
      <c r="D8" s="111">
        <f t="shared" si="4"/>
        <v>0.1284689461</v>
      </c>
      <c r="E8" s="82">
        <v>0.1</v>
      </c>
      <c r="F8" s="82">
        <f t="shared" ref="F8:J8" si="5">E8</f>
        <v>0.1</v>
      </c>
      <c r="G8" s="82">
        <f t="shared" si="5"/>
        <v>0.1</v>
      </c>
      <c r="H8" s="82">
        <f t="shared" si="5"/>
        <v>0.1</v>
      </c>
      <c r="I8" s="82">
        <f t="shared" si="5"/>
        <v>0.1</v>
      </c>
      <c r="J8" s="82">
        <f t="shared" si="5"/>
        <v>0.1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outlineLevel="1">
      <c r="A9" s="105" t="s">
        <v>225</v>
      </c>
      <c r="B9" s="25">
        <f t="shared" ref="B9:J9" si="6">B5-B7</f>
        <v>98987</v>
      </c>
      <c r="C9" s="25">
        <f t="shared" si="6"/>
        <v>142312</v>
      </c>
      <c r="D9" s="25">
        <f t="shared" si="6"/>
        <v>58193</v>
      </c>
      <c r="E9" s="116">
        <f t="shared" si="6"/>
        <v>55586.8575</v>
      </c>
      <c r="F9" s="116">
        <f t="shared" si="6"/>
        <v>60589.67468</v>
      </c>
      <c r="G9" s="116">
        <f t="shared" si="6"/>
        <v>67708.96145</v>
      </c>
      <c r="H9" s="116">
        <f t="shared" si="6"/>
        <v>75834.03682</v>
      </c>
      <c r="I9" s="116">
        <f t="shared" si="6"/>
        <v>83417.44051</v>
      </c>
      <c r="J9" s="116">
        <f t="shared" si="6"/>
        <v>90090.83575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outlineLevel="1">
      <c r="A10" s="29" t="s">
        <v>226</v>
      </c>
      <c r="B10" s="115">
        <v>85526.07918</v>
      </c>
      <c r="C10" s="115">
        <v>91219.94621</v>
      </c>
      <c r="D10" s="115">
        <v>102971.4983</v>
      </c>
      <c r="E10" s="117">
        <v>105000.0</v>
      </c>
      <c r="F10" s="118">
        <f t="shared" ref="F10:J10" si="7">E10</f>
        <v>105000</v>
      </c>
      <c r="G10" s="118">
        <f t="shared" si="7"/>
        <v>105000</v>
      </c>
      <c r="H10" s="118">
        <f t="shared" si="7"/>
        <v>105000</v>
      </c>
      <c r="I10" s="118">
        <f t="shared" si="7"/>
        <v>105000</v>
      </c>
      <c r="J10" s="118">
        <f t="shared" si="7"/>
        <v>105000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outlineLevel="1">
      <c r="A11" s="105" t="s">
        <v>229</v>
      </c>
      <c r="B11" s="106">
        <f t="shared" ref="B11:J11" si="8">B10*B9/1000000</f>
        <v>8465.97</v>
      </c>
      <c r="C11" s="106">
        <f t="shared" si="8"/>
        <v>12981.69299</v>
      </c>
      <c r="D11" s="106">
        <f t="shared" si="8"/>
        <v>5992.220401</v>
      </c>
      <c r="E11" s="116">
        <f t="shared" si="8"/>
        <v>5836.620038</v>
      </c>
      <c r="F11" s="116">
        <f t="shared" si="8"/>
        <v>6361.915841</v>
      </c>
      <c r="G11" s="116">
        <f t="shared" si="8"/>
        <v>7109.440952</v>
      </c>
      <c r="H11" s="116">
        <f t="shared" si="8"/>
        <v>7962.573866</v>
      </c>
      <c r="I11" s="116">
        <f t="shared" si="8"/>
        <v>8758.831253</v>
      </c>
      <c r="J11" s="116">
        <f t="shared" si="8"/>
        <v>9459.537753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outlineLevel="1">
      <c r="A12" s="12"/>
      <c r="B12" s="12"/>
      <c r="C12" s="12"/>
      <c r="D12" s="12"/>
      <c r="E12" s="28"/>
      <c r="F12" s="28"/>
      <c r="G12" s="28"/>
      <c r="H12" s="28"/>
      <c r="I12" s="28"/>
      <c r="J12" s="28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outlineLevel="1">
      <c r="A13" s="29" t="s">
        <v>230</v>
      </c>
      <c r="B13" s="22">
        <v>1770.0</v>
      </c>
      <c r="C13" s="22">
        <v>81974.0</v>
      </c>
      <c r="D13" s="22">
        <v>300885.0</v>
      </c>
      <c r="E13" s="21">
        <f t="shared" ref="E13:J13" si="9">D13*(1+E14)</f>
        <v>275309.775</v>
      </c>
      <c r="F13" s="21">
        <f t="shared" si="9"/>
        <v>330371.73</v>
      </c>
      <c r="G13" s="21">
        <f t="shared" si="9"/>
        <v>396446.076</v>
      </c>
      <c r="H13" s="21">
        <f t="shared" si="9"/>
        <v>467806.3697</v>
      </c>
      <c r="I13" s="21">
        <f t="shared" si="9"/>
        <v>556689.5799</v>
      </c>
      <c r="J13" s="21">
        <f t="shared" si="9"/>
        <v>662460.6001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outlineLevel="1">
      <c r="A14" s="109" t="s">
        <v>218</v>
      </c>
      <c r="B14" s="110" t="s">
        <v>47</v>
      </c>
      <c r="C14" s="111">
        <f t="shared" ref="C14:D14" si="10">(C13-B13)/B13</f>
        <v>45.31299435</v>
      </c>
      <c r="D14" s="111">
        <f t="shared" si="10"/>
        <v>2.670493083</v>
      </c>
      <c r="E14" s="82">
        <v>-0.085</v>
      </c>
      <c r="F14" s="119">
        <v>0.2</v>
      </c>
      <c r="G14" s="119">
        <v>0.2</v>
      </c>
      <c r="H14" s="119">
        <v>0.18</v>
      </c>
      <c r="I14" s="119">
        <v>0.19</v>
      </c>
      <c r="J14" s="119">
        <v>0.19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outlineLevel="1">
      <c r="A15" s="29" t="s">
        <v>233</v>
      </c>
      <c r="B15" s="22">
        <v>0.0</v>
      </c>
      <c r="C15" s="22">
        <v>0.0</v>
      </c>
      <c r="D15" s="22">
        <v>16861.0</v>
      </c>
      <c r="E15" s="21">
        <f t="shared" ref="E15:J15" si="11">E16*E13</f>
        <v>13765.48875</v>
      </c>
      <c r="F15" s="21">
        <f t="shared" si="11"/>
        <v>16518.5865</v>
      </c>
      <c r="G15" s="21">
        <f t="shared" si="11"/>
        <v>19822.3038</v>
      </c>
      <c r="H15" s="21">
        <f t="shared" si="11"/>
        <v>23390.31848</v>
      </c>
      <c r="I15" s="21">
        <f t="shared" si="11"/>
        <v>27834.479</v>
      </c>
      <c r="J15" s="21">
        <f t="shared" si="11"/>
        <v>33123.03001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outlineLevel="1">
      <c r="A16" s="109" t="s">
        <v>223</v>
      </c>
      <c r="B16" s="42">
        <f t="shared" ref="B16:D16" si="12">B15/(B13)</f>
        <v>0</v>
      </c>
      <c r="C16" s="111">
        <f t="shared" si="12"/>
        <v>0</v>
      </c>
      <c r="D16" s="111">
        <f t="shared" si="12"/>
        <v>0.05603802117</v>
      </c>
      <c r="E16" s="82">
        <v>0.05</v>
      </c>
      <c r="F16" s="82">
        <v>0.05</v>
      </c>
      <c r="G16" s="83">
        <f t="shared" ref="G16:J16" si="13">F16</f>
        <v>0.05</v>
      </c>
      <c r="H16" s="83">
        <f t="shared" si="13"/>
        <v>0.05</v>
      </c>
      <c r="I16" s="83">
        <f t="shared" si="13"/>
        <v>0.05</v>
      </c>
      <c r="J16" s="83">
        <f t="shared" si="13"/>
        <v>0.05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outlineLevel="1">
      <c r="A17" s="105" t="s">
        <v>236</v>
      </c>
      <c r="B17" s="25">
        <f t="shared" ref="B17:J17" si="14">B13-B15</f>
        <v>1770</v>
      </c>
      <c r="C17" s="25">
        <f t="shared" si="14"/>
        <v>81974</v>
      </c>
      <c r="D17" s="25">
        <f t="shared" si="14"/>
        <v>284024</v>
      </c>
      <c r="E17" s="25">
        <f t="shared" si="14"/>
        <v>261544.2863</v>
      </c>
      <c r="F17" s="25">
        <f t="shared" si="14"/>
        <v>313853.1435</v>
      </c>
      <c r="G17" s="25">
        <f t="shared" si="14"/>
        <v>376623.7722</v>
      </c>
      <c r="H17" s="25">
        <f t="shared" si="14"/>
        <v>444416.0512</v>
      </c>
      <c r="I17" s="25">
        <f t="shared" si="14"/>
        <v>528855.1009</v>
      </c>
      <c r="J17" s="25">
        <f t="shared" si="14"/>
        <v>629337.5701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outlineLevel="1">
      <c r="A18" s="29" t="s">
        <v>226</v>
      </c>
      <c r="B18" s="115">
        <v>39000.0</v>
      </c>
      <c r="C18" s="115">
        <v>50000.0</v>
      </c>
      <c r="D18" s="115">
        <v>49150.0</v>
      </c>
      <c r="E18" s="121">
        <v>49250.0</v>
      </c>
      <c r="F18" s="122">
        <f t="shared" ref="F18:J18" si="15">E18</f>
        <v>49250</v>
      </c>
      <c r="G18" s="122">
        <f t="shared" si="15"/>
        <v>49250</v>
      </c>
      <c r="H18" s="122">
        <f t="shared" si="15"/>
        <v>49250</v>
      </c>
      <c r="I18" s="122">
        <f t="shared" si="15"/>
        <v>49250</v>
      </c>
      <c r="J18" s="122">
        <f t="shared" si="15"/>
        <v>49250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outlineLevel="1">
      <c r="A19" s="105" t="s">
        <v>240</v>
      </c>
      <c r="B19" s="106">
        <f t="shared" ref="B19:J19" si="16">B18*B17/1000000</f>
        <v>69.03</v>
      </c>
      <c r="C19" s="106">
        <f t="shared" si="16"/>
        <v>4098.7</v>
      </c>
      <c r="D19" s="106">
        <f t="shared" si="16"/>
        <v>13959.7796</v>
      </c>
      <c r="E19" s="25">
        <f t="shared" si="16"/>
        <v>12881.0561</v>
      </c>
      <c r="F19" s="25">
        <f t="shared" si="16"/>
        <v>15457.26732</v>
      </c>
      <c r="G19" s="25">
        <f t="shared" si="16"/>
        <v>18548.72078</v>
      </c>
      <c r="H19" s="25">
        <f t="shared" si="16"/>
        <v>21887.49052</v>
      </c>
      <c r="I19" s="25">
        <f t="shared" si="16"/>
        <v>26046.11372</v>
      </c>
      <c r="J19" s="25">
        <f t="shared" si="16"/>
        <v>30994.87533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outlineLevel="1">
      <c r="A20" s="123" t="s">
        <v>242</v>
      </c>
      <c r="B20" s="124">
        <f t="shared" ref="B20:J20" si="17">B11+B19</f>
        <v>8535</v>
      </c>
      <c r="C20" s="124">
        <f t="shared" si="17"/>
        <v>17080.39299</v>
      </c>
      <c r="D20" s="124">
        <f t="shared" si="17"/>
        <v>19952</v>
      </c>
      <c r="E20" s="59">
        <f t="shared" si="17"/>
        <v>18717.67614</v>
      </c>
      <c r="F20" s="59">
        <f t="shared" si="17"/>
        <v>21819.18316</v>
      </c>
      <c r="G20" s="59">
        <f t="shared" si="17"/>
        <v>25658.16173</v>
      </c>
      <c r="H20" s="59">
        <f t="shared" si="17"/>
        <v>29850.06439</v>
      </c>
      <c r="I20" s="59">
        <f t="shared" si="17"/>
        <v>34804.94497</v>
      </c>
      <c r="J20" s="59">
        <f t="shared" si="17"/>
        <v>40454.41308</v>
      </c>
    </row>
    <row r="21" outlineLevel="1">
      <c r="A21" s="103" t="s">
        <v>244</v>
      </c>
      <c r="B21" s="125">
        <f t="shared" ref="B21:J21" si="18">B5+B13</f>
        <v>103020</v>
      </c>
      <c r="C21" s="125">
        <f t="shared" si="18"/>
        <v>231004</v>
      </c>
      <c r="D21" s="125">
        <f t="shared" si="18"/>
        <v>367656</v>
      </c>
      <c r="E21" s="125">
        <f t="shared" si="18"/>
        <v>337072.95</v>
      </c>
      <c r="F21" s="125">
        <f t="shared" si="18"/>
        <v>397693.5908</v>
      </c>
      <c r="G21" s="125">
        <f t="shared" si="18"/>
        <v>471678.2554</v>
      </c>
      <c r="H21" s="125">
        <f t="shared" si="18"/>
        <v>552066.4106</v>
      </c>
      <c r="I21" s="125">
        <f t="shared" si="18"/>
        <v>649375.6249</v>
      </c>
      <c r="J21" s="125">
        <f t="shared" si="18"/>
        <v>762561.5287</v>
      </c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outlineLevel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outlineLevel="1">
      <c r="A23" s="18" t="s">
        <v>62</v>
      </c>
      <c r="B23" s="26">
        <v>1107.0</v>
      </c>
      <c r="C23" s="27">
        <v>883.0</v>
      </c>
      <c r="D23" s="27">
        <v>869.0</v>
      </c>
      <c r="E23" s="21">
        <f t="shared" ref="E23:J23" si="19">D23*(1+E24)</f>
        <v>912.45</v>
      </c>
      <c r="F23" s="21">
        <f t="shared" si="19"/>
        <v>903.3255</v>
      </c>
      <c r="G23" s="21">
        <f t="shared" si="19"/>
        <v>894.292245</v>
      </c>
      <c r="H23" s="21">
        <f t="shared" si="19"/>
        <v>885.3493226</v>
      </c>
      <c r="I23" s="21">
        <f t="shared" si="19"/>
        <v>876.4958293</v>
      </c>
      <c r="J23" s="21">
        <f t="shared" si="19"/>
        <v>867.730871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outlineLevel="1">
      <c r="A24" s="109" t="s">
        <v>218</v>
      </c>
      <c r="B24" s="127"/>
      <c r="C24" s="111">
        <f t="shared" ref="C24:D24" si="20">(C23-B23)/B23</f>
        <v>-0.2023486902</v>
      </c>
      <c r="D24" s="111">
        <f t="shared" si="20"/>
        <v>-0.01585503964</v>
      </c>
      <c r="E24" s="82">
        <v>0.05</v>
      </c>
      <c r="F24" s="82">
        <v>-0.01</v>
      </c>
      <c r="G24" s="82">
        <v>-0.01</v>
      </c>
      <c r="H24" s="82">
        <v>-0.01</v>
      </c>
      <c r="I24" s="82">
        <v>-0.01</v>
      </c>
      <c r="J24" s="82">
        <v>-0.01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outlineLevel="1">
      <c r="A25" s="130" t="s">
        <v>245</v>
      </c>
      <c r="B25" s="38">
        <f t="shared" ref="B25:J25" si="21">B23+B20</f>
        <v>9642</v>
      </c>
      <c r="C25" s="131">
        <f t="shared" si="21"/>
        <v>17963.39299</v>
      </c>
      <c r="D25" s="131">
        <f t="shared" si="21"/>
        <v>20821</v>
      </c>
      <c r="E25" s="38">
        <f t="shared" si="21"/>
        <v>19630.12614</v>
      </c>
      <c r="F25" s="38">
        <f t="shared" si="21"/>
        <v>22722.50866</v>
      </c>
      <c r="G25" s="38">
        <f t="shared" si="21"/>
        <v>26552.45398</v>
      </c>
      <c r="H25" s="38">
        <f t="shared" si="21"/>
        <v>30735.41371</v>
      </c>
      <c r="I25" s="38">
        <f t="shared" si="21"/>
        <v>35681.4408</v>
      </c>
      <c r="J25" s="38">
        <f t="shared" si="21"/>
        <v>41322.14395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outlineLevel="1"/>
    <row r="27" outlineLevel="1">
      <c r="A27" s="18" t="s">
        <v>247</v>
      </c>
      <c r="B27" s="26">
        <v>1116.0</v>
      </c>
      <c r="C27" s="26">
        <v>1555.0</v>
      </c>
      <c r="D27" s="26">
        <v>1531.0</v>
      </c>
      <c r="E27" s="21">
        <f t="shared" ref="E27:J27" si="22">D27*(1+E28)</f>
        <v>1531</v>
      </c>
      <c r="F27" s="21">
        <f t="shared" si="22"/>
        <v>1684.1</v>
      </c>
      <c r="G27" s="21">
        <f t="shared" si="22"/>
        <v>1894.6125</v>
      </c>
      <c r="H27" s="21">
        <f t="shared" si="22"/>
        <v>2190.645703</v>
      </c>
      <c r="I27" s="21">
        <f t="shared" si="22"/>
        <v>2618.506192</v>
      </c>
      <c r="J27" s="21">
        <f t="shared" si="22"/>
        <v>3257.78993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outlineLevel="1">
      <c r="A28" s="109" t="s">
        <v>218</v>
      </c>
      <c r="B28" s="42"/>
      <c r="C28" s="111">
        <f t="shared" ref="C28:D28" si="23">(C27-B27)/B27</f>
        <v>0.3933691756</v>
      </c>
      <c r="D28" s="111">
        <f t="shared" si="23"/>
        <v>-0.0154340836</v>
      </c>
      <c r="E28" s="82">
        <v>0.0</v>
      </c>
      <c r="F28" s="82">
        <v>0.1</v>
      </c>
      <c r="G28" s="83">
        <f t="shared" ref="G28:J28" si="24">F28*(1.25)</f>
        <v>0.125</v>
      </c>
      <c r="H28" s="83">
        <f t="shared" si="24"/>
        <v>0.15625</v>
      </c>
      <c r="I28" s="83">
        <f t="shared" si="24"/>
        <v>0.1953125</v>
      </c>
      <c r="J28" s="83">
        <f t="shared" si="24"/>
        <v>0.244140625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outlineLevel="1">
      <c r="A29" s="18" t="s">
        <v>74</v>
      </c>
      <c r="B29" s="26">
        <v>1001.0</v>
      </c>
      <c r="C29" s="26">
        <v>1391.0</v>
      </c>
      <c r="D29" s="26">
        <v>2226.0</v>
      </c>
      <c r="E29" s="21">
        <f t="shared" ref="E29:J29" si="25">D29*(1+E30)</f>
        <v>2226</v>
      </c>
      <c r="F29" s="21">
        <f t="shared" si="25"/>
        <v>2448.6</v>
      </c>
      <c r="G29" s="21">
        <f t="shared" si="25"/>
        <v>2693.46</v>
      </c>
      <c r="H29" s="21">
        <f t="shared" si="25"/>
        <v>2962.806</v>
      </c>
      <c r="I29" s="21">
        <f t="shared" si="25"/>
        <v>3259.0866</v>
      </c>
      <c r="J29" s="21">
        <f t="shared" si="25"/>
        <v>3584.99526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outlineLevel="1">
      <c r="A30" s="109" t="s">
        <v>218</v>
      </c>
      <c r="B30" s="42"/>
      <c r="C30" s="111">
        <f t="shared" ref="C30:D30" si="26">(C29-B29)/B29</f>
        <v>0.3896103896</v>
      </c>
      <c r="D30" s="111">
        <f t="shared" si="26"/>
        <v>0.6002875629</v>
      </c>
      <c r="E30" s="82">
        <v>0.0</v>
      </c>
      <c r="F30" s="82">
        <v>0.1</v>
      </c>
      <c r="G30" s="83">
        <f t="shared" ref="G30:J30" si="27">F30</f>
        <v>0.1</v>
      </c>
      <c r="H30" s="83">
        <f t="shared" si="27"/>
        <v>0.1</v>
      </c>
      <c r="I30" s="83">
        <f t="shared" si="27"/>
        <v>0.1</v>
      </c>
      <c r="J30" s="83">
        <f t="shared" si="27"/>
        <v>0.1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outlineLevel="1">
      <c r="A31" s="130" t="s">
        <v>253</v>
      </c>
      <c r="B31" s="38">
        <f t="shared" ref="B31:J31" si="28">B29+B27+B25</f>
        <v>11759</v>
      </c>
      <c r="C31" s="38">
        <f t="shared" si="28"/>
        <v>20909.39299</v>
      </c>
      <c r="D31" s="38">
        <f t="shared" si="28"/>
        <v>24578</v>
      </c>
      <c r="E31" s="38">
        <f t="shared" si="28"/>
        <v>23387.12614</v>
      </c>
      <c r="F31" s="38">
        <f t="shared" si="28"/>
        <v>26855.20866</v>
      </c>
      <c r="G31" s="38">
        <f t="shared" si="28"/>
        <v>31140.52648</v>
      </c>
      <c r="H31" s="38">
        <f t="shared" si="28"/>
        <v>35888.86541</v>
      </c>
      <c r="I31" s="38">
        <f t="shared" si="28"/>
        <v>41559.03359</v>
      </c>
      <c r="J31" s="38">
        <f t="shared" si="28"/>
        <v>48164.92914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outlineLevel="1">
      <c r="A32" s="29"/>
      <c r="B32" s="21"/>
      <c r="C32" s="21"/>
      <c r="D32" s="21"/>
      <c r="E32" s="21"/>
      <c r="F32" s="21"/>
      <c r="G32" s="21"/>
      <c r="H32" s="21"/>
      <c r="I32" s="21"/>
      <c r="J32" s="2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outlineLevel="1">
      <c r="A33" s="29" t="s">
        <v>256</v>
      </c>
      <c r="B33" s="21"/>
      <c r="C33" s="22">
        <v>2000000.0</v>
      </c>
      <c r="D33" s="22">
        <f>C33*(1.5)</f>
        <v>3000000</v>
      </c>
      <c r="E33" s="22">
        <v>4000000.0</v>
      </c>
      <c r="F33" s="22">
        <f t="shared" ref="F33:J33" si="29">E33*(1.25)</f>
        <v>5000000</v>
      </c>
      <c r="G33" s="22">
        <f t="shared" si="29"/>
        <v>6250000</v>
      </c>
      <c r="H33" s="22">
        <f t="shared" si="29"/>
        <v>7812500</v>
      </c>
      <c r="I33" s="22">
        <f t="shared" si="29"/>
        <v>9765625</v>
      </c>
      <c r="J33" s="22">
        <f t="shared" si="29"/>
        <v>12207031.25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outlineLevel="1">
      <c r="A34" s="29" t="s">
        <v>257</v>
      </c>
      <c r="B34" s="76"/>
      <c r="C34" s="76">
        <f t="shared" ref="C34:J34" si="30">C21/C33</f>
        <v>0.115502</v>
      </c>
      <c r="D34" s="76">
        <f t="shared" si="30"/>
        <v>0.122552</v>
      </c>
      <c r="E34" s="76">
        <f t="shared" si="30"/>
        <v>0.0842682375</v>
      </c>
      <c r="F34" s="76">
        <f t="shared" si="30"/>
        <v>0.07953871815</v>
      </c>
      <c r="G34" s="76">
        <f t="shared" si="30"/>
        <v>0.07546852086</v>
      </c>
      <c r="H34" s="76">
        <f t="shared" si="30"/>
        <v>0.07066450056</v>
      </c>
      <c r="I34" s="76">
        <f t="shared" si="30"/>
        <v>0.06649606399</v>
      </c>
      <c r="J34" s="76">
        <f t="shared" si="30"/>
        <v>0.06246904043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 t="s">
        <v>258</v>
      </c>
      <c r="B36" s="5" t="s">
        <v>13</v>
      </c>
      <c r="E36" s="3" t="s">
        <v>14</v>
      </c>
    </row>
    <row r="37" outlineLevel="1">
      <c r="A37" s="29" t="s">
        <v>216</v>
      </c>
      <c r="B37" s="22">
        <v>101250.0</v>
      </c>
      <c r="C37" s="22">
        <v>149030.0</v>
      </c>
      <c r="D37" s="22">
        <v>66771.0</v>
      </c>
      <c r="E37" s="21">
        <f t="shared" ref="E37:J37" si="31">D37*(1+E38)</f>
        <v>60761.61</v>
      </c>
      <c r="F37" s="21">
        <f t="shared" si="31"/>
        <v>64407.3066</v>
      </c>
      <c r="G37" s="21">
        <f t="shared" si="31"/>
        <v>70687.01899</v>
      </c>
      <c r="H37" s="21">
        <f t="shared" si="31"/>
        <v>77755.72089</v>
      </c>
      <c r="I37" s="21">
        <f t="shared" si="31"/>
        <v>83976.17856</v>
      </c>
      <c r="J37" s="21">
        <f t="shared" si="31"/>
        <v>89014.74928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outlineLevel="1">
      <c r="A38" s="109" t="s">
        <v>218</v>
      </c>
      <c r="B38" s="110" t="s">
        <v>47</v>
      </c>
      <c r="C38" s="111">
        <f t="shared" ref="C38:D38" si="32">(C37-B37)/B37</f>
        <v>0.4719012346</v>
      </c>
      <c r="D38" s="111">
        <f t="shared" si="32"/>
        <v>-0.5519626921</v>
      </c>
      <c r="E38" s="82">
        <v>-0.09</v>
      </c>
      <c r="F38" s="82">
        <f>F6-0.03</f>
        <v>0.06</v>
      </c>
      <c r="G38" s="82">
        <f t="shared" ref="G38:J38" si="33">G6-2%</f>
        <v>0.0975</v>
      </c>
      <c r="H38" s="82">
        <f t="shared" si="33"/>
        <v>0.1</v>
      </c>
      <c r="I38" s="82">
        <f t="shared" si="33"/>
        <v>0.08</v>
      </c>
      <c r="J38" s="82">
        <f t="shared" si="33"/>
        <v>0.06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outlineLevel="1">
      <c r="A39" s="29" t="s">
        <v>222</v>
      </c>
      <c r="B39" s="22">
        <v>2263.0</v>
      </c>
      <c r="C39" s="22">
        <v>6718.0</v>
      </c>
      <c r="D39" s="22">
        <v>8578.0</v>
      </c>
      <c r="E39" s="21">
        <f t="shared" ref="E39:J39" si="34">E40*E37</f>
        <v>6076.161</v>
      </c>
      <c r="F39" s="21">
        <f t="shared" si="34"/>
        <v>6440.73066</v>
      </c>
      <c r="G39" s="21">
        <f t="shared" si="34"/>
        <v>7068.701899</v>
      </c>
      <c r="H39" s="21">
        <f t="shared" si="34"/>
        <v>7775.572089</v>
      </c>
      <c r="I39" s="21">
        <f t="shared" si="34"/>
        <v>8397.617856</v>
      </c>
      <c r="J39" s="21">
        <f t="shared" si="34"/>
        <v>8901.474928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outlineLevel="1">
      <c r="A40" s="109" t="s">
        <v>223</v>
      </c>
      <c r="B40" s="111">
        <f t="shared" ref="B40:D40" si="35">B39/(B37)</f>
        <v>0.02235061728</v>
      </c>
      <c r="C40" s="111">
        <f t="shared" si="35"/>
        <v>0.04507817218</v>
      </c>
      <c r="D40" s="111">
        <f t="shared" si="35"/>
        <v>0.1284689461</v>
      </c>
      <c r="E40" s="82">
        <v>0.1</v>
      </c>
      <c r="F40" s="82">
        <f t="shared" ref="F40:J40" si="36">E40</f>
        <v>0.1</v>
      </c>
      <c r="G40" s="82">
        <f t="shared" si="36"/>
        <v>0.1</v>
      </c>
      <c r="H40" s="82">
        <f t="shared" si="36"/>
        <v>0.1</v>
      </c>
      <c r="I40" s="82">
        <f t="shared" si="36"/>
        <v>0.1</v>
      </c>
      <c r="J40" s="82">
        <f t="shared" si="36"/>
        <v>0.1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outlineLevel="1">
      <c r="A41" s="105" t="s">
        <v>225</v>
      </c>
      <c r="B41" s="25">
        <f t="shared" ref="B41:J41" si="37">B37-B39</f>
        <v>98987</v>
      </c>
      <c r="C41" s="25">
        <f t="shared" si="37"/>
        <v>142312</v>
      </c>
      <c r="D41" s="25">
        <f t="shared" si="37"/>
        <v>58193</v>
      </c>
      <c r="E41" s="116">
        <f t="shared" si="37"/>
        <v>54685.449</v>
      </c>
      <c r="F41" s="116">
        <f t="shared" si="37"/>
        <v>57966.57594</v>
      </c>
      <c r="G41" s="116">
        <f t="shared" si="37"/>
        <v>63618.31709</v>
      </c>
      <c r="H41" s="116">
        <f t="shared" si="37"/>
        <v>69980.1488</v>
      </c>
      <c r="I41" s="116">
        <f t="shared" si="37"/>
        <v>75578.56071</v>
      </c>
      <c r="J41" s="116">
        <f t="shared" si="37"/>
        <v>80113.27435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outlineLevel="1">
      <c r="A42" s="29" t="s">
        <v>226</v>
      </c>
      <c r="B42" s="115">
        <v>85526.07918</v>
      </c>
      <c r="C42" s="115">
        <v>91219.94621</v>
      </c>
      <c r="D42" s="115">
        <v>102971.4983</v>
      </c>
      <c r="E42" s="117">
        <v>105000.0</v>
      </c>
      <c r="F42" s="118">
        <f t="shared" ref="F42:J42" si="38">E42</f>
        <v>105000</v>
      </c>
      <c r="G42" s="118">
        <f t="shared" si="38"/>
        <v>105000</v>
      </c>
      <c r="H42" s="118">
        <f t="shared" si="38"/>
        <v>105000</v>
      </c>
      <c r="I42" s="118">
        <f t="shared" si="38"/>
        <v>105000</v>
      </c>
      <c r="J42" s="118">
        <f t="shared" si="38"/>
        <v>105000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outlineLevel="1">
      <c r="A43" s="105" t="s">
        <v>229</v>
      </c>
      <c r="B43" s="106">
        <f t="shared" ref="B43:J43" si="39">B42*B41/1000000</f>
        <v>8465.97</v>
      </c>
      <c r="C43" s="106">
        <f t="shared" si="39"/>
        <v>12981.69299</v>
      </c>
      <c r="D43" s="106">
        <f t="shared" si="39"/>
        <v>5992.220401</v>
      </c>
      <c r="E43" s="116">
        <f t="shared" si="39"/>
        <v>5741.972145</v>
      </c>
      <c r="F43" s="116">
        <f t="shared" si="39"/>
        <v>6086.490474</v>
      </c>
      <c r="G43" s="116">
        <f t="shared" si="39"/>
        <v>6679.923295</v>
      </c>
      <c r="H43" s="116">
        <f t="shared" si="39"/>
        <v>7347.915624</v>
      </c>
      <c r="I43" s="116">
        <f t="shared" si="39"/>
        <v>7935.748874</v>
      </c>
      <c r="J43" s="116">
        <f t="shared" si="39"/>
        <v>8411.893807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outlineLevel="1">
      <c r="A44" s="12"/>
      <c r="B44" s="12"/>
      <c r="C44" s="12"/>
      <c r="D44" s="12"/>
      <c r="E44" s="28"/>
      <c r="F44" s="28"/>
      <c r="G44" s="28"/>
      <c r="H44" s="28"/>
      <c r="I44" s="28"/>
      <c r="J44" s="28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outlineLevel="1">
      <c r="A45" s="29" t="s">
        <v>230</v>
      </c>
      <c r="B45" s="22">
        <v>1770.0</v>
      </c>
      <c r="C45" s="22">
        <v>81974.0</v>
      </c>
      <c r="D45" s="22">
        <v>300885.0</v>
      </c>
      <c r="E45" s="21">
        <f t="shared" ref="E45:J45" si="40">D45*(1+E46)</f>
        <v>269292.075</v>
      </c>
      <c r="F45" s="21">
        <f t="shared" si="40"/>
        <v>317764.6485</v>
      </c>
      <c r="G45" s="21">
        <f t="shared" si="40"/>
        <v>374962.2852</v>
      </c>
      <c r="H45" s="21">
        <f t="shared" si="40"/>
        <v>434956.2509</v>
      </c>
      <c r="I45" s="21">
        <f t="shared" si="40"/>
        <v>508898.8135</v>
      </c>
      <c r="J45" s="21">
        <f t="shared" si="40"/>
        <v>595411.6118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outlineLevel="1">
      <c r="A46" s="109" t="s">
        <v>218</v>
      </c>
      <c r="B46" s="110" t="s">
        <v>47</v>
      </c>
      <c r="C46" s="111">
        <f t="shared" ref="C46:D46" si="41">(C45-B45)/B45</f>
        <v>45.31299435</v>
      </c>
      <c r="D46" s="111">
        <f t="shared" si="41"/>
        <v>2.670493083</v>
      </c>
      <c r="E46" s="119">
        <f t="shared" ref="E46:J46" si="42">E14-2%</f>
        <v>-0.105</v>
      </c>
      <c r="F46" s="119">
        <f t="shared" si="42"/>
        <v>0.18</v>
      </c>
      <c r="G46" s="119">
        <f t="shared" si="42"/>
        <v>0.18</v>
      </c>
      <c r="H46" s="119">
        <f t="shared" si="42"/>
        <v>0.16</v>
      </c>
      <c r="I46" s="119">
        <f t="shared" si="42"/>
        <v>0.17</v>
      </c>
      <c r="J46" s="119">
        <f t="shared" si="42"/>
        <v>0.17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outlineLevel="1">
      <c r="A47" s="29" t="s">
        <v>233</v>
      </c>
      <c r="B47" s="22">
        <v>0.0</v>
      </c>
      <c r="C47" s="22">
        <v>0.0</v>
      </c>
      <c r="D47" s="22">
        <v>16861.0</v>
      </c>
      <c r="E47" s="21">
        <f t="shared" ref="E47:J47" si="43">E48*E45</f>
        <v>13464.60375</v>
      </c>
      <c r="F47" s="21">
        <f t="shared" si="43"/>
        <v>15888.23243</v>
      </c>
      <c r="G47" s="21">
        <f t="shared" si="43"/>
        <v>18748.11426</v>
      </c>
      <c r="H47" s="21">
        <f t="shared" si="43"/>
        <v>21747.81254</v>
      </c>
      <c r="I47" s="21">
        <f t="shared" si="43"/>
        <v>25444.94068</v>
      </c>
      <c r="J47" s="21">
        <f t="shared" si="43"/>
        <v>29770.58059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outlineLevel="1">
      <c r="A48" s="109" t="s">
        <v>223</v>
      </c>
      <c r="B48" s="42">
        <f t="shared" ref="B48:D48" si="44">B47/(B45)</f>
        <v>0</v>
      </c>
      <c r="C48" s="111">
        <f t="shared" si="44"/>
        <v>0</v>
      </c>
      <c r="D48" s="111">
        <f t="shared" si="44"/>
        <v>0.05603802117</v>
      </c>
      <c r="E48" s="82">
        <v>0.05</v>
      </c>
      <c r="F48" s="83">
        <f t="shared" ref="F48:J48" si="45">E48</f>
        <v>0.05</v>
      </c>
      <c r="G48" s="83">
        <f t="shared" si="45"/>
        <v>0.05</v>
      </c>
      <c r="H48" s="83">
        <f t="shared" si="45"/>
        <v>0.05</v>
      </c>
      <c r="I48" s="83">
        <f t="shared" si="45"/>
        <v>0.05</v>
      </c>
      <c r="J48" s="83">
        <f t="shared" si="45"/>
        <v>0.05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outlineLevel="1">
      <c r="A49" s="105" t="s">
        <v>236</v>
      </c>
      <c r="B49" s="25">
        <f t="shared" ref="B49:J49" si="46">B45-B47</f>
        <v>1770</v>
      </c>
      <c r="C49" s="25">
        <f t="shared" si="46"/>
        <v>81974</v>
      </c>
      <c r="D49" s="25">
        <f t="shared" si="46"/>
        <v>284024</v>
      </c>
      <c r="E49" s="25">
        <f t="shared" si="46"/>
        <v>255827.4713</v>
      </c>
      <c r="F49" s="25">
        <f t="shared" si="46"/>
        <v>301876.4161</v>
      </c>
      <c r="G49" s="25">
        <f t="shared" si="46"/>
        <v>356214.171</v>
      </c>
      <c r="H49" s="25">
        <f t="shared" si="46"/>
        <v>413208.4383</v>
      </c>
      <c r="I49" s="25">
        <f t="shared" si="46"/>
        <v>483453.8728</v>
      </c>
      <c r="J49" s="25">
        <f t="shared" si="46"/>
        <v>565641.0312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outlineLevel="1">
      <c r="A50" s="29" t="s">
        <v>226</v>
      </c>
      <c r="B50" s="115">
        <v>39000.0</v>
      </c>
      <c r="C50" s="115">
        <v>50000.0</v>
      </c>
      <c r="D50" s="115">
        <v>49150.0</v>
      </c>
      <c r="E50" s="121">
        <v>50000.0</v>
      </c>
      <c r="F50" s="122">
        <f t="shared" ref="F50:J50" si="47">E50</f>
        <v>50000</v>
      </c>
      <c r="G50" s="122">
        <f t="shared" si="47"/>
        <v>50000</v>
      </c>
      <c r="H50" s="122">
        <f t="shared" si="47"/>
        <v>50000</v>
      </c>
      <c r="I50" s="122">
        <f t="shared" si="47"/>
        <v>50000</v>
      </c>
      <c r="J50" s="122">
        <f t="shared" si="47"/>
        <v>50000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outlineLevel="1">
      <c r="A51" s="105" t="s">
        <v>240</v>
      </c>
      <c r="B51" s="106">
        <f t="shared" ref="B51:J51" si="48">B50*B49/1000000</f>
        <v>69.03</v>
      </c>
      <c r="C51" s="106">
        <f t="shared" si="48"/>
        <v>4098.7</v>
      </c>
      <c r="D51" s="106">
        <f t="shared" si="48"/>
        <v>13959.7796</v>
      </c>
      <c r="E51" s="25">
        <f t="shared" si="48"/>
        <v>12791.37356</v>
      </c>
      <c r="F51" s="25">
        <f t="shared" si="48"/>
        <v>15093.8208</v>
      </c>
      <c r="G51" s="25">
        <f t="shared" si="48"/>
        <v>17810.70855</v>
      </c>
      <c r="H51" s="25">
        <f t="shared" si="48"/>
        <v>20660.42192</v>
      </c>
      <c r="I51" s="25">
        <f t="shared" si="48"/>
        <v>24172.69364</v>
      </c>
      <c r="J51" s="25">
        <f t="shared" si="48"/>
        <v>28282.05156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outlineLevel="1">
      <c r="A52" s="123" t="s">
        <v>242</v>
      </c>
      <c r="B52" s="124">
        <f t="shared" ref="B52:J52" si="49">B43+B51</f>
        <v>8535</v>
      </c>
      <c r="C52" s="124">
        <f t="shared" si="49"/>
        <v>17080.39299</v>
      </c>
      <c r="D52" s="124">
        <f t="shared" si="49"/>
        <v>19952</v>
      </c>
      <c r="E52" s="59">
        <f t="shared" si="49"/>
        <v>18533.34571</v>
      </c>
      <c r="F52" s="59">
        <f t="shared" si="49"/>
        <v>21180.31128</v>
      </c>
      <c r="G52" s="59">
        <f t="shared" si="49"/>
        <v>24490.63184</v>
      </c>
      <c r="H52" s="59">
        <f t="shared" si="49"/>
        <v>28008.33754</v>
      </c>
      <c r="I52" s="59">
        <f t="shared" si="49"/>
        <v>32108.44252</v>
      </c>
      <c r="J52" s="59">
        <f t="shared" si="49"/>
        <v>36693.94537</v>
      </c>
    </row>
    <row r="53" outlineLevel="1">
      <c r="A53" s="103" t="s">
        <v>244</v>
      </c>
      <c r="B53" s="125">
        <f t="shared" ref="B53:J53" si="50">B37+B45</f>
        <v>103020</v>
      </c>
      <c r="C53" s="125">
        <f t="shared" si="50"/>
        <v>231004</v>
      </c>
      <c r="D53" s="125">
        <f t="shared" si="50"/>
        <v>367656</v>
      </c>
      <c r="E53" s="125">
        <f t="shared" si="50"/>
        <v>330053.685</v>
      </c>
      <c r="F53" s="125">
        <f t="shared" si="50"/>
        <v>382171.9551</v>
      </c>
      <c r="G53" s="125">
        <f t="shared" si="50"/>
        <v>445649.3042</v>
      </c>
      <c r="H53" s="125">
        <f t="shared" si="50"/>
        <v>512711.9718</v>
      </c>
      <c r="I53" s="125">
        <f t="shared" si="50"/>
        <v>592874.9921</v>
      </c>
      <c r="J53" s="125">
        <f t="shared" si="50"/>
        <v>684426.3611</v>
      </c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outlineLevel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outlineLevel="1">
      <c r="A55" s="18" t="s">
        <v>62</v>
      </c>
      <c r="B55" s="26">
        <v>1107.0</v>
      </c>
      <c r="C55" s="27">
        <v>883.0</v>
      </c>
      <c r="D55" s="27">
        <v>869.0</v>
      </c>
      <c r="E55" s="21">
        <f t="shared" ref="E55:J55" si="51">D55*(1+E56)</f>
        <v>912.45</v>
      </c>
      <c r="F55" s="21">
        <f t="shared" si="51"/>
        <v>903.3255</v>
      </c>
      <c r="G55" s="21">
        <f t="shared" si="51"/>
        <v>894.292245</v>
      </c>
      <c r="H55" s="21">
        <f t="shared" si="51"/>
        <v>885.3493226</v>
      </c>
      <c r="I55" s="21">
        <f t="shared" si="51"/>
        <v>876.4958293</v>
      </c>
      <c r="J55" s="21">
        <f t="shared" si="51"/>
        <v>867.730871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outlineLevel="1">
      <c r="A56" s="109" t="s">
        <v>218</v>
      </c>
      <c r="B56" s="127"/>
      <c r="C56" s="111">
        <f t="shared" ref="C56:D56" si="52">(C55-B55)/B55</f>
        <v>-0.2023486902</v>
      </c>
      <c r="D56" s="111">
        <f t="shared" si="52"/>
        <v>-0.01585503964</v>
      </c>
      <c r="E56" s="82">
        <v>0.05</v>
      </c>
      <c r="F56" s="82">
        <v>-0.01</v>
      </c>
      <c r="G56" s="82">
        <v>-0.01</v>
      </c>
      <c r="H56" s="82">
        <v>-0.01</v>
      </c>
      <c r="I56" s="82">
        <v>-0.01</v>
      </c>
      <c r="J56" s="82">
        <v>-0.01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outlineLevel="1">
      <c r="A57" s="130" t="s">
        <v>245</v>
      </c>
      <c r="B57" s="38">
        <f t="shared" ref="B57:J57" si="53">B55+B52</f>
        <v>9642</v>
      </c>
      <c r="C57" s="131">
        <f t="shared" si="53"/>
        <v>17963.39299</v>
      </c>
      <c r="D57" s="131">
        <f t="shared" si="53"/>
        <v>20821</v>
      </c>
      <c r="E57" s="38">
        <f t="shared" si="53"/>
        <v>19445.79571</v>
      </c>
      <c r="F57" s="38">
        <f t="shared" si="53"/>
        <v>22083.63678</v>
      </c>
      <c r="G57" s="38">
        <f t="shared" si="53"/>
        <v>25384.92409</v>
      </c>
      <c r="H57" s="38">
        <f t="shared" si="53"/>
        <v>28893.68686</v>
      </c>
      <c r="I57" s="38">
        <f t="shared" si="53"/>
        <v>32984.93835</v>
      </c>
      <c r="J57" s="38">
        <f t="shared" si="53"/>
        <v>37561.67624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outlineLevel="1"/>
    <row r="59" outlineLevel="1">
      <c r="A59" s="18" t="s">
        <v>247</v>
      </c>
      <c r="B59" s="26">
        <v>1116.0</v>
      </c>
      <c r="C59" s="26">
        <v>1555.0</v>
      </c>
      <c r="D59" s="26">
        <v>1531.0</v>
      </c>
      <c r="E59" s="21">
        <f t="shared" ref="E59:J59" si="54">D59*(1+E60)</f>
        <v>1607.55</v>
      </c>
      <c r="F59" s="21">
        <f t="shared" si="54"/>
        <v>1687.9275</v>
      </c>
      <c r="G59" s="21">
        <f t="shared" si="54"/>
        <v>1793.422969</v>
      </c>
      <c r="H59" s="21">
        <f t="shared" si="54"/>
        <v>1933.534138</v>
      </c>
      <c r="I59" s="21">
        <f t="shared" si="54"/>
        <v>2122.355831</v>
      </c>
      <c r="J59" s="21">
        <f t="shared" si="54"/>
        <v>2381.432471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outlineLevel="1">
      <c r="A60" s="109" t="s">
        <v>218</v>
      </c>
      <c r="B60" s="42"/>
      <c r="C60" s="111">
        <f t="shared" ref="C60:D60" si="55">(C59-B59)/B59</f>
        <v>0.3933691756</v>
      </c>
      <c r="D60" s="111">
        <f t="shared" si="55"/>
        <v>-0.0154340836</v>
      </c>
      <c r="E60" s="82">
        <v>0.05</v>
      </c>
      <c r="F60" s="83">
        <f>E60</f>
        <v>0.05</v>
      </c>
      <c r="G60" s="83">
        <f t="shared" ref="G60:J60" si="56">F60*(1.25)</f>
        <v>0.0625</v>
      </c>
      <c r="H60" s="83">
        <f t="shared" si="56"/>
        <v>0.078125</v>
      </c>
      <c r="I60" s="83">
        <f t="shared" si="56"/>
        <v>0.09765625</v>
      </c>
      <c r="J60" s="83">
        <f t="shared" si="56"/>
        <v>0.1220703125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outlineLevel="1">
      <c r="A61" s="18" t="s">
        <v>74</v>
      </c>
      <c r="B61" s="26">
        <v>1001.0</v>
      </c>
      <c r="C61" s="26">
        <v>1391.0</v>
      </c>
      <c r="D61" s="26">
        <v>2226.0</v>
      </c>
      <c r="E61" s="21">
        <f t="shared" ref="E61:J61" si="57">D61*(1+E62)</f>
        <v>2448.6</v>
      </c>
      <c r="F61" s="21">
        <f t="shared" si="57"/>
        <v>2693.46</v>
      </c>
      <c r="G61" s="21">
        <f t="shared" si="57"/>
        <v>2962.806</v>
      </c>
      <c r="H61" s="21">
        <f t="shared" si="57"/>
        <v>3259.0866</v>
      </c>
      <c r="I61" s="21">
        <f t="shared" si="57"/>
        <v>3584.99526</v>
      </c>
      <c r="J61" s="21">
        <f t="shared" si="57"/>
        <v>3943.494786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outlineLevel="1">
      <c r="A62" s="109" t="s">
        <v>218</v>
      </c>
      <c r="B62" s="42"/>
      <c r="C62" s="111">
        <f t="shared" ref="C62:D62" si="58">(C61-B61)/B61</f>
        <v>0.3896103896</v>
      </c>
      <c r="D62" s="111">
        <f t="shared" si="58"/>
        <v>0.6002875629</v>
      </c>
      <c r="E62" s="82">
        <v>0.1</v>
      </c>
      <c r="F62" s="83">
        <f t="shared" ref="F62:J62" si="59">E62</f>
        <v>0.1</v>
      </c>
      <c r="G62" s="83">
        <f t="shared" si="59"/>
        <v>0.1</v>
      </c>
      <c r="H62" s="83">
        <f t="shared" si="59"/>
        <v>0.1</v>
      </c>
      <c r="I62" s="83">
        <f t="shared" si="59"/>
        <v>0.1</v>
      </c>
      <c r="J62" s="83">
        <f t="shared" si="59"/>
        <v>0.1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outlineLevel="1">
      <c r="A63" s="130" t="s">
        <v>253</v>
      </c>
      <c r="B63" s="38">
        <f t="shared" ref="B63:J63" si="60">B61+B59+B57</f>
        <v>11759</v>
      </c>
      <c r="C63" s="38">
        <f t="shared" si="60"/>
        <v>20909.39299</v>
      </c>
      <c r="D63" s="38">
        <f t="shared" si="60"/>
        <v>24578</v>
      </c>
      <c r="E63" s="38">
        <f t="shared" si="60"/>
        <v>23501.94571</v>
      </c>
      <c r="F63" s="38">
        <f t="shared" si="60"/>
        <v>26465.02428</v>
      </c>
      <c r="G63" s="38">
        <f t="shared" si="60"/>
        <v>30141.15306</v>
      </c>
      <c r="H63" s="38">
        <f t="shared" si="60"/>
        <v>34086.3076</v>
      </c>
      <c r="I63" s="38">
        <f t="shared" si="60"/>
        <v>38692.28944</v>
      </c>
      <c r="J63" s="38">
        <f t="shared" si="60"/>
        <v>43886.6035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outlineLevel="1">
      <c r="A64" s="29"/>
      <c r="B64" s="21"/>
      <c r="C64" s="21"/>
      <c r="D64" s="21"/>
      <c r="E64" s="21"/>
      <c r="F64" s="21"/>
      <c r="G64" s="21"/>
      <c r="H64" s="21"/>
      <c r="I64" s="21"/>
      <c r="J64" s="2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outlineLevel="1">
      <c r="A65" s="29" t="s">
        <v>256</v>
      </c>
      <c r="B65" s="21"/>
      <c r="C65" s="22">
        <v>2000000.0</v>
      </c>
      <c r="D65" s="22">
        <f>C65*(1.5)</f>
        <v>3000000</v>
      </c>
      <c r="E65" s="22">
        <v>4000000.0</v>
      </c>
      <c r="F65" s="22">
        <f t="shared" ref="F65:J65" si="61">E65*(1.25)</f>
        <v>5000000</v>
      </c>
      <c r="G65" s="22">
        <f t="shared" si="61"/>
        <v>6250000</v>
      </c>
      <c r="H65" s="22">
        <f t="shared" si="61"/>
        <v>7812500</v>
      </c>
      <c r="I65" s="22">
        <f t="shared" si="61"/>
        <v>9765625</v>
      </c>
      <c r="J65" s="22">
        <f t="shared" si="61"/>
        <v>12207031.25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outlineLevel="1">
      <c r="A66" s="29" t="s">
        <v>257</v>
      </c>
      <c r="B66" s="76"/>
      <c r="C66" s="76">
        <f t="shared" ref="C66:J66" si="62">C53/C65</f>
        <v>0.115502</v>
      </c>
      <c r="D66" s="76">
        <f t="shared" si="62"/>
        <v>0.122552</v>
      </c>
      <c r="E66" s="76">
        <f t="shared" si="62"/>
        <v>0.08251342125</v>
      </c>
      <c r="F66" s="76">
        <f t="shared" si="62"/>
        <v>0.07643439102</v>
      </c>
      <c r="G66" s="76">
        <f t="shared" si="62"/>
        <v>0.07130388868</v>
      </c>
      <c r="H66" s="76">
        <f t="shared" si="62"/>
        <v>0.06562713239</v>
      </c>
      <c r="I66" s="76">
        <f t="shared" si="62"/>
        <v>0.06071039919</v>
      </c>
      <c r="J66" s="76">
        <f t="shared" si="62"/>
        <v>0.0560682075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8">
      <c r="A68" s="8" t="s">
        <v>287</v>
      </c>
      <c r="B68" s="5" t="s">
        <v>13</v>
      </c>
      <c r="E68" s="3" t="s">
        <v>14</v>
      </c>
    </row>
    <row r="69" outlineLevel="1">
      <c r="A69" s="29" t="s">
        <v>216</v>
      </c>
      <c r="B69" s="22">
        <v>101250.0</v>
      </c>
      <c r="C69" s="22">
        <v>149030.0</v>
      </c>
      <c r="D69" s="22">
        <v>66771.0</v>
      </c>
      <c r="E69" s="21">
        <f t="shared" ref="E69:J69" si="63">D69*(1+E70)</f>
        <v>64434.015</v>
      </c>
      <c r="F69" s="21">
        <f t="shared" si="63"/>
        <v>72810.43695</v>
      </c>
      <c r="G69" s="21">
        <f t="shared" si="63"/>
        <v>84278.08077</v>
      </c>
      <c r="H69" s="21">
        <f t="shared" si="63"/>
        <v>97762.57369</v>
      </c>
      <c r="I69" s="21">
        <f t="shared" si="63"/>
        <v>111449.334</v>
      </c>
      <c r="J69" s="21">
        <f t="shared" si="63"/>
        <v>124823.2541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outlineLevel="1">
      <c r="A70" s="109" t="s">
        <v>218</v>
      </c>
      <c r="B70" s="110" t="s">
        <v>47</v>
      </c>
      <c r="C70" s="111">
        <f t="shared" ref="C70:D70" si="64">(C69-B69)/B69</f>
        <v>0.4719012346</v>
      </c>
      <c r="D70" s="111">
        <f t="shared" si="64"/>
        <v>-0.5519626921</v>
      </c>
      <c r="E70" s="82">
        <f t="shared" ref="E70:J70" si="65">E6+0.04</f>
        <v>-0.035</v>
      </c>
      <c r="F70" s="82">
        <f t="shared" si="65"/>
        <v>0.13</v>
      </c>
      <c r="G70" s="82">
        <f t="shared" si="65"/>
        <v>0.1575</v>
      </c>
      <c r="H70" s="82">
        <f t="shared" si="65"/>
        <v>0.16</v>
      </c>
      <c r="I70" s="82">
        <f t="shared" si="65"/>
        <v>0.14</v>
      </c>
      <c r="J70" s="82">
        <f t="shared" si="65"/>
        <v>0.12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outlineLevel="1">
      <c r="A71" s="29" t="s">
        <v>222</v>
      </c>
      <c r="B71" s="22">
        <v>2263.0</v>
      </c>
      <c r="C71" s="22">
        <v>6718.0</v>
      </c>
      <c r="D71" s="22">
        <v>8578.0</v>
      </c>
      <c r="E71" s="21">
        <f t="shared" ref="E71:J71" si="66">E72*E69</f>
        <v>6443.4015</v>
      </c>
      <c r="F71" s="21">
        <f t="shared" si="66"/>
        <v>7281.043695</v>
      </c>
      <c r="G71" s="21">
        <f t="shared" si="66"/>
        <v>8427.808077</v>
      </c>
      <c r="H71" s="21">
        <f t="shared" si="66"/>
        <v>9776.257369</v>
      </c>
      <c r="I71" s="21">
        <f t="shared" si="66"/>
        <v>11144.9334</v>
      </c>
      <c r="J71" s="21">
        <f t="shared" si="66"/>
        <v>12482.32541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outlineLevel="1">
      <c r="A72" s="109" t="s">
        <v>223</v>
      </c>
      <c r="B72" s="111">
        <f t="shared" ref="B72:D72" si="67">B71/(B69)</f>
        <v>0.02235061728</v>
      </c>
      <c r="C72" s="111">
        <f t="shared" si="67"/>
        <v>0.04507817218</v>
      </c>
      <c r="D72" s="111">
        <f t="shared" si="67"/>
        <v>0.1284689461</v>
      </c>
      <c r="E72" s="82">
        <v>0.1</v>
      </c>
      <c r="F72" s="82">
        <f t="shared" ref="F72:J72" si="68">E72</f>
        <v>0.1</v>
      </c>
      <c r="G72" s="82">
        <f t="shared" si="68"/>
        <v>0.1</v>
      </c>
      <c r="H72" s="82">
        <f t="shared" si="68"/>
        <v>0.1</v>
      </c>
      <c r="I72" s="82">
        <f t="shared" si="68"/>
        <v>0.1</v>
      </c>
      <c r="J72" s="82">
        <f t="shared" si="68"/>
        <v>0.1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outlineLevel="1">
      <c r="A73" s="105" t="s">
        <v>225</v>
      </c>
      <c r="B73" s="25">
        <f t="shared" ref="B73:J73" si="69">B69-B71</f>
        <v>98987</v>
      </c>
      <c r="C73" s="25">
        <f t="shared" si="69"/>
        <v>142312</v>
      </c>
      <c r="D73" s="25">
        <f t="shared" si="69"/>
        <v>58193</v>
      </c>
      <c r="E73" s="116">
        <f t="shared" si="69"/>
        <v>57990.6135</v>
      </c>
      <c r="F73" s="116">
        <f t="shared" si="69"/>
        <v>65529.39326</v>
      </c>
      <c r="G73" s="116">
        <f t="shared" si="69"/>
        <v>75850.27269</v>
      </c>
      <c r="H73" s="116">
        <f t="shared" si="69"/>
        <v>87986.31632</v>
      </c>
      <c r="I73" s="116">
        <f t="shared" si="69"/>
        <v>100304.4006</v>
      </c>
      <c r="J73" s="116">
        <f t="shared" si="69"/>
        <v>112340.9287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outlineLevel="1">
      <c r="A74" s="29" t="s">
        <v>226</v>
      </c>
      <c r="B74" s="115">
        <v>85526.07918</v>
      </c>
      <c r="C74" s="115">
        <v>91219.94621</v>
      </c>
      <c r="D74" s="115">
        <v>102971.4983</v>
      </c>
      <c r="E74" s="117">
        <v>105000.0</v>
      </c>
      <c r="F74" s="118">
        <f t="shared" ref="F74:J74" si="70">E74</f>
        <v>105000</v>
      </c>
      <c r="G74" s="118">
        <f t="shared" si="70"/>
        <v>105000</v>
      </c>
      <c r="H74" s="118">
        <f t="shared" si="70"/>
        <v>105000</v>
      </c>
      <c r="I74" s="118">
        <f t="shared" si="70"/>
        <v>105000</v>
      </c>
      <c r="J74" s="118">
        <f t="shared" si="70"/>
        <v>105000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outlineLevel="1">
      <c r="A75" s="105" t="s">
        <v>229</v>
      </c>
      <c r="B75" s="106">
        <f t="shared" ref="B75:J75" si="71">B74*B73/1000000</f>
        <v>8465.97</v>
      </c>
      <c r="C75" s="106">
        <f t="shared" si="71"/>
        <v>12981.69299</v>
      </c>
      <c r="D75" s="106">
        <f t="shared" si="71"/>
        <v>5992.220401</v>
      </c>
      <c r="E75" s="116">
        <f t="shared" si="71"/>
        <v>6089.014418</v>
      </c>
      <c r="F75" s="116">
        <f t="shared" si="71"/>
        <v>6880.586292</v>
      </c>
      <c r="G75" s="116">
        <f t="shared" si="71"/>
        <v>7964.278633</v>
      </c>
      <c r="H75" s="116">
        <f t="shared" si="71"/>
        <v>9238.563214</v>
      </c>
      <c r="I75" s="116">
        <f t="shared" si="71"/>
        <v>10531.96206</v>
      </c>
      <c r="J75" s="116">
        <f t="shared" si="71"/>
        <v>11795.79751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outlineLevel="1">
      <c r="A76" s="12"/>
      <c r="B76" s="12"/>
      <c r="C76" s="12"/>
      <c r="D76" s="12"/>
      <c r="E76" s="28"/>
      <c r="F76" s="28"/>
      <c r="G76" s="28"/>
      <c r="H76" s="28"/>
      <c r="I76" s="28"/>
      <c r="J76" s="28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outlineLevel="1">
      <c r="A77" s="29" t="s">
        <v>230</v>
      </c>
      <c r="B77" s="22">
        <v>1770.0</v>
      </c>
      <c r="C77" s="22">
        <v>81974.0</v>
      </c>
      <c r="D77" s="22">
        <v>300885.0</v>
      </c>
      <c r="E77" s="21">
        <f t="shared" ref="E77:J77" si="72">D77*(1+E78)</f>
        <v>330973.5</v>
      </c>
      <c r="F77" s="21">
        <f t="shared" si="72"/>
        <v>413716.875</v>
      </c>
      <c r="G77" s="21">
        <f t="shared" si="72"/>
        <v>537831.9375</v>
      </c>
      <c r="H77" s="21">
        <f t="shared" si="72"/>
        <v>726073.1156</v>
      </c>
      <c r="I77" s="21">
        <f t="shared" si="72"/>
        <v>1016502.362</v>
      </c>
      <c r="J77" s="21">
        <f t="shared" si="72"/>
        <v>1473928.425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outlineLevel="1">
      <c r="A78" s="109" t="s">
        <v>218</v>
      </c>
      <c r="B78" s="110" t="s">
        <v>47</v>
      </c>
      <c r="C78" s="111">
        <f t="shared" ref="C78:D78" si="73">(C77-B77)/B77</f>
        <v>45.31299435</v>
      </c>
      <c r="D78" s="111">
        <f t="shared" si="73"/>
        <v>2.670493083</v>
      </c>
      <c r="E78" s="119">
        <v>0.1</v>
      </c>
      <c r="F78" s="82">
        <v>0.25</v>
      </c>
      <c r="G78" s="119">
        <v>0.3</v>
      </c>
      <c r="H78" s="119">
        <v>0.35</v>
      </c>
      <c r="I78" s="119">
        <v>0.4</v>
      </c>
      <c r="J78" s="119">
        <v>0.45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outlineLevel="1">
      <c r="A79" s="29" t="s">
        <v>233</v>
      </c>
      <c r="B79" s="22">
        <v>0.0</v>
      </c>
      <c r="C79" s="22">
        <v>0.0</v>
      </c>
      <c r="D79" s="22">
        <v>16861.0</v>
      </c>
      <c r="E79" s="21">
        <f t="shared" ref="E79:J79" si="74">E80*E77</f>
        <v>16548.675</v>
      </c>
      <c r="F79" s="21">
        <f t="shared" si="74"/>
        <v>20685.84375</v>
      </c>
      <c r="G79" s="21">
        <f t="shared" si="74"/>
        <v>26891.59688</v>
      </c>
      <c r="H79" s="21">
        <f t="shared" si="74"/>
        <v>36303.65578</v>
      </c>
      <c r="I79" s="21">
        <f t="shared" si="74"/>
        <v>50825.11809</v>
      </c>
      <c r="J79" s="21">
        <f t="shared" si="74"/>
        <v>73696.42124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outlineLevel="1">
      <c r="A80" s="109" t="s">
        <v>223</v>
      </c>
      <c r="B80" s="42">
        <f t="shared" ref="B80:D80" si="75">B79/(B77)</f>
        <v>0</v>
      </c>
      <c r="C80" s="111">
        <f t="shared" si="75"/>
        <v>0</v>
      </c>
      <c r="D80" s="111">
        <f t="shared" si="75"/>
        <v>0.05603802117</v>
      </c>
      <c r="E80" s="82">
        <v>0.05</v>
      </c>
      <c r="F80" s="83">
        <f t="shared" ref="F80:J80" si="76">E80</f>
        <v>0.05</v>
      </c>
      <c r="G80" s="83">
        <f t="shared" si="76"/>
        <v>0.05</v>
      </c>
      <c r="H80" s="83">
        <f t="shared" si="76"/>
        <v>0.05</v>
      </c>
      <c r="I80" s="83">
        <f t="shared" si="76"/>
        <v>0.05</v>
      </c>
      <c r="J80" s="83">
        <f t="shared" si="76"/>
        <v>0.05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outlineLevel="1">
      <c r="A81" s="105" t="s">
        <v>236</v>
      </c>
      <c r="B81" s="25">
        <f t="shared" ref="B81:J81" si="77">B77-B79</f>
        <v>1770</v>
      </c>
      <c r="C81" s="25">
        <f t="shared" si="77"/>
        <v>81974</v>
      </c>
      <c r="D81" s="25">
        <f t="shared" si="77"/>
        <v>284024</v>
      </c>
      <c r="E81" s="25">
        <f t="shared" si="77"/>
        <v>314424.825</v>
      </c>
      <c r="F81" s="25">
        <f t="shared" si="77"/>
        <v>393031.0313</v>
      </c>
      <c r="G81" s="25">
        <f t="shared" si="77"/>
        <v>510940.3406</v>
      </c>
      <c r="H81" s="25">
        <f t="shared" si="77"/>
        <v>689769.4598</v>
      </c>
      <c r="I81" s="25">
        <f t="shared" si="77"/>
        <v>965677.2438</v>
      </c>
      <c r="J81" s="25">
        <f t="shared" si="77"/>
        <v>1400232.003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outlineLevel="1">
      <c r="A82" s="29" t="s">
        <v>226</v>
      </c>
      <c r="B82" s="115">
        <v>39000.0</v>
      </c>
      <c r="C82" s="115">
        <v>50000.0</v>
      </c>
      <c r="D82" s="115">
        <v>49150.0</v>
      </c>
      <c r="E82" s="121">
        <v>50000.0</v>
      </c>
      <c r="F82" s="122">
        <f t="shared" ref="F82:J82" si="78">E82</f>
        <v>50000</v>
      </c>
      <c r="G82" s="122">
        <f t="shared" si="78"/>
        <v>50000</v>
      </c>
      <c r="H82" s="122">
        <f t="shared" si="78"/>
        <v>50000</v>
      </c>
      <c r="I82" s="122">
        <f t="shared" si="78"/>
        <v>50000</v>
      </c>
      <c r="J82" s="122">
        <f t="shared" si="78"/>
        <v>50000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outlineLevel="1">
      <c r="A83" s="105" t="s">
        <v>240</v>
      </c>
      <c r="B83" s="106">
        <f t="shared" ref="B83:J83" si="79">B82*B81/1000000</f>
        <v>69.03</v>
      </c>
      <c r="C83" s="106">
        <f t="shared" si="79"/>
        <v>4098.7</v>
      </c>
      <c r="D83" s="106">
        <f t="shared" si="79"/>
        <v>13959.7796</v>
      </c>
      <c r="E83" s="25">
        <f t="shared" si="79"/>
        <v>15721.24125</v>
      </c>
      <c r="F83" s="25">
        <f t="shared" si="79"/>
        <v>19651.55156</v>
      </c>
      <c r="G83" s="25">
        <f t="shared" si="79"/>
        <v>25547.01703</v>
      </c>
      <c r="H83" s="25">
        <f t="shared" si="79"/>
        <v>34488.47299</v>
      </c>
      <c r="I83" s="25">
        <f t="shared" si="79"/>
        <v>48283.86219</v>
      </c>
      <c r="J83" s="25">
        <f t="shared" si="79"/>
        <v>70011.60017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outlineLevel="1">
      <c r="A84" s="123" t="s">
        <v>242</v>
      </c>
      <c r="B84" s="124">
        <f t="shared" ref="B84:J84" si="80">B75+B83</f>
        <v>8535</v>
      </c>
      <c r="C84" s="124">
        <f t="shared" si="80"/>
        <v>17080.39299</v>
      </c>
      <c r="D84" s="124">
        <f t="shared" si="80"/>
        <v>19952</v>
      </c>
      <c r="E84" s="59">
        <f t="shared" si="80"/>
        <v>21810.25567</v>
      </c>
      <c r="F84" s="59">
        <f t="shared" si="80"/>
        <v>26532.13785</v>
      </c>
      <c r="G84" s="59">
        <f t="shared" si="80"/>
        <v>33511.29566</v>
      </c>
      <c r="H84" s="59">
        <f t="shared" si="80"/>
        <v>43727.03621</v>
      </c>
      <c r="I84" s="59">
        <f t="shared" si="80"/>
        <v>58815.82425</v>
      </c>
      <c r="J84" s="59">
        <f t="shared" si="80"/>
        <v>81807.39769</v>
      </c>
    </row>
    <row r="85" outlineLevel="1">
      <c r="A85" s="103" t="s">
        <v>244</v>
      </c>
      <c r="B85" s="125">
        <f t="shared" ref="B85:J85" si="81">B69+B77</f>
        <v>103020</v>
      </c>
      <c r="C85" s="125">
        <f t="shared" si="81"/>
        <v>231004</v>
      </c>
      <c r="D85" s="125">
        <f t="shared" si="81"/>
        <v>367656</v>
      </c>
      <c r="E85" s="125">
        <f t="shared" si="81"/>
        <v>395407.515</v>
      </c>
      <c r="F85" s="125">
        <f t="shared" si="81"/>
        <v>486527.312</v>
      </c>
      <c r="G85" s="125">
        <f t="shared" si="81"/>
        <v>622110.0183</v>
      </c>
      <c r="H85" s="125">
        <f t="shared" si="81"/>
        <v>823835.6893</v>
      </c>
      <c r="I85" s="125">
        <f t="shared" si="81"/>
        <v>1127951.696</v>
      </c>
      <c r="J85" s="125">
        <f t="shared" si="81"/>
        <v>1598751.679</v>
      </c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outlineLevel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outlineLevel="1">
      <c r="A87" s="18" t="s">
        <v>62</v>
      </c>
      <c r="B87" s="26">
        <v>1107.0</v>
      </c>
      <c r="C87" s="27">
        <v>883.0</v>
      </c>
      <c r="D87" s="27">
        <v>869.0</v>
      </c>
      <c r="E87" s="21">
        <f t="shared" ref="E87:J87" si="82">D87*(1+E88)</f>
        <v>912.45</v>
      </c>
      <c r="F87" s="21">
        <f t="shared" si="82"/>
        <v>903.3255</v>
      </c>
      <c r="G87" s="21">
        <f t="shared" si="82"/>
        <v>894.292245</v>
      </c>
      <c r="H87" s="21">
        <f t="shared" si="82"/>
        <v>885.3493226</v>
      </c>
      <c r="I87" s="21">
        <f t="shared" si="82"/>
        <v>876.4958293</v>
      </c>
      <c r="J87" s="21">
        <f t="shared" si="82"/>
        <v>867.730871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outlineLevel="1">
      <c r="A88" s="109" t="s">
        <v>218</v>
      </c>
      <c r="B88" s="127"/>
      <c r="C88" s="111">
        <f t="shared" ref="C88:D88" si="83">(C87-B87)/B87</f>
        <v>-0.2023486902</v>
      </c>
      <c r="D88" s="111">
        <f t="shared" si="83"/>
        <v>-0.01585503964</v>
      </c>
      <c r="E88" s="82">
        <v>0.05</v>
      </c>
      <c r="F88" s="82">
        <v>-0.01</v>
      </c>
      <c r="G88" s="82">
        <v>-0.01</v>
      </c>
      <c r="H88" s="82">
        <v>-0.01</v>
      </c>
      <c r="I88" s="82">
        <v>-0.01</v>
      </c>
      <c r="J88" s="82">
        <v>-0.01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outlineLevel="1">
      <c r="A89" s="130" t="s">
        <v>245</v>
      </c>
      <c r="B89" s="38">
        <f t="shared" ref="B89:J89" si="84">B87+B84</f>
        <v>9642</v>
      </c>
      <c r="C89" s="131">
        <f t="shared" si="84"/>
        <v>17963.39299</v>
      </c>
      <c r="D89" s="131">
        <f t="shared" si="84"/>
        <v>20821</v>
      </c>
      <c r="E89" s="38">
        <f t="shared" si="84"/>
        <v>22722.70567</v>
      </c>
      <c r="F89" s="38">
        <f t="shared" si="84"/>
        <v>27435.46335</v>
      </c>
      <c r="G89" s="38">
        <f t="shared" si="84"/>
        <v>34405.58791</v>
      </c>
      <c r="H89" s="38">
        <f t="shared" si="84"/>
        <v>44612.38553</v>
      </c>
      <c r="I89" s="38">
        <f t="shared" si="84"/>
        <v>59692.32008</v>
      </c>
      <c r="J89" s="38">
        <f t="shared" si="84"/>
        <v>82675.12856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outlineLevel="1"/>
    <row r="91" outlineLevel="1">
      <c r="A91" s="18" t="s">
        <v>247</v>
      </c>
      <c r="B91" s="26">
        <v>1116.0</v>
      </c>
      <c r="C91" s="26">
        <v>1555.0</v>
      </c>
      <c r="D91" s="26">
        <v>1531.0</v>
      </c>
      <c r="E91" s="21">
        <f t="shared" ref="E91:J91" si="85">D91*(1+E92)</f>
        <v>1607.55</v>
      </c>
      <c r="F91" s="21">
        <f t="shared" si="85"/>
        <v>1687.9275</v>
      </c>
      <c r="G91" s="21">
        <f t="shared" si="85"/>
        <v>1793.422969</v>
      </c>
      <c r="H91" s="21">
        <f t="shared" si="85"/>
        <v>1933.534138</v>
      </c>
      <c r="I91" s="21">
        <f t="shared" si="85"/>
        <v>2122.355831</v>
      </c>
      <c r="J91" s="21">
        <f t="shared" si="85"/>
        <v>2381.432471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outlineLevel="1">
      <c r="A92" s="109" t="s">
        <v>218</v>
      </c>
      <c r="B92" s="42"/>
      <c r="C92" s="111">
        <f t="shared" ref="C92:D92" si="86">(C91-B91)/B91</f>
        <v>0.3933691756</v>
      </c>
      <c r="D92" s="111">
        <f t="shared" si="86"/>
        <v>-0.0154340836</v>
      </c>
      <c r="E92" s="82">
        <v>0.05</v>
      </c>
      <c r="F92" s="83">
        <f>E92</f>
        <v>0.05</v>
      </c>
      <c r="G92" s="83">
        <f t="shared" ref="G92:J92" si="87">F92*(1.25)</f>
        <v>0.0625</v>
      </c>
      <c r="H92" s="83">
        <f t="shared" si="87"/>
        <v>0.078125</v>
      </c>
      <c r="I92" s="83">
        <f t="shared" si="87"/>
        <v>0.09765625</v>
      </c>
      <c r="J92" s="83">
        <f t="shared" si="87"/>
        <v>0.1220703125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outlineLevel="1">
      <c r="A93" s="18" t="s">
        <v>74</v>
      </c>
      <c r="B93" s="26">
        <v>1001.0</v>
      </c>
      <c r="C93" s="26">
        <v>1391.0</v>
      </c>
      <c r="D93" s="26">
        <v>2226.0</v>
      </c>
      <c r="E93" s="21">
        <f t="shared" ref="E93:J93" si="88">D93*(1+E94)</f>
        <v>2448.6</v>
      </c>
      <c r="F93" s="21">
        <f t="shared" si="88"/>
        <v>2693.46</v>
      </c>
      <c r="G93" s="21">
        <f t="shared" si="88"/>
        <v>2962.806</v>
      </c>
      <c r="H93" s="21">
        <f t="shared" si="88"/>
        <v>3259.0866</v>
      </c>
      <c r="I93" s="21">
        <f t="shared" si="88"/>
        <v>3584.99526</v>
      </c>
      <c r="J93" s="21">
        <f t="shared" si="88"/>
        <v>3943.494786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outlineLevel="1">
      <c r="A94" s="109" t="s">
        <v>218</v>
      </c>
      <c r="B94" s="42"/>
      <c r="C94" s="111">
        <f t="shared" ref="C94:D94" si="89">(C93-B93)/B93</f>
        <v>0.3896103896</v>
      </c>
      <c r="D94" s="111">
        <f t="shared" si="89"/>
        <v>0.6002875629</v>
      </c>
      <c r="E94" s="82">
        <v>0.1</v>
      </c>
      <c r="F94" s="83">
        <f t="shared" ref="F94:J94" si="90">E94</f>
        <v>0.1</v>
      </c>
      <c r="G94" s="83">
        <f t="shared" si="90"/>
        <v>0.1</v>
      </c>
      <c r="H94" s="83">
        <f t="shared" si="90"/>
        <v>0.1</v>
      </c>
      <c r="I94" s="83">
        <f t="shared" si="90"/>
        <v>0.1</v>
      </c>
      <c r="J94" s="83">
        <f t="shared" si="90"/>
        <v>0.1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outlineLevel="1">
      <c r="A95" s="130" t="s">
        <v>253</v>
      </c>
      <c r="B95" s="38">
        <f t="shared" ref="B95:J95" si="91">B93+B91+B89</f>
        <v>11759</v>
      </c>
      <c r="C95" s="38">
        <f t="shared" si="91"/>
        <v>20909.39299</v>
      </c>
      <c r="D95" s="38">
        <f t="shared" si="91"/>
        <v>24578</v>
      </c>
      <c r="E95" s="38">
        <f t="shared" si="91"/>
        <v>26778.85567</v>
      </c>
      <c r="F95" s="38">
        <f t="shared" si="91"/>
        <v>31816.85085</v>
      </c>
      <c r="G95" s="38">
        <f t="shared" si="91"/>
        <v>39161.81688</v>
      </c>
      <c r="H95" s="38">
        <f t="shared" si="91"/>
        <v>49805.00627</v>
      </c>
      <c r="I95" s="38">
        <f t="shared" si="91"/>
        <v>65399.67117</v>
      </c>
      <c r="J95" s="38">
        <f t="shared" si="91"/>
        <v>89000.05581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outlineLevel="1">
      <c r="A96" s="29"/>
      <c r="B96" s="21"/>
      <c r="C96" s="21"/>
      <c r="D96" s="21"/>
      <c r="E96" s="21"/>
      <c r="F96" s="21"/>
      <c r="G96" s="21"/>
      <c r="H96" s="21"/>
      <c r="I96" s="21"/>
      <c r="J96" s="2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outlineLevel="1">
      <c r="A97" s="29" t="s">
        <v>256</v>
      </c>
      <c r="B97" s="21"/>
      <c r="C97" s="22">
        <v>2000000.0</v>
      </c>
      <c r="D97" s="22">
        <f>C97*(1.5)</f>
        <v>3000000</v>
      </c>
      <c r="E97" s="22">
        <v>4000000.0</v>
      </c>
      <c r="F97" s="22">
        <f t="shared" ref="F97:J97" si="92">E97*(1.25)</f>
        <v>5000000</v>
      </c>
      <c r="G97" s="22">
        <f t="shared" si="92"/>
        <v>6250000</v>
      </c>
      <c r="H97" s="22">
        <f t="shared" si="92"/>
        <v>7812500</v>
      </c>
      <c r="I97" s="22">
        <f t="shared" si="92"/>
        <v>9765625</v>
      </c>
      <c r="J97" s="22">
        <f t="shared" si="92"/>
        <v>12207031.25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outlineLevel="1">
      <c r="A98" s="29" t="s">
        <v>257</v>
      </c>
      <c r="B98" s="76"/>
      <c r="C98" s="76">
        <f t="shared" ref="C98:J98" si="93">C85/C97</f>
        <v>0.115502</v>
      </c>
      <c r="D98" s="76">
        <f t="shared" si="93"/>
        <v>0.122552</v>
      </c>
      <c r="E98" s="76">
        <f t="shared" si="93"/>
        <v>0.09885187875</v>
      </c>
      <c r="F98" s="76">
        <f t="shared" si="93"/>
        <v>0.09730546239</v>
      </c>
      <c r="G98" s="76">
        <f t="shared" si="93"/>
        <v>0.09953760292</v>
      </c>
      <c r="H98" s="76">
        <f t="shared" si="93"/>
        <v>0.1054509682</v>
      </c>
      <c r="I98" s="76">
        <f t="shared" si="93"/>
        <v>0.1155022537</v>
      </c>
      <c r="J98" s="76">
        <f t="shared" si="93"/>
        <v>0.1309697375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</sheetData>
  <mergeCells count="8">
    <mergeCell ref="B1:D1"/>
    <mergeCell ref="E1:J1"/>
    <mergeCell ref="B4:D4"/>
    <mergeCell ref="E4:J4"/>
    <mergeCell ref="B36:D36"/>
    <mergeCell ref="E36:J36"/>
    <mergeCell ref="B68:D68"/>
    <mergeCell ref="E68:J68"/>
  </mergeCells>
  <conditionalFormatting sqref="B23:D23 B27:D27 B29:D29 B55:D55 B59:D59 B61:D61 B87:D87 B91:D91 B93:D93">
    <cfRule type="cellIs" dxfId="3" priority="1" operator="lessThan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8.86"/>
  </cols>
  <sheetData>
    <row r="1">
      <c r="A1" s="1" t="s">
        <v>0</v>
      </c>
      <c r="B1" s="2" t="s">
        <v>1</v>
      </c>
      <c r="E1" s="3" t="s">
        <v>2</v>
      </c>
    </row>
    <row r="2">
      <c r="A2" s="4"/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>
      <c r="A3" s="2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03" t="s">
        <v>203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29" t="s">
        <v>204</v>
      </c>
      <c r="B5" s="101">
        <f>BS!B36</f>
        <v>797</v>
      </c>
      <c r="C5" s="101">
        <f>BS!C36</f>
        <v>2568</v>
      </c>
      <c r="D5" s="101">
        <f>BS!D36</f>
        <v>1785</v>
      </c>
      <c r="E5" s="101">
        <f>BS!E36</f>
        <v>1698.511683</v>
      </c>
      <c r="F5" s="101">
        <f>BS!F36</f>
        <v>1950.384387</v>
      </c>
      <c r="G5" s="101">
        <f>BS!G36</f>
        <v>2261.60956</v>
      </c>
      <c r="H5" s="101">
        <f>BS!H36</f>
        <v>2606.46207</v>
      </c>
      <c r="I5" s="101">
        <f>BS!I36</f>
        <v>3018.263283</v>
      </c>
      <c r="J5" s="101">
        <f>BS!J36</f>
        <v>3498.022562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9" t="s">
        <v>205</v>
      </c>
      <c r="B6" s="101">
        <f>BS!B40</f>
        <v>9418</v>
      </c>
      <c r="C6" s="101">
        <f>BS!C40</f>
        <v>9404</v>
      </c>
      <c r="D6" s="101">
        <f>BS!D40</f>
        <v>11634</v>
      </c>
      <c r="E6" s="101">
        <f>BS!E40</f>
        <v>11362.17</v>
      </c>
      <c r="F6" s="101">
        <f>BS!F40</f>
        <v>11008.9597</v>
      </c>
      <c r="G6" s="101">
        <f>BS!G40</f>
        <v>9259.130097</v>
      </c>
      <c r="H6" s="101">
        <f>BS!H40</f>
        <v>8197.162198</v>
      </c>
      <c r="I6" s="101">
        <f>BS!I40</f>
        <v>8203.73702</v>
      </c>
      <c r="J6" s="101">
        <f>BS!J40</f>
        <v>6831.21559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05" t="s">
        <v>208</v>
      </c>
      <c r="B7" s="106">
        <f t="shared" ref="B7:J7" si="1">SUM(B5:B6)</f>
        <v>10215</v>
      </c>
      <c r="C7" s="106">
        <f t="shared" si="1"/>
        <v>11972</v>
      </c>
      <c r="D7" s="106">
        <f t="shared" si="1"/>
        <v>13419</v>
      </c>
      <c r="E7" s="106">
        <f t="shared" si="1"/>
        <v>13060.68168</v>
      </c>
      <c r="F7" s="106">
        <f t="shared" si="1"/>
        <v>12959.34409</v>
      </c>
      <c r="G7" s="106">
        <f t="shared" si="1"/>
        <v>11520.73966</v>
      </c>
      <c r="H7" s="106">
        <f t="shared" si="1"/>
        <v>10803.62427</v>
      </c>
      <c r="I7" s="106">
        <f t="shared" si="1"/>
        <v>11222.0003</v>
      </c>
      <c r="J7" s="106">
        <f t="shared" si="1"/>
        <v>10329.23815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9" t="s">
        <v>210</v>
      </c>
      <c r="B8" s="66">
        <v>52554.9</v>
      </c>
      <c r="C8" s="66">
        <v>57442.3</v>
      </c>
      <c r="D8" s="66">
        <v>75717.7</v>
      </c>
      <c r="E8" s="107"/>
      <c r="F8" s="107"/>
      <c r="G8" s="107"/>
      <c r="H8" s="107"/>
      <c r="I8" s="107"/>
      <c r="J8" s="107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9" t="s">
        <v>211</v>
      </c>
      <c r="B9" s="101">
        <f>B8+(B7-BS!B9)</f>
        <v>59401.9</v>
      </c>
      <c r="C9" s="101">
        <f>C8+(C7-BS!C9)</f>
        <v>65728.3</v>
      </c>
      <c r="D9" s="101">
        <f>D8+(D7-BS!D9)</f>
        <v>82868.7</v>
      </c>
      <c r="E9" s="107"/>
      <c r="F9" s="107"/>
      <c r="G9" s="107"/>
      <c r="H9" s="107"/>
      <c r="I9" s="107"/>
      <c r="J9" s="107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9"/>
      <c r="B10" s="101"/>
      <c r="C10" s="101"/>
      <c r="D10" s="10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9" t="s">
        <v>214</v>
      </c>
      <c r="B11" s="101">
        <f>B7/IS!B42</f>
        <v>2605.867347</v>
      </c>
      <c r="C11" s="101">
        <f>C7/IS!C42</f>
        <v>7.912860712</v>
      </c>
      <c r="D11" s="101">
        <f>D7/IS!D42</f>
        <v>5.344086022</v>
      </c>
      <c r="E11" s="101">
        <f>E7/IS!E42</f>
        <v>5.505494478</v>
      </c>
      <c r="F11" s="101">
        <f>F7/IS!F42</f>
        <v>6.128410397</v>
      </c>
      <c r="G11" s="101">
        <f>G7/IS!G42</f>
        <v>3.804921622</v>
      </c>
      <c r="H11" s="101">
        <f>H7/IS!H42</f>
        <v>2.592394098</v>
      </c>
      <c r="I11" s="101">
        <f>I7/IS!I42</f>
        <v>2.030276049</v>
      </c>
      <c r="J11" s="101">
        <f>J7/IS!J42</f>
        <v>1.431787453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9" t="s">
        <v>219</v>
      </c>
      <c r="B12" s="101">
        <f>(B7-BS!B9)/IS!B42</f>
        <v>1746.683673</v>
      </c>
      <c r="C12" s="101">
        <f>(C7-BS!C9)/IS!C42</f>
        <v>5.476609076</v>
      </c>
      <c r="D12" s="101">
        <f>(D7-BS!D9)/IS!D42</f>
        <v>2.847869375</v>
      </c>
      <c r="E12" s="101">
        <f>(E7-BS!E9)/IS!E42</f>
        <v>2.705304953</v>
      </c>
      <c r="F12" s="101">
        <f>(F7-BS!F9)/IS!F42</f>
        <v>1.980954373</v>
      </c>
      <c r="G12" s="101">
        <f>(G7-BS!G9)/IS!G42</f>
        <v>0.4016245581</v>
      </c>
      <c r="H12" s="101">
        <f>(H7-BS!H9)/IS!H42</f>
        <v>-0.6907699883</v>
      </c>
      <c r="I12" s="101">
        <f>(I7-BS!I9)/IS!I42</f>
        <v>-1.504606714</v>
      </c>
      <c r="J12" s="101">
        <f>(J7-BS!J9)/IS!J42</f>
        <v>-2.122954959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9"/>
      <c r="B13" s="101"/>
      <c r="C13" s="101"/>
      <c r="D13" s="10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9" t="s">
        <v>224</v>
      </c>
      <c r="B14" s="101">
        <f>IS!B42/-IS!B34</f>
        <v>0.008322717622</v>
      </c>
      <c r="C14" s="101">
        <f>IS!C42/-IS!C34</f>
        <v>2.282021116</v>
      </c>
      <c r="D14" s="101">
        <f>IS!D42/-IS!D34</f>
        <v>3.665693431</v>
      </c>
      <c r="E14" s="101">
        <f>IS!E42/-IS!E34</f>
        <v>2.718812079</v>
      </c>
      <c r="F14" s="101">
        <f>IS!F42/-IS!F34</f>
        <v>2.481490598</v>
      </c>
      <c r="G14" s="101">
        <f>IS!G42/-IS!G34</f>
        <v>3.667136723</v>
      </c>
      <c r="H14" s="101">
        <f>IS!H42/-IS!H34</f>
        <v>6.001184765</v>
      </c>
      <c r="I14" s="101">
        <f>IS!I42/-IS!I34</f>
        <v>8.990635543</v>
      </c>
      <c r="J14" s="101">
        <f>IS!J42/-IS!J34</f>
        <v>11.72510512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9" t="s">
        <v>227</v>
      </c>
      <c r="B15" s="101">
        <f>(IS!B42+CF!B33)/-IS!B34</f>
        <v>-7.242208068</v>
      </c>
      <c r="C15" s="101">
        <f>(IS!C42+CF!C33)/-IS!C34</f>
        <v>-0.886907994</v>
      </c>
      <c r="D15" s="101">
        <f>(IS!D42+CF!D33)/-IS!D34</f>
        <v>1.728467153</v>
      </c>
      <c r="E15" s="101">
        <f>(IS!E42+CF!E33)/-IS!E34</f>
        <v>1.197982327</v>
      </c>
      <c r="F15" s="101">
        <f>(IS!F42+CF!F33)/-IS!F34</f>
        <v>0.7685548945</v>
      </c>
      <c r="G15" s="101">
        <f>(IS!G42+CF!G33)/-IS!G34</f>
        <v>1.722454035</v>
      </c>
      <c r="H15" s="101">
        <f>(IS!H42+CF!H33)/-IS!H34</f>
        <v>3.457768006</v>
      </c>
      <c r="I15" s="101">
        <f>(IS!I42+CF!I33)/-IS!I34</f>
        <v>5.830418787</v>
      </c>
      <c r="J15" s="101">
        <f>(IS!J42+CF!J33)/-IS!J34</f>
        <v>8.251652691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9" t="s">
        <v>232</v>
      </c>
      <c r="B16" s="101">
        <f>IS!B30/-IS!B34</f>
        <v>-3.464968153</v>
      </c>
      <c r="C16" s="101">
        <f>IS!C30/-IS!C34</f>
        <v>-0.5852187029</v>
      </c>
      <c r="D16" s="101">
        <f>IS!D30/-IS!D34</f>
        <v>-0.100729927</v>
      </c>
      <c r="E16" s="101">
        <f>IS!E30/-IS!E34</f>
        <v>0.2478167837</v>
      </c>
      <c r="F16" s="101">
        <f>IS!F30/-IS!F34</f>
        <v>0.7332027055</v>
      </c>
      <c r="G16" s="101">
        <f>IS!G30/-IS!G34</f>
        <v>1.691491955</v>
      </c>
      <c r="H16" s="101">
        <f>IS!H30/-IS!H34</f>
        <v>3.428179773</v>
      </c>
      <c r="I16" s="101">
        <f>IS!I30/-IS!I34</f>
        <v>5.805974671</v>
      </c>
      <c r="J16" s="101">
        <f>IS!J30/-IS!J34</f>
        <v>8.237095352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01"/>
      <c r="C17" s="101"/>
      <c r="D17" s="10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9" t="s">
        <v>234</v>
      </c>
      <c r="B18" s="101">
        <f>IS!B42/IS!B52</f>
        <v>0.02147121652</v>
      </c>
      <c r="C18" s="101">
        <f>IS!C42/IS!C52</f>
        <v>3.97274446</v>
      </c>
      <c r="D18" s="101">
        <f>IS!D42/IS!D52</f>
        <v>5.518681319</v>
      </c>
      <c r="E18" s="120"/>
      <c r="F18" s="120"/>
      <c r="G18" s="120"/>
      <c r="H18" s="120"/>
      <c r="I18" s="120"/>
      <c r="J18" s="12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9" t="s">
        <v>237</v>
      </c>
      <c r="B19" s="101">
        <f>(IS!B42+CF!B33)/IS!B52</f>
        <v>-18.68368297</v>
      </c>
      <c r="C19" s="101">
        <f>(IS!C42+CF!C33)/IS!C52</f>
        <v>-1.544007982</v>
      </c>
      <c r="D19" s="101">
        <f>(IS!D42+CF!D33)/IS!D52</f>
        <v>2.602197802</v>
      </c>
      <c r="E19" s="107"/>
      <c r="F19" s="107"/>
      <c r="G19" s="107"/>
      <c r="H19" s="107"/>
      <c r="I19" s="107"/>
      <c r="J19" s="107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9" t="s">
        <v>239</v>
      </c>
      <c r="B20" s="101">
        <f>IS!B30/IS!B52</f>
        <v>-8.939037082</v>
      </c>
      <c r="C20" s="101">
        <f>IS!C30/IS!C52</f>
        <v>-1.018800546</v>
      </c>
      <c r="D20" s="101">
        <f>IS!D30/IS!D52</f>
        <v>-0.1516483516</v>
      </c>
      <c r="E20" s="107"/>
      <c r="F20" s="107"/>
      <c r="G20" s="107"/>
      <c r="H20" s="107"/>
      <c r="I20" s="107"/>
      <c r="J20" s="107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9"/>
      <c r="B21" s="101"/>
      <c r="C21" s="101"/>
      <c r="D21" s="10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9" t="s">
        <v>241</v>
      </c>
      <c r="B22" s="101">
        <f>(BS!B54/BS!B27)*100</f>
        <v>14.78625022</v>
      </c>
      <c r="C22" s="101">
        <f>(BS!C54/BS!C27)*100</f>
        <v>16.55346335</v>
      </c>
      <c r="D22" s="101">
        <f>(BS!D54/BS!D27)*100</f>
        <v>19.28939928</v>
      </c>
      <c r="E22" s="101">
        <f>(BS!E54/BS!E27)*100</f>
        <v>21.15763333</v>
      </c>
      <c r="F22" s="101">
        <f>(BS!F54/BS!F27)*100</f>
        <v>22.8950631</v>
      </c>
      <c r="G22" s="101">
        <f>(BS!G54/BS!G27)*100</f>
        <v>26.7773404</v>
      </c>
      <c r="H22" s="101">
        <f>(BS!H54/BS!H27)*100</f>
        <v>31.38504136</v>
      </c>
      <c r="I22" s="101">
        <f>(BS!I54/BS!I27)*100</f>
        <v>35.75520176</v>
      </c>
      <c r="J22" s="101">
        <f>(BS!J54/BS!J27)*100</f>
        <v>41.35453203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29" t="s">
        <v>49</v>
      </c>
      <c r="B23" s="101">
        <f>(B6/(BS!B54+BS!B45+BS!B55))*100</f>
        <v>167.2230114</v>
      </c>
      <c r="C23" s="101">
        <f>(C6/(BS!C54+BS!C45+BS!C55))*100</f>
        <v>148.9624584</v>
      </c>
      <c r="D23" s="101">
        <f>(D6/(BS!D54+BS!D45+BS!D55))*100</f>
        <v>143.4525277</v>
      </c>
      <c r="E23" s="101">
        <f>(E6/(BS!E54+BS!E45+BS!E55))*100</f>
        <v>131.2002827</v>
      </c>
      <c r="F23" s="101">
        <f>(F6/(BS!F54+BS!F45+BS!F55))*100</f>
        <v>112.7271999</v>
      </c>
      <c r="G23" s="101">
        <f>(G6/(BS!G54+BS!G45+BS!G55))*100</f>
        <v>79.30766156</v>
      </c>
      <c r="H23" s="101">
        <f>(H6/(BS!H54+BS!H45+BS!H55))*100</f>
        <v>56.08300152</v>
      </c>
      <c r="I23" s="101">
        <f>(I6/(BS!I54+BS!I45+BS!I55))*100</f>
        <v>43.77388019</v>
      </c>
      <c r="J23" s="101">
        <f>(J6/(BS!J54+BS!J45+BS!J55))*100</f>
        <v>28.15698318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9" t="s">
        <v>246</v>
      </c>
      <c r="B24" s="101">
        <f>(B6/(B5+B6+BS!B49+BS!B45+BS!B55+BS!B54))*100</f>
        <v>59.43080709</v>
      </c>
      <c r="C24" s="101">
        <f>(C6/(C5+C6+BS!C49+BS!C45+BS!C55+BS!C54))*100</f>
        <v>51.43013399</v>
      </c>
      <c r="D24" s="101">
        <f>(D6/(D5+D6+BS!D49+BS!D45+BS!D55+BS!D54))*100</f>
        <v>54.03873845</v>
      </c>
      <c r="E24" s="101">
        <f>(E6/(E5+E6+BS!E49+BS!E45+BS!E55+BS!E54))*100</f>
        <v>52.30996086</v>
      </c>
      <c r="F24" s="101">
        <f>(F6/(F5+F6+BS!F49+BS!F45+BS!F55+BS!F54))*100</f>
        <v>48.44349321</v>
      </c>
      <c r="G24" s="101">
        <f>(G6/(G5+G6+BS!G49+BS!G45+BS!G55+BS!G54))*100</f>
        <v>39.91745924</v>
      </c>
      <c r="H24" s="101">
        <f>(H6/(H5+H6+BS!H49+BS!H45+BS!H55+BS!H54))*100</f>
        <v>32.24721759</v>
      </c>
      <c r="I24" s="101">
        <f>(I6/(I5+I6+BS!I49+BS!I45+BS!I55+BS!I54))*100</f>
        <v>27.37940316</v>
      </c>
      <c r="J24" s="101">
        <f>(J6/(J5+J6+BS!J49+BS!J45+BS!J55+BS!J54))*100</f>
        <v>19.74886834</v>
      </c>
      <c r="K24" s="10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9" t="s">
        <v>251</v>
      </c>
      <c r="B25" s="101">
        <f>(B6/BS!B27)*100</f>
        <v>32.86686442</v>
      </c>
      <c r="C25" s="101">
        <f>(C6/BS!C27)*100</f>
        <v>31.62071284</v>
      </c>
      <c r="D25" s="101">
        <f>(D6/BS!D27)*100</f>
        <v>33.90946982</v>
      </c>
      <c r="E25" s="101">
        <f>(E6/BS!E27)*100</f>
        <v>33.53667163</v>
      </c>
      <c r="F25" s="101">
        <f>(F6/BS!F27)*100</f>
        <v>30.46292599</v>
      </c>
      <c r="G25" s="101">
        <f>(G6/BS!G27)*100</f>
        <v>24.34803964</v>
      </c>
      <c r="H25" s="101">
        <f>(H6/BS!H27)*100</f>
        <v>19.60269762</v>
      </c>
      <c r="I25" s="101">
        <f>(I6/BS!I27)*100</f>
        <v>17.00524044</v>
      </c>
      <c r="J25" s="101">
        <f>(J6/BS!J27)*100</f>
        <v>12.40719949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9"/>
      <c r="B26" s="101"/>
      <c r="C26" s="101"/>
      <c r="D26" s="10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9" t="s">
        <v>255</v>
      </c>
      <c r="B27" s="101">
        <f>(B7/(BS!B45+BS!B54+BS!B55))*100</f>
        <v>181.3742898</v>
      </c>
      <c r="C27" s="101">
        <f>(C7/(BS!C45+BS!C54+BS!C55))*100</f>
        <v>189.6404245</v>
      </c>
      <c r="D27" s="101">
        <f>(D7/(BS!D45+BS!D54+BS!D55))*100</f>
        <v>165.4623921</v>
      </c>
      <c r="E27" s="101">
        <f>(E7/(BS!E45+BS!E54+BS!E55))*100</f>
        <v>150.8131923</v>
      </c>
      <c r="F27" s="101">
        <f>(F7/(BS!F45+BS!F54+BS!F55))*100</f>
        <v>132.6983303</v>
      </c>
      <c r="G27" s="101">
        <f>(G7/(BS!G45+BS!G54+BS!G55))*100</f>
        <v>98.67913206</v>
      </c>
      <c r="H27" s="101">
        <f>(H7/(BS!H45+BS!H54+BS!H55))*100</f>
        <v>73.91578471</v>
      </c>
      <c r="I27" s="101">
        <f>(I7/(BS!I45+BS!I54+BS!I55))*100</f>
        <v>59.87886929</v>
      </c>
      <c r="J27" s="101">
        <f>(J7/(BS!J45+BS!J54+BS!J55))*100</f>
        <v>42.57517291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9" t="s">
        <v>259</v>
      </c>
      <c r="B28" s="101">
        <f>(B7/(BS!B45+BS!B49+BS!B54+BS!B55+B7))*100</f>
        <v>64.46015019</v>
      </c>
      <c r="C28" s="101">
        <f>(C7/(BS!C45+BS!C49+BS!C54+BS!C55+C7))*100</f>
        <v>65.4744326</v>
      </c>
      <c r="D28" s="101">
        <f>(D7/(BS!D45+BS!D49+BS!D54+BS!D55+D7))*100</f>
        <v>62.32988063</v>
      </c>
      <c r="E28" s="101">
        <f>(E7/(BS!E45+BS!E49+BS!E54+BS!E55+E7))*100</f>
        <v>60.12968893</v>
      </c>
      <c r="F28" s="101">
        <f>(F7/(BS!F45+BS!F49+BS!F54+BS!F55+F7))*100</f>
        <v>57.02590566</v>
      </c>
      <c r="G28" s="101">
        <f>(G7/(BS!G45+BS!G49+BS!G54+BS!G55+G7))*100</f>
        <v>49.66758765</v>
      </c>
      <c r="H28" s="101">
        <f>(H7/(BS!H45+BS!H49+BS!H54+BS!H55+H7))*100</f>
        <v>42.5009063</v>
      </c>
      <c r="I28" s="101">
        <f>(I7/(BS!I45+BS!I49+BS!I54+BS!I55+I7))*100</f>
        <v>37.45264747</v>
      </c>
      <c r="J28" s="101">
        <f>(J7/(BS!J45+BS!J49+BS!J54+BS!J55+J7))*100</f>
        <v>29.86156148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9" t="s">
        <v>262</v>
      </c>
      <c r="B29" s="101">
        <f>(B7/BS!B27)*100</f>
        <v>35.64822893</v>
      </c>
      <c r="C29" s="101">
        <f>(C7/BS!C27)*100</f>
        <v>40.25554808</v>
      </c>
      <c r="D29" s="101">
        <f>(D7/BS!D27)*100</f>
        <v>39.11218631</v>
      </c>
      <c r="E29" s="101">
        <f>(E7/BS!E27)*100</f>
        <v>38.55001227</v>
      </c>
      <c r="F29" s="101">
        <f>(F7/BS!F27)*100</f>
        <v>35.85984058</v>
      </c>
      <c r="G29" s="101">
        <f>(G7/BS!G27)*100</f>
        <v>30.2952246</v>
      </c>
      <c r="H29" s="101">
        <f>(H7/BS!H27)*100</f>
        <v>25.83579227</v>
      </c>
      <c r="I29" s="101">
        <f>(I7/BS!I27)*100</f>
        <v>23.26169317</v>
      </c>
      <c r="J29" s="101">
        <f>(J7/BS!J27)*100</f>
        <v>18.7604851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9" t="s">
        <v>264</v>
      </c>
      <c r="B30" s="101">
        <f t="shared" ref="B30:D30" si="2">(B7/B8)*100</f>
        <v>19.4368175</v>
      </c>
      <c r="C30" s="101">
        <f t="shared" si="2"/>
        <v>20.84178384</v>
      </c>
      <c r="D30" s="101">
        <f t="shared" si="2"/>
        <v>17.72240837</v>
      </c>
      <c r="E30" s="107"/>
      <c r="F30" s="107"/>
      <c r="G30" s="107"/>
      <c r="H30" s="107"/>
      <c r="I30" s="107"/>
      <c r="J30" s="107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9" t="s">
        <v>267</v>
      </c>
      <c r="B31" s="101">
        <f t="shared" ref="B31:D31" si="3">(B7/B9)*100</f>
        <v>17.19641964</v>
      </c>
      <c r="C31" s="101">
        <f t="shared" si="3"/>
        <v>18.21437646</v>
      </c>
      <c r="D31" s="101">
        <f t="shared" si="3"/>
        <v>16.19308617</v>
      </c>
      <c r="E31" s="107"/>
      <c r="F31" s="107"/>
      <c r="G31" s="107"/>
      <c r="H31" s="107"/>
      <c r="I31" s="107"/>
      <c r="J31" s="107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01"/>
      <c r="C32" s="101"/>
      <c r="D32" s="10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9" t="s">
        <v>268</v>
      </c>
      <c r="B33" s="101">
        <f>((B7-BS!B9)/(BS!B45+BS!B54+BS!B55))*100</f>
        <v>121.5731534</v>
      </c>
      <c r="C33" s="101">
        <f>((C7-BS!C9)/(BS!C45+BS!C54+BS!C55))*100</f>
        <v>131.2529701</v>
      </c>
      <c r="D33" s="101">
        <f>((D7-BS!D9)/(BS!D45+BS!D54+BS!D55))*100</f>
        <v>88.17509248</v>
      </c>
      <c r="E33" s="101">
        <f>((E7-BS!E9)/(BS!E45+BS!E54+BS!E55))*100</f>
        <v>74.10699944</v>
      </c>
      <c r="F33" s="101">
        <f>((F7-BS!F9)/(BS!F45+BS!F54+BS!F55))*100</f>
        <v>42.89355978</v>
      </c>
      <c r="G33" s="101">
        <f>((G7-BS!G9)/(BS!G45+BS!G54+BS!G55))*100</f>
        <v>10.41597351</v>
      </c>
      <c r="H33" s="101">
        <f>((H7-BS!H9)/(BS!H45+BS!H54+BS!H55))*100</f>
        <v>-19.69561873</v>
      </c>
      <c r="I33" s="101">
        <f>((I7-BS!I9)/(BS!I45+BS!I54+BS!I55))*100</f>
        <v>-44.37531973</v>
      </c>
      <c r="J33" s="101">
        <f>((J7-BS!J9)/(BS!J45+BS!J54+BS!J55))*100</f>
        <v>-63.12750842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9" t="s">
        <v>273</v>
      </c>
      <c r="B34" s="101">
        <f>((B7-BS!B9)/(B7+BS!B45+BS!B49+BS!B54+BS!B55))*100</f>
        <v>43.20691614</v>
      </c>
      <c r="C34" s="101">
        <f>((C7-BS!C9)/(C7+BS!C45+BS!C49+BS!C54+BS!C55))*100</f>
        <v>45.31583265</v>
      </c>
      <c r="D34" s="101">
        <f>((D7-BS!D9)/(D7+BS!D45+BS!D49+BS!D54+BS!D55))*100</f>
        <v>33.21566259</v>
      </c>
      <c r="E34" s="101">
        <f>((E7-BS!E9)/(E7+BS!E45+BS!E49+BS!E54+BS!E55))*100</f>
        <v>29.5466912</v>
      </c>
      <c r="F34" s="101">
        <f>((F7-BS!F9)/(F7+BS!F45+BS!F49+BS!F54+BS!F55))*100</f>
        <v>18.43311885</v>
      </c>
      <c r="G34" s="101">
        <f>((G7-BS!G9)/(G7+BS!G45+BS!G49+BS!G54+BS!G55))*100</f>
        <v>5.242610735</v>
      </c>
      <c r="H34" s="101">
        <f>((H7-BS!H9)/(H7+BS!H45+BS!H49+BS!H54+BS!H55))*100</f>
        <v>-11.32480226</v>
      </c>
      <c r="I34" s="101">
        <f>((I7-BS!I9)/(I7+BS!I45+BS!I49+BS!I54+BS!I55))*100</f>
        <v>-27.75558767</v>
      </c>
      <c r="J34" s="101">
        <f>((J7-BS!J9)/(J7+BS!J45+BS!J49+BS!J54+BS!J55))*100</f>
        <v>-44.27664868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9" t="s">
        <v>278</v>
      </c>
      <c r="B35" s="101">
        <f>((B7-BS!B9)/B9)*100</f>
        <v>11.52656733</v>
      </c>
      <c r="C35" s="101">
        <f>((C7-BS!C9)/C9)*100</f>
        <v>12.60644197</v>
      </c>
      <c r="D35" s="101">
        <f>((D7-BS!D9)/D9)*100</f>
        <v>8.629313601</v>
      </c>
      <c r="E35" s="107"/>
      <c r="F35" s="107"/>
      <c r="G35" s="107"/>
      <c r="H35" s="107"/>
      <c r="I35" s="107"/>
      <c r="J35" s="107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9"/>
      <c r="B36" s="101"/>
      <c r="C36" s="101"/>
      <c r="D36" s="10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9" t="s">
        <v>280</v>
      </c>
      <c r="B37" s="101">
        <f>CF!B30</f>
        <v>-61</v>
      </c>
      <c r="C37" s="101">
        <f>CF!C30</f>
        <v>2098</v>
      </c>
      <c r="D37" s="101">
        <f>CF!D30</f>
        <v>2405</v>
      </c>
      <c r="E37" s="101">
        <f>CF!E30</f>
        <v>1282.206469</v>
      </c>
      <c r="F37" s="101">
        <f>CF!F30</f>
        <v>3134.243436</v>
      </c>
      <c r="G37" s="101">
        <f>CF!G30</f>
        <v>4024.346526</v>
      </c>
      <c r="H37" s="101">
        <f>CF!H30</f>
        <v>5306.776276</v>
      </c>
      <c r="I37" s="101">
        <f>CF!I30</f>
        <v>6826.321144</v>
      </c>
      <c r="J37" s="101">
        <f>CF!J30</f>
        <v>8581.912722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9" t="s">
        <v>281</v>
      </c>
      <c r="B38" s="101">
        <f>IS!B30-IS!B37+CF!B8</f>
        <v>-28</v>
      </c>
      <c r="C38" s="101">
        <f>IS!C30-IS!C37+CF!C8</f>
        <v>1455</v>
      </c>
      <c r="D38" s="101">
        <f>IS!D30-IS!D37+CF!D8</f>
        <v>1975</v>
      </c>
      <c r="E38" s="101">
        <f>DCF!E10</f>
        <v>2372.299479</v>
      </c>
      <c r="F38" s="101">
        <f>DCF!F10</f>
        <v>3204.468311</v>
      </c>
      <c r="G38" s="101">
        <f>DCF!G10</f>
        <v>4064.627392</v>
      </c>
      <c r="H38" s="101">
        <f>DCF!H10</f>
        <v>5064.545017</v>
      </c>
      <c r="I38" s="101">
        <f>DCF!I10</f>
        <v>6268.781979</v>
      </c>
      <c r="J38" s="101">
        <f>DCF!J10</f>
        <v>7760.38828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9" t="s">
        <v>283</v>
      </c>
      <c r="B39" s="101">
        <f>IS!B30+CF!B8-IS!B37+CF!B33+CF!B29</f>
        <v>-3940</v>
      </c>
      <c r="C39" s="101">
        <f>IS!C30+CF!C8-IS!C37+CF!C33+CF!C29</f>
        <v>-588</v>
      </c>
      <c r="D39" s="101">
        <f>IS!D30+CF!D8-IS!D37+CF!D33+CF!D29</f>
        <v>299</v>
      </c>
      <c r="E39" s="101">
        <f>DCF!E17</f>
        <v>-115.732882</v>
      </c>
      <c r="F39" s="101">
        <f>DCF!F17</f>
        <v>2546.338863</v>
      </c>
      <c r="G39" s="101">
        <f>DCF!G17</f>
        <v>3206.138012</v>
      </c>
      <c r="H39" s="101">
        <f>DCF!H17</f>
        <v>4140.124473</v>
      </c>
      <c r="I39" s="101">
        <f>DCF!I17</f>
        <v>5332.310495</v>
      </c>
      <c r="J39" s="101">
        <f>DCF!J17</f>
        <v>6802.042754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01"/>
      <c r="C40" s="101"/>
      <c r="D40" s="10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9" t="s">
        <v>288</v>
      </c>
      <c r="B41" s="101">
        <f>BS!B14-BS!B38</f>
        <v>-1104</v>
      </c>
      <c r="C41" s="101">
        <f>BS!C14-BS!C38</f>
        <v>-1686</v>
      </c>
      <c r="D41" s="101">
        <f>BS!D14-BS!D38</f>
        <v>1436</v>
      </c>
      <c r="E41" s="101">
        <f>BS!E14-BS!E38</f>
        <v>1935.45589</v>
      </c>
      <c r="F41" s="101">
        <f>BS!F14-BS!F38</f>
        <v>3451.973569</v>
      </c>
      <c r="G41" s="101">
        <f>BS!G14-BS!G38</f>
        <v>4340.390035</v>
      </c>
      <c r="H41" s="101">
        <f>BS!H14-BS!H38</f>
        <v>6993.518072</v>
      </c>
      <c r="I41" s="101">
        <f>BS!I14-BS!I38</f>
        <v>11971.19466</v>
      </c>
      <c r="J41" s="101">
        <f>BS!J14-BS!J38</f>
        <v>17044.1996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9" t="s">
        <v>303</v>
      </c>
      <c r="B42" s="101">
        <f>BS!B14/BS!B38</f>
        <v>0.8561563518</v>
      </c>
      <c r="C42" s="101">
        <f>BS!C14/BS!C38</f>
        <v>0.8312818973</v>
      </c>
      <c r="D42" s="101">
        <f>BS!D14/BS!D38</f>
        <v>1.134620793</v>
      </c>
      <c r="E42" s="101">
        <f>BS!E14/BS!E38</f>
        <v>1.192948789</v>
      </c>
      <c r="F42" s="101">
        <f>BS!F14/BS!F38</f>
        <v>1.303994172</v>
      </c>
      <c r="G42" s="101">
        <f>BS!G14/BS!G38</f>
        <v>1.337112357</v>
      </c>
      <c r="H42" s="101">
        <f>BS!H14/BS!H38</f>
        <v>1.480618705</v>
      </c>
      <c r="I42" s="101">
        <f>BS!I14/BS!I38</f>
        <v>1.722596979</v>
      </c>
      <c r="J42" s="101">
        <f>BS!J14/BS!J38</f>
        <v>1.901280915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9" t="s">
        <v>306</v>
      </c>
      <c r="B43" s="101">
        <f>(BS!B9+BS!B11)/BS!B38</f>
        <v>0.5059283388</v>
      </c>
      <c r="C43" s="101">
        <f>(BS!C9+BS!C11)/BS!C38</f>
        <v>0.4638246773</v>
      </c>
      <c r="D43" s="101">
        <f>(BS!D9+BS!D11)/BS!D38</f>
        <v>0.7117277585</v>
      </c>
      <c r="E43" s="101">
        <f>(BS!E9+BS!E11)/BS!E38</f>
        <v>0.7878368429</v>
      </c>
      <c r="F43" s="101">
        <f>(BS!F9+BS!F11)/BS!F38</f>
        <v>0.899750608</v>
      </c>
      <c r="G43" s="101">
        <f>(BS!G9+BS!G11)/BS!G38</f>
        <v>0.9306415381</v>
      </c>
      <c r="H43" s="101">
        <f>(BS!H9+BS!H11)/BS!H38</f>
        <v>1.073162702</v>
      </c>
      <c r="I43" s="101">
        <f>(BS!I9+BS!I11)/BS!I38</f>
        <v>1.314500946</v>
      </c>
      <c r="J43" s="101">
        <f>(BS!J9+BS!J11)/BS!J38</f>
        <v>1.493268481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9" t="s">
        <v>310</v>
      </c>
      <c r="B44" s="101">
        <f>BS!B9/BS!B38</f>
        <v>0.4388273616</v>
      </c>
      <c r="C44" s="101">
        <f>BS!C9/BS!C38</f>
        <v>0.3688582007</v>
      </c>
      <c r="D44" s="101">
        <f>BS!D9/BS!D38</f>
        <v>0.5876066373</v>
      </c>
      <c r="E44" s="101">
        <f>BS!E9/BS!E38</f>
        <v>0.6622404742</v>
      </c>
      <c r="F44" s="101">
        <f>BS!F9/BS!F38</f>
        <v>0.7723510938</v>
      </c>
      <c r="G44" s="101">
        <f>BS!G9/BS!G38</f>
        <v>0.8003508701</v>
      </c>
      <c r="H44" s="101">
        <f>BS!H9/BS!H38</f>
        <v>0.9402990633</v>
      </c>
      <c r="I44" s="101">
        <f>BS!I9/BS!I38</f>
        <v>1.179366665</v>
      </c>
      <c r="J44" s="101">
        <f>BS!J9/BS!J38</f>
        <v>1.356067905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29" t="s">
        <v>313</v>
      </c>
      <c r="B45" s="147">
        <f>B37/((BS!B38+5827.01)/2)</f>
        <v>-0.009035691723</v>
      </c>
      <c r="C45" s="147">
        <f>C37/((BS!C38+BS!B38)/2)</f>
        <v>0.2374915101</v>
      </c>
      <c r="D45" s="147">
        <f>D37/((BS!D38+BS!C38)/2)</f>
        <v>0.2328170378</v>
      </c>
      <c r="E45" s="147">
        <f>E37/((BS!E38+BS!D38)/2)</f>
        <v>0.1238970699</v>
      </c>
      <c r="F45" s="147">
        <f>F37/((BS!F38+BS!E38)/2)</f>
        <v>0.2931072567</v>
      </c>
      <c r="G45" s="147">
        <f>G37/((BS!G38+BS!F38)/2)</f>
        <v>0.3321706469</v>
      </c>
      <c r="H45" s="147">
        <f>H37/((BS!H38+BS!G38)/2)</f>
        <v>0.3869848163</v>
      </c>
      <c r="I45" s="147">
        <f>I37/((BS!I38+BS!H38)/2)</f>
        <v>0.438738102</v>
      </c>
      <c r="J45" s="147">
        <f>J37/((BS!J38+BS!I38)/2)</f>
        <v>0.483788011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9" t="s">
        <v>314</v>
      </c>
      <c r="B46" s="147">
        <f>(B37/BS!B44)*100</f>
        <v>-0.2649524389</v>
      </c>
      <c r="C46" s="147">
        <f>(C37/BS!C44)*100</f>
        <v>8.955478721</v>
      </c>
      <c r="D46" s="147">
        <f>(D37/BS!D44)*100</f>
        <v>9.179739685</v>
      </c>
      <c r="E46" s="147">
        <f>(E37/BS!E44)*100</f>
        <v>5.084153241</v>
      </c>
      <c r="F46" s="147">
        <f>(F37/BS!F44)*100</f>
        <v>11.88435207</v>
      </c>
      <c r="G46" s="147">
        <f>(G37/BS!G44)*100</f>
        <v>15.27075789</v>
      </c>
      <c r="H46" s="147">
        <f>(H37/BS!H44)*100</f>
        <v>19.50993814</v>
      </c>
      <c r="I46" s="147">
        <f>(I37/BS!I44)*100</f>
        <v>23.13910222</v>
      </c>
      <c r="J46" s="147">
        <f>(J37/BS!J44)*100</f>
        <v>27.86579223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35" t="s">
        <v>318</v>
      </c>
      <c r="B47" s="144">
        <f>-1*CF!B33/IS!B12</f>
        <v>0.2904158517</v>
      </c>
      <c r="C47" s="144">
        <f>-1*CF!C33/IS!C12</f>
        <v>0.09789851358</v>
      </c>
      <c r="D47" s="144">
        <f>-1*CF!D33/IS!D12</f>
        <v>0.0539913744</v>
      </c>
    </row>
  </sheetData>
  <mergeCells count="2">
    <mergeCell ref="B1:D1"/>
    <mergeCell ref="E1:J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8.71"/>
  </cols>
  <sheetData>
    <row r="1">
      <c r="A1" s="1" t="s">
        <v>0</v>
      </c>
      <c r="B1" s="2" t="s">
        <v>1</v>
      </c>
      <c r="E1" s="3" t="s">
        <v>2</v>
      </c>
    </row>
    <row r="2">
      <c r="A2" s="4"/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>
      <c r="A3" s="67"/>
      <c r="B3" s="68"/>
      <c r="C3" s="68"/>
      <c r="D3" s="68"/>
      <c r="E3" s="69"/>
      <c r="F3" s="69"/>
      <c r="G3" s="69"/>
      <c r="H3" s="69"/>
      <c r="I3" s="69"/>
      <c r="J3" s="69"/>
    </row>
    <row r="4" outlineLevel="1">
      <c r="A4" s="148" t="s">
        <v>320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outlineLevel="1">
      <c r="A5" s="29" t="s">
        <v>322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outlineLevel="1">
      <c r="A6" s="156" t="s">
        <v>326</v>
      </c>
      <c r="B6" s="22">
        <v>869.092</v>
      </c>
      <c r="C6" s="47" t="s">
        <v>47</v>
      </c>
      <c r="D6" s="47" t="s">
        <v>47</v>
      </c>
      <c r="E6" s="34" t="str">
        <f t="shared" ref="E6:J6" si="1">D6</f>
        <v>-</v>
      </c>
      <c r="F6" s="34" t="str">
        <f t="shared" si="1"/>
        <v>-</v>
      </c>
      <c r="G6" s="34" t="str">
        <f t="shared" si="1"/>
        <v>-</v>
      </c>
      <c r="H6" s="34" t="str">
        <f t="shared" si="1"/>
        <v>-</v>
      </c>
      <c r="I6" s="34" t="str">
        <f t="shared" si="1"/>
        <v>-</v>
      </c>
      <c r="J6" s="34" t="str">
        <f t="shared" si="1"/>
        <v>-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outlineLevel="1">
      <c r="A7" s="156" t="s">
        <v>335</v>
      </c>
      <c r="B7" s="22">
        <v>1186.131</v>
      </c>
      <c r="C7" s="47">
        <v>1244.0</v>
      </c>
      <c r="D7" s="22">
        <v>1304.0</v>
      </c>
      <c r="E7" s="21">
        <f t="shared" ref="E7:E11" si="3">D7</f>
        <v>1304</v>
      </c>
      <c r="F7" s="159" t="s">
        <v>47</v>
      </c>
      <c r="G7" s="160" t="str">
        <f t="shared" ref="G7:J7" si="2">F7</f>
        <v>-</v>
      </c>
      <c r="H7" s="160" t="str">
        <f t="shared" si="2"/>
        <v>-</v>
      </c>
      <c r="I7" s="160" t="str">
        <f t="shared" si="2"/>
        <v>-</v>
      </c>
      <c r="J7" s="160" t="str">
        <f t="shared" si="2"/>
        <v>-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outlineLevel="1">
      <c r="A8" s="156" t="s">
        <v>338</v>
      </c>
      <c r="B8" s="22">
        <v>841.973</v>
      </c>
      <c r="C8" s="47">
        <v>871.0</v>
      </c>
      <c r="D8" s="22">
        <v>902.0</v>
      </c>
      <c r="E8" s="21">
        <f t="shared" si="3"/>
        <v>902</v>
      </c>
      <c r="F8" s="21">
        <f t="shared" ref="F8:F11" si="5">E8</f>
        <v>902</v>
      </c>
      <c r="G8" s="63" t="s">
        <v>47</v>
      </c>
      <c r="H8" s="160" t="str">
        <f t="shared" ref="H8:J8" si="4">G8</f>
        <v>-</v>
      </c>
      <c r="I8" s="160" t="str">
        <f t="shared" si="4"/>
        <v>-</v>
      </c>
      <c r="J8" s="160" t="str">
        <f t="shared" si="4"/>
        <v>-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outlineLevel="1">
      <c r="A9" s="156" t="s">
        <v>339</v>
      </c>
      <c r="B9" s="47" t="s">
        <v>47</v>
      </c>
      <c r="C9" s="47" t="s">
        <v>47</v>
      </c>
      <c r="D9" s="22">
        <v>1383.0</v>
      </c>
      <c r="E9" s="21">
        <f t="shared" si="3"/>
        <v>1383</v>
      </c>
      <c r="F9" s="21">
        <f t="shared" si="5"/>
        <v>1383</v>
      </c>
      <c r="G9" s="21">
        <f t="shared" ref="G9:H9" si="6">F9</f>
        <v>1383</v>
      </c>
      <c r="H9" s="21">
        <f t="shared" si="6"/>
        <v>1383</v>
      </c>
      <c r="I9" s="63" t="s">
        <v>47</v>
      </c>
      <c r="J9" s="160" t="str">
        <f>I9</f>
        <v>-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outlineLevel="1">
      <c r="A10" s="156" t="s">
        <v>340</v>
      </c>
      <c r="B10" s="22">
        <v>1775.55</v>
      </c>
      <c r="C10" s="47">
        <v>1779.0</v>
      </c>
      <c r="D10" s="22">
        <v>1782.0</v>
      </c>
      <c r="E10" s="21">
        <f t="shared" si="3"/>
        <v>1782</v>
      </c>
      <c r="F10" s="21">
        <f t="shared" si="5"/>
        <v>1782</v>
      </c>
      <c r="G10" s="21">
        <f t="shared" ref="G10:I10" si="7">F10</f>
        <v>1782</v>
      </c>
      <c r="H10" s="21">
        <f t="shared" si="7"/>
        <v>1782</v>
      </c>
      <c r="I10" s="21">
        <f t="shared" si="7"/>
        <v>1782</v>
      </c>
      <c r="J10" s="63" t="s">
        <v>47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outlineLevel="1">
      <c r="A11" s="156" t="s">
        <v>342</v>
      </c>
      <c r="B11" s="22">
        <v>1109.0</v>
      </c>
      <c r="C11" s="47">
        <v>1540.0</v>
      </c>
      <c r="D11" s="22">
        <v>1586.0</v>
      </c>
      <c r="E11" s="21">
        <f t="shared" si="3"/>
        <v>1586</v>
      </c>
      <c r="F11" s="21">
        <f t="shared" si="5"/>
        <v>1586</v>
      </c>
      <c r="G11" s="21">
        <f t="shared" ref="G11:J11" si="8">F11</f>
        <v>1586</v>
      </c>
      <c r="H11" s="21">
        <f t="shared" si="8"/>
        <v>1586</v>
      </c>
      <c r="I11" s="21">
        <f t="shared" si="8"/>
        <v>1586</v>
      </c>
      <c r="J11" s="21">
        <f t="shared" si="8"/>
        <v>1586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outlineLevel="1">
      <c r="A12" s="156" t="s">
        <v>343</v>
      </c>
      <c r="B12" s="22">
        <v>511.389</v>
      </c>
      <c r="C12" s="47" t="s">
        <v>47</v>
      </c>
      <c r="D12" s="47" t="str">
        <f t="shared" ref="D12:J12" si="9">C12</f>
        <v>-</v>
      </c>
      <c r="E12" s="47" t="str">
        <f t="shared" si="9"/>
        <v>-</v>
      </c>
      <c r="F12" s="47" t="str">
        <f t="shared" si="9"/>
        <v>-</v>
      </c>
      <c r="G12" s="47" t="str">
        <f t="shared" si="9"/>
        <v>-</v>
      </c>
      <c r="H12" s="47" t="str">
        <f t="shared" si="9"/>
        <v>-</v>
      </c>
      <c r="I12" s="47" t="str">
        <f t="shared" si="9"/>
        <v>-</v>
      </c>
      <c r="J12" s="47" t="str">
        <f t="shared" si="9"/>
        <v>-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outlineLevel="1">
      <c r="A13" s="156" t="s">
        <v>344</v>
      </c>
      <c r="B13" s="22">
        <v>86.475</v>
      </c>
      <c r="C13" s="47">
        <v>92.0</v>
      </c>
      <c r="D13" s="47" t="s">
        <v>47</v>
      </c>
      <c r="E13" s="34" t="str">
        <f t="shared" ref="E13:J13" si="10">D13</f>
        <v>-</v>
      </c>
      <c r="F13" s="34" t="str">
        <f t="shared" si="10"/>
        <v>-</v>
      </c>
      <c r="G13" s="34" t="str">
        <f t="shared" si="10"/>
        <v>-</v>
      </c>
      <c r="H13" s="34" t="str">
        <f t="shared" si="10"/>
        <v>-</v>
      </c>
      <c r="I13" s="34" t="str">
        <f t="shared" si="10"/>
        <v>-</v>
      </c>
      <c r="J13" s="34" t="str">
        <f t="shared" si="10"/>
        <v>-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outlineLevel="1">
      <c r="A14" s="156" t="s">
        <v>345</v>
      </c>
      <c r="B14" s="21">
        <f>24.94+0.261</f>
        <v>25.201</v>
      </c>
      <c r="C14" s="47">
        <v>100.0</v>
      </c>
      <c r="D14" s="22">
        <v>53.0</v>
      </c>
      <c r="E14" s="85">
        <v>0.0</v>
      </c>
      <c r="F14" s="85">
        <v>1304.0</v>
      </c>
      <c r="G14" s="85">
        <v>902.0</v>
      </c>
      <c r="H14" s="85">
        <v>0.0</v>
      </c>
      <c r="I14" s="85">
        <v>1383.0</v>
      </c>
      <c r="J14" s="85">
        <v>1782.0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outlineLevel="1">
      <c r="A15" s="105" t="s">
        <v>346</v>
      </c>
      <c r="B15" s="25">
        <f t="shared" ref="B15:J15" si="11">SUM(B6:B14)</f>
        <v>6404.811</v>
      </c>
      <c r="C15" s="25">
        <f t="shared" si="11"/>
        <v>5626</v>
      </c>
      <c r="D15" s="25">
        <f t="shared" si="11"/>
        <v>7010</v>
      </c>
      <c r="E15" s="25">
        <f t="shared" si="11"/>
        <v>6957</v>
      </c>
      <c r="F15" s="25">
        <f t="shared" si="11"/>
        <v>6957</v>
      </c>
      <c r="G15" s="25">
        <f t="shared" si="11"/>
        <v>5653</v>
      </c>
      <c r="H15" s="25">
        <f t="shared" si="11"/>
        <v>4751</v>
      </c>
      <c r="I15" s="25">
        <f t="shared" si="11"/>
        <v>4751</v>
      </c>
      <c r="J15" s="25">
        <f t="shared" si="11"/>
        <v>3368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outlineLevel="1">
      <c r="A16" s="29"/>
      <c r="B16" s="21"/>
      <c r="C16" s="21"/>
      <c r="D16" s="2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outlineLevel="1">
      <c r="A17" s="29" t="s">
        <v>348</v>
      </c>
      <c r="B17" s="21"/>
      <c r="C17" s="21"/>
      <c r="D17" s="2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outlineLevel="1">
      <c r="A18" s="156" t="s">
        <v>349</v>
      </c>
      <c r="B18" s="47" t="s">
        <v>47</v>
      </c>
      <c r="C18" s="22">
        <v>704.0</v>
      </c>
      <c r="D18" s="22">
        <v>997.0</v>
      </c>
      <c r="E18" s="21">
        <f t="shared" ref="E18:J18" si="12">D18*(1.01)</f>
        <v>1006.97</v>
      </c>
      <c r="F18" s="21">
        <f t="shared" si="12"/>
        <v>1017.0397</v>
      </c>
      <c r="G18" s="21">
        <f t="shared" si="12"/>
        <v>1027.210097</v>
      </c>
      <c r="H18" s="21">
        <f t="shared" si="12"/>
        <v>1037.482198</v>
      </c>
      <c r="I18" s="21">
        <f t="shared" si="12"/>
        <v>1047.85702</v>
      </c>
      <c r="J18" s="21">
        <f t="shared" si="12"/>
        <v>1058.33559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outlineLevel="1">
      <c r="A19" s="156" t="s">
        <v>350</v>
      </c>
      <c r="B19" s="22">
        <v>856.586</v>
      </c>
      <c r="C19" s="22">
        <v>1155.0</v>
      </c>
      <c r="D19" s="22">
        <v>1123.0</v>
      </c>
      <c r="E19" s="21">
        <f t="shared" ref="E19:J19" si="13">D19</f>
        <v>1123</v>
      </c>
      <c r="F19" s="21">
        <f t="shared" si="13"/>
        <v>1123</v>
      </c>
      <c r="G19" s="21">
        <f t="shared" si="13"/>
        <v>1123</v>
      </c>
      <c r="H19" s="21">
        <f t="shared" si="13"/>
        <v>1123</v>
      </c>
      <c r="I19" s="21">
        <f t="shared" si="13"/>
        <v>1123</v>
      </c>
      <c r="J19" s="21">
        <f t="shared" si="13"/>
        <v>1123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outlineLevel="1">
      <c r="A20" s="156" t="s">
        <v>352</v>
      </c>
      <c r="B20" s="47" t="s">
        <v>47</v>
      </c>
      <c r="C20" s="47" t="s">
        <v>47</v>
      </c>
      <c r="D20" s="22">
        <v>297.0</v>
      </c>
      <c r="E20" s="21">
        <f t="shared" ref="E20:J20" si="14">D20</f>
        <v>297</v>
      </c>
      <c r="F20" s="21">
        <f t="shared" si="14"/>
        <v>297</v>
      </c>
      <c r="G20" s="21">
        <f t="shared" si="14"/>
        <v>297</v>
      </c>
      <c r="H20" s="21">
        <f t="shared" si="14"/>
        <v>297</v>
      </c>
      <c r="I20" s="21">
        <f t="shared" si="14"/>
        <v>297</v>
      </c>
      <c r="J20" s="21">
        <f t="shared" si="14"/>
        <v>297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outlineLevel="1">
      <c r="A21" s="156" t="s">
        <v>359</v>
      </c>
      <c r="B21" s="22">
        <v>454.421</v>
      </c>
      <c r="C21" s="22">
        <v>442.0</v>
      </c>
      <c r="D21" s="22">
        <v>430.0</v>
      </c>
      <c r="E21" s="21">
        <f t="shared" ref="E21:J21" si="15">D21</f>
        <v>430</v>
      </c>
      <c r="F21" s="21">
        <f t="shared" si="15"/>
        <v>430</v>
      </c>
      <c r="G21" s="21">
        <f t="shared" si="15"/>
        <v>430</v>
      </c>
      <c r="H21" s="21">
        <f t="shared" si="15"/>
        <v>430</v>
      </c>
      <c r="I21" s="21">
        <f t="shared" si="15"/>
        <v>430</v>
      </c>
      <c r="J21" s="21">
        <f t="shared" si="15"/>
        <v>430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outlineLevel="1">
      <c r="A22" s="156" t="s">
        <v>360</v>
      </c>
      <c r="B22" s="22">
        <v>228.838</v>
      </c>
      <c r="C22" s="22">
        <v>193.0</v>
      </c>
      <c r="D22" s="22">
        <v>164.0</v>
      </c>
      <c r="E22" s="21">
        <f t="shared" ref="E22:J22" si="16">D22</f>
        <v>164</v>
      </c>
      <c r="F22" s="21">
        <f t="shared" si="16"/>
        <v>164</v>
      </c>
      <c r="G22" s="21">
        <f t="shared" si="16"/>
        <v>164</v>
      </c>
      <c r="H22" s="21">
        <f t="shared" si="16"/>
        <v>164</v>
      </c>
      <c r="I22" s="21">
        <f t="shared" si="16"/>
        <v>164</v>
      </c>
      <c r="J22" s="21">
        <f t="shared" si="16"/>
        <v>164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outlineLevel="1">
      <c r="A23" s="156" t="s">
        <v>361</v>
      </c>
      <c r="B23" s="22">
        <v>477.867</v>
      </c>
      <c r="C23" s="22">
        <v>78.0</v>
      </c>
      <c r="D23" s="22">
        <v>146.0</v>
      </c>
      <c r="E23" s="21">
        <f t="shared" ref="E23:J23" si="17">D23</f>
        <v>146</v>
      </c>
      <c r="F23" s="21">
        <f t="shared" si="17"/>
        <v>146</v>
      </c>
      <c r="G23" s="21">
        <f t="shared" si="17"/>
        <v>146</v>
      </c>
      <c r="H23" s="21">
        <f t="shared" si="17"/>
        <v>146</v>
      </c>
      <c r="I23" s="21">
        <f t="shared" si="17"/>
        <v>146</v>
      </c>
      <c r="J23" s="21">
        <f t="shared" si="17"/>
        <v>146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outlineLevel="1">
      <c r="A24" s="156" t="s">
        <v>363</v>
      </c>
      <c r="B24" s="47" t="s">
        <v>47</v>
      </c>
      <c r="C24" s="22">
        <v>162.0</v>
      </c>
      <c r="D24" s="22">
        <v>152.0</v>
      </c>
      <c r="E24" s="21">
        <f t="shared" ref="E24:J24" si="18">D24</f>
        <v>152</v>
      </c>
      <c r="F24" s="21">
        <f t="shared" si="18"/>
        <v>152</v>
      </c>
      <c r="G24" s="21">
        <f t="shared" si="18"/>
        <v>152</v>
      </c>
      <c r="H24" s="21">
        <f t="shared" si="18"/>
        <v>152</v>
      </c>
      <c r="I24" s="21">
        <f t="shared" si="18"/>
        <v>152</v>
      </c>
      <c r="J24" s="21">
        <f t="shared" si="18"/>
        <v>152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outlineLevel="1">
      <c r="A25" s="156" t="s">
        <v>364</v>
      </c>
      <c r="B25" s="22">
        <v>55.603</v>
      </c>
      <c r="C25" s="22">
        <v>41.0</v>
      </c>
      <c r="D25" s="22">
        <v>16.0</v>
      </c>
      <c r="E25" s="21">
        <f t="shared" ref="E25:J25" si="19">D25</f>
        <v>16</v>
      </c>
      <c r="F25" s="21">
        <f t="shared" si="19"/>
        <v>16</v>
      </c>
      <c r="G25" s="21">
        <f t="shared" si="19"/>
        <v>16</v>
      </c>
      <c r="H25" s="21">
        <f t="shared" si="19"/>
        <v>16</v>
      </c>
      <c r="I25" s="21">
        <f t="shared" si="19"/>
        <v>16</v>
      </c>
      <c r="J25" s="21">
        <f t="shared" si="19"/>
        <v>16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outlineLevel="1">
      <c r="A26" s="156" t="s">
        <v>366</v>
      </c>
      <c r="B26" s="21">
        <f>22.774+169.352+158.733</f>
        <v>350.859</v>
      </c>
      <c r="C26" s="22">
        <v>10.0</v>
      </c>
      <c r="D26" s="22">
        <v>67.0</v>
      </c>
      <c r="E26" s="21">
        <f t="shared" ref="E26:J26" si="20">D26</f>
        <v>67</v>
      </c>
      <c r="F26" s="21">
        <f t="shared" si="20"/>
        <v>67</v>
      </c>
      <c r="G26" s="21">
        <f t="shared" si="20"/>
        <v>67</v>
      </c>
      <c r="H26" s="21">
        <f t="shared" si="20"/>
        <v>67</v>
      </c>
      <c r="I26" s="21">
        <f t="shared" si="20"/>
        <v>67</v>
      </c>
      <c r="J26" s="21">
        <f t="shared" si="20"/>
        <v>67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outlineLevel="1">
      <c r="A27" s="105" t="s">
        <v>367</v>
      </c>
      <c r="B27" s="25">
        <f t="shared" ref="B27:J27" si="21">SUM(B18:B26)</f>
        <v>2424.174</v>
      </c>
      <c r="C27" s="25">
        <f t="shared" si="21"/>
        <v>2785</v>
      </c>
      <c r="D27" s="25">
        <f t="shared" si="21"/>
        <v>3392</v>
      </c>
      <c r="E27" s="25">
        <f t="shared" si="21"/>
        <v>3401.97</v>
      </c>
      <c r="F27" s="25">
        <f t="shared" si="21"/>
        <v>3412.0397</v>
      </c>
      <c r="G27" s="25">
        <f t="shared" si="21"/>
        <v>3422.210097</v>
      </c>
      <c r="H27" s="25">
        <f t="shared" si="21"/>
        <v>3432.482198</v>
      </c>
      <c r="I27" s="25">
        <f t="shared" si="21"/>
        <v>3442.85702</v>
      </c>
      <c r="J27" s="25">
        <f t="shared" si="21"/>
        <v>3453.33559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outlineLevel="1">
      <c r="A28" s="123" t="s">
        <v>368</v>
      </c>
      <c r="B28" s="59">
        <f t="shared" ref="B28:J28" si="22">B15+B27</f>
        <v>8828.985</v>
      </c>
      <c r="C28" s="59">
        <f t="shared" si="22"/>
        <v>8411</v>
      </c>
      <c r="D28" s="59">
        <f t="shared" si="22"/>
        <v>10402</v>
      </c>
      <c r="E28" s="59">
        <f t="shared" si="22"/>
        <v>10358.97</v>
      </c>
      <c r="F28" s="59">
        <f t="shared" si="22"/>
        <v>10369.0397</v>
      </c>
      <c r="G28" s="59">
        <f t="shared" si="22"/>
        <v>9075.210097</v>
      </c>
      <c r="H28" s="59">
        <f t="shared" si="22"/>
        <v>8183.482198</v>
      </c>
      <c r="I28" s="59">
        <f t="shared" si="22"/>
        <v>8193.85702</v>
      </c>
      <c r="J28" s="59">
        <f t="shared" si="22"/>
        <v>6821.33559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outlineLevel="1">
      <c r="A29" s="12"/>
      <c r="B29" s="21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outlineLevel="1">
      <c r="A30" s="29" t="s">
        <v>370</v>
      </c>
      <c r="B30" s="21"/>
      <c r="C30" s="21"/>
      <c r="D30" s="2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outlineLevel="1">
      <c r="A31" s="184" t="s">
        <v>372</v>
      </c>
      <c r="B31" s="22">
        <v>127.18</v>
      </c>
      <c r="C31" s="47" t="s">
        <v>47</v>
      </c>
      <c r="D31" s="47" t="s">
        <v>47</v>
      </c>
      <c r="E31" s="34" t="str">
        <f t="shared" ref="E31:J31" si="23">D31</f>
        <v>-</v>
      </c>
      <c r="F31" s="34" t="str">
        <f t="shared" si="23"/>
        <v>-</v>
      </c>
      <c r="G31" s="34" t="str">
        <f t="shared" si="23"/>
        <v>-</v>
      </c>
      <c r="H31" s="34" t="str">
        <f t="shared" si="23"/>
        <v>-</v>
      </c>
      <c r="I31" s="34" t="str">
        <f t="shared" si="23"/>
        <v>-</v>
      </c>
      <c r="J31" s="34" t="str">
        <f t="shared" si="23"/>
        <v>-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outlineLevel="1">
      <c r="A32" s="184" t="s">
        <v>374</v>
      </c>
      <c r="B32" s="22">
        <v>137.313</v>
      </c>
      <c r="C32" s="22">
        <v>416.952</v>
      </c>
      <c r="D32" s="47" t="s">
        <v>47</v>
      </c>
      <c r="E32" s="34" t="str">
        <f t="shared" ref="E32:J32" si="24">D32</f>
        <v>-</v>
      </c>
      <c r="F32" s="34" t="str">
        <f t="shared" si="24"/>
        <v>-</v>
      </c>
      <c r="G32" s="34" t="str">
        <f t="shared" si="24"/>
        <v>-</v>
      </c>
      <c r="H32" s="34" t="str">
        <f t="shared" si="24"/>
        <v>-</v>
      </c>
      <c r="I32" s="34" t="str">
        <f t="shared" si="24"/>
        <v>-</v>
      </c>
      <c r="J32" s="34" t="str">
        <f t="shared" si="24"/>
        <v>-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outlineLevel="1">
      <c r="A33" s="184" t="s">
        <v>376</v>
      </c>
      <c r="B33" s="22">
        <v>167.281</v>
      </c>
      <c r="C33" s="22">
        <v>503.545</v>
      </c>
      <c r="D33" s="22">
        <v>474.0</v>
      </c>
      <c r="E33" s="63" t="s">
        <v>47</v>
      </c>
      <c r="F33" s="160" t="str">
        <f t="shared" ref="F33:J33" si="25">E33</f>
        <v>-</v>
      </c>
      <c r="G33" s="160" t="str">
        <f t="shared" si="25"/>
        <v>-</v>
      </c>
      <c r="H33" s="160" t="str">
        <f t="shared" si="25"/>
        <v>-</v>
      </c>
      <c r="I33" s="160" t="str">
        <f t="shared" si="25"/>
        <v>-</v>
      </c>
      <c r="J33" s="160" t="str">
        <f t="shared" si="25"/>
        <v>-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outlineLevel="1">
      <c r="A34" s="184" t="s">
        <v>378</v>
      </c>
      <c r="B34" s="22">
        <v>138.042</v>
      </c>
      <c r="C34" s="22">
        <v>506.197</v>
      </c>
      <c r="D34" s="22">
        <v>478.0</v>
      </c>
      <c r="E34" s="21">
        <f t="shared" ref="E34:E38" si="26">D34</f>
        <v>478</v>
      </c>
      <c r="F34" s="63" t="s">
        <v>47</v>
      </c>
      <c r="G34" s="160" t="str">
        <f>F34</f>
        <v>-</v>
      </c>
      <c r="H34" s="63" t="s">
        <v>47</v>
      </c>
      <c r="I34" s="160" t="str">
        <f>H34</f>
        <v>-</v>
      </c>
      <c r="J34" s="63" t="s">
        <v>47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outlineLevel="1">
      <c r="A35" s="184" t="s">
        <v>380</v>
      </c>
      <c r="B35" s="22">
        <v>133.772</v>
      </c>
      <c r="C35" s="22">
        <v>23.828</v>
      </c>
      <c r="D35" s="22">
        <v>600.0</v>
      </c>
      <c r="E35" s="21">
        <f t="shared" si="26"/>
        <v>600</v>
      </c>
      <c r="F35" s="21">
        <f t="shared" ref="F35:F38" si="28">E35</f>
        <v>600</v>
      </c>
      <c r="G35" s="63" t="s">
        <v>47</v>
      </c>
      <c r="H35" s="160" t="str">
        <f t="shared" ref="H35:J35" si="27">G35</f>
        <v>-</v>
      </c>
      <c r="I35" s="160" t="str">
        <f t="shared" si="27"/>
        <v>-</v>
      </c>
      <c r="J35" s="160" t="str">
        <f t="shared" si="27"/>
        <v>-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outlineLevel="1">
      <c r="A36" s="184" t="s">
        <v>382</v>
      </c>
      <c r="B36" s="47" t="s">
        <v>47</v>
      </c>
      <c r="C36" s="22">
        <v>4.776</v>
      </c>
      <c r="D36" s="22">
        <v>224.0</v>
      </c>
      <c r="E36" s="21">
        <f t="shared" si="26"/>
        <v>224</v>
      </c>
      <c r="F36" s="21">
        <f t="shared" si="28"/>
        <v>224</v>
      </c>
      <c r="G36" s="21">
        <f t="shared" ref="G36:G38" si="30">F36</f>
        <v>224</v>
      </c>
      <c r="H36" s="63" t="s">
        <v>47</v>
      </c>
      <c r="I36" s="160" t="str">
        <f t="shared" ref="I36:J36" si="29">H36</f>
        <v>-</v>
      </c>
      <c r="J36" s="160" t="str">
        <f t="shared" si="29"/>
        <v>-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outlineLevel="1">
      <c r="A37" s="184" t="s">
        <v>386</v>
      </c>
      <c r="B37" s="47" t="s">
        <v>47</v>
      </c>
      <c r="C37" s="47" t="s">
        <v>47</v>
      </c>
      <c r="D37" s="22">
        <v>5.0</v>
      </c>
      <c r="E37" s="21">
        <f t="shared" si="26"/>
        <v>5</v>
      </c>
      <c r="F37" s="21">
        <f t="shared" si="28"/>
        <v>5</v>
      </c>
      <c r="G37" s="21">
        <f t="shared" si="30"/>
        <v>5</v>
      </c>
      <c r="H37" s="21">
        <f t="shared" ref="H37:H38" si="31">G37</f>
        <v>5</v>
      </c>
      <c r="I37" s="63" t="s">
        <v>47</v>
      </c>
      <c r="J37" s="160" t="str">
        <f>I37</f>
        <v>-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outlineLevel="1">
      <c r="A38" s="156" t="s">
        <v>388</v>
      </c>
      <c r="B38" s="22">
        <v>81.627</v>
      </c>
      <c r="C38" s="22">
        <v>5.938</v>
      </c>
      <c r="D38" s="22">
        <v>13.0</v>
      </c>
      <c r="E38" s="21">
        <f t="shared" si="26"/>
        <v>13</v>
      </c>
      <c r="F38" s="21">
        <f t="shared" si="28"/>
        <v>13</v>
      </c>
      <c r="G38" s="21">
        <f t="shared" si="30"/>
        <v>13</v>
      </c>
      <c r="H38" s="21">
        <f t="shared" si="31"/>
        <v>13</v>
      </c>
      <c r="I38" s="21">
        <f t="shared" ref="I38:J38" si="32">H38</f>
        <v>13</v>
      </c>
      <c r="J38" s="21">
        <f t="shared" si="32"/>
        <v>13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outlineLevel="1">
      <c r="A39" s="196" t="s">
        <v>391</v>
      </c>
      <c r="B39" s="33">
        <f t="shared" ref="B39:J39" si="33">SUM(B31:B38)</f>
        <v>785.215</v>
      </c>
      <c r="C39" s="33">
        <f t="shared" si="33"/>
        <v>1461.236</v>
      </c>
      <c r="D39" s="33">
        <f t="shared" si="33"/>
        <v>1794</v>
      </c>
      <c r="E39" s="33">
        <f t="shared" si="33"/>
        <v>1320</v>
      </c>
      <c r="F39" s="33">
        <f t="shared" si="33"/>
        <v>842</v>
      </c>
      <c r="G39" s="33">
        <f t="shared" si="33"/>
        <v>242</v>
      </c>
      <c r="H39" s="33">
        <f t="shared" si="33"/>
        <v>18</v>
      </c>
      <c r="I39" s="33">
        <f t="shared" si="33"/>
        <v>13</v>
      </c>
      <c r="J39" s="33">
        <f t="shared" si="33"/>
        <v>13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outlineLevel="1">
      <c r="A40" s="198" t="s">
        <v>397</v>
      </c>
      <c r="B40" s="22">
        <v>99.181</v>
      </c>
      <c r="C40" s="22">
        <v>122.34</v>
      </c>
      <c r="D40" s="22">
        <v>176.0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outlineLevel="1">
      <c r="A41" s="196" t="s">
        <v>398</v>
      </c>
      <c r="B41" s="33">
        <f t="shared" ref="B41:J41" si="34">B39-B40</f>
        <v>686.034</v>
      </c>
      <c r="C41" s="33">
        <f t="shared" si="34"/>
        <v>1338.896</v>
      </c>
      <c r="D41" s="33">
        <f t="shared" si="34"/>
        <v>1618</v>
      </c>
      <c r="E41" s="33">
        <f t="shared" si="34"/>
        <v>1320</v>
      </c>
      <c r="F41" s="33">
        <f t="shared" si="34"/>
        <v>842</v>
      </c>
      <c r="G41" s="33">
        <f t="shared" si="34"/>
        <v>242</v>
      </c>
      <c r="H41" s="33">
        <f t="shared" si="34"/>
        <v>18</v>
      </c>
      <c r="I41" s="33">
        <f t="shared" si="34"/>
        <v>13</v>
      </c>
      <c r="J41" s="33">
        <f t="shared" si="34"/>
        <v>13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outlineLevel="1">
      <c r="A42" s="198" t="s">
        <v>403</v>
      </c>
      <c r="B42" s="22">
        <v>96.7</v>
      </c>
      <c r="C42" s="22">
        <v>345.714</v>
      </c>
      <c r="D42" s="22">
        <v>386.0</v>
      </c>
      <c r="E42" s="12">
        <f t="shared" ref="E42:J42" si="35">E41*0.24</f>
        <v>316.8</v>
      </c>
      <c r="F42" s="12">
        <f t="shared" si="35"/>
        <v>202.08</v>
      </c>
      <c r="G42" s="12">
        <f t="shared" si="35"/>
        <v>58.08</v>
      </c>
      <c r="H42" s="12">
        <f t="shared" si="35"/>
        <v>4.32</v>
      </c>
      <c r="I42" s="12">
        <f t="shared" si="35"/>
        <v>3.12</v>
      </c>
      <c r="J42" s="12">
        <f t="shared" si="35"/>
        <v>3.12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outlineLevel="1">
      <c r="A43" s="203" t="s">
        <v>406</v>
      </c>
      <c r="B43" s="99">
        <f t="shared" ref="B43:J43" si="36">B41-B42</f>
        <v>589.334</v>
      </c>
      <c r="C43" s="99">
        <f t="shared" si="36"/>
        <v>993.182</v>
      </c>
      <c r="D43" s="99">
        <f t="shared" si="36"/>
        <v>1232</v>
      </c>
      <c r="E43" s="99">
        <f t="shared" si="36"/>
        <v>1003.2</v>
      </c>
      <c r="F43" s="99">
        <f t="shared" si="36"/>
        <v>639.92</v>
      </c>
      <c r="G43" s="99">
        <f t="shared" si="36"/>
        <v>183.92</v>
      </c>
      <c r="H43" s="99">
        <f t="shared" si="36"/>
        <v>13.68</v>
      </c>
      <c r="I43" s="99">
        <f t="shared" si="36"/>
        <v>9.88</v>
      </c>
      <c r="J43" s="99">
        <f t="shared" si="36"/>
        <v>9.88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outlineLevel="1">
      <c r="A44" s="37" t="s">
        <v>409</v>
      </c>
      <c r="B44" s="38">
        <f t="shared" ref="B44:J44" si="37">B28+B43</f>
        <v>9418.319</v>
      </c>
      <c r="C44" s="38">
        <f t="shared" si="37"/>
        <v>9404.182</v>
      </c>
      <c r="D44" s="38">
        <f t="shared" si="37"/>
        <v>11634</v>
      </c>
      <c r="E44" s="38">
        <f t="shared" si="37"/>
        <v>11362.17</v>
      </c>
      <c r="F44" s="38">
        <f t="shared" si="37"/>
        <v>11008.9597</v>
      </c>
      <c r="G44" s="38">
        <f t="shared" si="37"/>
        <v>9259.130097</v>
      </c>
      <c r="H44" s="38">
        <f t="shared" si="37"/>
        <v>8197.162198</v>
      </c>
      <c r="I44" s="38">
        <f t="shared" si="37"/>
        <v>8203.73702</v>
      </c>
      <c r="J44" s="38">
        <f t="shared" si="37"/>
        <v>6831.21559</v>
      </c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>
      <c r="A45" s="29" t="s">
        <v>413</v>
      </c>
      <c r="B45" s="63" t="s">
        <v>47</v>
      </c>
      <c r="C45" s="21">
        <f t="shared" ref="C45:J45" si="38">C44-B44</f>
        <v>-14.137</v>
      </c>
      <c r="D45" s="21">
        <f t="shared" si="38"/>
        <v>2229.818</v>
      </c>
      <c r="E45" s="21">
        <f t="shared" si="38"/>
        <v>-271.83</v>
      </c>
      <c r="F45" s="21">
        <f t="shared" si="38"/>
        <v>-353.2103</v>
      </c>
      <c r="G45" s="21">
        <f t="shared" si="38"/>
        <v>-1749.829603</v>
      </c>
      <c r="H45" s="21">
        <f t="shared" si="38"/>
        <v>-1061.967899</v>
      </c>
      <c r="I45" s="21">
        <f t="shared" si="38"/>
        <v>6.57482198</v>
      </c>
      <c r="J45" s="21">
        <f t="shared" si="38"/>
        <v>-1372.52143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03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09" t="s">
        <v>296</v>
      </c>
      <c r="B47" s="210" t="s">
        <v>13</v>
      </c>
      <c r="E47" s="211" t="s">
        <v>14</v>
      </c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>
      <c r="A48" s="18" t="s">
        <v>419</v>
      </c>
      <c r="B48" s="22">
        <v>5860.049</v>
      </c>
      <c r="C48" s="21">
        <f t="shared" ref="C48:J48" si="39">B50</f>
        <v>9418.319</v>
      </c>
      <c r="D48" s="21">
        <f t="shared" si="39"/>
        <v>9404.182</v>
      </c>
      <c r="E48" s="21">
        <f t="shared" si="39"/>
        <v>11634</v>
      </c>
      <c r="F48" s="21">
        <f t="shared" si="39"/>
        <v>11362.17</v>
      </c>
      <c r="G48" s="21">
        <f t="shared" si="39"/>
        <v>11008.9597</v>
      </c>
      <c r="H48" s="21">
        <f t="shared" si="39"/>
        <v>9259.130097</v>
      </c>
      <c r="I48" s="21">
        <f t="shared" si="39"/>
        <v>8197.162198</v>
      </c>
      <c r="J48" s="21">
        <f t="shared" si="39"/>
        <v>8203.73702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9" t="s">
        <v>421</v>
      </c>
      <c r="B49" s="21">
        <f>B50-B48</f>
        <v>3558.27</v>
      </c>
      <c r="C49" s="21">
        <f t="shared" ref="C49:J49" si="40">C45</f>
        <v>-14.137</v>
      </c>
      <c r="D49" s="21">
        <f t="shared" si="40"/>
        <v>2229.818</v>
      </c>
      <c r="E49" s="21">
        <f t="shared" si="40"/>
        <v>-271.83</v>
      </c>
      <c r="F49" s="21">
        <f t="shared" si="40"/>
        <v>-353.2103</v>
      </c>
      <c r="G49" s="21">
        <f t="shared" si="40"/>
        <v>-1749.829603</v>
      </c>
      <c r="H49" s="21">
        <f t="shared" si="40"/>
        <v>-1061.967899</v>
      </c>
      <c r="I49" s="21">
        <f t="shared" si="40"/>
        <v>6.57482198</v>
      </c>
      <c r="J49" s="21">
        <f t="shared" si="40"/>
        <v>-1372.52143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52" t="s">
        <v>423</v>
      </c>
      <c r="B50" s="59">
        <f>B44</f>
        <v>9418.319</v>
      </c>
      <c r="C50" s="59">
        <f t="shared" ref="C50:J50" si="41">SUM(C48:C49)</f>
        <v>9404.182</v>
      </c>
      <c r="D50" s="59">
        <f t="shared" si="41"/>
        <v>11634</v>
      </c>
      <c r="E50" s="59">
        <f t="shared" si="41"/>
        <v>11362.17</v>
      </c>
      <c r="F50" s="59">
        <f t="shared" si="41"/>
        <v>11008.9597</v>
      </c>
      <c r="G50" s="59">
        <f t="shared" si="41"/>
        <v>9259.130097</v>
      </c>
      <c r="H50" s="59">
        <f t="shared" si="41"/>
        <v>8197.162198</v>
      </c>
      <c r="I50" s="59">
        <f t="shared" si="41"/>
        <v>8203.73702</v>
      </c>
      <c r="J50" s="59">
        <f t="shared" si="41"/>
        <v>6831.21559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9" t="s">
        <v>426</v>
      </c>
      <c r="B51" s="76">
        <f>(IS!B34/B48)*-1</f>
        <v>0.08037475455</v>
      </c>
      <c r="C51" s="76">
        <f>(IS!C34/C48)*-1</f>
        <v>0.07039472755</v>
      </c>
      <c r="D51" s="76">
        <f>(IS!D34/D48)*-1</f>
        <v>0.0728399344</v>
      </c>
      <c r="E51" s="108">
        <v>0.075</v>
      </c>
      <c r="F51" s="76">
        <f t="shared" ref="F51:J51" si="42">E51</f>
        <v>0.075</v>
      </c>
      <c r="G51" s="76">
        <f t="shared" si="42"/>
        <v>0.075</v>
      </c>
      <c r="H51" s="76">
        <f t="shared" si="42"/>
        <v>0.075</v>
      </c>
      <c r="I51" s="76">
        <f t="shared" si="42"/>
        <v>0.075</v>
      </c>
      <c r="J51" s="76">
        <f t="shared" si="42"/>
        <v>0.075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29" t="s">
        <v>427</v>
      </c>
      <c r="B53" s="21">
        <f>BS!B36+BS!B40</f>
        <v>10215</v>
      </c>
      <c r="C53" s="21">
        <f>BS!C36+BS!C40</f>
        <v>11972</v>
      </c>
      <c r="D53" s="21">
        <f>BS!D36+BS!D40</f>
        <v>13419</v>
      </c>
      <c r="E53" s="21">
        <f>BS!E36+BS!E40</f>
        <v>13060.68168</v>
      </c>
      <c r="F53" s="21">
        <f>BS!F36+BS!F40</f>
        <v>12959.34409</v>
      </c>
      <c r="G53" s="21">
        <f>BS!G36+BS!G40</f>
        <v>11520.73966</v>
      </c>
      <c r="H53" s="21">
        <f>BS!H36+BS!H40</f>
        <v>10803.62427</v>
      </c>
      <c r="I53" s="21">
        <f>BS!I36+BS!I40</f>
        <v>11222.0003</v>
      </c>
      <c r="J53" s="21">
        <f>BS!J36+BS!J40</f>
        <v>10329.23815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9" t="s">
        <v>18</v>
      </c>
      <c r="B54" s="21">
        <f>BS!B9</f>
        <v>3368</v>
      </c>
      <c r="C54" s="21">
        <f>BS!C9</f>
        <v>3686</v>
      </c>
      <c r="D54" s="21">
        <f>BS!D9</f>
        <v>6268</v>
      </c>
      <c r="E54" s="21">
        <f>BS!E9</f>
        <v>6642.888152</v>
      </c>
      <c r="F54" s="21">
        <f>BS!F9</f>
        <v>8770.350909</v>
      </c>
      <c r="G54" s="21">
        <f>BS!G9</f>
        <v>10304.67992</v>
      </c>
      <c r="H54" s="21">
        <f>BS!H9</f>
        <v>13682.36073</v>
      </c>
      <c r="I54" s="21">
        <f>BS!I9</f>
        <v>19538.45413</v>
      </c>
      <c r="J54" s="21">
        <f>BS!J9</f>
        <v>25644.71484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3" t="s">
        <v>430</v>
      </c>
      <c r="B55" s="59">
        <f t="shared" ref="B55:J55" si="43">B53-B54</f>
        <v>6847</v>
      </c>
      <c r="C55" s="59">
        <f t="shared" si="43"/>
        <v>8286</v>
      </c>
      <c r="D55" s="59">
        <f t="shared" si="43"/>
        <v>7151</v>
      </c>
      <c r="E55" s="59">
        <f t="shared" si="43"/>
        <v>6417.793531</v>
      </c>
      <c r="F55" s="59">
        <f t="shared" si="43"/>
        <v>4188.993177</v>
      </c>
      <c r="G55" s="59">
        <f t="shared" si="43"/>
        <v>1216.059733</v>
      </c>
      <c r="H55" s="59">
        <f t="shared" si="43"/>
        <v>-2878.73646</v>
      </c>
      <c r="I55" s="59">
        <f t="shared" si="43"/>
        <v>-8316.453822</v>
      </c>
      <c r="J55" s="59">
        <f t="shared" si="43"/>
        <v>-15315.47669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</sheetData>
  <mergeCells count="4">
    <mergeCell ref="B1:D1"/>
    <mergeCell ref="E1:J1"/>
    <mergeCell ref="B47:D47"/>
    <mergeCell ref="E47:J47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73" t="s">
        <v>324</v>
      </c>
      <c r="E1" s="150" t="s">
        <v>325</v>
      </c>
      <c r="F1" s="151" t="s">
        <v>327</v>
      </c>
      <c r="G1" s="151" t="s">
        <v>328</v>
      </c>
      <c r="H1" s="151" t="s">
        <v>329</v>
      </c>
      <c r="I1" s="151" t="s">
        <v>330</v>
      </c>
      <c r="J1" s="151" t="s">
        <v>331</v>
      </c>
      <c r="K1" s="152"/>
      <c r="L1" s="153" t="s">
        <v>332</v>
      </c>
      <c r="M1" s="152"/>
      <c r="N1" s="152"/>
      <c r="O1" s="152"/>
      <c r="P1" s="152"/>
      <c r="Q1" s="15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55" t="s">
        <v>333</v>
      </c>
      <c r="B2" s="152"/>
      <c r="C2" s="152"/>
      <c r="D2" s="152"/>
      <c r="E2" s="157">
        <f>IS!E12</f>
        <v>23387.12614</v>
      </c>
      <c r="F2" s="157">
        <f>IS!F12</f>
        <v>26855.20866</v>
      </c>
      <c r="G2" s="157">
        <f>IS!G12</f>
        <v>31140.52648</v>
      </c>
      <c r="H2" s="157">
        <f>IS!H12</f>
        <v>35888.86541</v>
      </c>
      <c r="I2" s="157">
        <f>IS!I12</f>
        <v>41559.03359</v>
      </c>
      <c r="J2" s="157">
        <f>IS!J12</f>
        <v>48164.92914</v>
      </c>
      <c r="K2" s="152"/>
      <c r="L2" s="153" t="s">
        <v>336</v>
      </c>
      <c r="M2" s="152"/>
      <c r="N2" s="152"/>
      <c r="O2" s="152"/>
      <c r="P2" s="152"/>
      <c r="Q2" s="15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61" t="s">
        <v>337</v>
      </c>
      <c r="C3" s="152"/>
      <c r="D3" s="152"/>
      <c r="E3" s="162" t="s">
        <v>47</v>
      </c>
      <c r="F3" s="163">
        <f t="shared" ref="F3:J3" si="1">(F2-E2)/E2</f>
        <v>0.1482902389</v>
      </c>
      <c r="G3" s="163">
        <f t="shared" si="1"/>
        <v>0.1595711981</v>
      </c>
      <c r="H3" s="163">
        <f t="shared" si="1"/>
        <v>0.1524810102</v>
      </c>
      <c r="I3" s="163">
        <f t="shared" si="1"/>
        <v>0.1579924056</v>
      </c>
      <c r="J3" s="163">
        <f t="shared" si="1"/>
        <v>0.1589520972</v>
      </c>
      <c r="K3" s="164"/>
      <c r="L3" s="164"/>
      <c r="M3" s="164"/>
      <c r="N3" s="164"/>
      <c r="O3" s="164"/>
      <c r="P3" s="152"/>
      <c r="Q3" s="15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8" t="s">
        <v>341</v>
      </c>
      <c r="B4" s="165"/>
      <c r="C4" s="152"/>
      <c r="D4" s="152"/>
      <c r="E4" s="26">
        <f>IS!E21</f>
        <v>19545.88905</v>
      </c>
      <c r="F4" s="26">
        <f>IS!F21</f>
        <v>22006.08657</v>
      </c>
      <c r="G4" s="26">
        <f>IS!G21</f>
        <v>25001.2187</v>
      </c>
      <c r="H4" s="26">
        <f>IS!H21</f>
        <v>28221.80208</v>
      </c>
      <c r="I4" s="26">
        <f>IS!I21</f>
        <v>32075.7603</v>
      </c>
      <c r="J4" s="26">
        <f>IS!J21</f>
        <v>36483.78049</v>
      </c>
      <c r="K4" s="166"/>
      <c r="L4" s="166"/>
      <c r="M4" s="167"/>
      <c r="N4" s="167"/>
      <c r="O4" s="167"/>
      <c r="P4" s="152"/>
      <c r="Q4" s="15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5" t="s">
        <v>88</v>
      </c>
      <c r="B5" s="165"/>
      <c r="C5" s="152"/>
      <c r="D5" s="152"/>
      <c r="E5" s="168">
        <f t="shared" ref="E5:J5" si="2">E2-E4</f>
        <v>3841.237086</v>
      </c>
      <c r="F5" s="168">
        <f t="shared" si="2"/>
        <v>4849.122085</v>
      </c>
      <c r="G5" s="168">
        <f t="shared" si="2"/>
        <v>6139.30778</v>
      </c>
      <c r="H5" s="168">
        <f t="shared" si="2"/>
        <v>7667.063338</v>
      </c>
      <c r="I5" s="168">
        <f t="shared" si="2"/>
        <v>9483.273293</v>
      </c>
      <c r="J5" s="168">
        <f t="shared" si="2"/>
        <v>11681.14866</v>
      </c>
      <c r="K5" s="166"/>
      <c r="L5" s="166"/>
      <c r="M5" s="167"/>
      <c r="N5" s="167"/>
      <c r="O5" s="167"/>
      <c r="P5" s="152"/>
      <c r="Q5" s="15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8" t="s">
        <v>347</v>
      </c>
      <c r="B6" s="165"/>
      <c r="C6" s="152"/>
      <c r="D6" s="152"/>
      <c r="E6" s="26">
        <f>IS!E29</f>
        <v>3625.004551</v>
      </c>
      <c r="F6" s="26">
        <f>IS!F29</f>
        <v>4224.314051</v>
      </c>
      <c r="G6" s="26">
        <f>IS!G29</f>
        <v>4742.690273</v>
      </c>
      <c r="H6" s="26">
        <f>IS!H29</f>
        <v>5286.41615</v>
      </c>
      <c r="I6" s="26">
        <f>IS!I29</f>
        <v>5913.834586</v>
      </c>
      <c r="J6" s="26">
        <f>IS!J29</f>
        <v>6613.02635</v>
      </c>
      <c r="K6" s="166"/>
      <c r="L6" s="166"/>
      <c r="M6" s="167"/>
      <c r="N6" s="167"/>
      <c r="O6" s="167"/>
      <c r="P6" s="152"/>
      <c r="Q6" s="15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65" t="s">
        <v>351</v>
      </c>
      <c r="C7" s="169"/>
      <c r="D7" s="169"/>
      <c r="E7" s="168">
        <f t="shared" ref="E7:J7" si="3">E5-E6</f>
        <v>216.2325346</v>
      </c>
      <c r="F7" s="168">
        <f t="shared" si="3"/>
        <v>624.8080339</v>
      </c>
      <c r="G7" s="168">
        <f t="shared" si="3"/>
        <v>1396.617507</v>
      </c>
      <c r="H7" s="168">
        <f t="shared" si="3"/>
        <v>2380.647189</v>
      </c>
      <c r="I7" s="168">
        <f t="shared" si="3"/>
        <v>3569.438707</v>
      </c>
      <c r="J7" s="168">
        <f t="shared" si="3"/>
        <v>5068.122306</v>
      </c>
      <c r="K7" s="166"/>
      <c r="L7" s="166"/>
      <c r="M7" s="167"/>
      <c r="N7" s="167"/>
      <c r="O7" s="167"/>
      <c r="P7" s="152"/>
      <c r="Q7" s="15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55" t="s">
        <v>353</v>
      </c>
      <c r="B8" s="152"/>
      <c r="C8" s="152"/>
      <c r="D8" s="152"/>
      <c r="E8" s="26">
        <f>IS!E37</f>
        <v>0</v>
      </c>
      <c r="F8" s="26">
        <f>IS!F37</f>
        <v>0</v>
      </c>
      <c r="G8" s="26">
        <f>IS!G37</f>
        <v>151.7874718</v>
      </c>
      <c r="H8" s="26">
        <f>IS!H37</f>
        <v>408.2988593</v>
      </c>
      <c r="I8" s="26">
        <f>IS!I37</f>
        <v>700.0398547</v>
      </c>
      <c r="J8" s="26">
        <f>IS!J37</f>
        <v>1044.623667</v>
      </c>
      <c r="K8" s="166"/>
      <c r="L8" s="166"/>
      <c r="M8" s="166"/>
      <c r="N8" s="166"/>
      <c r="O8" s="166"/>
      <c r="P8" s="152"/>
      <c r="Q8" s="15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55" t="s">
        <v>354</v>
      </c>
      <c r="D9" s="152"/>
      <c r="E9" s="26">
        <f>Schedules!E72</f>
        <v>2156.066945</v>
      </c>
      <c r="F9" s="26">
        <f>Schedules!F72</f>
        <v>2579.660277</v>
      </c>
      <c r="G9" s="26">
        <f>Schedules!G72</f>
        <v>2819.797357</v>
      </c>
      <c r="H9" s="26">
        <f>Schedules!H72</f>
        <v>3092.196687</v>
      </c>
      <c r="I9" s="26">
        <f>Schedules!I72</f>
        <v>3399.383127</v>
      </c>
      <c r="J9" s="26">
        <f>Schedules!J72</f>
        <v>3736.889641</v>
      </c>
      <c r="K9" s="166"/>
      <c r="L9" s="166"/>
      <c r="M9" s="166"/>
      <c r="N9" s="166"/>
      <c r="O9" s="166"/>
      <c r="P9" s="152"/>
      <c r="Q9" s="15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65" t="s">
        <v>281</v>
      </c>
      <c r="C10" s="152"/>
      <c r="D10" s="152"/>
      <c r="E10" s="168">
        <f t="shared" ref="E10:J10" si="4">E7-E8+E9</f>
        <v>2372.299479</v>
      </c>
      <c r="F10" s="168">
        <f t="shared" si="4"/>
        <v>3204.468311</v>
      </c>
      <c r="G10" s="168">
        <f t="shared" si="4"/>
        <v>4064.627392</v>
      </c>
      <c r="H10" s="168">
        <f t="shared" si="4"/>
        <v>5064.545017</v>
      </c>
      <c r="I10" s="168">
        <f t="shared" si="4"/>
        <v>6268.781979</v>
      </c>
      <c r="J10" s="168">
        <f t="shared" si="4"/>
        <v>7760.38828</v>
      </c>
      <c r="K10" s="171"/>
      <c r="L10" s="171"/>
      <c r="M10" s="171"/>
      <c r="N10" s="171"/>
      <c r="O10" s="171"/>
      <c r="P10" s="152"/>
      <c r="Q10" s="169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61" t="s">
        <v>337</v>
      </c>
      <c r="C11" s="152"/>
      <c r="D11" s="152"/>
      <c r="E11" s="26" t="s">
        <v>47</v>
      </c>
      <c r="F11" s="84">
        <f t="shared" ref="F11:J11" si="5">(F10-E10)/E10</f>
        <v>0.3507857413</v>
      </c>
      <c r="G11" s="84">
        <f t="shared" si="5"/>
        <v>0.2684248986</v>
      </c>
      <c r="H11" s="84">
        <f t="shared" si="5"/>
        <v>0.246004745</v>
      </c>
      <c r="I11" s="84">
        <f t="shared" si="5"/>
        <v>0.2377779165</v>
      </c>
      <c r="J11" s="84">
        <f t="shared" si="5"/>
        <v>0.2379419647</v>
      </c>
      <c r="K11" s="172"/>
      <c r="L11" s="172"/>
      <c r="M11" s="172"/>
      <c r="N11" s="172"/>
      <c r="O11" s="172"/>
      <c r="P11" s="152"/>
      <c r="Q11" s="15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52"/>
      <c r="B12" s="152"/>
      <c r="C12" s="152"/>
      <c r="D12" s="152"/>
      <c r="E12" s="157"/>
      <c r="F12" s="157"/>
      <c r="G12" s="157"/>
      <c r="H12" s="157"/>
      <c r="I12" s="157"/>
      <c r="J12" s="157"/>
      <c r="K12" s="152"/>
      <c r="L12" s="152"/>
      <c r="M12" s="152"/>
      <c r="N12" s="152"/>
      <c r="O12" s="152"/>
      <c r="P12" s="152"/>
      <c r="Q12" s="15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55" t="s">
        <v>194</v>
      </c>
      <c r="C13" s="152"/>
      <c r="D13" s="152"/>
      <c r="E13" s="26">
        <f>CF!E33</f>
        <v>-1327</v>
      </c>
      <c r="F13" s="26">
        <f>CF!F33</f>
        <v>-1459.7</v>
      </c>
      <c r="G13" s="26">
        <f>CF!G33</f>
        <v>-1605.67</v>
      </c>
      <c r="H13" s="26">
        <f>CF!H33</f>
        <v>-1766.237</v>
      </c>
      <c r="I13" s="26">
        <f>CF!I33</f>
        <v>-1942.8607</v>
      </c>
      <c r="J13" s="26">
        <f>CF!J33</f>
        <v>-2137.14677</v>
      </c>
      <c r="K13" s="174"/>
      <c r="L13" s="174"/>
      <c r="M13" s="174" t="s">
        <v>49</v>
      </c>
      <c r="N13" s="174"/>
      <c r="O13" s="174"/>
      <c r="P13" s="152"/>
      <c r="Q13" s="15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55" t="s">
        <v>358</v>
      </c>
      <c r="D14" s="152"/>
      <c r="E14" s="26">
        <f>CF!E29</f>
        <v>-1161.032361</v>
      </c>
      <c r="F14" s="26">
        <f>CF!F29</f>
        <v>801.5705523</v>
      </c>
      <c r="G14" s="26">
        <f>CF!G29</f>
        <v>747.1806205</v>
      </c>
      <c r="H14" s="26">
        <f>CF!H29</f>
        <v>841.816456</v>
      </c>
      <c r="I14" s="26">
        <f>CF!I29</f>
        <v>1006.389215</v>
      </c>
      <c r="J14" s="26">
        <f>CF!J29</f>
        <v>1178.801245</v>
      </c>
      <c r="K14" s="166"/>
      <c r="L14" s="166"/>
      <c r="M14" s="166"/>
      <c r="N14" s="166"/>
      <c r="O14" s="166"/>
      <c r="P14" s="152"/>
      <c r="Q14" s="15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65" t="s">
        <v>362</v>
      </c>
      <c r="C15" s="152"/>
      <c r="D15" s="152"/>
      <c r="E15" s="168">
        <f t="shared" ref="E15:J15" si="6">E13+E14</f>
        <v>-2488.032361</v>
      </c>
      <c r="F15" s="168">
        <f t="shared" si="6"/>
        <v>-658.1294477</v>
      </c>
      <c r="G15" s="168">
        <f t="shared" si="6"/>
        <v>-858.4893795</v>
      </c>
      <c r="H15" s="168">
        <f t="shared" si="6"/>
        <v>-924.420544</v>
      </c>
      <c r="I15" s="168">
        <f t="shared" si="6"/>
        <v>-936.4714848</v>
      </c>
      <c r="J15" s="168">
        <f t="shared" si="6"/>
        <v>-958.3455253</v>
      </c>
      <c r="K15" s="176"/>
      <c r="L15" s="176"/>
      <c r="M15" s="176"/>
      <c r="N15" s="176"/>
      <c r="O15" s="176"/>
      <c r="P15" s="152"/>
      <c r="Q15" s="15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52"/>
      <c r="B16" s="152"/>
      <c r="C16" s="152"/>
      <c r="D16" s="152"/>
      <c r="E16" s="157"/>
      <c r="F16" s="157"/>
      <c r="G16" s="157"/>
      <c r="H16" s="157"/>
      <c r="I16" s="157"/>
      <c r="J16" s="157"/>
      <c r="K16" s="152"/>
      <c r="L16" s="152"/>
      <c r="M16" s="152"/>
      <c r="N16" s="152"/>
      <c r="O16" s="152"/>
      <c r="P16" s="152"/>
      <c r="Q16" s="15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65" t="s">
        <v>365</v>
      </c>
      <c r="C17" s="152"/>
      <c r="D17" s="152"/>
      <c r="E17" s="177">
        <f t="shared" ref="E17:J17" si="7">E10+E15</f>
        <v>-115.732882</v>
      </c>
      <c r="F17" s="177">
        <f t="shared" si="7"/>
        <v>2546.338863</v>
      </c>
      <c r="G17" s="177">
        <f t="shared" si="7"/>
        <v>3206.138012</v>
      </c>
      <c r="H17" s="177">
        <f t="shared" si="7"/>
        <v>4140.124473</v>
      </c>
      <c r="I17" s="177">
        <f t="shared" si="7"/>
        <v>5332.310495</v>
      </c>
      <c r="J17" s="177">
        <f t="shared" si="7"/>
        <v>6802.042754</v>
      </c>
      <c r="K17" s="171"/>
      <c r="L17" s="171"/>
      <c r="M17" s="171"/>
      <c r="N17" s="171"/>
      <c r="O17" s="171"/>
      <c r="P17" s="169"/>
      <c r="Q17" s="169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61" t="s">
        <v>337</v>
      </c>
      <c r="C18" s="178"/>
      <c r="D18" s="178"/>
      <c r="E18" s="179" t="s">
        <v>47</v>
      </c>
      <c r="F18" s="180">
        <f>(F17-E17)/-E17</f>
        <v>23.00186169</v>
      </c>
      <c r="G18" s="180">
        <f t="shared" ref="G18:J18" si="8">(G17-F17)/F17</f>
        <v>0.2591167888</v>
      </c>
      <c r="H18" s="180">
        <f t="shared" si="8"/>
        <v>0.291311995</v>
      </c>
      <c r="I18" s="180">
        <f t="shared" si="8"/>
        <v>0.2879589803</v>
      </c>
      <c r="J18" s="180">
        <f t="shared" si="8"/>
        <v>0.2756276592</v>
      </c>
      <c r="K18" s="181"/>
      <c r="L18" s="181"/>
      <c r="M18" s="181"/>
      <c r="N18" s="181"/>
      <c r="O18" s="181"/>
      <c r="P18" s="178"/>
      <c r="Q18" s="178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65" t="s">
        <v>369</v>
      </c>
      <c r="B19" s="152"/>
      <c r="C19" s="152"/>
      <c r="D19" s="152"/>
      <c r="E19" s="182"/>
      <c r="F19" s="182"/>
      <c r="G19" s="182"/>
      <c r="H19" s="182"/>
      <c r="I19" s="182"/>
      <c r="J19" s="183">
        <f>(J17*(1+H27))/(H26-H27)</f>
        <v>101156.9109</v>
      </c>
      <c r="K19" s="152"/>
      <c r="L19" s="152"/>
      <c r="M19" s="152"/>
      <c r="N19" s="152"/>
      <c r="O19" s="152"/>
      <c r="P19" s="152"/>
      <c r="Q19" s="15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52"/>
      <c r="B20" s="152"/>
      <c r="C20" s="152"/>
      <c r="D20" s="152"/>
      <c r="E20" s="182"/>
      <c r="F20" s="182"/>
      <c r="G20" s="182"/>
      <c r="H20" s="182"/>
      <c r="I20" s="182"/>
      <c r="J20" s="182"/>
      <c r="K20" s="152"/>
      <c r="L20" s="152"/>
      <c r="M20" s="152"/>
      <c r="N20" s="152"/>
      <c r="O20" s="152"/>
      <c r="P20" s="152"/>
      <c r="Q20" s="15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55" t="s">
        <v>371</v>
      </c>
      <c r="C21" s="152"/>
      <c r="D21" s="152"/>
      <c r="E21" s="167">
        <v>1.0</v>
      </c>
      <c r="F21" s="167">
        <v>2.0</v>
      </c>
      <c r="G21" s="167">
        <v>3.0</v>
      </c>
      <c r="H21" s="167">
        <v>4.0</v>
      </c>
      <c r="I21" s="167">
        <v>5.0</v>
      </c>
      <c r="J21" s="167">
        <v>6.0</v>
      </c>
      <c r="K21" s="166"/>
      <c r="L21" s="166"/>
      <c r="M21" s="166"/>
      <c r="N21" s="166"/>
      <c r="O21" s="166"/>
      <c r="P21" s="152"/>
      <c r="Q21" s="15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55" t="s">
        <v>373</v>
      </c>
      <c r="C22" s="152"/>
      <c r="D22" s="152"/>
      <c r="E22" s="185">
        <f t="shared" ref="E22:J22" si="9">1/(1+$H$26)^E21</f>
        <v>0.9186217419</v>
      </c>
      <c r="F22" s="185">
        <f t="shared" si="9"/>
        <v>0.8438659047</v>
      </c>
      <c r="G22" s="185">
        <f t="shared" si="9"/>
        <v>0.7751935673</v>
      </c>
      <c r="H22" s="185">
        <f t="shared" si="9"/>
        <v>0.7121096652</v>
      </c>
      <c r="I22" s="185">
        <f t="shared" si="9"/>
        <v>0.654159421</v>
      </c>
      <c r="J22" s="185">
        <f t="shared" si="9"/>
        <v>0.6009250668</v>
      </c>
      <c r="K22" s="166"/>
      <c r="L22" s="166"/>
      <c r="M22" s="166"/>
      <c r="N22" s="166"/>
      <c r="O22" s="166"/>
      <c r="P22" s="152"/>
      <c r="Q22" s="15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65" t="s">
        <v>375</v>
      </c>
      <c r="C23" s="152"/>
      <c r="D23" s="152"/>
      <c r="E23" s="185">
        <f t="shared" ref="E23:J23" si="10">E17*E22</f>
        <v>-106.3147416</v>
      </c>
      <c r="F23" s="185">
        <f t="shared" si="10"/>
        <v>2148.768548</v>
      </c>
      <c r="G23" s="185">
        <f t="shared" si="10"/>
        <v>2485.377563</v>
      </c>
      <c r="H23" s="185">
        <f t="shared" si="10"/>
        <v>2948.222652</v>
      </c>
      <c r="I23" s="185">
        <f t="shared" si="10"/>
        <v>3488.181146</v>
      </c>
      <c r="J23" s="185">
        <f t="shared" si="10"/>
        <v>4087.517997</v>
      </c>
      <c r="K23" s="186"/>
      <c r="L23" s="186"/>
      <c r="M23" s="186"/>
      <c r="N23" s="186"/>
      <c r="O23" s="186"/>
      <c r="P23" s="152"/>
      <c r="Q23" s="15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55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88" t="s">
        <v>379</v>
      </c>
      <c r="B25" s="113"/>
      <c r="C25" s="113"/>
      <c r="D25" s="190"/>
      <c r="E25" s="190"/>
      <c r="F25" s="188" t="s">
        <v>383</v>
      </c>
      <c r="G25" s="190"/>
      <c r="H25" s="190"/>
      <c r="I25" s="190"/>
      <c r="J25" s="188" t="s">
        <v>385</v>
      </c>
      <c r="K25" s="113"/>
      <c r="L25" s="190"/>
      <c r="M25" s="191"/>
      <c r="N25" s="191"/>
      <c r="P25" s="192"/>
      <c r="Q25" s="15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8" t="s">
        <v>387</v>
      </c>
      <c r="B26" s="18"/>
      <c r="C26" s="143">
        <f>SUM(E23:J23)</f>
        <v>15051.75316</v>
      </c>
      <c r="D26" s="194"/>
      <c r="E26" s="195"/>
      <c r="F26" s="18" t="s">
        <v>389</v>
      </c>
      <c r="H26" s="84">
        <f>((L35/L33)*L32)+((L34/L33)*L31)</f>
        <v>0.08858734163</v>
      </c>
      <c r="I26" s="195"/>
      <c r="J26" s="18" t="s">
        <v>390</v>
      </c>
      <c r="L26" s="108">
        <v>0.0065</v>
      </c>
      <c r="M26" s="152"/>
      <c r="N26" s="152"/>
      <c r="O26" s="152"/>
      <c r="P26" s="152"/>
      <c r="Q26" s="15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8" t="s">
        <v>392</v>
      </c>
      <c r="B27" s="18"/>
      <c r="C27" s="143">
        <f>J19/(1+H26)^J21</f>
        <v>60787.72347</v>
      </c>
      <c r="D27" s="194"/>
      <c r="E27" s="195"/>
      <c r="F27" s="18" t="s">
        <v>393</v>
      </c>
      <c r="H27" s="84">
        <v>0.02</v>
      </c>
      <c r="I27" s="195"/>
      <c r="J27" s="18" t="s">
        <v>394</v>
      </c>
      <c r="K27" s="195"/>
      <c r="L27" s="149">
        <v>1.4</v>
      </c>
      <c r="M27" s="152"/>
      <c r="N27" s="152"/>
      <c r="O27" s="178"/>
      <c r="P27" s="152"/>
      <c r="Q27" s="15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98" t="s">
        <v>395</v>
      </c>
      <c r="B28" s="197"/>
      <c r="C28" s="199">
        <f>SUM(C26:C27)</f>
        <v>75839.47664</v>
      </c>
      <c r="D28" s="194"/>
      <c r="E28" s="195"/>
      <c r="F28" s="18" t="s">
        <v>399</v>
      </c>
      <c r="H28" s="64">
        <v>181.341</v>
      </c>
      <c r="I28" s="195"/>
      <c r="J28" s="18" t="s">
        <v>400</v>
      </c>
      <c r="L28" s="145">
        <v>0.0616</v>
      </c>
      <c r="M28" s="152"/>
      <c r="N28" s="152"/>
      <c r="O28" s="152"/>
      <c r="P28" s="152"/>
      <c r="Q28" s="15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8" t="s">
        <v>401</v>
      </c>
      <c r="B29" s="18"/>
      <c r="C29" s="143">
        <f>BS!E9+BS!E10</f>
        <v>6642.888152</v>
      </c>
      <c r="D29" s="194"/>
      <c r="E29" s="195"/>
      <c r="I29" s="195"/>
      <c r="J29" s="18" t="s">
        <v>402</v>
      </c>
      <c r="K29" s="195"/>
      <c r="L29" s="84">
        <v>0.065</v>
      </c>
      <c r="M29" s="152"/>
      <c r="N29" s="152"/>
      <c r="O29" s="152"/>
      <c r="P29" s="152"/>
      <c r="Q29" s="15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8" t="s">
        <v>404</v>
      </c>
      <c r="B30" s="18"/>
      <c r="C30" s="143">
        <f>BS!E36+BS!E40</f>
        <v>13060.68168</v>
      </c>
      <c r="D30" s="19"/>
      <c r="E30" s="195"/>
      <c r="F30" s="195"/>
      <c r="G30" s="195"/>
      <c r="H30" s="195"/>
      <c r="I30" s="195"/>
      <c r="J30" s="18" t="s">
        <v>405</v>
      </c>
      <c r="K30" s="195"/>
      <c r="L30" s="202">
        <v>0.23</v>
      </c>
      <c r="M30" s="152"/>
      <c r="N30" s="152"/>
      <c r="O30" s="152"/>
      <c r="P30" s="152"/>
      <c r="Q30" s="15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52" t="s">
        <v>407</v>
      </c>
      <c r="B31" s="52"/>
      <c r="C31" s="204">
        <f>C28+C29-C30</f>
        <v>69421.6831</v>
      </c>
      <c r="D31" s="194"/>
      <c r="E31" s="195"/>
      <c r="F31" s="195"/>
      <c r="G31" s="195"/>
      <c r="H31" s="195"/>
      <c r="I31" s="195"/>
      <c r="J31" s="18" t="s">
        <v>408</v>
      </c>
      <c r="L31" s="84">
        <f>L26+(L27*L28)</f>
        <v>0.09274</v>
      </c>
      <c r="M31" s="152"/>
      <c r="N31" s="152"/>
      <c r="O31" s="152"/>
      <c r="P31" s="152"/>
      <c r="Q31" s="15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D32" s="205"/>
      <c r="E32" s="195"/>
      <c r="F32" s="206"/>
      <c r="G32" s="206"/>
      <c r="H32" s="195"/>
      <c r="I32" s="195"/>
      <c r="J32" s="18" t="s">
        <v>410</v>
      </c>
      <c r="L32" s="84">
        <f>L29*(1-L30)</f>
        <v>0.05005</v>
      </c>
      <c r="M32" s="152"/>
      <c r="N32" s="152"/>
      <c r="O32" s="152"/>
      <c r="P32" s="152"/>
      <c r="Q32" s="15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5" t="s">
        <v>412</v>
      </c>
      <c r="B33" s="15"/>
      <c r="C33" s="207">
        <f>C31/H28</f>
        <v>382.8239786</v>
      </c>
      <c r="D33" s="195"/>
      <c r="E33" s="195"/>
      <c r="F33" s="195"/>
      <c r="G33" s="195"/>
      <c r="H33" s="195"/>
      <c r="I33" s="195"/>
      <c r="J33" s="18" t="s">
        <v>414</v>
      </c>
      <c r="L33" s="149">
        <f>SUM(L34:L35)</f>
        <v>137949.4915</v>
      </c>
      <c r="M33" s="152"/>
      <c r="N33" s="152"/>
      <c r="O33" s="152"/>
      <c r="P33" s="152"/>
      <c r="Q33" s="15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8" t="s">
        <v>415</v>
      </c>
      <c r="C34" s="208">
        <v>686.72</v>
      </c>
      <c r="D34" s="194"/>
      <c r="E34" s="195"/>
      <c r="F34" s="195"/>
      <c r="G34" s="195"/>
      <c r="H34" s="195"/>
      <c r="I34" s="195"/>
      <c r="J34" s="70" t="s">
        <v>417</v>
      </c>
      <c r="K34" s="195"/>
      <c r="L34" s="157">
        <f>H28*C34</f>
        <v>124530.4915</v>
      </c>
      <c r="M34" s="152"/>
      <c r="N34" s="152"/>
      <c r="O34" s="152"/>
      <c r="P34" s="152"/>
      <c r="Q34" s="15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5" t="s">
        <v>418</v>
      </c>
      <c r="C35" s="212">
        <f>(C33-C34)/C34</f>
        <v>-0.44253265</v>
      </c>
      <c r="D35" s="205"/>
      <c r="E35" s="195"/>
      <c r="F35" s="195"/>
      <c r="G35" s="195"/>
      <c r="H35" s="195"/>
      <c r="I35" s="195"/>
      <c r="J35" s="156" t="s">
        <v>420</v>
      </c>
      <c r="K35" s="12"/>
      <c r="L35" s="21">
        <f>BS!D36+BS!D40</f>
        <v>13419</v>
      </c>
      <c r="M35" s="152"/>
      <c r="N35" s="152"/>
      <c r="O35" s="155"/>
      <c r="P35" s="186"/>
      <c r="Q35" s="213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D36" s="202"/>
      <c r="E36" s="195"/>
      <c r="F36" s="195"/>
      <c r="G36" s="195"/>
      <c r="H36" s="195"/>
      <c r="I36" s="195"/>
      <c r="J36" s="195"/>
      <c r="L36" s="84"/>
      <c r="M36" s="152"/>
      <c r="N36" s="152"/>
      <c r="O36" s="155"/>
      <c r="P36" s="186"/>
      <c r="Q36" s="213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73" t="s">
        <v>422</v>
      </c>
      <c r="B38" s="214"/>
      <c r="C38" s="215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55" t="s">
        <v>424</v>
      </c>
      <c r="B39" s="152"/>
      <c r="C39" s="186">
        <f>C28</f>
        <v>75839.47664</v>
      </c>
      <c r="D39" s="152"/>
      <c r="E39" s="152"/>
      <c r="F39" s="216" t="s">
        <v>389</v>
      </c>
      <c r="G39" s="217" t="s">
        <v>425</v>
      </c>
      <c r="H39" s="113"/>
      <c r="I39" s="113"/>
      <c r="J39" s="113"/>
      <c r="K39" s="114"/>
      <c r="L39" s="152"/>
      <c r="M39" s="152"/>
      <c r="N39" s="152"/>
      <c r="O39" s="152"/>
      <c r="P39" s="152"/>
      <c r="Q39" s="15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55" t="s">
        <v>59</v>
      </c>
      <c r="C40" s="186">
        <v>10667.0</v>
      </c>
      <c r="D40" s="152"/>
      <c r="E40" s="218"/>
      <c r="F40" s="219">
        <f>C28</f>
        <v>75839.47664</v>
      </c>
      <c r="G40" s="220">
        <v>0.016</v>
      </c>
      <c r="H40" s="220">
        <v>0.018</v>
      </c>
      <c r="I40" s="220">
        <v>0.02</v>
      </c>
      <c r="J40" s="220">
        <v>0.022</v>
      </c>
      <c r="K40" s="221">
        <v>0.024</v>
      </c>
      <c r="L40" s="152"/>
      <c r="M40" s="152"/>
      <c r="N40" s="152"/>
      <c r="O40" s="152"/>
      <c r="P40" s="152"/>
      <c r="Q40" s="15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55" t="s">
        <v>420</v>
      </c>
      <c r="B41" s="152"/>
      <c r="C41" s="222">
        <v>11634.0</v>
      </c>
      <c r="D41" s="152"/>
      <c r="E41" s="218"/>
      <c r="F41" s="223">
        <v>0.08</v>
      </c>
      <c r="G41" s="224"/>
      <c r="H41" s="224"/>
      <c r="I41" s="224"/>
      <c r="J41" s="224"/>
      <c r="K41" s="225"/>
      <c r="L41" s="152"/>
      <c r="M41" s="152"/>
      <c r="N41" s="152"/>
      <c r="O41" s="152"/>
      <c r="P41" s="152"/>
      <c r="Q41" s="15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55" t="s">
        <v>428</v>
      </c>
      <c r="B42" s="152"/>
      <c r="C42" s="186">
        <f>C39-C40-C41</f>
        <v>53538.47664</v>
      </c>
      <c r="D42" s="152"/>
      <c r="E42" s="218"/>
      <c r="F42" s="223">
        <v>0.085</v>
      </c>
      <c r="G42" s="224"/>
      <c r="H42" s="226"/>
      <c r="I42" s="226"/>
      <c r="J42" s="226"/>
      <c r="K42" s="225"/>
      <c r="L42" s="152"/>
      <c r="M42" s="152"/>
      <c r="N42" s="152"/>
      <c r="O42" s="152"/>
      <c r="P42" s="152"/>
      <c r="Q42" s="15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55" t="s">
        <v>429</v>
      </c>
      <c r="B43" s="152"/>
      <c r="C43" s="172">
        <f>C42/C39</f>
        <v>0.7059447007</v>
      </c>
      <c r="D43" s="152"/>
      <c r="E43" s="152"/>
      <c r="F43" s="227">
        <v>0.0889</v>
      </c>
      <c r="G43" s="224"/>
      <c r="H43" s="226"/>
      <c r="I43" s="228"/>
      <c r="J43" s="226"/>
      <c r="K43" s="225"/>
      <c r="L43" s="152"/>
      <c r="M43" s="152"/>
      <c r="N43" s="152"/>
      <c r="O43" s="152"/>
      <c r="P43" s="152"/>
      <c r="Q43" s="15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52"/>
      <c r="B44" s="152"/>
      <c r="C44" s="152"/>
      <c r="D44" s="152"/>
      <c r="E44" s="152"/>
      <c r="F44" s="223">
        <v>0.095</v>
      </c>
      <c r="G44" s="224"/>
      <c r="H44" s="226"/>
      <c r="I44" s="226"/>
      <c r="J44" s="226"/>
      <c r="K44" s="225"/>
      <c r="L44" s="152"/>
      <c r="M44" s="152"/>
      <c r="N44" s="152"/>
      <c r="O44" s="152"/>
      <c r="P44" s="152"/>
      <c r="Q44" s="15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52"/>
      <c r="B45" s="152"/>
      <c r="C45" s="152"/>
      <c r="D45" s="152"/>
      <c r="E45" s="152"/>
      <c r="F45" s="229">
        <v>0.1</v>
      </c>
      <c r="G45" s="230"/>
      <c r="H45" s="230"/>
      <c r="I45" s="230"/>
      <c r="J45" s="230"/>
      <c r="K45" s="231"/>
      <c r="L45" s="152"/>
      <c r="M45" s="152"/>
      <c r="N45" s="152"/>
      <c r="O45" s="152"/>
      <c r="P45" s="152"/>
      <c r="Q45" s="15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52"/>
      <c r="B46" s="152"/>
      <c r="C46" s="152"/>
      <c r="D46" s="152"/>
      <c r="E46" s="152"/>
      <c r="F46" s="152"/>
      <c r="G46" s="23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</sheetData>
  <mergeCells count="29">
    <mergeCell ref="A1:D1"/>
    <mergeCell ref="A3:B3"/>
    <mergeCell ref="A7:B7"/>
    <mergeCell ref="A9:C9"/>
    <mergeCell ref="A10:B10"/>
    <mergeCell ref="A11:B11"/>
    <mergeCell ref="A13:B13"/>
    <mergeCell ref="J28:K28"/>
    <mergeCell ref="J31:K31"/>
    <mergeCell ref="J32:K32"/>
    <mergeCell ref="J33:K33"/>
    <mergeCell ref="G39:K39"/>
    <mergeCell ref="A25:C25"/>
    <mergeCell ref="J25:K25"/>
    <mergeCell ref="N25:O25"/>
    <mergeCell ref="F26:G26"/>
    <mergeCell ref="J26:K26"/>
    <mergeCell ref="F27:G27"/>
    <mergeCell ref="F28:G28"/>
    <mergeCell ref="A34:B34"/>
    <mergeCell ref="A35:B35"/>
    <mergeCell ref="A40:B40"/>
    <mergeCell ref="A14:C14"/>
    <mergeCell ref="A15:B15"/>
    <mergeCell ref="A17:B17"/>
    <mergeCell ref="A18:B18"/>
    <mergeCell ref="A21:B21"/>
    <mergeCell ref="A22:B22"/>
    <mergeCell ref="A23:B23"/>
  </mergeCells>
  <drawing r:id="rId2"/>
  <legacyDrawing r:id="rId3"/>
</worksheet>
</file>