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metivier-dionne/Desktop/TP-RR/"/>
    </mc:Choice>
  </mc:AlternateContent>
  <xr:revisionPtr revIDLastSave="0" documentId="13_ncr:1_{301384F3-0B59-544C-A405-972EF46D1E7A}" xr6:coauthVersionLast="47" xr6:coauthVersionMax="47" xr10:uidLastSave="{00000000-0000-0000-0000-000000000000}"/>
  <bookViews>
    <workbookView xWindow="0" yWindow="0" windowWidth="28800" windowHeight="18000" tabRatio="734" firstSheet="6" activeTab="21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Calibration après ceci" sheetId="9" r:id="rId23"/>
    <sheet name="Table de mortalité H" sheetId="1" r:id="rId24"/>
    <sheet name="Table de mortalité F" sheetId="2" r:id="rId25"/>
    <sheet name="CPM-B-M" sheetId="19" r:id="rId26"/>
    <sheet name="CPM-B-F" sheetId="20" r:id="rId27"/>
    <sheet name="MI-2017-M" sheetId="21" r:id="rId28"/>
    <sheet name="MI-2017-F" sheetId="22" r:id="rId29"/>
    <sheet name="ICA-Mixte-CPM-B-M" sheetId="23" r:id="rId30"/>
    <sheet name="ICA-Mixte-CPM-B-F" sheetId="25" r:id="rId31"/>
    <sheet name="ICA-Privée-CPM-B-M" sheetId="24" r:id="rId32"/>
    <sheet name="ICA-Privée-CPM-B-F" sheetId="26" r:id="rId33"/>
    <sheet name="ICA-Privée-MI-M" sheetId="27" r:id="rId34"/>
    <sheet name="ICA-Privée-MI-F" sheetId="28" r:id="rId35"/>
    <sheet name="CPM-2014-Privée-mod-MI-M" sheetId="12" r:id="rId36"/>
    <sheet name="CPM-2014-Privée-mod-MI-F" sheetId="18" r:id="rId37"/>
    <sheet name="Probabilités de décès (2)" sheetId="33" state="hidden" r:id="rId38"/>
    <sheet name="Probabilités de décès" sheetId="15" r:id="rId39"/>
    <sheet name="Autres hypothèses" sheetId="29" r:id="rId40"/>
    <sheet name="VA" sheetId="30" r:id="rId41"/>
  </sheets>
  <externalReferences>
    <externalReference r:id="rId42"/>
    <externalReference r:id="rId43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49" l="1"/>
  <c r="Q16" i="39" s="1"/>
  <c r="E10" i="48"/>
  <c r="Q15" i="39" s="1"/>
  <c r="E11" i="47"/>
  <c r="E10" i="46"/>
  <c r="Q10" i="39" s="1"/>
  <c r="E10" i="45"/>
  <c r="Q9" i="39" s="1"/>
  <c r="E11" i="44"/>
  <c r="E10" i="41"/>
  <c r="E10" i="40"/>
  <c r="E10" i="36"/>
  <c r="E10" i="37"/>
  <c r="Q6" i="39"/>
  <c r="R6" i="39" s="1"/>
  <c r="E12" i="36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Q5" i="39"/>
  <c r="R5" i="39" s="1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A20" i="4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AR59" i="38"/>
  <c r="AR60" i="38"/>
  <c r="AR61" i="38"/>
  <c r="T59" i="38"/>
  <c r="T60" i="38" s="1"/>
  <c r="T61" i="38" s="1"/>
  <c r="AR58" i="38"/>
  <c r="AR57" i="38"/>
  <c r="AR56" i="38"/>
  <c r="AR55" i="38"/>
  <c r="AR54" i="38"/>
  <c r="AR53" i="38"/>
  <c r="AR52" i="38"/>
  <c r="AR51" i="38"/>
  <c r="AR50" i="38"/>
  <c r="AR49" i="38"/>
  <c r="AR48" i="38"/>
  <c r="AR47" i="38"/>
  <c r="AR46" i="38"/>
  <c r="AR45" i="38"/>
  <c r="AR44" i="38"/>
  <c r="AR43" i="38"/>
  <c r="AR42" i="38"/>
  <c r="AR41" i="38"/>
  <c r="AR40" i="38"/>
  <c r="AR39" i="38"/>
  <c r="AR38" i="38"/>
  <c r="AR37" i="38"/>
  <c r="AR36" i="38"/>
  <c r="AR35" i="38"/>
  <c r="AR34" i="38"/>
  <c r="AR33" i="38"/>
  <c r="AR32" i="38"/>
  <c r="AR31" i="38"/>
  <c r="AR30" i="38"/>
  <c r="AR29" i="38"/>
  <c r="AR28" i="38"/>
  <c r="AR27" i="38"/>
  <c r="AR26" i="38"/>
  <c r="AR25" i="38"/>
  <c r="AR24" i="38"/>
  <c r="AR23" i="38"/>
  <c r="AR22" i="38"/>
  <c r="AR21" i="38"/>
  <c r="AR20" i="38"/>
  <c r="AR19" i="38"/>
  <c r="AR18" i="38"/>
  <c r="AR17" i="38"/>
  <c r="AR16" i="38"/>
  <c r="AR15" i="38"/>
  <c r="AR14" i="38"/>
  <c r="AR13" i="38"/>
  <c r="AR12" i="38"/>
  <c r="AR11" i="38"/>
  <c r="AR10" i="38"/>
  <c r="AR9" i="38"/>
  <c r="AR8" i="38"/>
  <c r="AR7" i="38"/>
  <c r="AR6" i="38"/>
  <c r="AR5" i="38"/>
  <c r="AR4" i="38"/>
  <c r="AR3" i="38"/>
  <c r="AH64" i="38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N19" i="48" l="1"/>
  <c r="R3" i="39"/>
  <c r="F20" i="47"/>
  <c r="K15" i="39"/>
  <c r="R15" i="39"/>
  <c r="R4" i="39"/>
  <c r="K5" i="39"/>
  <c r="F19" i="45"/>
  <c r="R10" i="39"/>
  <c r="K16" i="39"/>
  <c r="K19" i="45"/>
  <c r="L19" i="45" s="1"/>
  <c r="R9" i="39"/>
  <c r="R16" i="39"/>
  <c r="N19" i="49"/>
  <c r="F19" i="49"/>
  <c r="K19" i="49"/>
  <c r="D20" i="49"/>
  <c r="D20" i="48"/>
  <c r="D21" i="48" s="1"/>
  <c r="D22" i="48" s="1"/>
  <c r="F22" i="48" s="1"/>
  <c r="K21" i="48"/>
  <c r="L21" i="48" s="1"/>
  <c r="O19" i="48"/>
  <c r="P19" i="48" s="1"/>
  <c r="N20" i="48"/>
  <c r="O20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N21" i="44"/>
  <c r="O21" i="44" s="1"/>
  <c r="F21" i="44"/>
  <c r="F22" i="44"/>
  <c r="K21" i="44"/>
  <c r="L21" i="44" s="1"/>
  <c r="M20" i="44"/>
  <c r="N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AR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N21" i="48" l="1"/>
  <c r="O21" i="48" s="1"/>
  <c r="N20" i="49"/>
  <c r="O20" i="49" s="1"/>
  <c r="K20" i="49"/>
  <c r="L20" i="49" s="1"/>
  <c r="D21" i="49"/>
  <c r="F21" i="49" s="1"/>
  <c r="O19" i="49"/>
  <c r="P19" i="49" s="1"/>
  <c r="L19" i="49"/>
  <c r="M19" i="49" s="1"/>
  <c r="F20" i="49"/>
  <c r="K22" i="48"/>
  <c r="L22" i="48" s="1"/>
  <c r="N22" i="48"/>
  <c r="O22" i="48" s="1"/>
  <c r="D23" i="48"/>
  <c r="L19" i="48"/>
  <c r="M19" i="48" s="1"/>
  <c r="P20" i="48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O20" i="44"/>
  <c r="P20" i="44" s="1"/>
  <c r="M21" i="44"/>
  <c r="D23" i="44"/>
  <c r="N22" i="44"/>
  <c r="O22" i="44" s="1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3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P20" i="49" l="1"/>
  <c r="P21" i="48"/>
  <c r="D48" i="35"/>
  <c r="D49" i="35" s="1"/>
  <c r="D50" i="35" s="1"/>
  <c r="D51" i="35" s="1"/>
  <c r="K21" i="49"/>
  <c r="L21" i="49" s="1"/>
  <c r="N21" i="49"/>
  <c r="O21" i="49" s="1"/>
  <c r="D22" i="49"/>
  <c r="Q19" i="49"/>
  <c r="M20" i="49"/>
  <c r="P22" i="48"/>
  <c r="M20" i="48"/>
  <c r="Q19" i="48"/>
  <c r="K23" i="48"/>
  <c r="L23" i="48" s="1"/>
  <c r="N23" i="48"/>
  <c r="O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P21" i="44"/>
  <c r="Q21" i="44" s="1"/>
  <c r="Q20" i="44"/>
  <c r="M22" i="44"/>
  <c r="D24" i="44"/>
  <c r="N23" i="44"/>
  <c r="O23" i="44" s="1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N19" i="37"/>
  <c r="N21" i="36"/>
  <c r="O21" i="36" s="1"/>
  <c r="D22" i="36"/>
  <c r="L21" i="36"/>
  <c r="N20" i="36"/>
  <c r="O20" i="36" s="1"/>
  <c r="N19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P23" i="48" l="1"/>
  <c r="P21" i="46"/>
  <c r="F51" i="35"/>
  <c r="D52" i="35"/>
  <c r="K51" i="35"/>
  <c r="L51" i="35" s="1"/>
  <c r="D23" i="49"/>
  <c r="K22" i="49"/>
  <c r="L22" i="49" s="1"/>
  <c r="N22" i="49"/>
  <c r="O22" i="49" s="1"/>
  <c r="F22" i="49"/>
  <c r="Q20" i="49"/>
  <c r="M21" i="49"/>
  <c r="F23" i="49"/>
  <c r="P21" i="49"/>
  <c r="K24" i="48"/>
  <c r="L24" i="48" s="1"/>
  <c r="N24" i="48"/>
  <c r="O24" i="48" s="1"/>
  <c r="D25" i="48"/>
  <c r="Q20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P22" i="44"/>
  <c r="P23" i="44" s="1"/>
  <c r="D25" i="44"/>
  <c r="N24" i="44"/>
  <c r="O24" i="44" s="1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N20" i="37"/>
  <c r="O20" i="37" s="1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O19" i="37"/>
  <c r="P19" i="37" s="1"/>
  <c r="M20" i="37"/>
  <c r="O19" i="36"/>
  <c r="P19" i="36" s="1"/>
  <c r="P20" i="36" s="1"/>
  <c r="P21" i="36" s="1"/>
  <c r="K22" i="36"/>
  <c r="L22" i="36" s="1"/>
  <c r="N22" i="36"/>
  <c r="O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D14" i="33"/>
  <c r="P14" i="33"/>
  <c r="D15" i="33"/>
  <c r="F14" i="33" l="1"/>
  <c r="E14" i="33"/>
  <c r="D53" i="35"/>
  <c r="F53" i="35"/>
  <c r="N52" i="35"/>
  <c r="O52" i="35" s="1"/>
  <c r="K52" i="35"/>
  <c r="L52" i="35" s="1"/>
  <c r="F52" i="35"/>
  <c r="P23" i="45"/>
  <c r="G51" i="35"/>
  <c r="E8" i="35"/>
  <c r="Q21" i="49"/>
  <c r="M22" i="49"/>
  <c r="P22" i="49"/>
  <c r="K23" i="49"/>
  <c r="L23" i="49" s="1"/>
  <c r="N23" i="49"/>
  <c r="O23" i="49" s="1"/>
  <c r="D24" i="49"/>
  <c r="F24" i="49" s="1"/>
  <c r="M22" i="48"/>
  <c r="Q21" i="48"/>
  <c r="K25" i="48"/>
  <c r="L25" i="48" s="1"/>
  <c r="N25" i="48"/>
  <c r="O25" i="48" s="1"/>
  <c r="D26" i="48"/>
  <c r="F25" i="48"/>
  <c r="P24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Q22" i="44"/>
  <c r="P24" i="44"/>
  <c r="M24" i="44"/>
  <c r="Q23" i="44"/>
  <c r="D26" i="44"/>
  <c r="N25" i="44"/>
  <c r="O25" i="44" s="1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N21" i="37"/>
  <c r="O21" i="37" s="1"/>
  <c r="M18" i="35"/>
  <c r="Q17" i="35"/>
  <c r="AD20" i="32"/>
  <c r="P22" i="36"/>
  <c r="F21" i="37"/>
  <c r="P20" i="37"/>
  <c r="Q19" i="37"/>
  <c r="M20" i="36"/>
  <c r="Q19" i="36"/>
  <c r="K23" i="36"/>
  <c r="L23" i="36" s="1"/>
  <c r="N23" i="36"/>
  <c r="O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D54" i="35" l="1"/>
  <c r="F54" i="35" s="1"/>
  <c r="N53" i="35"/>
  <c r="O53" i="35" s="1"/>
  <c r="K53" i="35"/>
  <c r="L53" i="35" s="1"/>
  <c r="I53" i="35"/>
  <c r="P52" i="35"/>
  <c r="P53" i="35" s="1"/>
  <c r="P23" i="49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Q22" i="49"/>
  <c r="D25" i="49"/>
  <c r="K24" i="49"/>
  <c r="L24" i="49" s="1"/>
  <c r="N24" i="49"/>
  <c r="O24" i="49" s="1"/>
  <c r="F25" i="49"/>
  <c r="P25" i="48"/>
  <c r="F26" i="48"/>
  <c r="K26" i="48"/>
  <c r="L26" i="48" s="1"/>
  <c r="N26" i="48"/>
  <c r="O26" i="48" s="1"/>
  <c r="D27" i="48"/>
  <c r="F27" i="48" s="1"/>
  <c r="M23" i="48"/>
  <c r="Q22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Q24" i="44"/>
  <c r="D27" i="44"/>
  <c r="N26" i="44"/>
  <c r="O26" i="44" s="1"/>
  <c r="K26" i="44"/>
  <c r="L26" i="44" s="1"/>
  <c r="F26" i="44"/>
  <c r="P25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P21" i="37"/>
  <c r="K22" i="37"/>
  <c r="L22" i="37" s="1"/>
  <c r="N22" i="37"/>
  <c r="O22" i="37" s="1"/>
  <c r="D23" i="37"/>
  <c r="F22" i="37"/>
  <c r="J20" i="32"/>
  <c r="M21" i="37"/>
  <c r="M19" i="35"/>
  <c r="Q18" i="35"/>
  <c r="P20" i="34"/>
  <c r="Y20" i="34" s="1"/>
  <c r="Q20" i="37"/>
  <c r="P23" i="36"/>
  <c r="D25" i="36"/>
  <c r="F25" i="36" s="1"/>
  <c r="K24" i="36"/>
  <c r="L24" i="36" s="1"/>
  <c r="N24" i="36"/>
  <c r="O24" i="36" s="1"/>
  <c r="Q20" i="36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B40" i="38" l="1"/>
  <c r="I51" i="35"/>
  <c r="D55" i="35"/>
  <c r="K54" i="35"/>
  <c r="L54" i="35" s="1"/>
  <c r="N54" i="35"/>
  <c r="O54" i="35" s="1"/>
  <c r="I54" i="35"/>
  <c r="N25" i="49"/>
  <c r="O25" i="49" s="1"/>
  <c r="D26" i="49"/>
  <c r="K25" i="49"/>
  <c r="L25" i="49" s="1"/>
  <c r="M24" i="49"/>
  <c r="Q23" i="49"/>
  <c r="F26" i="49"/>
  <c r="P24" i="49"/>
  <c r="M24" i="48"/>
  <c r="Q23" i="48"/>
  <c r="K27" i="48"/>
  <c r="L27" i="48" s="1"/>
  <c r="N27" i="48"/>
  <c r="O27" i="48" s="1"/>
  <c r="D28" i="48"/>
  <c r="P26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P26" i="44"/>
  <c r="F28" i="44"/>
  <c r="M26" i="44"/>
  <c r="Q25" i="44"/>
  <c r="D28" i="44"/>
  <c r="N27" i="44"/>
  <c r="O27" i="44" s="1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P22" i="37"/>
  <c r="Q22" i="37" s="1"/>
  <c r="Q21" i="37"/>
  <c r="N23" i="37"/>
  <c r="O23" i="37" s="1"/>
  <c r="D24" i="37"/>
  <c r="K23" i="37"/>
  <c r="L23" i="37" s="1"/>
  <c r="Q20" i="34"/>
  <c r="R20" i="34" s="1"/>
  <c r="M20" i="35"/>
  <c r="Q19" i="35"/>
  <c r="F23" i="37"/>
  <c r="N25" i="36"/>
  <c r="O25" i="36" s="1"/>
  <c r="D26" i="36"/>
  <c r="K25" i="36"/>
  <c r="L25" i="36" s="1"/>
  <c r="Q21" i="36"/>
  <c r="M22" i="36"/>
  <c r="P24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P25" i="49" l="1"/>
  <c r="P54" i="35"/>
  <c r="M63" i="38"/>
  <c r="K63" i="38"/>
  <c r="Q63" i="38"/>
  <c r="Z63" i="38"/>
  <c r="W63" i="38"/>
  <c r="U63" i="38"/>
  <c r="AC63" i="38"/>
  <c r="O63" i="38"/>
  <c r="AD63" i="38"/>
  <c r="Y63" i="38"/>
  <c r="AA63" i="38"/>
  <c r="AB63" i="38"/>
  <c r="P63" i="38"/>
  <c r="I63" i="38"/>
  <c r="I66" i="38" s="1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Q24" i="49"/>
  <c r="M25" i="49"/>
  <c r="K26" i="49"/>
  <c r="L26" i="49" s="1"/>
  <c r="N26" i="49"/>
  <c r="O26" i="49" s="1"/>
  <c r="D27" i="49"/>
  <c r="F27" i="49" s="1"/>
  <c r="P27" i="48"/>
  <c r="K28" i="48"/>
  <c r="L28" i="48" s="1"/>
  <c r="N28" i="48"/>
  <c r="O28" i="48" s="1"/>
  <c r="D29" i="48"/>
  <c r="F28" i="48"/>
  <c r="M25" i="48"/>
  <c r="Q24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Q26" i="44"/>
  <c r="D29" i="44"/>
  <c r="N28" i="44"/>
  <c r="O28" i="44" s="1"/>
  <c r="K28" i="44"/>
  <c r="L28" i="44" s="1"/>
  <c r="P27" i="44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P23" i="37"/>
  <c r="M21" i="35"/>
  <c r="Q20" i="35"/>
  <c r="N24" i="37"/>
  <c r="O24" i="37" s="1"/>
  <c r="K24" i="37"/>
  <c r="L24" i="37" s="1"/>
  <c r="D25" i="37"/>
  <c r="F24" i="37"/>
  <c r="AD22" i="34"/>
  <c r="P25" i="36"/>
  <c r="Q22" i="36"/>
  <c r="M23" i="36"/>
  <c r="K26" i="36"/>
  <c r="L26" i="36" s="1"/>
  <c r="D27" i="36"/>
  <c r="F27" i="36" s="1"/>
  <c r="N26" i="36"/>
  <c r="O26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L5" i="39" l="1"/>
  <c r="U66" i="38"/>
  <c r="K56" i="35"/>
  <c r="L56" i="35" s="1"/>
  <c r="N56" i="35"/>
  <c r="O56" i="35" s="1"/>
  <c r="I56" i="35"/>
  <c r="Q23" i="37"/>
  <c r="P55" i="35"/>
  <c r="P56" i="35" s="1"/>
  <c r="K27" i="49"/>
  <c r="L27" i="49" s="1"/>
  <c r="N27" i="49"/>
  <c r="O27" i="49" s="1"/>
  <c r="D28" i="49"/>
  <c r="Q25" i="49"/>
  <c r="M26" i="49"/>
  <c r="P26" i="49"/>
  <c r="M26" i="48"/>
  <c r="Q25" i="48"/>
  <c r="K29" i="48"/>
  <c r="L29" i="48" s="1"/>
  <c r="N29" i="48"/>
  <c r="O29" i="48" s="1"/>
  <c r="D30" i="48"/>
  <c r="F29" i="48"/>
  <c r="P28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P28" i="44"/>
  <c r="D30" i="44"/>
  <c r="N29" i="44"/>
  <c r="O29" i="44" s="1"/>
  <c r="K29" i="44"/>
  <c r="L29" i="44" s="1"/>
  <c r="F29" i="44"/>
  <c r="M28" i="44"/>
  <c r="Q27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P24" i="37"/>
  <c r="Q24" i="37" s="1"/>
  <c r="M22" i="35"/>
  <c r="Q21" i="35"/>
  <c r="N25" i="37"/>
  <c r="O25" i="37" s="1"/>
  <c r="K25" i="37"/>
  <c r="L25" i="37" s="1"/>
  <c r="M25" i="37" s="1"/>
  <c r="D26" i="37"/>
  <c r="W22" i="34"/>
  <c r="F25" i="37"/>
  <c r="M24" i="36"/>
  <c r="Q23" i="36"/>
  <c r="P26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E12" i="37" l="1"/>
  <c r="L6" i="39"/>
  <c r="M27" i="49"/>
  <c r="Q26" i="49"/>
  <c r="D29" i="49"/>
  <c r="N28" i="49"/>
  <c r="O28" i="49" s="1"/>
  <c r="K28" i="49"/>
  <c r="L28" i="49" s="1"/>
  <c r="P27" i="49"/>
  <c r="F28" i="49"/>
  <c r="P29" i="48"/>
  <c r="K30" i="48"/>
  <c r="L30" i="48" s="1"/>
  <c r="N30" i="48"/>
  <c r="O30" i="48" s="1"/>
  <c r="D31" i="48"/>
  <c r="F30" i="48"/>
  <c r="M27" i="48"/>
  <c r="Q26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N30" i="44"/>
  <c r="O30" i="44" s="1"/>
  <c r="K30" i="44"/>
  <c r="L30" i="44" s="1"/>
  <c r="M29" i="44"/>
  <c r="Q28" i="44"/>
  <c r="P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P25" i="37"/>
  <c r="F26" i="37"/>
  <c r="N28" i="36"/>
  <c r="O28" i="36" s="1"/>
  <c r="D29" i="36"/>
  <c r="F29" i="36" s="1"/>
  <c r="K28" i="36"/>
  <c r="L28" i="36" s="1"/>
  <c r="F28" i="36"/>
  <c r="P27" i="36"/>
  <c r="Q24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P30" i="44" l="1"/>
  <c r="AD26" i="32"/>
  <c r="N29" i="49"/>
  <c r="O29" i="49" s="1"/>
  <c r="D30" i="49"/>
  <c r="K29" i="49"/>
  <c r="L29" i="49" s="1"/>
  <c r="M28" i="49"/>
  <c r="Q27" i="49"/>
  <c r="P28" i="49"/>
  <c r="P29" i="49" s="1"/>
  <c r="F29" i="49"/>
  <c r="K31" i="48"/>
  <c r="L31" i="48" s="1"/>
  <c r="N31" i="48"/>
  <c r="O31" i="48" s="1"/>
  <c r="D32" i="48"/>
  <c r="P30" i="48"/>
  <c r="M28" i="48"/>
  <c r="Q27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Q29" i="44"/>
  <c r="D32" i="44"/>
  <c r="N31" i="44"/>
  <c r="O31" i="44" s="1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P26" i="37"/>
  <c r="M26" i="37"/>
  <c r="Q25" i="37"/>
  <c r="M24" i="35"/>
  <c r="Q23" i="35"/>
  <c r="W25" i="32"/>
  <c r="K27" i="37"/>
  <c r="L27" i="37" s="1"/>
  <c r="D28" i="37"/>
  <c r="F28" i="37" s="1"/>
  <c r="N27" i="37"/>
  <c r="O27" i="37" s="1"/>
  <c r="F27" i="37"/>
  <c r="M27" i="37"/>
  <c r="P28" i="36"/>
  <c r="M26" i="36"/>
  <c r="Q25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Q26" i="37" l="1"/>
  <c r="Q28" i="49"/>
  <c r="M29" i="49"/>
  <c r="K30" i="49"/>
  <c r="L30" i="49" s="1"/>
  <c r="N30" i="49"/>
  <c r="O30" i="49" s="1"/>
  <c r="D31" i="49"/>
  <c r="F30" i="49"/>
  <c r="P31" i="48"/>
  <c r="M29" i="48"/>
  <c r="Q28" i="48"/>
  <c r="K32" i="48"/>
  <c r="L32" i="48" s="1"/>
  <c r="N32" i="48"/>
  <c r="O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Q30" i="44"/>
  <c r="D33" i="44"/>
  <c r="F33" i="44" s="1"/>
  <c r="N32" i="44"/>
  <c r="O32" i="44" s="1"/>
  <c r="K32" i="44"/>
  <c r="L32" i="44" s="1"/>
  <c r="F32" i="44"/>
  <c r="P31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P27" i="37"/>
  <c r="M25" i="35"/>
  <c r="Q24" i="35"/>
  <c r="W27" i="32"/>
  <c r="M27" i="36"/>
  <c r="Q26" i="36"/>
  <c r="K30" i="36"/>
  <c r="L30" i="36" s="1"/>
  <c r="N30" i="36"/>
  <c r="O30" i="36" s="1"/>
  <c r="D31" i="36"/>
  <c r="F31" i="36" s="1"/>
  <c r="F30" i="36"/>
  <c r="P29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30" i="49" l="1"/>
  <c r="K31" i="49"/>
  <c r="L31" i="49" s="1"/>
  <c r="N31" i="49"/>
  <c r="O31" i="49" s="1"/>
  <c r="D32" i="49"/>
  <c r="F32" i="49" s="1"/>
  <c r="Q29" i="49"/>
  <c r="M30" i="49"/>
  <c r="F31" i="49"/>
  <c r="P32" i="48"/>
  <c r="K33" i="48"/>
  <c r="L33" i="48" s="1"/>
  <c r="N33" i="48"/>
  <c r="O33" i="48" s="1"/>
  <c r="D34" i="48"/>
  <c r="M30" i="48"/>
  <c r="Q29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P32" i="44"/>
  <c r="M32" i="44"/>
  <c r="Q31" i="44"/>
  <c r="D34" i="44"/>
  <c r="N33" i="44"/>
  <c r="O33" i="44" s="1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P28" i="37"/>
  <c r="Q27" i="37"/>
  <c r="M28" i="37"/>
  <c r="M26" i="35"/>
  <c r="Q25" i="35"/>
  <c r="N29" i="37"/>
  <c r="O29" i="37" s="1"/>
  <c r="K29" i="37"/>
  <c r="L29" i="37" s="1"/>
  <c r="D30" i="37"/>
  <c r="F30" i="37" s="1"/>
  <c r="P30" i="36"/>
  <c r="D32" i="36"/>
  <c r="K31" i="36"/>
  <c r="L31" i="36" s="1"/>
  <c r="N31" i="36"/>
  <c r="O31" i="36" s="1"/>
  <c r="M28" i="36"/>
  <c r="Q27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AD29" i="32" l="1"/>
  <c r="Q30" i="49"/>
  <c r="M31" i="49"/>
  <c r="P31" i="49"/>
  <c r="D33" i="49"/>
  <c r="K32" i="49"/>
  <c r="L32" i="49" s="1"/>
  <c r="N32" i="49"/>
  <c r="O32" i="49" s="1"/>
  <c r="K34" i="48"/>
  <c r="L34" i="48" s="1"/>
  <c r="N34" i="48"/>
  <c r="O34" i="48" s="1"/>
  <c r="D35" i="48"/>
  <c r="F35" i="48" s="1"/>
  <c r="F34" i="48"/>
  <c r="M31" i="48"/>
  <c r="Q30" i="48"/>
  <c r="P33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N34" i="44"/>
  <c r="O34" i="44" s="1"/>
  <c r="K34" i="44"/>
  <c r="L34" i="44" s="1"/>
  <c r="F34" i="44"/>
  <c r="M33" i="44"/>
  <c r="Q32" i="44"/>
  <c r="P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Q28" i="37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P29" i="37"/>
  <c r="Q28" i="36"/>
  <c r="M29" i="36"/>
  <c r="N32" i="36"/>
  <c r="O32" i="36" s="1"/>
  <c r="D33" i="36"/>
  <c r="K32" i="36"/>
  <c r="L32" i="36" s="1"/>
  <c r="F32" i="36"/>
  <c r="P31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P32" i="49" l="1"/>
  <c r="M32" i="49"/>
  <c r="Q31" i="49"/>
  <c r="N33" i="49"/>
  <c r="O33" i="49" s="1"/>
  <c r="D34" i="49"/>
  <c r="K33" i="49"/>
  <c r="L33" i="49" s="1"/>
  <c r="F33" i="49"/>
  <c r="P34" i="48"/>
  <c r="M32" i="48"/>
  <c r="Q31" i="48"/>
  <c r="K35" i="48"/>
  <c r="L35" i="48" s="1"/>
  <c r="N35" i="48"/>
  <c r="O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P34" i="44"/>
  <c r="M34" i="44"/>
  <c r="Q33" i="44"/>
  <c r="D36" i="44"/>
  <c r="N35" i="44"/>
  <c r="O35" i="44" s="1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Q29" i="37"/>
  <c r="U30" i="32"/>
  <c r="T30" i="32"/>
  <c r="T29" i="34"/>
  <c r="P30" i="37"/>
  <c r="K31" i="37"/>
  <c r="L31" i="37" s="1"/>
  <c r="N31" i="37"/>
  <c r="O31" i="37" s="1"/>
  <c r="D32" i="37"/>
  <c r="P30" i="32"/>
  <c r="Y30" i="32" s="1"/>
  <c r="M28" i="35"/>
  <c r="Q27" i="35"/>
  <c r="M31" i="37"/>
  <c r="Q29" i="36"/>
  <c r="M30" i="36"/>
  <c r="K33" i="36"/>
  <c r="L33" i="36" s="1"/>
  <c r="N33" i="36"/>
  <c r="O33" i="36" s="1"/>
  <c r="D34" i="36"/>
  <c r="F33" i="36"/>
  <c r="P32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35" i="48" l="1"/>
  <c r="D35" i="49"/>
  <c r="K34" i="49"/>
  <c r="L34" i="49" s="1"/>
  <c r="N34" i="49"/>
  <c r="O34" i="49" s="1"/>
  <c r="F34" i="49"/>
  <c r="Q32" i="49"/>
  <c r="M33" i="49"/>
  <c r="P33" i="49"/>
  <c r="K36" i="48"/>
  <c r="L36" i="48" s="1"/>
  <c r="N36" i="48"/>
  <c r="O36" i="48" s="1"/>
  <c r="D37" i="48"/>
  <c r="F36" i="48"/>
  <c r="Q32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P35" i="44"/>
  <c r="D37" i="44"/>
  <c r="N36" i="44"/>
  <c r="O36" i="44" s="1"/>
  <c r="K36" i="44"/>
  <c r="L36" i="44" s="1"/>
  <c r="F36" i="44"/>
  <c r="F37" i="44"/>
  <c r="M35" i="44"/>
  <c r="Q34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P31" i="37"/>
  <c r="Q31" i="37" s="1"/>
  <c r="K32" i="37"/>
  <c r="L32" i="37" s="1"/>
  <c r="N32" i="37"/>
  <c r="O32" i="37" s="1"/>
  <c r="D33" i="37"/>
  <c r="F32" i="37"/>
  <c r="W29" i="34"/>
  <c r="T30" i="34"/>
  <c r="M29" i="35"/>
  <c r="Q28" i="35"/>
  <c r="Q30" i="37"/>
  <c r="W30" i="32"/>
  <c r="P33" i="36"/>
  <c r="M31" i="36"/>
  <c r="Q30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D24" i="33"/>
  <c r="P23" i="33"/>
  <c r="M32" i="37" l="1"/>
  <c r="P35" i="45"/>
  <c r="Q33" i="49"/>
  <c r="M34" i="49"/>
  <c r="P34" i="49"/>
  <c r="N35" i="49"/>
  <c r="O35" i="49" s="1"/>
  <c r="D36" i="49"/>
  <c r="K35" i="49"/>
  <c r="L35" i="49" s="1"/>
  <c r="F35" i="49"/>
  <c r="D38" i="48"/>
  <c r="K37" i="48"/>
  <c r="L37" i="48" s="1"/>
  <c r="N37" i="48"/>
  <c r="O37" i="48" s="1"/>
  <c r="F38" i="48"/>
  <c r="F37" i="48"/>
  <c r="M34" i="48"/>
  <c r="Q33" i="48"/>
  <c r="P36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N37" i="44"/>
  <c r="O37" i="44" s="1"/>
  <c r="K37" i="44"/>
  <c r="L37" i="44" s="1"/>
  <c r="M36" i="44"/>
  <c r="Q35" i="44"/>
  <c r="P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4" i="36"/>
  <c r="P32" i="32"/>
  <c r="Y32" i="32" s="1"/>
  <c r="W31" i="32"/>
  <c r="U31" i="34"/>
  <c r="P32" i="37"/>
  <c r="Q32" i="37" s="1"/>
  <c r="D36" i="36"/>
  <c r="F36" i="36" s="1"/>
  <c r="N35" i="36"/>
  <c r="O35" i="36" s="1"/>
  <c r="K35" i="36"/>
  <c r="L35" i="36" s="1"/>
  <c r="Q31" i="36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36" i="45" l="1"/>
  <c r="P35" i="49"/>
  <c r="M35" i="49"/>
  <c r="Q34" i="49"/>
  <c r="K36" i="49"/>
  <c r="L36" i="49" s="1"/>
  <c r="N36" i="49"/>
  <c r="O36" i="49" s="1"/>
  <c r="D37" i="49"/>
  <c r="F36" i="49"/>
  <c r="Q34" i="48"/>
  <c r="M35" i="48"/>
  <c r="P37" i="48"/>
  <c r="D39" i="48"/>
  <c r="K38" i="48"/>
  <c r="L38" i="48" s="1"/>
  <c r="N38" i="48"/>
  <c r="O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P37" i="44"/>
  <c r="M37" i="44"/>
  <c r="Q36" i="44"/>
  <c r="D39" i="44"/>
  <c r="N38" i="44"/>
  <c r="O38" i="44" s="1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P33" i="37"/>
  <c r="D35" i="37"/>
  <c r="K34" i="37"/>
  <c r="L34" i="37" s="1"/>
  <c r="M34" i="37" s="1"/>
  <c r="N34" i="37"/>
  <c r="O34" i="37" s="1"/>
  <c r="M31" i="35"/>
  <c r="Q30" i="35"/>
  <c r="Q32" i="36"/>
  <c r="M33" i="36"/>
  <c r="K36" i="36"/>
  <c r="L36" i="36" s="1"/>
  <c r="N36" i="36"/>
  <c r="O36" i="36" s="1"/>
  <c r="D37" i="36"/>
  <c r="P35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34" i="32" l="1"/>
  <c r="Y34" i="32" s="1"/>
  <c r="K37" i="49"/>
  <c r="L37" i="49" s="1"/>
  <c r="N37" i="49"/>
  <c r="O37" i="49" s="1"/>
  <c r="D38" i="49"/>
  <c r="F37" i="49"/>
  <c r="Q35" i="49"/>
  <c r="M36" i="49"/>
  <c r="P36" i="49"/>
  <c r="D40" i="48"/>
  <c r="K39" i="48"/>
  <c r="L39" i="48" s="1"/>
  <c r="N39" i="48"/>
  <c r="O39" i="48" s="1"/>
  <c r="F39" i="48"/>
  <c r="F40" i="48"/>
  <c r="P38" i="48"/>
  <c r="M36" i="48"/>
  <c r="Q35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Q37" i="44"/>
  <c r="M38" i="44"/>
  <c r="D40" i="44"/>
  <c r="N39" i="44"/>
  <c r="O39" i="44" s="1"/>
  <c r="K39" i="44"/>
  <c r="L39" i="44" s="1"/>
  <c r="F39" i="44"/>
  <c r="P38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P34" i="37"/>
  <c r="Q33" i="37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Q34" i="37"/>
  <c r="P36" i="36"/>
  <c r="K37" i="36"/>
  <c r="L37" i="36" s="1"/>
  <c r="D38" i="36"/>
  <c r="N37" i="36"/>
  <c r="O37" i="36" s="1"/>
  <c r="F37" i="36"/>
  <c r="M34" i="36"/>
  <c r="Q33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W33" i="34" l="1"/>
  <c r="P37" i="46"/>
  <c r="M37" i="49"/>
  <c r="Q36" i="49"/>
  <c r="P37" i="49"/>
  <c r="D39" i="49"/>
  <c r="N38" i="49"/>
  <c r="O38" i="49" s="1"/>
  <c r="K38" i="49"/>
  <c r="L38" i="49" s="1"/>
  <c r="F38" i="49"/>
  <c r="P39" i="48"/>
  <c r="M37" i="48"/>
  <c r="Q36" i="48"/>
  <c r="D41" i="48"/>
  <c r="K40" i="48"/>
  <c r="L40" i="48" s="1"/>
  <c r="N40" i="48"/>
  <c r="O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P39" i="44"/>
  <c r="D41" i="44"/>
  <c r="N40" i="44"/>
  <c r="O40" i="44" s="1"/>
  <c r="K40" i="44"/>
  <c r="L40" i="44" s="1"/>
  <c r="F40" i="44"/>
  <c r="F41" i="44"/>
  <c r="M39" i="44"/>
  <c r="Q38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P35" i="37"/>
  <c r="Q35" i="37" s="1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Q34" i="36"/>
  <c r="P37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40" i="40" l="1"/>
  <c r="P38" i="46"/>
  <c r="P39" i="45"/>
  <c r="P38" i="49"/>
  <c r="N39" i="49"/>
  <c r="O39" i="49" s="1"/>
  <c r="D40" i="49"/>
  <c r="K39" i="49"/>
  <c r="L39" i="49" s="1"/>
  <c r="F39" i="49"/>
  <c r="M38" i="49"/>
  <c r="Q37" i="49"/>
  <c r="D42" i="48"/>
  <c r="F42" i="48" s="1"/>
  <c r="K41" i="48"/>
  <c r="L41" i="48" s="1"/>
  <c r="N41" i="48"/>
  <c r="O41" i="48" s="1"/>
  <c r="F41" i="48"/>
  <c r="Q37" i="48"/>
  <c r="M38" i="48"/>
  <c r="P40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P40" i="44"/>
  <c r="D42" i="44"/>
  <c r="N41" i="44"/>
  <c r="O41" i="44" s="1"/>
  <c r="K41" i="44"/>
  <c r="L41" i="44" s="1"/>
  <c r="Q39" i="44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P36" i="37"/>
  <c r="Q36" i="37" s="1"/>
  <c r="D38" i="37"/>
  <c r="N37" i="37"/>
  <c r="O37" i="37" s="1"/>
  <c r="K37" i="37"/>
  <c r="L37" i="37" s="1"/>
  <c r="F37" i="37"/>
  <c r="F38" i="37"/>
  <c r="M34" i="35"/>
  <c r="Q33" i="35"/>
  <c r="P38" i="36"/>
  <c r="N39" i="36"/>
  <c r="O39" i="36" s="1"/>
  <c r="D40" i="36"/>
  <c r="K39" i="36"/>
  <c r="L39" i="36" s="1"/>
  <c r="F39" i="36"/>
  <c r="Q35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AD36" i="34" l="1"/>
  <c r="P39" i="49"/>
  <c r="K40" i="49"/>
  <c r="L40" i="49" s="1"/>
  <c r="N40" i="49"/>
  <c r="O40" i="49" s="1"/>
  <c r="D41" i="49"/>
  <c r="F40" i="49"/>
  <c r="Q38" i="49"/>
  <c r="M39" i="49"/>
  <c r="F41" i="49"/>
  <c r="P41" i="48"/>
  <c r="Q38" i="48"/>
  <c r="M39" i="48"/>
  <c r="D43" i="48"/>
  <c r="K42" i="48"/>
  <c r="L42" i="48" s="1"/>
  <c r="N42" i="48"/>
  <c r="O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Q40" i="44"/>
  <c r="K42" i="44"/>
  <c r="L42" i="44" s="1"/>
  <c r="D43" i="44"/>
  <c r="N42" i="44"/>
  <c r="O42" i="44" s="1"/>
  <c r="F42" i="44"/>
  <c r="P41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P37" i="37"/>
  <c r="AD37" i="32"/>
  <c r="M35" i="35"/>
  <c r="Q34" i="35"/>
  <c r="K38" i="37"/>
  <c r="L38" i="37" s="1"/>
  <c r="N38" i="37"/>
  <c r="O38" i="37" s="1"/>
  <c r="D39" i="37"/>
  <c r="P39" i="36"/>
  <c r="Q36" i="36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D28" i="33"/>
  <c r="P27" i="33"/>
  <c r="Q37" i="37" l="1"/>
  <c r="Q39" i="49"/>
  <c r="M40" i="49"/>
  <c r="K41" i="49"/>
  <c r="L41" i="49" s="1"/>
  <c r="N41" i="49"/>
  <c r="O41" i="49" s="1"/>
  <c r="D42" i="49"/>
  <c r="F42" i="49"/>
  <c r="P40" i="49"/>
  <c r="D44" i="48"/>
  <c r="K43" i="48"/>
  <c r="L43" i="48" s="1"/>
  <c r="N43" i="48"/>
  <c r="O43" i="48" s="1"/>
  <c r="F43" i="48"/>
  <c r="F44" i="48"/>
  <c r="Q39" i="48"/>
  <c r="M40" i="48"/>
  <c r="P42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P42" i="44"/>
  <c r="K43" i="44"/>
  <c r="L43" i="44" s="1"/>
  <c r="D44" i="44"/>
  <c r="N43" i="44"/>
  <c r="O43" i="44" s="1"/>
  <c r="M42" i="44"/>
  <c r="Q41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P40" i="36"/>
  <c r="T37" i="34"/>
  <c r="P38" i="37"/>
  <c r="K41" i="36"/>
  <c r="L41" i="36" s="1"/>
  <c r="N41" i="36"/>
  <c r="O41" i="36" s="1"/>
  <c r="D42" i="36"/>
  <c r="F41" i="36"/>
  <c r="M38" i="36"/>
  <c r="Q37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42" i="45" l="1"/>
  <c r="P41" i="46"/>
  <c r="P41" i="49"/>
  <c r="D43" i="49"/>
  <c r="K42" i="49"/>
  <c r="L42" i="49" s="1"/>
  <c r="N42" i="49"/>
  <c r="O42" i="49" s="1"/>
  <c r="Q40" i="49"/>
  <c r="M41" i="49"/>
  <c r="P43" i="48"/>
  <c r="Q40" i="48"/>
  <c r="M41" i="48"/>
  <c r="D45" i="48"/>
  <c r="K44" i="48"/>
  <c r="L44" i="48" s="1"/>
  <c r="N44" i="48"/>
  <c r="O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N44" i="44"/>
  <c r="O44" i="44" s="1"/>
  <c r="M43" i="44"/>
  <c r="Q42" i="44"/>
  <c r="F45" i="44"/>
  <c r="F44" i="44"/>
  <c r="P43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P41" i="36"/>
  <c r="P39" i="37"/>
  <c r="M37" i="35"/>
  <c r="Q36" i="35"/>
  <c r="W38" i="32"/>
  <c r="M39" i="37"/>
  <c r="M40" i="37" s="1"/>
  <c r="K40" i="37"/>
  <c r="L40" i="37" s="1"/>
  <c r="D41" i="37"/>
  <c r="N40" i="37"/>
  <c r="O40" i="37" s="1"/>
  <c r="Q38" i="37"/>
  <c r="D43" i="36"/>
  <c r="N42" i="36"/>
  <c r="O42" i="36" s="1"/>
  <c r="K42" i="36"/>
  <c r="L42" i="36" s="1"/>
  <c r="Q38" i="36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Q39" i="37" l="1"/>
  <c r="P42" i="49"/>
  <c r="N43" i="49"/>
  <c r="O43" i="49" s="1"/>
  <c r="D44" i="49"/>
  <c r="K43" i="49"/>
  <c r="L43" i="49" s="1"/>
  <c r="F43" i="49"/>
  <c r="M42" i="49"/>
  <c r="Q41" i="49"/>
  <c r="D46" i="48"/>
  <c r="K45" i="48"/>
  <c r="L45" i="48" s="1"/>
  <c r="N45" i="48"/>
  <c r="O45" i="48" s="1"/>
  <c r="F45" i="48"/>
  <c r="F46" i="48"/>
  <c r="Q41" i="48"/>
  <c r="M42" i="48"/>
  <c r="P44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P44" i="44"/>
  <c r="K45" i="44"/>
  <c r="L45" i="44" s="1"/>
  <c r="D46" i="44"/>
  <c r="N45" i="44"/>
  <c r="O45" i="44" s="1"/>
  <c r="M44" i="44"/>
  <c r="Q43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P42" i="36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P40" i="37"/>
  <c r="Q39" i="36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W40" i="32" l="1"/>
  <c r="P43" i="49"/>
  <c r="Q42" i="49"/>
  <c r="M43" i="49"/>
  <c r="K44" i="49"/>
  <c r="L44" i="49" s="1"/>
  <c r="N44" i="49"/>
  <c r="O44" i="49" s="1"/>
  <c r="D45" i="49"/>
  <c r="F44" i="49"/>
  <c r="P45" i="48"/>
  <c r="Q42" i="48"/>
  <c r="M43" i="48"/>
  <c r="D47" i="48"/>
  <c r="K46" i="48"/>
  <c r="L46" i="48" s="1"/>
  <c r="N46" i="48"/>
  <c r="O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Q44" i="44"/>
  <c r="K46" i="44"/>
  <c r="L46" i="44" s="1"/>
  <c r="D47" i="44"/>
  <c r="N46" i="44"/>
  <c r="O46" i="44" s="1"/>
  <c r="F46" i="44"/>
  <c r="P45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P41" i="37"/>
  <c r="Q40" i="37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Q40" i="36"/>
  <c r="K44" i="36"/>
  <c r="L44" i="36" s="1"/>
  <c r="N44" i="36"/>
  <c r="O44" i="36" s="1"/>
  <c r="D45" i="36"/>
  <c r="F45" i="36" s="1"/>
  <c r="F44" i="36"/>
  <c r="P43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45" i="45" l="1"/>
  <c r="Q41" i="37"/>
  <c r="P44" i="49"/>
  <c r="K45" i="49"/>
  <c r="L45" i="49" s="1"/>
  <c r="N45" i="49"/>
  <c r="O45" i="49" s="1"/>
  <c r="D46" i="49"/>
  <c r="F45" i="49"/>
  <c r="Q43" i="49"/>
  <c r="M44" i="49"/>
  <c r="D48" i="48"/>
  <c r="K47" i="48"/>
  <c r="L47" i="48" s="1"/>
  <c r="N47" i="48"/>
  <c r="O47" i="48" s="1"/>
  <c r="F47" i="48"/>
  <c r="Q43" i="48"/>
  <c r="M44" i="48"/>
  <c r="P46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P46" i="44"/>
  <c r="K47" i="44"/>
  <c r="L47" i="44" s="1"/>
  <c r="D48" i="44"/>
  <c r="N47" i="44"/>
  <c r="O47" i="44" s="1"/>
  <c r="M46" i="44"/>
  <c r="Q45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P44" i="36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P42" i="37"/>
  <c r="K45" i="36"/>
  <c r="L45" i="36" s="1"/>
  <c r="N45" i="36"/>
  <c r="O45" i="36" s="1"/>
  <c r="D46" i="36"/>
  <c r="F46" i="36" s="1"/>
  <c r="M42" i="36"/>
  <c r="Q41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P46" i="45" l="1"/>
  <c r="F48" i="48"/>
  <c r="G15" i="39"/>
  <c r="D47" i="49"/>
  <c r="N46" i="49"/>
  <c r="O46" i="49" s="1"/>
  <c r="K46" i="49"/>
  <c r="L46" i="49" s="1"/>
  <c r="F46" i="49"/>
  <c r="M45" i="49"/>
  <c r="Q44" i="49"/>
  <c r="P45" i="49"/>
  <c r="P46" i="49" s="1"/>
  <c r="P47" i="48"/>
  <c r="Q44" i="48"/>
  <c r="M45" i="48"/>
  <c r="D49" i="48"/>
  <c r="K48" i="48"/>
  <c r="L48" i="48" s="1"/>
  <c r="N48" i="48"/>
  <c r="O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Q46" i="44"/>
  <c r="K48" i="44"/>
  <c r="L48" i="44" s="1"/>
  <c r="D49" i="44"/>
  <c r="F49" i="44" s="1"/>
  <c r="N48" i="44"/>
  <c r="O48" i="44" s="1"/>
  <c r="F48" i="44"/>
  <c r="P47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P43" i="37"/>
  <c r="M43" i="37"/>
  <c r="W42" i="32"/>
  <c r="AD42" i="34"/>
  <c r="T42" i="34"/>
  <c r="K44" i="37"/>
  <c r="L44" i="37" s="1"/>
  <c r="M44" i="37" s="1"/>
  <c r="N44" i="37"/>
  <c r="O44" i="37" s="1"/>
  <c r="D45" i="37"/>
  <c r="Q42" i="37"/>
  <c r="M41" i="35"/>
  <c r="Q40" i="35"/>
  <c r="P45" i="36"/>
  <c r="Q42" i="36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1" i="33"/>
  <c r="P32" i="33"/>
  <c r="E8" i="48" l="1"/>
  <c r="H15" i="39"/>
  <c r="M46" i="49"/>
  <c r="Q45" i="49"/>
  <c r="N47" i="49"/>
  <c r="O47" i="49" s="1"/>
  <c r="D48" i="49"/>
  <c r="K47" i="49"/>
  <c r="L47" i="49" s="1"/>
  <c r="F47" i="49"/>
  <c r="D50" i="48"/>
  <c r="K49" i="48"/>
  <c r="L49" i="48" s="1"/>
  <c r="N49" i="48"/>
  <c r="O49" i="48" s="1"/>
  <c r="F50" i="48"/>
  <c r="F49" i="48"/>
  <c r="Q45" i="48"/>
  <c r="M46" i="48"/>
  <c r="P48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P48" i="44"/>
  <c r="K49" i="44"/>
  <c r="L49" i="44" s="1"/>
  <c r="D50" i="44"/>
  <c r="N49" i="44"/>
  <c r="O49" i="44" s="1"/>
  <c r="M48" i="44"/>
  <c r="Q47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Q43" i="37"/>
  <c r="M42" i="35"/>
  <c r="Q41" i="35"/>
  <c r="N45" i="37"/>
  <c r="O45" i="37" s="1"/>
  <c r="K45" i="37"/>
  <c r="L45" i="37" s="1"/>
  <c r="D46" i="37"/>
  <c r="P44" i="37"/>
  <c r="Q44" i="37" s="1"/>
  <c r="P44" i="32"/>
  <c r="Y44" i="32" s="1"/>
  <c r="W42" i="34"/>
  <c r="F45" i="37"/>
  <c r="N47" i="36"/>
  <c r="O47" i="36" s="1"/>
  <c r="D48" i="36"/>
  <c r="K47" i="36"/>
  <c r="L47" i="36" s="1"/>
  <c r="F47" i="36"/>
  <c r="Q43" i="36"/>
  <c r="M44" i="36"/>
  <c r="P46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G48" i="48" l="1"/>
  <c r="H48" i="48"/>
  <c r="P47" i="49"/>
  <c r="K48" i="49"/>
  <c r="L48" i="49" s="1"/>
  <c r="N48" i="49"/>
  <c r="O48" i="49" s="1"/>
  <c r="D49" i="49"/>
  <c r="F49" i="49" s="1"/>
  <c r="F48" i="49"/>
  <c r="Q46" i="49"/>
  <c r="M47" i="49"/>
  <c r="P49" i="48"/>
  <c r="N15" i="39"/>
  <c r="Q46" i="48"/>
  <c r="M47" i="48"/>
  <c r="D51" i="48"/>
  <c r="K50" i="48"/>
  <c r="L50" i="48" s="1"/>
  <c r="N50" i="48"/>
  <c r="O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N50" i="44"/>
  <c r="O50" i="44" s="1"/>
  <c r="F50" i="44"/>
  <c r="M49" i="44"/>
  <c r="Q48" i="44"/>
  <c r="P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P45" i="37"/>
  <c r="Q45" i="37" s="1"/>
  <c r="W44" i="32"/>
  <c r="T45" i="32"/>
  <c r="K46" i="37"/>
  <c r="L46" i="37" s="1"/>
  <c r="N46" i="37"/>
  <c r="O46" i="37" s="1"/>
  <c r="D47" i="37"/>
  <c r="F46" i="37"/>
  <c r="M43" i="35"/>
  <c r="Q42" i="35"/>
  <c r="P47" i="36"/>
  <c r="M46" i="37"/>
  <c r="Q44" i="36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I15" i="39" l="1"/>
  <c r="E12" i="48"/>
  <c r="L15" i="39" s="1"/>
  <c r="W45" i="32"/>
  <c r="P48" i="49"/>
  <c r="Q47" i="49"/>
  <c r="M48" i="49"/>
  <c r="N49" i="49"/>
  <c r="O49" i="49" s="1"/>
  <c r="D50" i="49"/>
  <c r="K49" i="49"/>
  <c r="L49" i="49" s="1"/>
  <c r="D52" i="48"/>
  <c r="F52" i="48" s="1"/>
  <c r="K51" i="48"/>
  <c r="L51" i="48" s="1"/>
  <c r="N51" i="48"/>
  <c r="O51" i="48" s="1"/>
  <c r="F51" i="48"/>
  <c r="Q47" i="48"/>
  <c r="M48" i="48"/>
  <c r="M15" i="39" s="1"/>
  <c r="P50" i="48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P50" i="44"/>
  <c r="M50" i="44"/>
  <c r="Q49" i="44"/>
  <c r="K51" i="44"/>
  <c r="L51" i="44" s="1"/>
  <c r="D52" i="44"/>
  <c r="N51" i="44"/>
  <c r="O51" i="44" s="1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P48" i="36"/>
  <c r="M44" i="35"/>
  <c r="Q43" i="35"/>
  <c r="N47" i="37"/>
  <c r="O47" i="37" s="1"/>
  <c r="D48" i="37"/>
  <c r="K47" i="37"/>
  <c r="L47" i="37" s="1"/>
  <c r="P46" i="32"/>
  <c r="Y46" i="32" s="1"/>
  <c r="AD45" i="34"/>
  <c r="F47" i="37"/>
  <c r="P46" i="37"/>
  <c r="F49" i="36"/>
  <c r="M46" i="36"/>
  <c r="Q45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P51" i="48" l="1"/>
  <c r="D51" i="49"/>
  <c r="N50" i="49"/>
  <c r="O50" i="49" s="1"/>
  <c r="K50" i="49"/>
  <c r="L50" i="49" s="1"/>
  <c r="F51" i="49"/>
  <c r="P49" i="49"/>
  <c r="M49" i="49"/>
  <c r="Q48" i="49"/>
  <c r="F50" i="49"/>
  <c r="Q48" i="48"/>
  <c r="M49" i="48"/>
  <c r="D53" i="48"/>
  <c r="K52" i="48"/>
  <c r="L52" i="48" s="1"/>
  <c r="N52" i="48"/>
  <c r="O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N52" i="44"/>
  <c r="O52" i="44" s="1"/>
  <c r="M51" i="44"/>
  <c r="Q50" i="44"/>
  <c r="F53" i="44"/>
  <c r="F52" i="44"/>
  <c r="P51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P47" i="37"/>
  <c r="M47" i="37"/>
  <c r="Q46" i="37"/>
  <c r="W46" i="32"/>
  <c r="K48" i="37"/>
  <c r="L48" i="37" s="1"/>
  <c r="N48" i="37"/>
  <c r="O48" i="37" s="1"/>
  <c r="D49" i="37"/>
  <c r="U47" i="32"/>
  <c r="M45" i="35"/>
  <c r="Q44" i="35"/>
  <c r="F48" i="37"/>
  <c r="M48" i="37"/>
  <c r="Q46" i="36"/>
  <c r="M47" i="36"/>
  <c r="P49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50" i="49" l="1"/>
  <c r="M50" i="49"/>
  <c r="Q49" i="49"/>
  <c r="K51" i="49"/>
  <c r="L51" i="49" s="1"/>
  <c r="N51" i="49"/>
  <c r="O51" i="49" s="1"/>
  <c r="D52" i="49"/>
  <c r="E13" i="48"/>
  <c r="O15" i="39"/>
  <c r="D54" i="48"/>
  <c r="K53" i="48"/>
  <c r="L53" i="48" s="1"/>
  <c r="N53" i="48"/>
  <c r="O53" i="48" s="1"/>
  <c r="F53" i="48"/>
  <c r="Q49" i="48"/>
  <c r="M50" i="48"/>
  <c r="P52" i="48"/>
  <c r="P53" i="48" s="1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P52" i="44"/>
  <c r="K53" i="44"/>
  <c r="L53" i="44" s="1"/>
  <c r="D54" i="44"/>
  <c r="N53" i="44"/>
  <c r="O53" i="44" s="1"/>
  <c r="M52" i="44"/>
  <c r="Q51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53" i="40"/>
  <c r="T6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Q47" i="37"/>
  <c r="P48" i="37"/>
  <c r="Q48" i="37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P50" i="36"/>
  <c r="Q47" i="36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E12" i="40" l="1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N52" i="49"/>
  <c r="O52" i="49" s="1"/>
  <c r="D53" i="49"/>
  <c r="F53" i="49"/>
  <c r="F52" i="49"/>
  <c r="Q50" i="49"/>
  <c r="M51" i="49"/>
  <c r="P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Q50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N54" i="44"/>
  <c r="O54" i="44" s="1"/>
  <c r="F54" i="44"/>
  <c r="M53" i="44"/>
  <c r="Q52" i="44"/>
  <c r="P53" i="44"/>
  <c r="P54" i="44" s="1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P49" i="37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Q48" i="36"/>
  <c r="K52" i="36"/>
  <c r="L52" i="36" s="1"/>
  <c r="N52" i="36"/>
  <c r="O52" i="36" s="1"/>
  <c r="D53" i="36"/>
  <c r="G5" i="39" s="1"/>
  <c r="P51" i="36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53" i="45" l="1"/>
  <c r="N9" i="39" s="1"/>
  <c r="E9" i="47"/>
  <c r="H13" i="39"/>
  <c r="H12" i="39"/>
  <c r="H11" i="39"/>
  <c r="H14" i="39"/>
  <c r="Q49" i="37"/>
  <c r="E8" i="41"/>
  <c r="H4" i="39"/>
  <c r="E8" i="45"/>
  <c r="H9" i="39"/>
  <c r="P52" i="49"/>
  <c r="M52" i="49"/>
  <c r="Q51" i="49"/>
  <c r="N53" i="49"/>
  <c r="O53" i="49" s="1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Q51" i="48"/>
  <c r="M52" i="48"/>
  <c r="P54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Q53" i="44"/>
  <c r="D56" i="44"/>
  <c r="N55" i="44"/>
  <c r="O55" i="44" s="1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P50" i="37"/>
  <c r="M48" i="35"/>
  <c r="Q47" i="35"/>
  <c r="F51" i="37"/>
  <c r="P52" i="36"/>
  <c r="K53" i="36"/>
  <c r="L53" i="36" s="1"/>
  <c r="D54" i="36"/>
  <c r="N53" i="36"/>
  <c r="O53" i="36" s="1"/>
  <c r="F53" i="36"/>
  <c r="M50" i="36"/>
  <c r="Q49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V64" i="47" l="1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H53" i="36" s="1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N54" i="49"/>
  <c r="O54" i="49" s="1"/>
  <c r="F54" i="49"/>
  <c r="F55" i="49"/>
  <c r="M53" i="49"/>
  <c r="Q52" i="49"/>
  <c r="P53" i="49"/>
  <c r="P55" i="48"/>
  <c r="Q52" i="48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50" i="46"/>
  <c r="I50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P55" i="44"/>
  <c r="K56" i="44"/>
  <c r="L56" i="44" s="1"/>
  <c r="D57" i="44"/>
  <c r="N56" i="44"/>
  <c r="O56" i="44" s="1"/>
  <c r="I56" i="44"/>
  <c r="F56" i="44"/>
  <c r="F57" i="44"/>
  <c r="T64" i="44"/>
  <c r="I54" i="44"/>
  <c r="M55" i="44"/>
  <c r="Q54" i="44"/>
  <c r="E14" i="44" s="1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Q50" i="37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P51" i="37"/>
  <c r="D55" i="36"/>
  <c r="K54" i="36"/>
  <c r="L54" i="36" s="1"/>
  <c r="N54" i="36"/>
  <c r="O54" i="36" s="1"/>
  <c r="F54" i="36"/>
  <c r="F55" i="36"/>
  <c r="Q50" i="36"/>
  <c r="M51" i="36"/>
  <c r="P53" i="36"/>
  <c r="N5" i="39" s="1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J13" i="39" l="1"/>
  <c r="J12" i="39"/>
  <c r="J11" i="39"/>
  <c r="J14" i="39"/>
  <c r="F53" i="37"/>
  <c r="G6" i="39"/>
  <c r="E13" i="44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P54" i="49"/>
  <c r="M54" i="49"/>
  <c r="Q53" i="49"/>
  <c r="K55" i="49"/>
  <c r="L55" i="49" s="1"/>
  <c r="N55" i="49"/>
  <c r="O55" i="49" s="1"/>
  <c r="D56" i="49"/>
  <c r="N57" i="48"/>
  <c r="O57" i="48" s="1"/>
  <c r="D58" i="48"/>
  <c r="K57" i="48"/>
  <c r="L57" i="48" s="1"/>
  <c r="I57" i="48"/>
  <c r="M54" i="48"/>
  <c r="Q53" i="48"/>
  <c r="P56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T63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Q55" i="44"/>
  <c r="M56" i="44"/>
  <c r="P56" i="44"/>
  <c r="D58" i="44"/>
  <c r="N57" i="44"/>
  <c r="O57" i="44" s="1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P52" i="37"/>
  <c r="M50" i="35"/>
  <c r="M51" i="35" s="1"/>
  <c r="Q49" i="35"/>
  <c r="Q51" i="37"/>
  <c r="K53" i="37"/>
  <c r="L53" i="37" s="1"/>
  <c r="N53" i="37"/>
  <c r="O53" i="37" s="1"/>
  <c r="D54" i="37"/>
  <c r="F54" i="37" s="1"/>
  <c r="P54" i="36"/>
  <c r="Q51" i="36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P57" i="48" l="1"/>
  <c r="H6" i="39"/>
  <c r="E8" i="37"/>
  <c r="K56" i="49"/>
  <c r="L56" i="49" s="1"/>
  <c r="N56" i="49"/>
  <c r="O56" i="49" s="1"/>
  <c r="D57" i="49"/>
  <c r="F56" i="49"/>
  <c r="Q54" i="49"/>
  <c r="M55" i="49"/>
  <c r="P55" i="49"/>
  <c r="Q54" i="48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P57" i="44"/>
  <c r="K58" i="44"/>
  <c r="L58" i="44" s="1"/>
  <c r="D59" i="44"/>
  <c r="N58" i="44"/>
  <c r="O58" i="44" s="1"/>
  <c r="I58" i="44"/>
  <c r="F58" i="44"/>
  <c r="F59" i="44"/>
  <c r="M57" i="44"/>
  <c r="Q56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Q52" i="37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P53" i="37"/>
  <c r="N6" i="39" s="1"/>
  <c r="Q52" i="36"/>
  <c r="M53" i="36"/>
  <c r="M5" i="39" s="1"/>
  <c r="K56" i="36"/>
  <c r="L56" i="36" s="1"/>
  <c r="N56" i="36"/>
  <c r="O56" i="36" s="1"/>
  <c r="D57" i="36"/>
  <c r="F57" i="36" s="1"/>
  <c r="F56" i="36"/>
  <c r="P55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M54" i="37" l="1"/>
  <c r="P58" i="47"/>
  <c r="N57" i="49"/>
  <c r="O57" i="49" s="1"/>
  <c r="D58" i="49"/>
  <c r="G16" i="39" s="1"/>
  <c r="K57" i="49"/>
  <c r="L57" i="49" s="1"/>
  <c r="M56" i="49"/>
  <c r="Q55" i="49"/>
  <c r="P56" i="49"/>
  <c r="F57" i="49"/>
  <c r="M56" i="48"/>
  <c r="Q55" i="48"/>
  <c r="P58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P58" i="44"/>
  <c r="Q57" i="44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P54" i="37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Q53" i="37"/>
  <c r="M54" i="36"/>
  <c r="Q53" i="36"/>
  <c r="E13" i="36" s="1"/>
  <c r="P56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O5" i="39" l="1"/>
  <c r="E13" i="37"/>
  <c r="O6" i="39"/>
  <c r="P57" i="49"/>
  <c r="N58" i="49"/>
  <c r="O58" i="49" s="1"/>
  <c r="K58" i="49"/>
  <c r="L58" i="49" s="1"/>
  <c r="M57" i="49"/>
  <c r="Q56" i="49"/>
  <c r="F58" i="49"/>
  <c r="Q56" i="48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P59" i="44"/>
  <c r="M59" i="44"/>
  <c r="Q58" i="44"/>
  <c r="N58" i="41"/>
  <c r="O58" i="41" s="1"/>
  <c r="I58" i="41"/>
  <c r="K58" i="41"/>
  <c r="L58" i="41" s="1"/>
  <c r="Q56" i="41"/>
  <c r="M57" i="41"/>
  <c r="M57" i="40"/>
  <c r="Q56" i="40"/>
  <c r="M55" i="37"/>
  <c r="W54" i="32"/>
  <c r="P55" i="37"/>
  <c r="Q54" i="37"/>
  <c r="M53" i="35"/>
  <c r="Q52" i="35"/>
  <c r="P57" i="36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Q54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Q58" i="45" l="1"/>
  <c r="H16" i="39"/>
  <c r="E8" i="49"/>
  <c r="M58" i="49"/>
  <c r="M16" i="39" s="1"/>
  <c r="Q57" i="49"/>
  <c r="P58" i="49"/>
  <c r="N16" i="39" s="1"/>
  <c r="M58" i="48"/>
  <c r="Q58" i="48" s="1"/>
  <c r="Q57" i="48"/>
  <c r="Q59" i="47"/>
  <c r="M58" i="46"/>
  <c r="Q58" i="46" s="1"/>
  <c r="Q57" i="46"/>
  <c r="Q59" i="44"/>
  <c r="M58" i="41"/>
  <c r="Q57" i="41"/>
  <c r="P58" i="41"/>
  <c r="M58" i="40"/>
  <c r="Q58" i="40" s="1"/>
  <c r="Q57" i="40"/>
  <c r="U56" i="32"/>
  <c r="Q55" i="37"/>
  <c r="M56" i="37"/>
  <c r="P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I53" i="36"/>
  <c r="J5" i="39" s="1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Q55" i="36"/>
  <c r="M56" i="36"/>
  <c r="P58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Q56" i="37" l="1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9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P57" i="37"/>
  <c r="Q57" i="37" s="1"/>
  <c r="M57" i="36"/>
  <c r="Q56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I16" i="39" l="1"/>
  <c r="E12" i="49"/>
  <c r="L16" i="39" s="1"/>
  <c r="I58" i="49"/>
  <c r="J16" i="39" s="1"/>
  <c r="O16" i="39"/>
  <c r="E13" i="49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P58" i="37"/>
  <c r="M58" i="36"/>
  <c r="Q58" i="36" s="1"/>
  <c r="Q57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W58" i="32" l="1"/>
  <c r="W57" i="34"/>
  <c r="I53" i="37"/>
  <c r="J6" i="39" s="1"/>
  <c r="I6" i="39"/>
  <c r="AD58" i="34"/>
  <c r="T58" i="34"/>
  <c r="Q58" i="37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J60" i="32" l="1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AA40" i="34" l="1"/>
  <c r="AB40" i="34" s="1"/>
  <c r="AA40" i="32"/>
  <c r="AB40" i="32" s="1"/>
  <c r="R45" i="33"/>
  <c r="Q45" i="33"/>
  <c r="R46" i="33"/>
  <c r="Q46" i="33"/>
  <c r="O48" i="33"/>
  <c r="C48" i="33"/>
  <c r="D46" i="33"/>
  <c r="D47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P49" i="33"/>
  <c r="D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2" i="33"/>
  <c r="P53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AA45" i="34" l="1"/>
  <c r="AB45" i="34" s="1"/>
  <c r="AA45" i="32"/>
  <c r="AB45" i="32" s="1"/>
  <c r="E53" i="33"/>
  <c r="F53" i="33"/>
  <c r="F54" i="33"/>
  <c r="E54" i="33"/>
  <c r="O56" i="33"/>
  <c r="C56" i="33"/>
  <c r="P54" i="33"/>
  <c r="D55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D57" i="33"/>
  <c r="P56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D59" i="33"/>
  <c r="P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P62" i="33"/>
  <c r="D63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7" i="33"/>
  <c r="D68" i="33"/>
  <c r="AC54" i="34" l="1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AC7" i="30" l="1"/>
  <c r="AB22" i="30"/>
  <c r="G19" i="31"/>
  <c r="K19" i="31" s="1"/>
  <c r="L19" i="31" s="1"/>
  <c r="E19" i="31"/>
  <c r="AE19" i="31" s="1"/>
  <c r="O22" i="30"/>
  <c r="C10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Y8" i="30" s="1"/>
  <c r="AF7" i="30" l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N8" i="30"/>
  <c r="O8" i="30" s="1"/>
  <c r="AA8" i="30"/>
  <c r="Q8" i="30"/>
  <c r="AX4" i="6" s="1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BD4" i="6" l="1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BD9" i="6" l="1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BD10" i="6" l="1"/>
  <c r="BB10" i="6"/>
  <c r="BC10" i="6"/>
  <c r="BA10" i="6"/>
  <c r="AZ10" i="6"/>
  <c r="AU10" i="6"/>
  <c r="AY10" i="6"/>
  <c r="AV10" i="6"/>
  <c r="H23" i="31"/>
  <c r="K23" i="31"/>
  <c r="AD23" i="31"/>
  <c r="U23" i="31"/>
  <c r="W22" i="31"/>
  <c r="N14" i="30"/>
  <c r="R14" i="30"/>
  <c r="AE14" i="30"/>
  <c r="C15" i="30"/>
  <c r="AD15" i="30" s="1"/>
  <c r="Q14" i="30"/>
  <c r="AX10" i="6" s="1"/>
  <c r="Y14" i="30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BD11" i="6" l="1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N16" i="30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E23" i="8" l="1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Y17" i="30"/>
  <c r="AE17" i="30"/>
  <c r="C18" i="30"/>
  <c r="Q17" i="30"/>
  <c r="AX13" i="6" s="1"/>
  <c r="N17" i="30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9" i="8" l="1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Y18" i="30"/>
  <c r="AD18" i="30"/>
  <c r="C19" i="30"/>
  <c r="AD19" i="30" s="1"/>
  <c r="Q18" i="30"/>
  <c r="AX14" i="6" s="1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N19" i="30"/>
  <c r="H28" i="31"/>
  <c r="I28" i="31" s="1"/>
  <c r="J28" i="31" s="1"/>
  <c r="K28" i="31"/>
  <c r="AE19" i="30"/>
  <c r="C20" i="30"/>
  <c r="AD20" i="30" s="1"/>
  <c r="Q19" i="30"/>
  <c r="AX15" i="6" s="1"/>
  <c r="Y19" i="30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Y20" i="30" l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N20" i="30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U31" i="31" l="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Y22" i="30"/>
  <c r="AE22" i="30"/>
  <c r="AE23" i="30" s="1"/>
  <c r="R22" i="30"/>
  <c r="C23" i="30"/>
  <c r="Q22" i="30"/>
  <c r="AX18" i="6" s="1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U32" i="31" l="1"/>
  <c r="W28" i="8"/>
  <c r="H32" i="31"/>
  <c r="K32" i="31"/>
  <c r="L32" i="31" s="1"/>
  <c r="J28" i="8"/>
  <c r="P32" i="31"/>
  <c r="Y32" i="31" s="1"/>
  <c r="Y23" i="30"/>
  <c r="AD23" i="30"/>
  <c r="C24" i="30"/>
  <c r="AD24" i="30" s="1"/>
  <c r="Q23" i="30"/>
  <c r="AX19" i="6" s="1"/>
  <c r="N23" i="30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BD19" i="6" l="1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N24" i="30"/>
  <c r="AE24" i="30"/>
  <c r="C25" i="30"/>
  <c r="AD25" i="30" s="1"/>
  <c r="Q24" i="30"/>
  <c r="AX20" i="6" s="1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BD21" i="6" l="1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Y25" i="30"/>
  <c r="AE25" i="30"/>
  <c r="C26" i="30"/>
  <c r="AD26" i="30" s="1"/>
  <c r="Q25" i="30"/>
  <c r="AX21" i="6" s="1"/>
  <c r="R25" i="30"/>
  <c r="N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BD22" i="6" l="1"/>
  <c r="BB22" i="6"/>
  <c r="BC22" i="6"/>
  <c r="BA22" i="6"/>
  <c r="AZ22" i="6"/>
  <c r="AU22" i="6"/>
  <c r="AY22" i="6"/>
  <c r="AV22" i="6"/>
  <c r="N26" i="30"/>
  <c r="H35" i="31"/>
  <c r="I35" i="31" s="1"/>
  <c r="J35" i="31" s="1"/>
  <c r="K35" i="31"/>
  <c r="U35" i="31"/>
  <c r="AE26" i="30"/>
  <c r="R26" i="30"/>
  <c r="Y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BD23" i="6" l="1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Y27" i="30"/>
  <c r="N27" i="30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BD24" i="6" l="1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R29" i="30" s="1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BD25" i="6" l="1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BD26" i="6" l="1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N30" i="30"/>
  <c r="N31" i="30" s="1"/>
  <c r="Y30" i="30"/>
  <c r="Y31" i="30" s="1"/>
  <c r="R30" i="30"/>
  <c r="R31" i="30" s="1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AE31" i="30" l="1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Y33" i="30"/>
  <c r="AD33" i="30"/>
  <c r="AE33" i="30"/>
  <c r="C34" i="30"/>
  <c r="AD34" i="30" s="1"/>
  <c r="Q33" i="30"/>
  <c r="AX29" i="6" s="1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W42" i="31" l="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Y34" i="30"/>
  <c r="R34" i="30"/>
  <c r="N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BD31" i="6" l="1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AE36" i="30" s="1"/>
  <c r="C36" i="30"/>
  <c r="AD36" i="30" s="1"/>
  <c r="Q35" i="30"/>
  <c r="AX31" i="6" s="1"/>
  <c r="Y35" i="30"/>
  <c r="Y36" i="30" s="1"/>
  <c r="R35" i="30"/>
  <c r="R36" i="30" s="1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U45" i="31" l="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U46" i="31" l="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N37" i="30"/>
  <c r="R37" i="30"/>
  <c r="AE37" i="30"/>
  <c r="C38" i="30"/>
  <c r="AD38" i="30" s="1"/>
  <c r="Q37" i="30"/>
  <c r="AX33" i="6" s="1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BD34" i="6" l="1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N38" i="30"/>
  <c r="Y38" i="30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W47" i="31" l="1"/>
  <c r="BD35" i="6"/>
  <c r="BB35" i="6"/>
  <c r="AZ35" i="6"/>
  <c r="BC35" i="6"/>
  <c r="BA35" i="6"/>
  <c r="AY35" i="6"/>
  <c r="AU35" i="6"/>
  <c r="AV35" i="6"/>
  <c r="U48" i="31"/>
  <c r="N39" i="30"/>
  <c r="U45" i="8"/>
  <c r="H48" i="31"/>
  <c r="K48" i="31"/>
  <c r="L48" i="31" s="1"/>
  <c r="Y39" i="30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U49" i="31" l="1"/>
  <c r="BD36" i="6"/>
  <c r="BB36" i="6"/>
  <c r="AZ36" i="6"/>
  <c r="BC36" i="6"/>
  <c r="BA36" i="6"/>
  <c r="AY36" i="6"/>
  <c r="AU36" i="6"/>
  <c r="AV36" i="6"/>
  <c r="H49" i="31"/>
  <c r="K49" i="31"/>
  <c r="L49" i="31" s="1"/>
  <c r="Y40" i="30"/>
  <c r="R40" i="30"/>
  <c r="AE40" i="30"/>
  <c r="C41" i="30"/>
  <c r="AD41" i="30" s="1"/>
  <c r="Q40" i="30"/>
  <c r="AX36" i="6" s="1"/>
  <c r="N40" i="30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BD37" i="6" l="1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N41" i="30"/>
  <c r="C42" i="30"/>
  <c r="AD42" i="30" s="1"/>
  <c r="Q41" i="30"/>
  <c r="AX37" i="6" s="1"/>
  <c r="R41" i="30"/>
  <c r="Y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N42" i="30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J48" i="8" l="1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Y43" i="30"/>
  <c r="N43" i="30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BD40" i="6" l="1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N44" i="30"/>
  <c r="N45" i="30" s="1"/>
  <c r="R44" i="30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R45" i="30" l="1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BD42" i="6" l="1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Y46" i="30"/>
  <c r="AE46" i="30"/>
  <c r="C47" i="30"/>
  <c r="AD47" i="30" s="1"/>
  <c r="Q46" i="30"/>
  <c r="AX42" i="6" s="1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BD43" i="6" l="1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N47" i="30"/>
  <c r="N48" i="30" s="1"/>
  <c r="AE47" i="30"/>
  <c r="C48" i="30"/>
  <c r="AD48" i="30" s="1"/>
  <c r="Q47" i="30"/>
  <c r="AX43" i="6" s="1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AE48" i="30" l="1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BD45" i="6" l="1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N49" i="30"/>
  <c r="AE49" i="30"/>
  <c r="C50" i="30"/>
  <c r="AD50" i="30" s="1"/>
  <c r="Q49" i="30"/>
  <c r="AX45" i="6" s="1"/>
  <c r="Y49" i="30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W58" i="31" l="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Y50" i="30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Y51" i="30" l="1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AX48" i="6" s="1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W58" i="8" l="1"/>
  <c r="BD48" i="6"/>
  <c r="BB48" i="6"/>
  <c r="AZ48" i="6"/>
  <c r="BC48" i="6"/>
  <c r="BA48" i="6"/>
  <c r="AY48" i="6"/>
  <c r="AU48" i="6"/>
  <c r="AV48" i="6"/>
  <c r="AE53" i="30"/>
  <c r="N53" i="30"/>
  <c r="AD53" i="30"/>
  <c r="Y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BD49" i="6" l="1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Y54" i="30"/>
  <c r="Y55" i="30" s="1"/>
  <c r="R54" i="30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R55" i="30" l="1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BD52" i="6" l="1"/>
  <c r="BB52" i="6"/>
  <c r="AZ52" i="6"/>
  <c r="BC52" i="6"/>
  <c r="BA52" i="6"/>
  <c r="AY52" i="6"/>
  <c r="AU52" i="6"/>
  <c r="AV52" i="6"/>
  <c r="N56" i="30"/>
  <c r="AE56" i="30"/>
  <c r="C57" i="30"/>
  <c r="AD57" i="30" s="1"/>
  <c r="Q56" i="30"/>
  <c r="AX52" i="6" s="1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AH42" i="1" l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AX53" i="6" s="1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23" i="1" l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AX54" i="6" s="1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F13" i="12" l="1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D56" i="6" l="1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C61" i="30"/>
  <c r="AD61" i="30" s="1"/>
  <c r="Q60" i="30"/>
  <c r="AX56" i="6" s="1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AE61" i="30" l="1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Y61" i="30"/>
  <c r="Y62" i="30" s="1"/>
  <c r="AA62" i="30" s="1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BD58" i="6" l="1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Z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AN45" i="2" l="1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AE64" i="30"/>
  <c r="C65" i="30"/>
  <c r="AD65" i="30" s="1"/>
  <c r="Q64" i="30"/>
  <c r="Y64" i="30"/>
  <c r="AA64" i="30" s="1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R65" i="30" l="1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C72" i="15" l="1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2" i="15"/>
  <c r="D71" i="15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N71" i="30" l="1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H16" i="15"/>
  <c r="D20" i="15"/>
  <c r="R72" i="30" l="1"/>
  <c r="AW46" i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AC8" i="30" l="1"/>
  <c r="S8" i="30"/>
  <c r="R74" i="30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16" i="15"/>
  <c r="D23" i="15"/>
  <c r="AF8" i="30" l="1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17" i="15"/>
  <c r="D25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26" i="15"/>
  <c r="H19" i="15"/>
  <c r="D18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D29" i="15"/>
  <c r="H21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D30" i="15"/>
  <c r="H24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43" i="15"/>
  <c r="D52" i="15"/>
  <c r="H25" i="15"/>
  <c r="D49" i="15"/>
  <c r="D56" i="15"/>
  <c r="D62" i="15"/>
  <c r="D51" i="15"/>
  <c r="D39" i="15"/>
  <c r="D48" i="15"/>
  <c r="D31" i="15"/>
  <c r="D55" i="15"/>
  <c r="D46" i="15"/>
  <c r="D53" i="15"/>
  <c r="D45" i="15"/>
  <c r="D59" i="15"/>
  <c r="D58" i="15"/>
  <c r="D57" i="15"/>
  <c r="D50" i="15"/>
  <c r="D47" i="15"/>
  <c r="D44" i="15"/>
  <c r="D63" i="15"/>
  <c r="D40" i="15"/>
  <c r="D61" i="15"/>
  <c r="D54" i="15"/>
  <c r="D41" i="15"/>
  <c r="H27" i="15"/>
  <c r="D42" i="15"/>
  <c r="D60" i="15"/>
  <c r="D64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33" i="15"/>
  <c r="H72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50" i="15"/>
  <c r="H64" i="15"/>
  <c r="H28" i="15"/>
  <c r="H47" i="15"/>
  <c r="H70" i="15"/>
  <c r="H49" i="15"/>
  <c r="H59" i="15"/>
  <c r="H34" i="15"/>
  <c r="H69" i="15"/>
  <c r="H65" i="15"/>
  <c r="H57" i="15"/>
  <c r="H66" i="15"/>
  <c r="H48" i="15"/>
  <c r="H63" i="15"/>
  <c r="H56" i="15"/>
  <c r="H67" i="15"/>
  <c r="H51" i="15"/>
  <c r="H53" i="15"/>
  <c r="H71" i="15"/>
  <c r="H62" i="15"/>
  <c r="H60" i="15"/>
  <c r="D32" i="15"/>
  <c r="H58" i="15"/>
  <c r="H55" i="15"/>
  <c r="H54" i="15"/>
  <c r="H68" i="15"/>
  <c r="H52" i="15"/>
  <c r="H61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H29" i="15"/>
  <c r="D33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D34" i="15"/>
  <c r="H30" i="15"/>
  <c r="H37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43" i="15"/>
  <c r="D36" i="15"/>
  <c r="H39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8" i="15"/>
  <c r="D37" i="15"/>
  <c r="H40" i="15"/>
  <c r="H41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C65" i="30" l="1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F5" i="30" l="1"/>
  <c r="D3" i="30" l="1"/>
  <c r="I61" i="6" l="1"/>
  <c r="U61" i="6"/>
  <c r="AD3" i="34" l="1"/>
  <c r="AA9" i="34" s="1"/>
  <c r="AD3" i="32"/>
  <c r="AA9" i="32" s="1"/>
  <c r="K22" i="32" s="1"/>
  <c r="L22" i="32" s="1"/>
  <c r="AA10" i="32" l="1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M20" i="34" l="1"/>
  <c r="N19" i="34"/>
  <c r="M20" i="32"/>
  <c r="N20" i="32" l="1"/>
  <c r="M21" i="32"/>
  <c r="N20" i="34"/>
  <c r="M21" i="34"/>
  <c r="M22" i="34" l="1"/>
  <c r="N21" i="34"/>
  <c r="M22" i="32"/>
  <c r="N21" i="32"/>
  <c r="M23" i="32" l="1"/>
  <c r="N22" i="32"/>
  <c r="M23" i="34"/>
  <c r="N22" i="34"/>
  <c r="N23" i="34" l="1"/>
  <c r="M24" i="34"/>
  <c r="N23" i="32"/>
  <c r="M24" i="32"/>
  <c r="N24" i="32" l="1"/>
  <c r="M25" i="32"/>
  <c r="N24" i="34"/>
  <c r="M25" i="34"/>
  <c r="M26" i="34" l="1"/>
  <c r="N25" i="34"/>
  <c r="N25" i="32"/>
  <c r="M26" i="32"/>
  <c r="M27" i="32" l="1"/>
  <c r="N26" i="32"/>
  <c r="M27" i="34"/>
  <c r="N26" i="34"/>
  <c r="M28" i="34" l="1"/>
  <c r="N27" i="34"/>
  <c r="N27" i="32"/>
  <c r="M28" i="32"/>
  <c r="N28" i="32" l="1"/>
  <c r="M29" i="32"/>
  <c r="M29" i="34"/>
  <c r="N28" i="34"/>
  <c r="N29" i="34" l="1"/>
  <c r="M30" i="34"/>
  <c r="N29" i="32"/>
  <c r="M30" i="32"/>
  <c r="N30" i="32" l="1"/>
  <c r="M31" i="32"/>
  <c r="N30" i="34"/>
  <c r="M31" i="34"/>
  <c r="N31" i="34" l="1"/>
  <c r="M32" i="34"/>
  <c r="M32" i="32"/>
  <c r="N31" i="32"/>
  <c r="N32" i="32" l="1"/>
  <c r="M33" i="32"/>
  <c r="N32" i="34"/>
  <c r="M33" i="34"/>
  <c r="N33" i="34" l="1"/>
  <c r="M34" i="34"/>
  <c r="N33" i="32"/>
  <c r="M34" i="32"/>
  <c r="N34" i="32" l="1"/>
  <c r="M35" i="32"/>
  <c r="N34" i="34"/>
  <c r="M35" i="34"/>
  <c r="N35" i="34" l="1"/>
  <c r="M36" i="34"/>
  <c r="N35" i="32"/>
  <c r="M36" i="32"/>
  <c r="M37" i="32" l="1"/>
  <c r="N36" i="32"/>
  <c r="M37" i="34"/>
  <c r="N36" i="34"/>
  <c r="M38" i="34" l="1"/>
  <c r="N37" i="34"/>
  <c r="N37" i="32"/>
  <c r="M38" i="32"/>
  <c r="M39" i="32" l="1"/>
  <c r="N38" i="32"/>
  <c r="M39" i="34"/>
  <c r="N38" i="34"/>
  <c r="M40" i="34" l="1"/>
  <c r="N39" i="34"/>
  <c r="M40" i="32"/>
  <c r="N39" i="32"/>
  <c r="M41" i="32" l="1"/>
  <c r="N40" i="32"/>
  <c r="M41" i="34"/>
  <c r="N40" i="34"/>
  <c r="M42" i="34" l="1"/>
  <c r="N41" i="34"/>
  <c r="M42" i="32"/>
  <c r="N41" i="32"/>
  <c r="N42" i="32" l="1"/>
  <c r="M43" i="32"/>
  <c r="N42" i="34"/>
  <c r="M43" i="34"/>
  <c r="N43" i="34" l="1"/>
  <c r="M44" i="34"/>
  <c r="M44" i="32"/>
  <c r="N43" i="32"/>
  <c r="M45" i="32" l="1"/>
  <c r="N44" i="32"/>
  <c r="N44" i="34"/>
  <c r="M45" i="34"/>
  <c r="N45" i="34" l="1"/>
  <c r="M46" i="34"/>
  <c r="M46" i="32"/>
  <c r="N45" i="32"/>
  <c r="M47" i="32" l="1"/>
  <c r="N46" i="32"/>
  <c r="N46" i="34"/>
  <c r="M47" i="34"/>
  <c r="N47" i="34" l="1"/>
  <c r="M48" i="34"/>
  <c r="N47" i="32"/>
  <c r="M48" i="32"/>
  <c r="M49" i="32" l="1"/>
  <c r="N48" i="32"/>
  <c r="N48" i="34"/>
  <c r="M49" i="34"/>
  <c r="N49" i="34" l="1"/>
  <c r="M50" i="34"/>
  <c r="N49" i="32"/>
  <c r="M50" i="32"/>
  <c r="M51" i="32" l="1"/>
  <c r="N50" i="32"/>
  <c r="N50" i="34"/>
  <c r="M51" i="34"/>
  <c r="N51" i="34" l="1"/>
  <c r="M52" i="34"/>
  <c r="N51" i="32"/>
  <c r="M52" i="32"/>
  <c r="N52" i="32" l="1"/>
  <c r="M53" i="32"/>
  <c r="N52" i="34"/>
  <c r="M53" i="34"/>
  <c r="M54" i="34" l="1"/>
  <c r="N53" i="34"/>
  <c r="M54" i="32"/>
  <c r="N53" i="32"/>
  <c r="N54" i="32" l="1"/>
  <c r="M55" i="32"/>
  <c r="M55" i="34"/>
  <c r="N54" i="34"/>
  <c r="M56" i="34" l="1"/>
  <c r="N55" i="34"/>
  <c r="N55" i="32"/>
  <c r="M56" i="32"/>
  <c r="N56" i="32" l="1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<sst xmlns="http://schemas.openxmlformats.org/spreadsheetml/2006/main" count="1458" uniqueCount="382">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</sst>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4" fontId="0" fillId="0" borderId="0" xfId="0" applyNumberFormat="1"/>
    <xf numFmtId="172" fontId="0" fillId="0" borderId="0" xfId="0" applyNumberFormat="1"/>
    <xf numFmtId="8" fontId="0" fillId="0" borderId="0" xfId="0" applyNumberFormat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zoomScaleNormal="100" workbookViewId="0">
      <selection activeCell="X17" sqref="X17"/>
    </sheetView>
  </sheetViews>
  <sheetFormatPr baseColWidth="10" defaultRowHeight="15" x14ac:dyDescent="0.2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40.33203125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3" ht="16" thickBot="1" x14ac:dyDescent="0.25"/>
    <row r="2" spans="1:23" ht="16" thickBot="1" x14ac:dyDescent="0.25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3" x14ac:dyDescent="0.2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3" x14ac:dyDescent="0.2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3" x14ac:dyDescent="0.2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3" x14ac:dyDescent="0.2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3" x14ac:dyDescent="0.2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3" x14ac:dyDescent="0.2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3" x14ac:dyDescent="0.2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3" x14ac:dyDescent="0.2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3" x14ac:dyDescent="0.2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3" x14ac:dyDescent="0.2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3" x14ac:dyDescent="0.2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3" x14ac:dyDescent="0.2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3" x14ac:dyDescent="0.2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  <c r="W16">
        <v>20.009147680528599</v>
      </c>
    </row>
    <row r="17" spans="1:23" x14ac:dyDescent="0.2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  <c r="W17">
        <v>19.2261363093074</v>
      </c>
    </row>
    <row r="18" spans="1:23" x14ac:dyDescent="0.2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15.0889338655331</v>
      </c>
      <c r="V18" s="110">
        <f t="shared" si="3"/>
        <v>1.0212344512873103E-2</v>
      </c>
    </row>
    <row r="19" spans="1:23" x14ac:dyDescent="0.2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220" t="s">
        <v>275</v>
      </c>
      <c r="V19" s="221"/>
    </row>
    <row r="20" spans="1:23" x14ac:dyDescent="0.2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220"/>
      <c r="V20" s="221"/>
    </row>
    <row r="21" spans="1:23" x14ac:dyDescent="0.2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220"/>
      <c r="V21" s="221"/>
    </row>
    <row r="22" spans="1:23" ht="16" thickBot="1" x14ac:dyDescent="0.25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222"/>
      <c r="V22" s="223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3" x14ac:dyDescent="0.15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27.832031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276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5">
        <v>60000</v>
      </c>
    </row>
    <row r="6" spans="1:19" x14ac:dyDescent="0.15">
      <c r="A6" s="16" t="s">
        <v>278</v>
      </c>
      <c r="E6" s="174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6">
        <f>F51</f>
        <v>154639.99327274557</v>
      </c>
    </row>
    <row r="9" spans="1:19" x14ac:dyDescent="0.15">
      <c r="A9" s="16" t="s">
        <v>99</v>
      </c>
      <c r="E9" s="181">
        <v>0.05</v>
      </c>
    </row>
    <row r="10" spans="1:19" x14ac:dyDescent="0.15">
      <c r="A10" s="16" t="s">
        <v>225</v>
      </c>
      <c r="E10" s="181">
        <v>0.05</v>
      </c>
    </row>
    <row r="11" spans="1:19" x14ac:dyDescent="0.15">
      <c r="A11" s="16" t="s">
        <v>288</v>
      </c>
      <c r="E11" s="183">
        <v>5.6000000000000001E-2</v>
      </c>
    </row>
    <row r="12" spans="1:19" x14ac:dyDescent="0.15">
      <c r="E12" s="27"/>
    </row>
    <row r="14" spans="1:19" x14ac:dyDescent="0.15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15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15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15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7">
        <f>H17/D17</f>
        <v>3.8659998318186395E-2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15">
      <c r="A18" s="173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7">
        <f t="shared" ref="I18:I55" si="2">H18/D18</f>
        <v>7.5067957899391052E-2</v>
      </c>
      <c r="J18" s="177"/>
      <c r="K18" s="182">
        <f t="shared" ref="K18:K56" si="3">D18*$E$9</f>
        <v>3090</v>
      </c>
      <c r="L18" s="182">
        <f t="shared" ref="L18:L56" si="4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15">
      <c r="A19" s="173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7">
        <f t="shared" si="2"/>
        <v>0.10932226878552095</v>
      </c>
      <c r="J19" s="177"/>
      <c r="K19" s="182">
        <f t="shared" si="3"/>
        <v>3182.7000000000003</v>
      </c>
      <c r="L19" s="182">
        <f t="shared" si="4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15">
      <c r="A20" s="173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7">
        <f t="shared" si="2"/>
        <v>0.14151750004598182</v>
      </c>
      <c r="J20" s="177"/>
      <c r="K20" s="182">
        <f t="shared" si="3"/>
        <v>3278.181</v>
      </c>
      <c r="L20" s="182">
        <f t="shared" si="4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15">
      <c r="A21" s="173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7">
        <f t="shared" si="2"/>
        <v>0.17174453889075464</v>
      </c>
      <c r="J21" s="177"/>
      <c r="K21" s="182">
        <f t="shared" si="3"/>
        <v>3376.5264299999999</v>
      </c>
      <c r="L21" s="182">
        <f t="shared" si="4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15">
      <c r="A22" s="173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7">
        <f t="shared" si="2"/>
        <v>0.20009072492126753</v>
      </c>
      <c r="J22" s="177"/>
      <c r="K22" s="182">
        <f t="shared" si="3"/>
        <v>3477.8222229000003</v>
      </c>
      <c r="L22" s="182">
        <f t="shared" si="4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15">
      <c r="A23" s="173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7">
        <f t="shared" si="2"/>
        <v>0.22663997968428362</v>
      </c>
      <c r="J23" s="177"/>
      <c r="K23" s="182">
        <f t="shared" si="3"/>
        <v>3582.156889587</v>
      </c>
      <c r="L23" s="182">
        <f t="shared" si="4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15">
      <c r="A24" s="173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7">
        <f t="shared" si="2"/>
        <v>0.25147293168852547</v>
      </c>
      <c r="J24" s="177"/>
      <c r="K24" s="182">
        <f t="shared" si="3"/>
        <v>3689.6215962746101</v>
      </c>
      <c r="L24" s="182">
        <f t="shared" si="4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15">
      <c r="A25" s="173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7">
        <f t="shared" si="2"/>
        <v>0.27466703703843803</v>
      </c>
      <c r="J25" s="177"/>
      <c r="K25" s="182">
        <f t="shared" si="3"/>
        <v>3800.3102441628489</v>
      </c>
      <c r="L25" s="182">
        <f t="shared" si="4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15">
      <c r="A26" s="173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7">
        <f t="shared" si="2"/>
        <v>0.2962966958343452</v>
      </c>
      <c r="J26" s="177"/>
      <c r="K26" s="182">
        <f t="shared" si="3"/>
        <v>3914.3195514877343</v>
      </c>
      <c r="L26" s="182">
        <f t="shared" si="4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15">
      <c r="A27" s="173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7">
        <f t="shared" si="2"/>
        <v>0.31643336448328124</v>
      </c>
      <c r="J27" s="177"/>
      <c r="K27" s="182">
        <f t="shared" si="3"/>
        <v>4031.7491380323663</v>
      </c>
      <c r="L27" s="182">
        <f t="shared" si="4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15">
      <c r="A28" s="173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7">
        <f t="shared" si="2"/>
        <v>0.33514566405996254</v>
      </c>
      <c r="J28" s="177"/>
      <c r="K28" s="182">
        <f t="shared" si="3"/>
        <v>4152.7016121733377</v>
      </c>
      <c r="L28" s="182">
        <f t="shared" si="4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15">
      <c r="A29" s="173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7">
        <f t="shared" si="2"/>
        <v>0.35249948485271143</v>
      </c>
      <c r="J29" s="177"/>
      <c r="K29" s="182">
        <f t="shared" si="3"/>
        <v>4277.2826605385371</v>
      </c>
      <c r="L29" s="182">
        <f t="shared" si="4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15">
      <c r="A30" s="173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7">
        <f t="shared" si="2"/>
        <v>0.36855808722464223</v>
      </c>
      <c r="J30" s="177"/>
      <c r="K30" s="182">
        <f t="shared" si="3"/>
        <v>4405.6011403546936</v>
      </c>
      <c r="L30" s="182">
        <f t="shared" si="4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15">
      <c r="A31" s="173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7">
        <f t="shared" si="2"/>
        <v>0.38338219891606329</v>
      </c>
      <c r="J31" s="177"/>
      <c r="K31" s="182">
        <f t="shared" si="3"/>
        <v>4537.7691745653347</v>
      </c>
      <c r="L31" s="182">
        <f t="shared" si="4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15">
      <c r="A32" s="173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7">
        <f t="shared" si="2"/>
        <v>0.39703010890983903</v>
      </c>
      <c r="J32" s="177"/>
      <c r="K32" s="182">
        <f t="shared" si="3"/>
        <v>4673.902249802295</v>
      </c>
      <c r="L32" s="182">
        <f t="shared" si="4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15">
      <c r="A33" s="173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7">
        <f t="shared" si="2"/>
        <v>0.40955775797738253</v>
      </c>
      <c r="J33" s="177"/>
      <c r="K33" s="182">
        <f t="shared" si="3"/>
        <v>4814.119317296364</v>
      </c>
      <c r="L33" s="182">
        <f t="shared" si="4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15">
      <c r="A34" s="173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7">
        <f t="shared" si="2"/>
        <v>0.42101882601901108</v>
      </c>
      <c r="J34" s="177"/>
      <c r="K34" s="182">
        <f t="shared" si="3"/>
        <v>4958.5428968152555</v>
      </c>
      <c r="L34" s="182">
        <f t="shared" si="4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15">
      <c r="A35" s="173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7">
        <f t="shared" si="2"/>
        <v>0.43146481630858741</v>
      </c>
      <c r="J35" s="177"/>
      <c r="K35" s="182">
        <f t="shared" si="3"/>
        <v>5107.2991837197133</v>
      </c>
      <c r="L35" s="182">
        <f t="shared" si="4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15">
      <c r="A36" s="173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7">
        <f t="shared" si="2"/>
        <v>0.44094513674868413</v>
      </c>
      <c r="J36" s="177"/>
      <c r="K36" s="182">
        <f t="shared" si="3"/>
        <v>5260.5181592313047</v>
      </c>
      <c r="L36" s="182">
        <f t="shared" si="4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15">
      <c r="A37" s="173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7">
        <f t="shared" si="2"/>
        <v>0.44950717823894981</v>
      </c>
      <c r="J37" s="177"/>
      <c r="K37" s="182">
        <f t="shared" si="3"/>
        <v>5418.3337040082442</v>
      </c>
      <c r="L37" s="182">
        <f t="shared" si="4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15">
      <c r="A38" s="173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7">
        <f t="shared" si="2"/>
        <v>0.45719639025690684</v>
      </c>
      <c r="J38" s="177"/>
      <c r="K38" s="182">
        <f t="shared" si="3"/>
        <v>5580.8837151284915</v>
      </c>
      <c r="L38" s="182">
        <f t="shared" si="4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15">
      <c r="A39" s="173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7">
        <f t="shared" si="2"/>
        <v>0.4640563537470811</v>
      </c>
      <c r="J39" s="177"/>
      <c r="K39" s="182">
        <f t="shared" si="3"/>
        <v>5748.3102265823463</v>
      </c>
      <c r="L39" s="182">
        <f t="shared" si="4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15">
      <c r="A40" s="173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7">
        <f t="shared" si="2"/>
        <v>0.47012885141114169</v>
      </c>
      <c r="J40" s="177"/>
      <c r="K40" s="182">
        <f t="shared" si="3"/>
        <v>5920.7595333798163</v>
      </c>
      <c r="L40" s="182">
        <f t="shared" si="4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15">
      <c r="A41" s="173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7">
        <f t="shared" si="2"/>
        <v>0.47545393548861414</v>
      </c>
      <c r="J41" s="177"/>
      <c r="K41" s="182">
        <f t="shared" si="3"/>
        <v>6098.3823193812113</v>
      </c>
      <c r="L41" s="182">
        <f t="shared" si="4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15">
      <c r="A42" s="173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7">
        <f t="shared" si="2"/>
        <v>0.48006999311471721</v>
      </c>
      <c r="J42" s="177"/>
      <c r="K42" s="182">
        <f t="shared" si="3"/>
        <v>6281.3337889626482</v>
      </c>
      <c r="L42" s="182">
        <f t="shared" si="4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15">
      <c r="A43" s="173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7">
        <f t="shared" si="2"/>
        <v>0.48401380933896054</v>
      </c>
      <c r="J43" s="177"/>
      <c r="K43" s="182">
        <f t="shared" si="3"/>
        <v>6469.7738026315274</v>
      </c>
      <c r="L43" s="182">
        <f t="shared" si="4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15">
      <c r="A44" s="173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7">
        <f t="shared" si="2"/>
        <v>0.48732062788532521</v>
      </c>
      <c r="J44" s="177"/>
      <c r="K44" s="182">
        <f t="shared" si="3"/>
        <v>6663.8670167104738</v>
      </c>
      <c r="L44" s="182">
        <f t="shared" si="4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15">
      <c r="A45" s="173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7">
        <f t="shared" si="2"/>
        <v>0.49002420973212307</v>
      </c>
      <c r="J45" s="177"/>
      <c r="K45" s="182">
        <f t="shared" si="3"/>
        <v>6863.7830272117881</v>
      </c>
      <c r="L45" s="182">
        <f t="shared" si="4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15">
      <c r="A46" s="173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7">
        <f t="shared" si="2"/>
        <v>0.4921568895870001</v>
      </c>
      <c r="J46" s="177"/>
      <c r="K46" s="182">
        <f t="shared" si="3"/>
        <v>7069.6965180281422</v>
      </c>
      <c r="L46" s="182">
        <f t="shared" si="4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15">
      <c r="A47" s="173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7">
        <f t="shared" si="2"/>
        <v>0.49374963033000002</v>
      </c>
      <c r="J47" s="177"/>
      <c r="K47" s="182">
        <f t="shared" si="3"/>
        <v>7281.7874135689872</v>
      </c>
      <c r="L47" s="182">
        <f t="shared" si="4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15">
      <c r="A48" s="173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7">
        <f t="shared" si="2"/>
        <v>0.49483207549514563</v>
      </c>
      <c r="J48" s="177"/>
      <c r="K48" s="182">
        <f t="shared" si="3"/>
        <v>7500.2410359760579</v>
      </c>
      <c r="L48" s="182">
        <f t="shared" si="4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15">
      <c r="A49" s="173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7">
        <f t="shared" si="2"/>
        <v>0.49543259985861066</v>
      </c>
      <c r="J49" s="177"/>
      <c r="K49" s="182">
        <f t="shared" si="3"/>
        <v>7725.24826705534</v>
      </c>
      <c r="L49" s="182">
        <f t="shared" si="4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15">
      <c r="A50" s="173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7">
        <f t="shared" si="2"/>
        <v>0.49557835819925744</v>
      </c>
      <c r="J50" s="177"/>
      <c r="K50" s="182">
        <f t="shared" si="3"/>
        <v>7957.005715067</v>
      </c>
      <c r="L50" s="182">
        <f t="shared" si="4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2" customFormat="1" x14ac:dyDescent="0.15">
      <c r="A51" s="203">
        <f t="shared" si="7"/>
        <v>2056</v>
      </c>
      <c r="B51" s="204">
        <f t="shared" si="8"/>
        <v>64</v>
      </c>
      <c r="C51" s="204">
        <f t="shared" si="9"/>
        <v>34</v>
      </c>
      <c r="D51" s="204">
        <f t="shared" si="1"/>
        <v>163914.31773038019</v>
      </c>
      <c r="E51" s="204"/>
      <c r="F51" s="204">
        <f t="shared" si="14"/>
        <v>154639.99327274557</v>
      </c>
      <c r="G51" s="204">
        <f t="shared" si="10"/>
        <v>2319.5998990911835</v>
      </c>
      <c r="H51" s="204">
        <f>$E$7*$E$8*(C51+1)</f>
        <v>81185.996468191428</v>
      </c>
      <c r="I51" s="205">
        <f>H51/D51</f>
        <v>0.49529533229508882</v>
      </c>
      <c r="J51" s="205"/>
      <c r="K51" s="206">
        <f>D51*$E$9</f>
        <v>8195.7158865190104</v>
      </c>
      <c r="L51" s="206">
        <f>K51*(11/24)*$E$11</f>
        <v>210.35670775398793</v>
      </c>
      <c r="M51" s="206">
        <f>M50*(1+$E$11)+(K51+L51)</f>
        <v>463867.18839905225</v>
      </c>
      <c r="N51" s="204">
        <f t="shared" si="0"/>
        <v>8195.7158865190104</v>
      </c>
      <c r="O51" s="204">
        <f t="shared" si="5"/>
        <v>210.35670775398793</v>
      </c>
      <c r="P51" s="204">
        <f t="shared" si="12"/>
        <v>463867.18839905225</v>
      </c>
      <c r="Q51" s="204">
        <f t="shared" si="6"/>
        <v>927734.37679810449</v>
      </c>
    </row>
    <row r="52" spans="1:20" x14ac:dyDescent="0.15">
      <c r="A52" s="173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7">
        <f t="shared" si="2"/>
        <v>0</v>
      </c>
      <c r="J52" s="177"/>
      <c r="K52" s="182">
        <f t="shared" si="3"/>
        <v>8441.5873631145805</v>
      </c>
      <c r="L52" s="182">
        <f t="shared" si="4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15">
      <c r="A53" s="173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7">
        <f t="shared" si="2"/>
        <v>0</v>
      </c>
      <c r="J53" s="177"/>
      <c r="K53" s="182">
        <f t="shared" si="3"/>
        <v>8694.8349840080173</v>
      </c>
      <c r="L53" s="182">
        <f t="shared" si="4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15">
      <c r="A54" s="173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7">
        <f t="shared" si="2"/>
        <v>0</v>
      </c>
      <c r="J54" s="177"/>
      <c r="K54" s="182">
        <f t="shared" si="3"/>
        <v>8955.6800335282587</v>
      </c>
      <c r="L54" s="182">
        <f t="shared" si="4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15">
      <c r="A55" s="173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7">
        <f t="shared" si="2"/>
        <v>0</v>
      </c>
      <c r="J55" s="177"/>
      <c r="K55" s="182">
        <f t="shared" si="3"/>
        <v>9224.350434534108</v>
      </c>
      <c r="L55" s="182">
        <f t="shared" si="4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15">
      <c r="A56" s="173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7">
        <f>H56/D56</f>
        <v>0</v>
      </c>
      <c r="J56" s="177"/>
      <c r="K56" s="182">
        <f t="shared" si="3"/>
        <v>9501.0809475701317</v>
      </c>
      <c r="L56" s="182">
        <f t="shared" si="4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15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15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299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5">
        <v>60000</v>
      </c>
    </row>
    <row r="6" spans="1:19" x14ac:dyDescent="0.15">
      <c r="A6" s="16" t="s">
        <v>278</v>
      </c>
      <c r="E6" s="174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6">
        <f>F53</f>
        <v>154639.99327274557</v>
      </c>
    </row>
    <row r="9" spans="1:19" x14ac:dyDescent="0.15">
      <c r="A9" s="16" t="s">
        <v>99</v>
      </c>
      <c r="E9" s="181">
        <v>0.05</v>
      </c>
    </row>
    <row r="10" spans="1:19" x14ac:dyDescent="0.15">
      <c r="A10" s="16" t="s">
        <v>225</v>
      </c>
      <c r="E10" s="194">
        <f>E9*(1-M53/E12)/(M53/E12)</f>
        <v>8.0428194717132862E-2</v>
      </c>
    </row>
    <row r="11" spans="1:19" x14ac:dyDescent="0.15">
      <c r="A11" s="16" t="s">
        <v>288</v>
      </c>
      <c r="E11" s="183">
        <v>5.6000000000000001E-2</v>
      </c>
    </row>
    <row r="12" spans="1:19" x14ac:dyDescent="0.15">
      <c r="A12" s="16" t="s">
        <v>295</v>
      </c>
      <c r="E12" s="193">
        <f>'Section 3'!I66</f>
        <v>1210027.1994280107</v>
      </c>
    </row>
    <row r="13" spans="1:19" x14ac:dyDescent="0.15">
      <c r="A13" s="16" t="s">
        <v>310</v>
      </c>
      <c r="E13" s="186">
        <f>Q53</f>
        <v>1210027.1994280107</v>
      </c>
    </row>
    <row r="14" spans="1:19" x14ac:dyDescent="0.15">
      <c r="E14" s="27"/>
    </row>
    <row r="16" spans="1:19" x14ac:dyDescent="0.15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1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15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15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15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15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15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15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15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15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15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15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15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15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15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15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15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15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15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15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15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15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15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15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15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15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15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15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15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15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15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15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15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15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2" customFormat="1" x14ac:dyDescent="0.15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>$E$7*$E$8*(C53+1)</f>
        <v>81185.996468191428</v>
      </c>
      <c r="I53" s="205">
        <f t="shared" si="4"/>
        <v>0.49529533229508882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1"/>
        <v>463867.18839905225</v>
      </c>
      <c r="N53" s="204">
        <f t="shared" si="0"/>
        <v>13183.332663345001</v>
      </c>
      <c r="O53" s="204">
        <f t="shared" si="7"/>
        <v>338.37220502585501</v>
      </c>
      <c r="P53" s="204">
        <f t="shared" si="10"/>
        <v>746160.01102895837</v>
      </c>
      <c r="Q53" s="204">
        <f t="shared" si="8"/>
        <v>1210027.1994280107</v>
      </c>
    </row>
    <row r="54" spans="1:20" x14ac:dyDescent="0.15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15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15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15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15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300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5">
        <v>60000</v>
      </c>
    </row>
    <row r="6" spans="1:19" x14ac:dyDescent="0.15">
      <c r="A6" s="16" t="s">
        <v>278</v>
      </c>
      <c r="E6" s="174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6">
        <f>F53</f>
        <v>154639.99327274557</v>
      </c>
    </row>
    <row r="9" spans="1:19" x14ac:dyDescent="0.15">
      <c r="A9" s="16" t="s">
        <v>99</v>
      </c>
      <c r="E9" s="181">
        <v>0.06</v>
      </c>
    </row>
    <row r="10" spans="1:19" x14ac:dyDescent="0.15">
      <c r="A10" s="16" t="s">
        <v>225</v>
      </c>
      <c r="E10" s="194">
        <f>E9*(1-M53/E12)/(M53/E12)</f>
        <v>0.10376388296889619</v>
      </c>
    </row>
    <row r="11" spans="1:19" x14ac:dyDescent="0.15">
      <c r="A11" s="16" t="s">
        <v>288</v>
      </c>
      <c r="E11" s="183">
        <v>5.6000000000000001E-2</v>
      </c>
    </row>
    <row r="12" spans="1:19" x14ac:dyDescent="0.15">
      <c r="A12" s="16" t="s">
        <v>296</v>
      </c>
      <c r="E12" s="193">
        <f>'Section 3'!U66</f>
        <v>1519293.839081866</v>
      </c>
    </row>
    <row r="13" spans="1:19" x14ac:dyDescent="0.15">
      <c r="A13" s="16" t="s">
        <v>310</v>
      </c>
      <c r="E13" s="186">
        <f>Q53</f>
        <v>1519293.839081866</v>
      </c>
    </row>
    <row r="14" spans="1:19" x14ac:dyDescent="0.15">
      <c r="E14" s="27"/>
    </row>
    <row r="16" spans="1:19" x14ac:dyDescent="0.15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3600</v>
      </c>
      <c r="L19" s="182">
        <f>K19*(11/24)*$E$11</f>
        <v>92.4</v>
      </c>
      <c r="M19" s="182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1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3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3708</v>
      </c>
      <c r="L20" s="182">
        <f t="shared" ref="L20:L58" si="6">K20*(11/24)*$E$11</f>
        <v>95.171999999999997</v>
      </c>
      <c r="M20" s="182">
        <f>M19*(1+$E$11)+(K20+L20)</f>
        <v>7702.3464000000004</v>
      </c>
      <c r="N20" s="50">
        <f t="shared" si="0"/>
        <v>6412.6079674777848</v>
      </c>
      <c r="O20" s="50">
        <f t="shared" ref="O20:O58" si="7">N20*(11/24)*$E$11</f>
        <v>164.59027116526315</v>
      </c>
      <c r="P20" s="50">
        <f>P19*(1+$E$11)+(N20+O20)</f>
        <v>13320.422840591649</v>
      </c>
      <c r="Q20" s="50">
        <f t="shared" ref="Q20:Q58" si="8">M20+P20</f>
        <v>21022.76924059165</v>
      </c>
    </row>
    <row r="21" spans="1:19" x14ac:dyDescent="0.15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3819.24</v>
      </c>
      <c r="L21" s="182">
        <f t="shared" si="6"/>
        <v>98.027159999999995</v>
      </c>
      <c r="M21" s="182">
        <f>M20*(1+$E$11)+(K21+L21)</f>
        <v>12050.944958400001</v>
      </c>
      <c r="N21" s="50">
        <f t="shared" si="0"/>
        <v>6604.986206502118</v>
      </c>
      <c r="O21" s="50">
        <f t="shared" si="7"/>
        <v>169.52797930022103</v>
      </c>
      <c r="P21" s="50">
        <f t="shared" ref="P21:P58" si="10">P20*(1+$E$11)+(N21+O21)</f>
        <v>20840.88070546712</v>
      </c>
      <c r="Q21" s="50">
        <f t="shared" si="8"/>
        <v>32891.825663867123</v>
      </c>
    </row>
    <row r="22" spans="1:19" x14ac:dyDescent="0.15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3933.8171999999995</v>
      </c>
      <c r="L22" s="182">
        <f t="shared" si="6"/>
        <v>100.96797479999999</v>
      </c>
      <c r="M22" s="182">
        <f t="shared" ref="M22:M58" si="11">M21*(1+$E$11)+(K22+L22)</f>
        <v>16760.583050870402</v>
      </c>
      <c r="N22" s="50">
        <f t="shared" si="0"/>
        <v>6803.1357926971814</v>
      </c>
      <c r="O22" s="50">
        <f t="shared" si="7"/>
        <v>174.61381867922765</v>
      </c>
      <c r="P22" s="50">
        <f t="shared" si="10"/>
        <v>28985.719636349688</v>
      </c>
      <c r="Q22" s="50">
        <f t="shared" si="8"/>
        <v>45746.302687220086</v>
      </c>
    </row>
    <row r="23" spans="1:19" x14ac:dyDescent="0.15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4051.8317159999992</v>
      </c>
      <c r="L23" s="182">
        <f t="shared" si="6"/>
        <v>103.99701404399998</v>
      </c>
      <c r="M23" s="182">
        <f t="shared" si="11"/>
        <v>21855.004431763144</v>
      </c>
      <c r="N23" s="50">
        <f t="shared" si="0"/>
        <v>7007.2298664780956</v>
      </c>
      <c r="O23" s="50">
        <f t="shared" si="7"/>
        <v>179.85223323960443</v>
      </c>
      <c r="P23" s="50">
        <f t="shared" si="10"/>
        <v>37796.002035702972</v>
      </c>
      <c r="Q23" s="50">
        <f t="shared" si="8"/>
        <v>59651.006467466112</v>
      </c>
    </row>
    <row r="24" spans="1:19" x14ac:dyDescent="0.15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4173.3866674800001</v>
      </c>
      <c r="L24" s="182">
        <f t="shared" si="6"/>
        <v>107.11692446532</v>
      </c>
      <c r="M24" s="182">
        <f t="shared" si="11"/>
        <v>27359.388271887205</v>
      </c>
      <c r="N24" s="50">
        <f t="shared" si="0"/>
        <v>7217.4467624724393</v>
      </c>
      <c r="O24" s="50">
        <f t="shared" si="7"/>
        <v>185.24780023679259</v>
      </c>
      <c r="P24" s="50">
        <f t="shared" si="10"/>
        <v>47315.272712411577</v>
      </c>
      <c r="Q24" s="50">
        <f t="shared" si="8"/>
        <v>74674.660984298782</v>
      </c>
    </row>
    <row r="25" spans="1:19" x14ac:dyDescent="0.15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4298.5882675043995</v>
      </c>
      <c r="L25" s="182">
        <f t="shared" si="6"/>
        <v>110.33043219927958</v>
      </c>
      <c r="M25" s="182">
        <f t="shared" si="11"/>
        <v>33300.432714816568</v>
      </c>
      <c r="N25" s="50">
        <f t="shared" si="0"/>
        <v>7433.9701653466127</v>
      </c>
      <c r="O25" s="50">
        <f t="shared" si="7"/>
        <v>190.80523424389639</v>
      </c>
      <c r="P25" s="50">
        <f t="shared" si="10"/>
        <v>57589.703383897133</v>
      </c>
      <c r="Q25" s="50">
        <f t="shared" si="8"/>
        <v>90890.136098713701</v>
      </c>
    </row>
    <row r="26" spans="1:19" x14ac:dyDescent="0.15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4427.5459155295321</v>
      </c>
      <c r="L26" s="182">
        <f t="shared" si="6"/>
        <v>113.640345165258</v>
      </c>
      <c r="M26" s="182">
        <f t="shared" si="11"/>
        <v>39706.443207541088</v>
      </c>
      <c r="N26" s="50">
        <f t="shared" si="0"/>
        <v>7656.9892703070118</v>
      </c>
      <c r="O26" s="50">
        <f t="shared" si="7"/>
        <v>196.52939127121329</v>
      </c>
      <c r="P26" s="50">
        <f t="shared" si="10"/>
        <v>68668.245434973607</v>
      </c>
      <c r="Q26" s="50">
        <f t="shared" si="8"/>
        <v>108374.68864251469</v>
      </c>
    </row>
    <row r="27" spans="1:19" x14ac:dyDescent="0.15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4560.3722929954183</v>
      </c>
      <c r="L27" s="182">
        <f t="shared" si="6"/>
        <v>117.04955552021575</v>
      </c>
      <c r="M27" s="182">
        <f t="shared" si="11"/>
        <v>46607.425875679022</v>
      </c>
      <c r="N27" s="50">
        <f t="shared" si="0"/>
        <v>7886.6989484162223</v>
      </c>
      <c r="O27" s="50">
        <f t="shared" si="7"/>
        <v>202.4252730093497</v>
      </c>
      <c r="P27" s="50">
        <f t="shared" si="10"/>
        <v>80602.791400757706</v>
      </c>
      <c r="Q27" s="50">
        <f t="shared" si="8"/>
        <v>127210.21727643673</v>
      </c>
    </row>
    <row r="28" spans="1:19" x14ac:dyDescent="0.15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4697.183461785281</v>
      </c>
      <c r="L28" s="182">
        <f t="shared" si="6"/>
        <v>120.56104218582222</v>
      </c>
      <c r="M28" s="182">
        <f t="shared" si="11"/>
        <v>54035.186228688151</v>
      </c>
      <c r="N28" s="50">
        <f t="shared" si="0"/>
        <v>8123.2999168687093</v>
      </c>
      <c r="O28" s="50">
        <f t="shared" si="7"/>
        <v>208.49803119963022</v>
      </c>
      <c r="P28" s="50">
        <f t="shared" si="10"/>
        <v>93448.345667268484</v>
      </c>
      <c r="Q28" s="50">
        <f t="shared" si="8"/>
        <v>147483.53189595664</v>
      </c>
    </row>
    <row r="29" spans="1:19" x14ac:dyDescent="0.15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4838.0989656388392</v>
      </c>
      <c r="L29" s="182">
        <f t="shared" si="6"/>
        <v>124.17787345139688</v>
      </c>
      <c r="M29" s="182">
        <f t="shared" si="11"/>
        <v>62023.433496584927</v>
      </c>
      <c r="N29" s="50">
        <f t="shared" si="0"/>
        <v>8366.9989143747716</v>
      </c>
      <c r="O29" s="50">
        <f t="shared" si="7"/>
        <v>214.75297213561913</v>
      </c>
      <c r="P29" s="50">
        <f t="shared" si="10"/>
        <v>107263.20491114592</v>
      </c>
      <c r="Q29" s="50">
        <f t="shared" si="8"/>
        <v>169286.63840773085</v>
      </c>
    </row>
    <row r="30" spans="1:19" x14ac:dyDescent="0.15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4983.2419346080051</v>
      </c>
      <c r="L30" s="182">
        <f t="shared" si="6"/>
        <v>127.90320965493879</v>
      </c>
      <c r="M30" s="182">
        <f t="shared" si="11"/>
        <v>70607.89091665663</v>
      </c>
      <c r="N30" s="50">
        <f t="shared" si="0"/>
        <v>8618.008881806014</v>
      </c>
      <c r="O30" s="50">
        <f t="shared" si="7"/>
        <v>221.19556129968768</v>
      </c>
      <c r="P30" s="50">
        <f t="shared" si="10"/>
        <v>122109.1488292758</v>
      </c>
      <c r="Q30" s="50">
        <f t="shared" si="8"/>
        <v>192717.03974593244</v>
      </c>
    </row>
    <row r="31" spans="1:19" x14ac:dyDescent="0.15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5132.7391926462442</v>
      </c>
      <c r="L31" s="182">
        <f t="shared" si="6"/>
        <v>131.74030594458694</v>
      </c>
      <c r="M31" s="182">
        <f t="shared" si="11"/>
        <v>79826.412306580241</v>
      </c>
      <c r="N31" s="50">
        <f t="shared" si="0"/>
        <v>8876.5491482601938</v>
      </c>
      <c r="O31" s="50">
        <f t="shared" si="7"/>
        <v>227.83142813867829</v>
      </c>
      <c r="P31" s="50">
        <f t="shared" si="10"/>
        <v>138051.64174011411</v>
      </c>
      <c r="Q31" s="50">
        <f t="shared" si="8"/>
        <v>217878.05404669436</v>
      </c>
    </row>
    <row r="32" spans="1:19" x14ac:dyDescent="0.15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5286.7213684256321</v>
      </c>
      <c r="L32" s="182">
        <f t="shared" si="6"/>
        <v>135.69251512292456</v>
      </c>
      <c r="M32" s="182">
        <f t="shared" si="11"/>
        <v>89719.105279297291</v>
      </c>
      <c r="N32" s="50">
        <f t="shared" si="0"/>
        <v>9142.8456227080005</v>
      </c>
      <c r="O32" s="50">
        <f t="shared" si="7"/>
        <v>234.66637098283869</v>
      </c>
      <c r="P32" s="50">
        <f t="shared" si="10"/>
        <v>155160.04567125134</v>
      </c>
      <c r="Q32" s="50">
        <f t="shared" si="8"/>
        <v>244879.15095054865</v>
      </c>
    </row>
    <row r="33" spans="1:17" x14ac:dyDescent="0.15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5445.3230094784012</v>
      </c>
      <c r="L33" s="182">
        <f t="shared" si="6"/>
        <v>139.76329057661229</v>
      </c>
      <c r="M33" s="182">
        <f t="shared" si="11"/>
        <v>100328.46147499296</v>
      </c>
      <c r="N33" s="50">
        <f t="shared" si="0"/>
        <v>9417.1309913892419</v>
      </c>
      <c r="O33" s="50">
        <f t="shared" si="7"/>
        <v>241.70636211232386</v>
      </c>
      <c r="P33" s="50">
        <f t="shared" si="10"/>
        <v>173507.84558234297</v>
      </c>
      <c r="Q33" s="50">
        <f t="shared" si="8"/>
        <v>273836.30705733591</v>
      </c>
    </row>
    <row r="34" spans="1:17" x14ac:dyDescent="0.15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5608.6826997627531</v>
      </c>
      <c r="L34" s="182">
        <f t="shared" si="6"/>
        <v>143.95618929391065</v>
      </c>
      <c r="M34" s="182">
        <f t="shared" si="11"/>
        <v>111699.49420664924</v>
      </c>
      <c r="N34" s="50">
        <f t="shared" si="0"/>
        <v>9699.6449211309173</v>
      </c>
      <c r="O34" s="50">
        <f t="shared" si="7"/>
        <v>248.95755297569352</v>
      </c>
      <c r="P34" s="50">
        <f t="shared" si="10"/>
        <v>193172.88740906082</v>
      </c>
      <c r="Q34" s="50">
        <f t="shared" si="8"/>
        <v>304872.38161571004</v>
      </c>
    </row>
    <row r="35" spans="1:17" x14ac:dyDescent="0.15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5776.9431807556357</v>
      </c>
      <c r="L35" s="182">
        <f t="shared" si="6"/>
        <v>148.27487497272799</v>
      </c>
      <c r="M35" s="182">
        <f t="shared" si="11"/>
        <v>123879.88393794995</v>
      </c>
      <c r="N35" s="50">
        <f t="shared" si="0"/>
        <v>9990.6342687648448</v>
      </c>
      <c r="O35" s="50">
        <f t="shared" si="7"/>
        <v>256.42627956496432</v>
      </c>
      <c r="P35" s="50">
        <f t="shared" si="10"/>
        <v>214237.62965229806</v>
      </c>
      <c r="Q35" s="50">
        <f t="shared" si="8"/>
        <v>338117.51359024801</v>
      </c>
    </row>
    <row r="36" spans="1:17" x14ac:dyDescent="0.15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5950.2514761783059</v>
      </c>
      <c r="L36" s="182">
        <f t="shared" si="6"/>
        <v>152.72312122190985</v>
      </c>
      <c r="M36" s="182">
        <f t="shared" si="11"/>
        <v>136920.13203587537</v>
      </c>
      <c r="N36" s="50">
        <f t="shared" si="0"/>
        <v>10290.353296827792</v>
      </c>
      <c r="O36" s="50">
        <f t="shared" si="7"/>
        <v>264.11906795191334</v>
      </c>
      <c r="P36" s="50">
        <f t="shared" si="10"/>
        <v>236789.40927760646</v>
      </c>
      <c r="Q36" s="50">
        <f t="shared" si="8"/>
        <v>373709.54131348187</v>
      </c>
    </row>
    <row r="37" spans="1:17" x14ac:dyDescent="0.15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6128.7590204636554</v>
      </c>
      <c r="L37" s="182">
        <f t="shared" si="6"/>
        <v>157.30481485856714</v>
      </c>
      <c r="M37" s="182">
        <f t="shared" si="11"/>
        <v>150873.72326520662</v>
      </c>
      <c r="N37" s="50">
        <f t="shared" si="0"/>
        <v>10599.063895732626</v>
      </c>
      <c r="O37" s="50">
        <f t="shared" si="7"/>
        <v>272.04263999047072</v>
      </c>
      <c r="P37" s="50">
        <f t="shared" si="10"/>
        <v>260920.72273287553</v>
      </c>
      <c r="Q37" s="50">
        <f t="shared" si="8"/>
        <v>411794.44599808217</v>
      </c>
    </row>
    <row r="38" spans="1:17" x14ac:dyDescent="0.15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6312.6217910775649</v>
      </c>
      <c r="L38" s="182">
        <f t="shared" si="6"/>
        <v>162.02395930432417</v>
      </c>
      <c r="M38" s="182">
        <f t="shared" si="11"/>
        <v>165797.29751844009</v>
      </c>
      <c r="N38" s="50">
        <f t="shared" si="0"/>
        <v>10917.035812604605</v>
      </c>
      <c r="O38" s="50">
        <f t="shared" si="7"/>
        <v>280.20391919018482</v>
      </c>
      <c r="P38" s="50">
        <f t="shared" si="10"/>
        <v>286729.52293771139</v>
      </c>
      <c r="Q38" s="50">
        <f t="shared" si="8"/>
        <v>452526.8204561515</v>
      </c>
    </row>
    <row r="39" spans="1:17" x14ac:dyDescent="0.15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6502.0004448098916</v>
      </c>
      <c r="L39" s="182">
        <f t="shared" si="6"/>
        <v>166.88467808345388</v>
      </c>
      <c r="M39" s="182">
        <f t="shared" si="11"/>
        <v>181750.83130236607</v>
      </c>
      <c r="N39" s="50">
        <f t="shared" si="0"/>
        <v>11244.546886982744</v>
      </c>
      <c r="O39" s="50">
        <f t="shared" si="7"/>
        <v>288.61003676589041</v>
      </c>
      <c r="P39" s="50">
        <f t="shared" si="10"/>
        <v>314319.53314597183</v>
      </c>
      <c r="Q39" s="50">
        <f t="shared" si="8"/>
        <v>496070.36444833793</v>
      </c>
    </row>
    <row r="40" spans="1:17" x14ac:dyDescent="0.15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6697.0604581541893</v>
      </c>
      <c r="L40" s="182">
        <f t="shared" si="6"/>
        <v>171.89121842595753</v>
      </c>
      <c r="M40" s="182">
        <f t="shared" si="11"/>
        <v>198797.82953187873</v>
      </c>
      <c r="N40" s="50">
        <f t="shared" si="0"/>
        <v>11581.883293592227</v>
      </c>
      <c r="O40" s="50">
        <f t="shared" si="7"/>
        <v>297.26833786886721</v>
      </c>
      <c r="P40" s="50">
        <f t="shared" si="10"/>
        <v>343800.57863360737</v>
      </c>
      <c r="Q40" s="50">
        <f t="shared" si="8"/>
        <v>542598.40816548606</v>
      </c>
    </row>
    <row r="41" spans="1:17" x14ac:dyDescent="0.15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6897.9722718988151</v>
      </c>
      <c r="L41" s="182">
        <f t="shared" si="6"/>
        <v>177.04795497873624</v>
      </c>
      <c r="M41" s="182">
        <f t="shared" si="11"/>
        <v>217005.52821254151</v>
      </c>
      <c r="N41" s="50">
        <f t="shared" si="0"/>
        <v>11929.339792399993</v>
      </c>
      <c r="O41" s="50">
        <f t="shared" si="7"/>
        <v>306.18638800493312</v>
      </c>
      <c r="P41" s="50">
        <f t="shared" si="10"/>
        <v>375288.93721749436</v>
      </c>
      <c r="Q41" s="50">
        <f t="shared" si="8"/>
        <v>592294.46543003584</v>
      </c>
    </row>
    <row r="42" spans="1:17" x14ac:dyDescent="0.15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7104.9114400557792</v>
      </c>
      <c r="L42" s="182">
        <f t="shared" si="6"/>
        <v>182.35939362809833</v>
      </c>
      <c r="M42" s="182">
        <f t="shared" si="11"/>
        <v>236445.10862612771</v>
      </c>
      <c r="N42" s="50">
        <f t="shared" si="0"/>
        <v>12287.219986171993</v>
      </c>
      <c r="O42" s="50">
        <f t="shared" si="7"/>
        <v>315.37197964508118</v>
      </c>
      <c r="P42" s="50">
        <f t="shared" si="10"/>
        <v>408907.70966749114</v>
      </c>
      <c r="Q42" s="50">
        <f t="shared" si="8"/>
        <v>645352.81829361885</v>
      </c>
    </row>
    <row r="43" spans="1:17" x14ac:dyDescent="0.15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7318.0587832574529</v>
      </c>
      <c r="L43" s="182">
        <f t="shared" si="6"/>
        <v>187.83017543694129</v>
      </c>
      <c r="M43" s="182">
        <f t="shared" si="11"/>
        <v>257191.92366788525</v>
      </c>
      <c r="N43" s="50">
        <f t="shared" si="0"/>
        <v>12655.836585757153</v>
      </c>
      <c r="O43" s="50">
        <f t="shared" si="7"/>
        <v>324.8331390344336</v>
      </c>
      <c r="P43" s="50">
        <f t="shared" si="10"/>
        <v>444787.21113366226</v>
      </c>
      <c r="Q43" s="50">
        <f t="shared" si="8"/>
        <v>701979.13480154751</v>
      </c>
    </row>
    <row r="44" spans="1:17" x14ac:dyDescent="0.15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7537.6005467551768</v>
      </c>
      <c r="L44" s="182">
        <f t="shared" si="6"/>
        <v>193.46508070004955</v>
      </c>
      <c r="M44" s="182">
        <f t="shared" si="11"/>
        <v>279325.73702074209</v>
      </c>
      <c r="N44" s="50">
        <f t="shared" si="0"/>
        <v>13035.511683329869</v>
      </c>
      <c r="O44" s="50">
        <f t="shared" si="7"/>
        <v>334.5781332054666</v>
      </c>
      <c r="P44" s="50">
        <f t="shared" si="10"/>
        <v>483065.38477368274</v>
      </c>
      <c r="Q44" s="50">
        <f t="shared" si="8"/>
        <v>762391.12179442483</v>
      </c>
    </row>
    <row r="45" spans="1:17" x14ac:dyDescent="0.15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7763.7285631578325</v>
      </c>
      <c r="L45" s="182">
        <f t="shared" si="6"/>
        <v>199.26903312105105</v>
      </c>
      <c r="M45" s="182">
        <f t="shared" si="11"/>
        <v>302930.97589018254</v>
      </c>
      <c r="N45" s="50">
        <f t="shared" si="0"/>
        <v>13426.577033829766</v>
      </c>
      <c r="O45" s="50">
        <f t="shared" si="7"/>
        <v>344.61547720163065</v>
      </c>
      <c r="P45" s="50">
        <f t="shared" si="10"/>
        <v>523888.2388320404</v>
      </c>
      <c r="Q45" s="50">
        <f t="shared" si="8"/>
        <v>826819.21472222288</v>
      </c>
    </row>
    <row r="46" spans="1:17" x14ac:dyDescent="0.15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7996.6404200525676</v>
      </c>
      <c r="L46" s="182">
        <f t="shared" si="6"/>
        <v>205.24710411468257</v>
      </c>
      <c r="M46" s="182">
        <f t="shared" si="11"/>
        <v>328096.99806420004</v>
      </c>
      <c r="N46" s="50">
        <f t="shared" si="0"/>
        <v>13829.374344844658</v>
      </c>
      <c r="O46" s="50">
        <f t="shared" si="7"/>
        <v>354.95394151767954</v>
      </c>
      <c r="P46" s="50">
        <f t="shared" si="10"/>
        <v>567410.30849299708</v>
      </c>
      <c r="Q46" s="50">
        <f t="shared" si="8"/>
        <v>895507.30655719712</v>
      </c>
    </row>
    <row r="47" spans="1:17" x14ac:dyDescent="0.15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8236.539632654145</v>
      </c>
      <c r="L47" s="182">
        <f t="shared" si="6"/>
        <v>211.40451723812305</v>
      </c>
      <c r="M47" s="182">
        <f t="shared" si="11"/>
        <v>354918.37410568754</v>
      </c>
      <c r="N47" s="50">
        <f t="shared" si="0"/>
        <v>14244.255575189998</v>
      </c>
      <c r="O47" s="50">
        <f t="shared" si="7"/>
        <v>365.60255976320991</v>
      </c>
      <c r="P47" s="50">
        <f t="shared" si="10"/>
        <v>613795.14390355814</v>
      </c>
      <c r="Q47" s="50">
        <f t="shared" si="8"/>
        <v>968713.51800924563</v>
      </c>
    </row>
    <row r="48" spans="1:17" x14ac:dyDescent="0.15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8483.6358216337703</v>
      </c>
      <c r="L48" s="182">
        <f t="shared" si="6"/>
        <v>217.74665275526675</v>
      </c>
      <c r="M48" s="182">
        <f t="shared" si="11"/>
        <v>383495.18552999513</v>
      </c>
      <c r="N48" s="50">
        <f t="shared" si="0"/>
        <v>14671.5832424457</v>
      </c>
      <c r="O48" s="50">
        <f t="shared" si="7"/>
        <v>376.57063655610631</v>
      </c>
      <c r="P48" s="50">
        <f t="shared" si="10"/>
        <v>663215.82584115933</v>
      </c>
      <c r="Q48" s="50">
        <f t="shared" si="8"/>
        <v>1046711.0113711545</v>
      </c>
    </row>
    <row r="49" spans="1:20" x14ac:dyDescent="0.15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8738.1448962827835</v>
      </c>
      <c r="L49" s="182">
        <f t="shared" si="6"/>
        <v>224.27905233792478</v>
      </c>
      <c r="M49" s="182">
        <f t="shared" si="11"/>
        <v>413933.33986829559</v>
      </c>
      <c r="N49" s="50">
        <f t="shared" si="0"/>
        <v>15111.730739719073</v>
      </c>
      <c r="O49" s="50">
        <f t="shared" si="7"/>
        <v>387.86775565278953</v>
      </c>
      <c r="P49" s="50">
        <f t="shared" si="10"/>
        <v>715855.51058363612</v>
      </c>
      <c r="Q49" s="50">
        <f t="shared" si="8"/>
        <v>1129788.8504519318</v>
      </c>
    </row>
    <row r="50" spans="1:20" x14ac:dyDescent="0.15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9000.289243171268</v>
      </c>
      <c r="L50" s="182">
        <f t="shared" si="6"/>
        <v>231.00742390806252</v>
      </c>
      <c r="M50" s="182">
        <f t="shared" si="11"/>
        <v>446344.90356799948</v>
      </c>
      <c r="N50" s="50">
        <f t="shared" si="0"/>
        <v>15565.082661910646</v>
      </c>
      <c r="O50" s="50">
        <f t="shared" si="7"/>
        <v>399.50378832237328</v>
      </c>
      <c r="P50" s="50">
        <f t="shared" si="10"/>
        <v>771908.00562655274</v>
      </c>
      <c r="Q50" s="50">
        <f t="shared" si="8"/>
        <v>1218252.9091945523</v>
      </c>
    </row>
    <row r="51" spans="1:20" x14ac:dyDescent="0.15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9270.2979204664061</v>
      </c>
      <c r="L51" s="182">
        <f t="shared" si="6"/>
        <v>237.93764662530444</v>
      </c>
      <c r="M51" s="182">
        <f t="shared" si="11"/>
        <v>480848.45373489923</v>
      </c>
      <c r="N51" s="50">
        <f t="shared" si="0"/>
        <v>16032.035141767967</v>
      </c>
      <c r="O51" s="50">
        <f t="shared" si="7"/>
        <v>411.48890197204446</v>
      </c>
      <c r="P51" s="50">
        <f t="shared" si="10"/>
        <v>831578.37798537978</v>
      </c>
      <c r="Q51" s="50">
        <f t="shared" si="8"/>
        <v>1312426.8317202791</v>
      </c>
    </row>
    <row r="52" spans="1:20" x14ac:dyDescent="0.15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9548.4068580803996</v>
      </c>
      <c r="L52" s="182">
        <f t="shared" si="6"/>
        <v>245.07577602406357</v>
      </c>
      <c r="M52" s="182">
        <f t="shared" si="11"/>
        <v>517569.44977815804</v>
      </c>
      <c r="N52" s="50">
        <f t="shared" si="0"/>
        <v>16512.996196021006</v>
      </c>
      <c r="O52" s="50">
        <f t="shared" si="7"/>
        <v>423.8335690312058</v>
      </c>
      <c r="P52" s="50">
        <f t="shared" si="10"/>
        <v>895083.59691761329</v>
      </c>
      <c r="Q52" s="50">
        <f t="shared" si="8"/>
        <v>1412653.0466957714</v>
      </c>
    </row>
    <row r="53" spans="1:20" s="212" customFormat="1" x14ac:dyDescent="0.15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 t="shared" si="3"/>
        <v>81185.996468191428</v>
      </c>
      <c r="I53" s="205">
        <f t="shared" si="4"/>
        <v>0.49529533229508882</v>
      </c>
      <c r="J53" s="205"/>
      <c r="K53" s="206">
        <f t="shared" si="5"/>
        <v>9834.8590638228106</v>
      </c>
      <c r="L53" s="206">
        <f t="shared" si="6"/>
        <v>252.42804930478547</v>
      </c>
      <c r="M53" s="206">
        <f t="shared" si="11"/>
        <v>556640.62607886258</v>
      </c>
      <c r="N53" s="204">
        <f t="shared" si="0"/>
        <v>17008.386081901637</v>
      </c>
      <c r="O53" s="204">
        <f t="shared" si="7"/>
        <v>436.54857610214202</v>
      </c>
      <c r="P53" s="204">
        <f t="shared" si="10"/>
        <v>962653.21300300339</v>
      </c>
      <c r="Q53" s="204">
        <f t="shared" si="8"/>
        <v>1519293.839081866</v>
      </c>
    </row>
    <row r="54" spans="1:20" x14ac:dyDescent="0.15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10129.904835737496</v>
      </c>
      <c r="L54" s="182">
        <f t="shared" si="6"/>
        <v>260.00089078392909</v>
      </c>
      <c r="M54" s="182">
        <f t="shared" si="11"/>
        <v>598202.40686580027</v>
      </c>
      <c r="N54" s="50">
        <f t="shared" si="0"/>
        <v>17518.637664358685</v>
      </c>
      <c r="O54" s="50">
        <f t="shared" si="7"/>
        <v>449.6450333852062</v>
      </c>
      <c r="P54" s="50">
        <f t="shared" si="10"/>
        <v>1034530.0756289155</v>
      </c>
      <c r="Q54" s="50">
        <f t="shared" si="8"/>
        <v>1632732.4824947156</v>
      </c>
    </row>
    <row r="55" spans="1:20" x14ac:dyDescent="0.15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10433.801980809621</v>
      </c>
      <c r="L55" s="182">
        <f t="shared" si="6"/>
        <v>267.80091750744691</v>
      </c>
      <c r="M55" s="182">
        <f t="shared" si="11"/>
        <v>642403.34454860212</v>
      </c>
      <c r="N55" s="50">
        <f t="shared" si="0"/>
        <v>18044.196794289444</v>
      </c>
      <c r="O55" s="50">
        <f t="shared" si="7"/>
        <v>463.13438438676241</v>
      </c>
      <c r="P55" s="50">
        <f t="shared" si="10"/>
        <v>1110971.0910428108</v>
      </c>
      <c r="Q55" s="50">
        <f t="shared" si="8"/>
        <v>1753374.4355914129</v>
      </c>
    </row>
    <row r="56" spans="1:20" x14ac:dyDescent="0.15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10746.816040233911</v>
      </c>
      <c r="L56" s="182">
        <f t="shared" si="6"/>
        <v>275.83494503267036</v>
      </c>
      <c r="M56" s="182">
        <f t="shared" si="11"/>
        <v>689400.58282859041</v>
      </c>
      <c r="N56" s="50">
        <f t="shared" si="0"/>
        <v>18585.522698118129</v>
      </c>
      <c r="O56" s="50">
        <f t="shared" si="7"/>
        <v>477.02841591836528</v>
      </c>
      <c r="P56" s="50">
        <f t="shared" si="10"/>
        <v>1192248.0232552448</v>
      </c>
      <c r="Q56" s="50">
        <f t="shared" si="8"/>
        <v>1881648.6060838352</v>
      </c>
    </row>
    <row r="57" spans="1:20" x14ac:dyDescent="0.15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11069.22052144093</v>
      </c>
      <c r="L57" s="182">
        <f t="shared" si="6"/>
        <v>284.10999338365053</v>
      </c>
      <c r="M57" s="182">
        <f t="shared" si="11"/>
        <v>739360.34598181606</v>
      </c>
      <c r="N57" s="50">
        <f t="shared" si="0"/>
        <v>19143.088379061675</v>
      </c>
      <c r="O57" s="50">
        <f t="shared" si="7"/>
        <v>491.33926839591635</v>
      </c>
      <c r="P57" s="50">
        <f t="shared" si="10"/>
        <v>1278648.3402049963</v>
      </c>
      <c r="Q57" s="50">
        <f t="shared" si="8"/>
        <v>2018008.6861868124</v>
      </c>
    </row>
    <row r="58" spans="1:20" x14ac:dyDescent="0.15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11401.297137084157</v>
      </c>
      <c r="L58" s="182">
        <f t="shared" si="6"/>
        <v>292.63329318516003</v>
      </c>
      <c r="M58" s="182">
        <f t="shared" si="11"/>
        <v>792458.45578706719</v>
      </c>
      <c r="N58" s="50">
        <f t="shared" si="0"/>
        <v>19717.381030433527</v>
      </c>
      <c r="O58" s="50">
        <f t="shared" si="7"/>
        <v>506.07944644779388</v>
      </c>
      <c r="P58" s="50">
        <f t="shared" si="10"/>
        <v>1370476.1077333575</v>
      </c>
      <c r="Q58" s="50">
        <f t="shared" si="8"/>
        <v>2162934.5635204245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8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6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2.1640625" bestFit="1" customWidth="1"/>
    <col min="12" max="12" width="21.8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1.83203125" bestFit="1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1.83203125" bestFit="1" customWidth="1"/>
    <col min="33" max="33" width="37.1640625" bestFit="1" customWidth="1"/>
    <col min="34" max="34" width="32" bestFit="1" customWidth="1"/>
    <col min="35" max="35" width="31.6640625" bestFit="1" customWidth="1"/>
    <col min="36" max="36" width="22.1640625" bestFit="1" customWidth="1"/>
    <col min="37" max="37" width="21.83203125" bestFit="1" customWidth="1"/>
    <col min="38" max="39" width="31.83203125" bestFit="1" customWidth="1"/>
    <col min="40" max="43" width="41.5" bestFit="1" customWidth="1"/>
    <col min="46" max="46" width="37.1640625" hidden="1" customWidth="1"/>
    <col min="47" max="47" width="32" hidden="1" customWidth="1"/>
    <col min="48" max="48" width="31.6640625" hidden="1" customWidth="1"/>
    <col min="49" max="49" width="22.1640625" hidden="1" customWidth="1"/>
    <col min="50" max="50" width="21.83203125" hidden="1" customWidth="1"/>
    <col min="51" max="52" width="31.83203125" hidden="1" customWidth="1"/>
    <col min="53" max="56" width="41.5" hidden="1" customWidth="1"/>
  </cols>
  <sheetData>
    <row r="1" spans="1:56" ht="25" thickBot="1" x14ac:dyDescent="0.35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306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9"/>
      <c r="AT1" s="227" t="s">
        <v>307</v>
      </c>
      <c r="AU1" s="228"/>
      <c r="AV1" s="228"/>
      <c r="AW1" s="228"/>
      <c r="AX1" s="228"/>
      <c r="AY1" s="228"/>
      <c r="AZ1" s="228"/>
      <c r="BA1" s="228"/>
      <c r="BB1" s="228"/>
      <c r="BC1" s="228"/>
      <c r="BD1" s="229"/>
    </row>
    <row r="2" spans="1:56" ht="16" thickBot="1" x14ac:dyDescent="0.25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57" t="s">
        <v>243</v>
      </c>
      <c r="AH2" s="112" t="s">
        <v>211</v>
      </c>
      <c r="AI2" s="112" t="s">
        <v>212</v>
      </c>
      <c r="AJ2" s="112" t="s">
        <v>203</v>
      </c>
      <c r="AK2" s="112" t="s">
        <v>205</v>
      </c>
      <c r="AL2" s="112" t="s">
        <v>213</v>
      </c>
      <c r="AM2" s="112" t="s">
        <v>215</v>
      </c>
      <c r="AN2" s="112" t="s">
        <v>214</v>
      </c>
      <c r="AO2" s="112" t="s">
        <v>216</v>
      </c>
      <c r="AP2" s="112" t="s">
        <v>217</v>
      </c>
      <c r="AQ2" s="158" t="s">
        <v>218</v>
      </c>
      <c r="AT2" s="157" t="s">
        <v>243</v>
      </c>
      <c r="AU2" s="112" t="s">
        <v>211</v>
      </c>
      <c r="AV2" s="112" t="s">
        <v>212</v>
      </c>
      <c r="AW2" s="112" t="s">
        <v>203</v>
      </c>
      <c r="AX2" s="112" t="s">
        <v>205</v>
      </c>
      <c r="AY2" s="112" t="s">
        <v>213</v>
      </c>
      <c r="AZ2" s="112" t="s">
        <v>215</v>
      </c>
      <c r="BA2" s="112" t="s">
        <v>214</v>
      </c>
      <c r="BB2" s="112" t="s">
        <v>216</v>
      </c>
      <c r="BC2" s="112" t="s">
        <v>217</v>
      </c>
      <c r="BD2" s="158" t="s">
        <v>218</v>
      </c>
    </row>
    <row r="3" spans="1:56" s="90" customFormat="1" x14ac:dyDescent="0.2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T3" s="159">
        <v>0</v>
      </c>
      <c r="AU3" s="160">
        <f>VA!$AD7</f>
        <v>0.9775595365451456</v>
      </c>
      <c r="AV3" s="160">
        <f>VA!$AD7</f>
        <v>0.9775595365451456</v>
      </c>
      <c r="AW3" s="160">
        <v>0.9775595365451456</v>
      </c>
      <c r="AX3" s="160">
        <f>VA!$Q7</f>
        <v>0.9775595365451456</v>
      </c>
      <c r="AY3" s="160">
        <f>VA!$AD7</f>
        <v>0.9775595365451456</v>
      </c>
      <c r="AZ3" s="160">
        <f>VA!$AD7</f>
        <v>0.9775595365451456</v>
      </c>
      <c r="BA3" s="160">
        <f>VA!$AD7</f>
        <v>0.9775595365451456</v>
      </c>
      <c r="BB3" s="160">
        <f>VA!$AD7</f>
        <v>0.9775595365451456</v>
      </c>
      <c r="BC3" s="160">
        <f>VA!$AD7</f>
        <v>0.9775595365451456</v>
      </c>
      <c r="BD3" s="160">
        <f>VA!$AD7</f>
        <v>0.9775595365451456</v>
      </c>
    </row>
    <row r="4" spans="1:56" s="90" customFormat="1" ht="19" x14ac:dyDescent="0.25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T4" s="159">
        <f>AT3+1</f>
        <v>1</v>
      </c>
      <c r="AU4" s="160">
        <f>VA!$AD8</f>
        <v>0.9775595365451456</v>
      </c>
      <c r="AV4" s="160">
        <f>VA!$AD8</f>
        <v>0.9775595365451456</v>
      </c>
      <c r="AW4" s="160">
        <v>0.9775595365451456</v>
      </c>
      <c r="AX4" s="160">
        <f>VA!$Q8</f>
        <v>0.9775595365451456</v>
      </c>
      <c r="AY4" s="160">
        <f>VA!$AD8</f>
        <v>0.9775595365451456</v>
      </c>
      <c r="AZ4" s="160">
        <f>VA!$AD8</f>
        <v>0.9775595365451456</v>
      </c>
      <c r="BA4" s="160">
        <f>VA!$AD8</f>
        <v>0.9775595365451456</v>
      </c>
      <c r="BB4" s="160">
        <f>VA!$AD8</f>
        <v>0.9775595365451456</v>
      </c>
      <c r="BC4" s="160">
        <f>VA!$AD8</f>
        <v>0.9775595365451456</v>
      </c>
      <c r="BD4" s="160">
        <f>VA!$AD8</f>
        <v>0.9775595365451456</v>
      </c>
    </row>
    <row r="5" spans="1:56" s="90" customFormat="1" x14ac:dyDescent="0.2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T5" s="159">
        <f t="shared" ref="AT5:AT58" si="3">AT4+1</f>
        <v>2</v>
      </c>
      <c r="AU5" s="160">
        <f>VA!$AD9</f>
        <v>0.9775595365451456</v>
      </c>
      <c r="AV5" s="160">
        <f>VA!$AD9</f>
        <v>0.9775595365451456</v>
      </c>
      <c r="AW5" s="160">
        <v>0.9775595365451456</v>
      </c>
      <c r="AX5" s="160">
        <f>VA!$Q9</f>
        <v>0.9775595365451456</v>
      </c>
      <c r="AY5" s="160">
        <f>VA!$AD9</f>
        <v>0.9775595365451456</v>
      </c>
      <c r="AZ5" s="160">
        <f>VA!$AD9</f>
        <v>0.9775595365451456</v>
      </c>
      <c r="BA5" s="160">
        <f>VA!$AD9</f>
        <v>0.9775595365451456</v>
      </c>
      <c r="BB5" s="160">
        <f>VA!$AD9</f>
        <v>0.9775595365451456</v>
      </c>
      <c r="BC5" s="160">
        <f>VA!$AD9</f>
        <v>0.9775595365451456</v>
      </c>
      <c r="BD5" s="160">
        <f>VA!$AD9</f>
        <v>0.9775595365451456</v>
      </c>
    </row>
    <row r="6" spans="1:56" s="90" customFormat="1" x14ac:dyDescent="0.2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T6" s="159">
        <f t="shared" si="3"/>
        <v>3</v>
      </c>
      <c r="AU6" s="160">
        <f>VA!$AD10</f>
        <v>0.9775595365451456</v>
      </c>
      <c r="AV6" s="160">
        <f>VA!$AD10</f>
        <v>0.9775595365451456</v>
      </c>
      <c r="AW6" s="160">
        <v>0.9775595365451456</v>
      </c>
      <c r="AX6" s="160">
        <f>VA!$Q10</f>
        <v>0.9775595365451456</v>
      </c>
      <c r="AY6" s="160">
        <f>VA!$AD10</f>
        <v>0.9775595365451456</v>
      </c>
      <c r="AZ6" s="160">
        <f>VA!$AD10</f>
        <v>0.9775595365451456</v>
      </c>
      <c r="BA6" s="160">
        <f>VA!$AD10</f>
        <v>0.9775595365451456</v>
      </c>
      <c r="BB6" s="160">
        <f>VA!$AD10</f>
        <v>0.9775595365451456</v>
      </c>
      <c r="BC6" s="160">
        <f>VA!$AD10</f>
        <v>0.9775595365451456</v>
      </c>
      <c r="BD6" s="160">
        <f>VA!$AD10</f>
        <v>0.9775595365451456</v>
      </c>
    </row>
    <row r="7" spans="1:56" s="90" customFormat="1" x14ac:dyDescent="0.2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T7" s="159">
        <f t="shared" si="3"/>
        <v>4</v>
      </c>
      <c r="AU7" s="160">
        <f>VA!$AD11</f>
        <v>0.9775595365451456</v>
      </c>
      <c r="AV7" s="160">
        <f>VA!$AD11</f>
        <v>0.9775595365451456</v>
      </c>
      <c r="AW7" s="160">
        <v>0.9775595365451456</v>
      </c>
      <c r="AX7" s="160">
        <f>VA!$Q11</f>
        <v>0.9775595365451456</v>
      </c>
      <c r="AY7" s="160">
        <f>VA!$AD11</f>
        <v>0.9775595365451456</v>
      </c>
      <c r="AZ7" s="160">
        <f>VA!$AD11</f>
        <v>0.9775595365451456</v>
      </c>
      <c r="BA7" s="160">
        <f>VA!$AD11</f>
        <v>0.9775595365451456</v>
      </c>
      <c r="BB7" s="160">
        <f>VA!$AD11</f>
        <v>0.9775595365451456</v>
      </c>
      <c r="BC7" s="160">
        <f>VA!$AD11</f>
        <v>0.9775595365451456</v>
      </c>
      <c r="BD7" s="160">
        <f>VA!$AD11</f>
        <v>0.9775595365451456</v>
      </c>
    </row>
    <row r="8" spans="1:56" s="90" customFormat="1" ht="19" x14ac:dyDescent="0.25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T8" s="159">
        <f t="shared" si="3"/>
        <v>5</v>
      </c>
      <c r="AU8" s="160">
        <f>VA!$AD12</f>
        <v>0.97968018334959373</v>
      </c>
      <c r="AV8" s="160">
        <f>VA!$AD12</f>
        <v>0.97968018334959373</v>
      </c>
      <c r="AW8" s="160">
        <v>0.97968018334959373</v>
      </c>
      <c r="AX8" s="160">
        <f>VA!$Q12</f>
        <v>0.97968018334959373</v>
      </c>
      <c r="AY8" s="160">
        <f>VA!$AD12</f>
        <v>0.97968018334959373</v>
      </c>
      <c r="AZ8" s="160">
        <f>VA!$AD12</f>
        <v>0.97968018334959373</v>
      </c>
      <c r="BA8" s="160">
        <f>VA!$AD12</f>
        <v>0.97968018334959373</v>
      </c>
      <c r="BB8" s="160">
        <f>VA!$AD12</f>
        <v>0.97968018334959373</v>
      </c>
      <c r="BC8" s="160">
        <f>VA!$AD12</f>
        <v>0.97968018334959373</v>
      </c>
      <c r="BD8" s="160">
        <f>VA!$AD12</f>
        <v>0.97968018334959373</v>
      </c>
    </row>
    <row r="9" spans="1:56" s="90" customFormat="1" x14ac:dyDescent="0.2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T9" s="159">
        <f t="shared" si="3"/>
        <v>6</v>
      </c>
      <c r="AU9" s="160">
        <f>VA!$AD13</f>
        <v>0.97968018334959373</v>
      </c>
      <c r="AV9" s="160">
        <f>VA!$AD13</f>
        <v>0.97968018334959373</v>
      </c>
      <c r="AW9" s="160">
        <v>0.97968018334959373</v>
      </c>
      <c r="AX9" s="160">
        <f>VA!$Q13</f>
        <v>0.97968018334959373</v>
      </c>
      <c r="AY9" s="160">
        <f>VA!$AD13</f>
        <v>0.97968018334959373</v>
      </c>
      <c r="AZ9" s="160">
        <f>VA!$AD13</f>
        <v>0.97968018334959373</v>
      </c>
      <c r="BA9" s="160">
        <f>VA!$AD13</f>
        <v>0.97968018334959373</v>
      </c>
      <c r="BB9" s="160">
        <f>VA!$AD13</f>
        <v>0.97968018334959373</v>
      </c>
      <c r="BC9" s="160">
        <f>VA!$AD13</f>
        <v>0.97968018334959373</v>
      </c>
      <c r="BD9" s="160">
        <f>VA!$AD13</f>
        <v>0.97968018334959373</v>
      </c>
    </row>
    <row r="10" spans="1:56" s="90" customFormat="1" x14ac:dyDescent="0.2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T10" s="159">
        <f t="shared" si="3"/>
        <v>7</v>
      </c>
      <c r="AU10" s="160">
        <f>VA!$AD14</f>
        <v>0.97968018334959373</v>
      </c>
      <c r="AV10" s="160">
        <f>VA!$AD14</f>
        <v>0.97968018334959373</v>
      </c>
      <c r="AW10" s="160">
        <v>0.97968018334959373</v>
      </c>
      <c r="AX10" s="160">
        <f>VA!$Q14</f>
        <v>0.97968018334959373</v>
      </c>
      <c r="AY10" s="160">
        <f>VA!$AD14</f>
        <v>0.97968018334959373</v>
      </c>
      <c r="AZ10" s="160">
        <f>VA!$AD14</f>
        <v>0.97968018334959373</v>
      </c>
      <c r="BA10" s="160">
        <f>VA!$AD14</f>
        <v>0.97968018334959373</v>
      </c>
      <c r="BB10" s="160">
        <f>VA!$AD14</f>
        <v>0.97968018334959373</v>
      </c>
      <c r="BC10" s="160">
        <f>VA!$AD14</f>
        <v>0.97968018334959373</v>
      </c>
      <c r="BD10" s="160">
        <f>VA!$AD14</f>
        <v>0.97968018334959373</v>
      </c>
    </row>
    <row r="11" spans="1:56" s="90" customFormat="1" x14ac:dyDescent="0.2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T11" s="159">
        <f t="shared" si="3"/>
        <v>8</v>
      </c>
      <c r="AU11" s="160">
        <f>VA!$AD15</f>
        <v>0.97968018334959373</v>
      </c>
      <c r="AV11" s="160">
        <f>VA!$AD15</f>
        <v>0.97968018334959373</v>
      </c>
      <c r="AW11" s="160">
        <v>0.97968018334959373</v>
      </c>
      <c r="AX11" s="160">
        <f>VA!$Q15</f>
        <v>0.97968018334959373</v>
      </c>
      <c r="AY11" s="160">
        <f>VA!$AD15</f>
        <v>0.97968018334959373</v>
      </c>
      <c r="AZ11" s="160">
        <f>VA!$AD15</f>
        <v>0.97968018334959373</v>
      </c>
      <c r="BA11" s="160">
        <f>VA!$AD15</f>
        <v>0.97968018334959373</v>
      </c>
      <c r="BB11" s="160">
        <f>VA!$AD15</f>
        <v>0.97968018334959373</v>
      </c>
      <c r="BC11" s="160">
        <f>VA!$AD15</f>
        <v>0.97968018334959373</v>
      </c>
      <c r="BD11" s="160">
        <f>VA!$AD15</f>
        <v>0.97968018334959373</v>
      </c>
    </row>
    <row r="12" spans="1:56" s="90" customFormat="1" x14ac:dyDescent="0.2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T12" s="159">
        <f t="shared" si="3"/>
        <v>9</v>
      </c>
      <c r="AU12" s="160">
        <f>VA!$AD16</f>
        <v>0.97968018334959373</v>
      </c>
      <c r="AV12" s="160">
        <f>VA!$AD16</f>
        <v>0.97968018334959373</v>
      </c>
      <c r="AW12" s="160">
        <v>0.97968018334959373</v>
      </c>
      <c r="AX12" s="160">
        <f>VA!$Q16</f>
        <v>0.97968018334959373</v>
      </c>
      <c r="AY12" s="160">
        <f>VA!$AD16</f>
        <v>0.97968018334959373</v>
      </c>
      <c r="AZ12" s="160">
        <f>VA!$AD16</f>
        <v>0.97968018334959373</v>
      </c>
      <c r="BA12" s="160">
        <f>VA!$AD16</f>
        <v>0.97968018334959373</v>
      </c>
      <c r="BB12" s="160">
        <f>VA!$AD16</f>
        <v>0.97968018334959373</v>
      </c>
      <c r="BC12" s="160">
        <f>VA!$AD16</f>
        <v>0.97968018334959373</v>
      </c>
      <c r="BD12" s="160">
        <f>VA!$AD16</f>
        <v>0.97968018334959373</v>
      </c>
    </row>
    <row r="13" spans="1:56" s="90" customFormat="1" x14ac:dyDescent="0.2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T13" s="159">
        <f t="shared" si="3"/>
        <v>10</v>
      </c>
      <c r="AU13" s="160">
        <f>VA!$AD17</f>
        <v>0.97968018334959373</v>
      </c>
      <c r="AV13" s="160">
        <f>VA!$AD17</f>
        <v>0.97968018334959373</v>
      </c>
      <c r="AW13" s="160">
        <v>0.97968018334959373</v>
      </c>
      <c r="AX13" s="160">
        <f>VA!$Q17</f>
        <v>0.97968018334959373</v>
      </c>
      <c r="AY13" s="160">
        <f>VA!$AD17</f>
        <v>0.97968018334959373</v>
      </c>
      <c r="AZ13" s="160">
        <f>VA!$AD17</f>
        <v>0.97968018334959373</v>
      </c>
      <c r="BA13" s="160">
        <f>VA!$AD17</f>
        <v>0.97968018334959373</v>
      </c>
      <c r="BB13" s="160">
        <f>VA!$AD17</f>
        <v>0.97968018334959373</v>
      </c>
      <c r="BC13" s="160">
        <f>VA!$AD17</f>
        <v>0.97968018334959373</v>
      </c>
      <c r="BD13" s="160">
        <f>VA!$AD17</f>
        <v>0.97968018334959373</v>
      </c>
    </row>
    <row r="14" spans="1:56" s="90" customFormat="1" ht="19" x14ac:dyDescent="0.25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T14" s="159">
        <f t="shared" si="3"/>
        <v>11</v>
      </c>
      <c r="AU14" s="160">
        <f>VA!$AD18</f>
        <v>0.97968018334959373</v>
      </c>
      <c r="AV14" s="160">
        <f>VA!$AD18</f>
        <v>0.97968018334959373</v>
      </c>
      <c r="AW14" s="160">
        <v>0.97968018334959373</v>
      </c>
      <c r="AX14" s="160">
        <f>VA!$Q18</f>
        <v>0.97968018334959373</v>
      </c>
      <c r="AY14" s="160">
        <f>VA!$AD18</f>
        <v>0.97968018334959373</v>
      </c>
      <c r="AZ14" s="160">
        <f>VA!$AD18</f>
        <v>0.97968018334959373</v>
      </c>
      <c r="BA14" s="160">
        <f>VA!$AD18</f>
        <v>0.97968018334959373</v>
      </c>
      <c r="BB14" s="160">
        <f>VA!$AD18</f>
        <v>0.97968018334959373</v>
      </c>
      <c r="BC14" s="160">
        <f>VA!$AD18</f>
        <v>0.97968018334959373</v>
      </c>
      <c r="BD14" s="160">
        <f>VA!$AD18</f>
        <v>0.97968018334959373</v>
      </c>
    </row>
    <row r="15" spans="1:56" s="90" customFormat="1" x14ac:dyDescent="0.2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T15" s="159">
        <f t="shared" si="3"/>
        <v>12</v>
      </c>
      <c r="AU15" s="160">
        <f>VA!$AD19</f>
        <v>0.97968018334959373</v>
      </c>
      <c r="AV15" s="160">
        <f>VA!$AD19</f>
        <v>0.97968018334959373</v>
      </c>
      <c r="AW15" s="160">
        <v>0.97968018334959373</v>
      </c>
      <c r="AX15" s="160">
        <f>VA!$Q19</f>
        <v>0.97968018334959373</v>
      </c>
      <c r="AY15" s="160">
        <f>VA!$AD19</f>
        <v>0.97968018334959373</v>
      </c>
      <c r="AZ15" s="160">
        <f>VA!$AD19</f>
        <v>0.97968018334959373</v>
      </c>
      <c r="BA15" s="160">
        <f>VA!$AD19</f>
        <v>0.97968018334959373</v>
      </c>
      <c r="BB15" s="160">
        <f>VA!$AD19</f>
        <v>0.97968018334959373</v>
      </c>
      <c r="BC15" s="160">
        <f>VA!$AD19</f>
        <v>0.97968018334959373</v>
      </c>
      <c r="BD15" s="160">
        <f>VA!$AD19</f>
        <v>0.97968018334959373</v>
      </c>
    </row>
    <row r="16" spans="1:56" s="90" customFormat="1" x14ac:dyDescent="0.2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T16" s="159">
        <f t="shared" si="3"/>
        <v>13</v>
      </c>
      <c r="AU16" s="160">
        <f>VA!$AD20</f>
        <v>0.97968018334959373</v>
      </c>
      <c r="AV16" s="160">
        <f>VA!$AD20</f>
        <v>0.97968018334959373</v>
      </c>
      <c r="AW16" s="160">
        <v>0.97968018334959373</v>
      </c>
      <c r="AX16" s="160">
        <f>VA!$Q20</f>
        <v>0.97968018334959373</v>
      </c>
      <c r="AY16" s="160">
        <f>VA!$AD20</f>
        <v>0.97968018334959373</v>
      </c>
      <c r="AZ16" s="160">
        <f>VA!$AD20</f>
        <v>0.97968018334959373</v>
      </c>
      <c r="BA16" s="160">
        <f>VA!$AD20</f>
        <v>0.97968018334959373</v>
      </c>
      <c r="BB16" s="160">
        <f>VA!$AD20</f>
        <v>0.97968018334959373</v>
      </c>
      <c r="BC16" s="160">
        <f>VA!$AD20</f>
        <v>0.97968018334959373</v>
      </c>
      <c r="BD16" s="160">
        <f>VA!$AD20</f>
        <v>0.97968018334959373</v>
      </c>
    </row>
    <row r="17" spans="1:56" s="90" customFormat="1" x14ac:dyDescent="0.2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T17" s="159">
        <f t="shared" si="3"/>
        <v>14</v>
      </c>
      <c r="AU17" s="160">
        <f>VA!$AD21</f>
        <v>0.97968018334959373</v>
      </c>
      <c r="AV17" s="160">
        <f>VA!$AD21</f>
        <v>0.97968018334959373</v>
      </c>
      <c r="AW17" s="160">
        <v>0.97968018334959373</v>
      </c>
      <c r="AX17" s="160">
        <f>VA!$Q21</f>
        <v>0.97968018334959373</v>
      </c>
      <c r="AY17" s="160">
        <f>VA!$AD21</f>
        <v>0.97968018334959373</v>
      </c>
      <c r="AZ17" s="160">
        <f>VA!$AD21</f>
        <v>0.97968018334959373</v>
      </c>
      <c r="BA17" s="160">
        <f>VA!$AD21</f>
        <v>0.97968018334959373</v>
      </c>
      <c r="BB17" s="160">
        <f>VA!$AD21</f>
        <v>0.97968018334959373</v>
      </c>
      <c r="BC17" s="160">
        <f>VA!$AD21</f>
        <v>0.97968018334959373</v>
      </c>
      <c r="BD17" s="160">
        <f>VA!$AD21</f>
        <v>0.97968018334959373</v>
      </c>
    </row>
    <row r="18" spans="1:56" s="90" customFormat="1" x14ac:dyDescent="0.2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T18" s="159">
        <f t="shared" si="3"/>
        <v>15</v>
      </c>
      <c r="AU18" s="160">
        <f>VA!$AD22</f>
        <v>0.98397165791092345</v>
      </c>
      <c r="AV18" s="160">
        <f>VA!$AD22</f>
        <v>0.98397165791092345</v>
      </c>
      <c r="AW18" s="160">
        <v>0.98397165791092345</v>
      </c>
      <c r="AX18" s="160">
        <f>VA!$Q22</f>
        <v>0.98397165791092345</v>
      </c>
      <c r="AY18" s="160">
        <f>VA!$AD22</f>
        <v>0.98397165791092345</v>
      </c>
      <c r="AZ18" s="160">
        <f>VA!$AD22</f>
        <v>0.98397165791092345</v>
      </c>
      <c r="BA18" s="160">
        <f>VA!$AD22</f>
        <v>0.98397165791092345</v>
      </c>
      <c r="BB18" s="160">
        <f>VA!$AD22</f>
        <v>0.98397165791092345</v>
      </c>
      <c r="BC18" s="160">
        <f>VA!$AD22</f>
        <v>0.98397165791092345</v>
      </c>
      <c r="BD18" s="160">
        <f>VA!$AD22</f>
        <v>0.98397165791092345</v>
      </c>
    </row>
    <row r="19" spans="1:56" s="90" customFormat="1" x14ac:dyDescent="0.2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T19" s="159">
        <f t="shared" si="3"/>
        <v>16</v>
      </c>
      <c r="AU19" s="160">
        <f>VA!$AD23</f>
        <v>0.98397165791092345</v>
      </c>
      <c r="AV19" s="160">
        <f>VA!$AD23</f>
        <v>0.98397165791092345</v>
      </c>
      <c r="AW19" s="160">
        <v>0.98397165791092345</v>
      </c>
      <c r="AX19" s="160">
        <f>VA!$Q23</f>
        <v>0.98397165791092345</v>
      </c>
      <c r="AY19" s="160">
        <f>VA!$AD23</f>
        <v>0.98397165791092345</v>
      </c>
      <c r="AZ19" s="160">
        <f>VA!$AD23</f>
        <v>0.98397165791092345</v>
      </c>
      <c r="BA19" s="160">
        <f>VA!$AD23</f>
        <v>0.98397165791092345</v>
      </c>
      <c r="BB19" s="160">
        <f>VA!$AD23</f>
        <v>0.98397165791092345</v>
      </c>
      <c r="BC19" s="160">
        <f>VA!$AD23</f>
        <v>0.98397165791092345</v>
      </c>
      <c r="BD19" s="160">
        <f>VA!$AD23</f>
        <v>0.98397165791092345</v>
      </c>
    </row>
    <row r="20" spans="1:56" s="90" customFormat="1" x14ac:dyDescent="0.2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T20" s="159">
        <f t="shared" si="3"/>
        <v>17</v>
      </c>
      <c r="AU20" s="160">
        <f>VA!$AD24</f>
        <v>0.98397165791092345</v>
      </c>
      <c r="AV20" s="160">
        <f>VA!$AD24</f>
        <v>0.98397165791092345</v>
      </c>
      <c r="AW20" s="160">
        <v>0.98397165791092345</v>
      </c>
      <c r="AX20" s="160">
        <f>VA!$Q24</f>
        <v>0.98397165791092345</v>
      </c>
      <c r="AY20" s="160">
        <f>VA!$AD24</f>
        <v>0.98397165791092345</v>
      </c>
      <c r="AZ20" s="160">
        <f>VA!$AD24</f>
        <v>0.98397165791092345</v>
      </c>
      <c r="BA20" s="160">
        <f>VA!$AD24</f>
        <v>0.98397165791092345</v>
      </c>
      <c r="BB20" s="160">
        <f>VA!$AD24</f>
        <v>0.98397165791092345</v>
      </c>
      <c r="BC20" s="160">
        <f>VA!$AD24</f>
        <v>0.98397165791092345</v>
      </c>
      <c r="BD20" s="160">
        <f>VA!$AD24</f>
        <v>0.98397165791092345</v>
      </c>
    </row>
    <row r="21" spans="1:56" s="90" customFormat="1" x14ac:dyDescent="0.2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T21" s="159">
        <f t="shared" si="3"/>
        <v>18</v>
      </c>
      <c r="AU21" s="160">
        <f>VA!$AD25</f>
        <v>0.98397165791092345</v>
      </c>
      <c r="AV21" s="160">
        <f>VA!$AD25</f>
        <v>0.98397165791092345</v>
      </c>
      <c r="AW21" s="160">
        <v>0.98397165791092345</v>
      </c>
      <c r="AX21" s="160">
        <f>VA!$Q25</f>
        <v>0.98397165791092345</v>
      </c>
      <c r="AY21" s="160">
        <f>VA!$AD25</f>
        <v>0.98397165791092345</v>
      </c>
      <c r="AZ21" s="160">
        <f>VA!$AD25</f>
        <v>0.98397165791092345</v>
      </c>
      <c r="BA21" s="160">
        <f>VA!$AD25</f>
        <v>0.98397165791092345</v>
      </c>
      <c r="BB21" s="160">
        <f>VA!$AD25</f>
        <v>0.98397165791092345</v>
      </c>
      <c r="BC21" s="160">
        <f>VA!$AD25</f>
        <v>0.98397165791092345</v>
      </c>
      <c r="BD21" s="160">
        <f>VA!$AD25</f>
        <v>0.98397165791092345</v>
      </c>
    </row>
    <row r="22" spans="1:56" ht="20" thickBot="1" x14ac:dyDescent="0.3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T22" s="159">
        <f t="shared" si="3"/>
        <v>19</v>
      </c>
      <c r="AU22" s="160">
        <f>VA!$AD26</f>
        <v>0.98397165791092345</v>
      </c>
      <c r="AV22" s="160">
        <f>VA!$AD26</f>
        <v>0.98397165791092345</v>
      </c>
      <c r="AW22" s="160">
        <v>0.98397165791092345</v>
      </c>
      <c r="AX22" s="160">
        <f>VA!$Q26</f>
        <v>0.98397165791092345</v>
      </c>
      <c r="AY22" s="160">
        <f>VA!$AD26</f>
        <v>0.98397165791092345</v>
      </c>
      <c r="AZ22" s="160">
        <f>VA!$AD26</f>
        <v>0.98397165791092345</v>
      </c>
      <c r="BA22" s="160">
        <f>VA!$AD26</f>
        <v>0.98397165791092345</v>
      </c>
      <c r="BB22" s="160">
        <f>VA!$AD26</f>
        <v>0.98397165791092345</v>
      </c>
      <c r="BC22" s="160">
        <f>VA!$AD26</f>
        <v>0.98397165791092345</v>
      </c>
      <c r="BD22" s="160">
        <f>VA!$AD26</f>
        <v>0.98397165791092345</v>
      </c>
    </row>
    <row r="23" spans="1:56" x14ac:dyDescent="0.2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T23" s="159">
        <f t="shared" si="3"/>
        <v>20</v>
      </c>
      <c r="AU23" s="160">
        <f>VA!$AD27</f>
        <v>0.98397165791092345</v>
      </c>
      <c r="AV23" s="160">
        <f>VA!$AD27</f>
        <v>0.98397165791092345</v>
      </c>
      <c r="AW23" s="160">
        <v>0.98397165791092345</v>
      </c>
      <c r="AX23" s="160">
        <f>VA!$Q27</f>
        <v>0.98397165791092345</v>
      </c>
      <c r="AY23" s="160">
        <f>VA!$AD27</f>
        <v>0.98397165791092345</v>
      </c>
      <c r="AZ23" s="160">
        <f>VA!$AD27</f>
        <v>0.98397165791092345</v>
      </c>
      <c r="BA23" s="160">
        <f>VA!$AD27</f>
        <v>0.98397165791092345</v>
      </c>
      <c r="BB23" s="160">
        <f>VA!$AD27</f>
        <v>0.98397165791092345</v>
      </c>
      <c r="BC23" s="160">
        <f>VA!$AD27</f>
        <v>0.98397165791092345</v>
      </c>
      <c r="BD23" s="160">
        <f>VA!$AD27</f>
        <v>0.98397165791092345</v>
      </c>
    </row>
    <row r="24" spans="1:56" x14ac:dyDescent="0.2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T24" s="159">
        <f t="shared" si="3"/>
        <v>21</v>
      </c>
      <c r="AU24" s="160">
        <f>VA!$AD28</f>
        <v>0.98397165791092345</v>
      </c>
      <c r="AV24" s="160">
        <f>VA!$AD28</f>
        <v>0.98397165791092345</v>
      </c>
      <c r="AW24" s="160">
        <v>0.98397165791092345</v>
      </c>
      <c r="AX24" s="160">
        <f>VA!$Q28</f>
        <v>0.98397165791092345</v>
      </c>
      <c r="AY24" s="160">
        <f>VA!$AD28</f>
        <v>0.98397165791092345</v>
      </c>
      <c r="AZ24" s="160">
        <f>VA!$AD28</f>
        <v>0.98397165791092345</v>
      </c>
      <c r="BA24" s="160">
        <f>VA!$AD28</f>
        <v>0.98397165791092345</v>
      </c>
      <c r="BB24" s="160">
        <f>VA!$AD28</f>
        <v>0.98397165791092345</v>
      </c>
      <c r="BC24" s="160">
        <f>VA!$AD28</f>
        <v>0.98397165791092345</v>
      </c>
      <c r="BD24" s="160">
        <f>VA!$AD28</f>
        <v>0.98397165791092345</v>
      </c>
    </row>
    <row r="25" spans="1:56" x14ac:dyDescent="0.2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T25" s="159">
        <f t="shared" si="3"/>
        <v>22</v>
      </c>
      <c r="AU25" s="160">
        <f>VA!$AD29</f>
        <v>0.98397165791092345</v>
      </c>
      <c r="AV25" s="160">
        <f>VA!$AD29</f>
        <v>0.98397165791092345</v>
      </c>
      <c r="AW25" s="160">
        <v>0.98397165791092345</v>
      </c>
      <c r="AX25" s="160">
        <f>VA!$Q29</f>
        <v>0.98397165791092345</v>
      </c>
      <c r="AY25" s="160">
        <f>VA!$AD29</f>
        <v>0.98397165791092345</v>
      </c>
      <c r="AZ25" s="160">
        <f>VA!$AD29</f>
        <v>0.98397165791092345</v>
      </c>
      <c r="BA25" s="160">
        <f>VA!$AD29</f>
        <v>0.98397165791092345</v>
      </c>
      <c r="BB25" s="160">
        <f>VA!$AD29</f>
        <v>0.98397165791092345</v>
      </c>
      <c r="BC25" s="160">
        <f>VA!$AD29</f>
        <v>0.98397165791092345</v>
      </c>
      <c r="BD25" s="160">
        <f>VA!$AD29</f>
        <v>0.98397165791092345</v>
      </c>
    </row>
    <row r="26" spans="1:56" x14ac:dyDescent="0.2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T26" s="159">
        <f t="shared" si="3"/>
        <v>23</v>
      </c>
      <c r="AU26" s="160">
        <f>VA!$AD30</f>
        <v>0.98397165791092345</v>
      </c>
      <c r="AV26" s="160">
        <f>VA!$AD30</f>
        <v>0.98397165791092345</v>
      </c>
      <c r="AW26" s="160">
        <v>0.98397165791092345</v>
      </c>
      <c r="AX26" s="160">
        <f>VA!$Q30</f>
        <v>0.98397165791092345</v>
      </c>
      <c r="AY26" s="160">
        <f>VA!$AD30</f>
        <v>0.98397165791092345</v>
      </c>
      <c r="AZ26" s="160">
        <f>VA!$AD30</f>
        <v>0.98397165791092345</v>
      </c>
      <c r="BA26" s="160">
        <f>VA!$AD30</f>
        <v>0.98397165791092345</v>
      </c>
      <c r="BB26" s="160">
        <f>VA!$AD30</f>
        <v>0.98397165791092345</v>
      </c>
      <c r="BC26" s="160">
        <f>VA!$AD30</f>
        <v>0.98397165791092345</v>
      </c>
      <c r="BD26" s="160">
        <f>VA!$AD30</f>
        <v>0.98397165791092345</v>
      </c>
    </row>
    <row r="27" spans="1:56" x14ac:dyDescent="0.2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T27" s="159">
        <f t="shared" si="3"/>
        <v>24</v>
      </c>
      <c r="AU27" s="160">
        <f>VA!$AD31</f>
        <v>0.98397165791092345</v>
      </c>
      <c r="AV27" s="160">
        <f>VA!$AD31</f>
        <v>0.98397165791092345</v>
      </c>
      <c r="AW27" s="160">
        <v>0.98397165791092345</v>
      </c>
      <c r="AX27" s="160">
        <f>VA!$Q31</f>
        <v>0.98397165791092345</v>
      </c>
      <c r="AY27" s="160">
        <f>VA!$AD31</f>
        <v>0.98397165791092345</v>
      </c>
      <c r="AZ27" s="160">
        <f>VA!$AD31</f>
        <v>0.98397165791092345</v>
      </c>
      <c r="BA27" s="160">
        <f>VA!$AD31</f>
        <v>0.98397165791092345</v>
      </c>
      <c r="BB27" s="160">
        <f>VA!$AD31</f>
        <v>0.98397165791092345</v>
      </c>
      <c r="BC27" s="160">
        <f>VA!$AD31</f>
        <v>0.98397165791092345</v>
      </c>
      <c r="BD27" s="160">
        <f>VA!$AD31</f>
        <v>0.98397165791092345</v>
      </c>
    </row>
    <row r="28" spans="1:56" x14ac:dyDescent="0.2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T28" s="159">
        <f t="shared" si="3"/>
        <v>25</v>
      </c>
      <c r="AU28" s="160">
        <f>VA!$AD32</f>
        <v>0.98397165791092345</v>
      </c>
      <c r="AV28" s="160">
        <f>VA!$AD32</f>
        <v>0.98397165791092345</v>
      </c>
      <c r="AW28" s="160">
        <v>0.98397165791092345</v>
      </c>
      <c r="AX28" s="160">
        <f>VA!$Q32</f>
        <v>0.98397165791092345</v>
      </c>
      <c r="AY28" s="160">
        <f>VA!$AD32</f>
        <v>0.98397165791092345</v>
      </c>
      <c r="AZ28" s="160">
        <f>VA!$AD32</f>
        <v>0.98397165791092345</v>
      </c>
      <c r="BA28" s="160">
        <f>VA!$AD32</f>
        <v>0.98397165791092345</v>
      </c>
      <c r="BB28" s="160">
        <f>VA!$AD32</f>
        <v>0.98397165791092345</v>
      </c>
      <c r="BC28" s="160">
        <f>VA!$AD32</f>
        <v>0.98397165791092345</v>
      </c>
      <c r="BD28" s="160">
        <f>VA!$AD32</f>
        <v>0.98397165791092345</v>
      </c>
    </row>
    <row r="29" spans="1:56" x14ac:dyDescent="0.2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T29" s="159">
        <f t="shared" si="3"/>
        <v>26</v>
      </c>
      <c r="AU29" s="160">
        <f>VA!$AD33</f>
        <v>0.98397165791092345</v>
      </c>
      <c r="AV29" s="160">
        <f>VA!$AD33</f>
        <v>0.98397165791092345</v>
      </c>
      <c r="AW29" s="160">
        <v>0.98397165791092345</v>
      </c>
      <c r="AX29" s="160">
        <f>VA!$Q33</f>
        <v>0.98397165791092345</v>
      </c>
      <c r="AY29" s="160">
        <f>VA!$AD33</f>
        <v>0.98397165791092345</v>
      </c>
      <c r="AZ29" s="160">
        <f>VA!$AD33</f>
        <v>0.98397165791092345</v>
      </c>
      <c r="BA29" s="160">
        <f>VA!$AD33</f>
        <v>0.98397165791092345</v>
      </c>
      <c r="BB29" s="160">
        <f>VA!$AD33</f>
        <v>0.98397165791092345</v>
      </c>
      <c r="BC29" s="160">
        <f>VA!$AD33</f>
        <v>0.98397165791092345</v>
      </c>
      <c r="BD29" s="160">
        <f>VA!$AD33</f>
        <v>0.98397165791092345</v>
      </c>
    </row>
    <row r="30" spans="1:56" x14ac:dyDescent="0.2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T30" s="159">
        <f t="shared" si="3"/>
        <v>27</v>
      </c>
      <c r="AU30" s="160">
        <f>VA!$AD34</f>
        <v>0.98397165791092345</v>
      </c>
      <c r="AV30" s="160">
        <f>VA!$AD34</f>
        <v>0.98397165791092345</v>
      </c>
      <c r="AW30" s="160">
        <v>0.98397165791092345</v>
      </c>
      <c r="AX30" s="160">
        <f>VA!$Q34</f>
        <v>0.98397165791092345</v>
      </c>
      <c r="AY30" s="160">
        <f>VA!$AD34</f>
        <v>0.98397165791092345</v>
      </c>
      <c r="AZ30" s="160">
        <f>VA!$AD34</f>
        <v>0.98397165791092345</v>
      </c>
      <c r="BA30" s="160">
        <f>VA!$AD34</f>
        <v>0.98397165791092345</v>
      </c>
      <c r="BB30" s="160">
        <f>VA!$AD34</f>
        <v>0.98397165791092345</v>
      </c>
      <c r="BC30" s="160">
        <f>VA!$AD34</f>
        <v>0.98397165791092345</v>
      </c>
      <c r="BD30" s="160">
        <f>VA!$AD34</f>
        <v>0.98397165791092345</v>
      </c>
    </row>
    <row r="31" spans="1:56" x14ac:dyDescent="0.2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T31" s="159">
        <f t="shared" si="3"/>
        <v>28</v>
      </c>
      <c r="AU31" s="160">
        <f>VA!$AD35</f>
        <v>0.98397165791092345</v>
      </c>
      <c r="AV31" s="160">
        <f>VA!$AD35</f>
        <v>0.98397165791092345</v>
      </c>
      <c r="AW31" s="160">
        <v>0.98397165791092345</v>
      </c>
      <c r="AX31" s="160">
        <f>VA!$Q35</f>
        <v>0.98397165791092345</v>
      </c>
      <c r="AY31" s="160">
        <f>VA!$AD35</f>
        <v>0.98397165791092345</v>
      </c>
      <c r="AZ31" s="160">
        <f>VA!$AD35</f>
        <v>0.98397165791092345</v>
      </c>
      <c r="BA31" s="160">
        <f>VA!$AD35</f>
        <v>0.98397165791092345</v>
      </c>
      <c r="BB31" s="160">
        <f>VA!$AD35</f>
        <v>0.98397165791092345</v>
      </c>
      <c r="BC31" s="160">
        <f>VA!$AD35</f>
        <v>0.98397165791092345</v>
      </c>
      <c r="BD31" s="160">
        <f>VA!$AD35</f>
        <v>0.98397165791092345</v>
      </c>
    </row>
    <row r="32" spans="1:56" ht="16" thickBot="1" x14ac:dyDescent="0.25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T32" s="159">
        <f t="shared" si="3"/>
        <v>29</v>
      </c>
      <c r="AU32" s="160">
        <f>VA!$AD36</f>
        <v>0.98397165791092345</v>
      </c>
      <c r="AV32" s="160">
        <f>VA!$AD36</f>
        <v>0.98397165791092345</v>
      </c>
      <c r="AW32" s="160">
        <v>0.98397165791092345</v>
      </c>
      <c r="AX32" s="160">
        <f>VA!$Q36</f>
        <v>0.98397165791092345</v>
      </c>
      <c r="AY32" s="160">
        <f>VA!$AD36</f>
        <v>0.98397165791092345</v>
      </c>
      <c r="AZ32" s="160">
        <f>VA!$AD36</f>
        <v>0.98397165791092345</v>
      </c>
      <c r="BA32" s="160">
        <f>VA!$AD36</f>
        <v>0.98397165791092345</v>
      </c>
      <c r="BB32" s="160">
        <f>VA!$AD36</f>
        <v>0.98397165791092345</v>
      </c>
      <c r="BC32" s="160">
        <f>VA!$AD36</f>
        <v>0.98397165791092345</v>
      </c>
      <c r="BD32" s="160">
        <f>VA!$AD36</f>
        <v>0.98397165791092345</v>
      </c>
    </row>
    <row r="33" spans="1:56" x14ac:dyDescent="0.2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T33" s="159">
        <f t="shared" si="3"/>
        <v>30</v>
      </c>
      <c r="AU33" s="160">
        <f>VA!$AD37</f>
        <v>0.98397165791092345</v>
      </c>
      <c r="AV33" s="160">
        <f>VA!$AD37</f>
        <v>0.98397165791092345</v>
      </c>
      <c r="AW33" s="160">
        <v>0.98397165791092345</v>
      </c>
      <c r="AX33" s="160">
        <f>VA!$Q37</f>
        <v>0.98397165791092345</v>
      </c>
      <c r="AY33" s="160">
        <f>VA!$AD37</f>
        <v>0.98397165791092345</v>
      </c>
      <c r="AZ33" s="160">
        <f>VA!$AD37</f>
        <v>0.98397165791092345</v>
      </c>
      <c r="BA33" s="160">
        <f>VA!$AD37</f>
        <v>0.98397165791092345</v>
      </c>
      <c r="BB33" s="160">
        <f>VA!$AD37</f>
        <v>0.98397165791092345</v>
      </c>
      <c r="BC33" s="160">
        <f>VA!$AD37</f>
        <v>0.98397165791092345</v>
      </c>
      <c r="BD33" s="160">
        <f>VA!$AD37</f>
        <v>0.98397165791092345</v>
      </c>
    </row>
    <row r="34" spans="1:56" x14ac:dyDescent="0.2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T34" s="159">
        <f t="shared" si="3"/>
        <v>31</v>
      </c>
      <c r="AU34" s="160">
        <f>VA!$AD38</f>
        <v>0.98397165791092345</v>
      </c>
      <c r="AV34" s="160">
        <f>VA!$AD38</f>
        <v>0.98397165791092345</v>
      </c>
      <c r="AW34" s="160">
        <v>0.98397165791092345</v>
      </c>
      <c r="AX34" s="160">
        <f>VA!$Q38</f>
        <v>0.98397165791092345</v>
      </c>
      <c r="AY34" s="160">
        <f>VA!$AD38</f>
        <v>0.98397165791092345</v>
      </c>
      <c r="AZ34" s="160">
        <f>VA!$AD38</f>
        <v>0.98397165791092345</v>
      </c>
      <c r="BA34" s="160">
        <f>VA!$AD38</f>
        <v>0.98397165791092345</v>
      </c>
      <c r="BB34" s="160">
        <f>VA!$AD38</f>
        <v>0.98397165791092345</v>
      </c>
      <c r="BC34" s="160">
        <f>VA!$AD38</f>
        <v>0.98397165791092345</v>
      </c>
      <c r="BD34" s="160">
        <f>VA!$AD38</f>
        <v>0.98397165791092345</v>
      </c>
    </row>
    <row r="35" spans="1:56" x14ac:dyDescent="0.2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T35" s="159">
        <f t="shared" si="3"/>
        <v>32</v>
      </c>
      <c r="AU35" s="160">
        <f>VA!$AD39</f>
        <v>0.98397165791092345</v>
      </c>
      <c r="AV35" s="160">
        <f>VA!$AD39</f>
        <v>0.98397165791092345</v>
      </c>
      <c r="AW35" s="160">
        <v>0.98397165791092345</v>
      </c>
      <c r="AX35" s="160">
        <f>VA!$Q39</f>
        <v>0.98397165791092345</v>
      </c>
      <c r="AY35" s="160">
        <f>VA!$AD39</f>
        <v>0.98397165791092345</v>
      </c>
      <c r="AZ35" s="160">
        <f>VA!$AD39</f>
        <v>0.98397165791092345</v>
      </c>
      <c r="BA35" s="160">
        <f>VA!$AD39</f>
        <v>0.98397165791092345</v>
      </c>
      <c r="BB35" s="160">
        <f>VA!$AD39</f>
        <v>0.98397165791092345</v>
      </c>
      <c r="BC35" s="160">
        <f>VA!$AD39</f>
        <v>0.98397165791092345</v>
      </c>
      <c r="BD35" s="160">
        <f>VA!$AD39</f>
        <v>0.98397165791092345</v>
      </c>
    </row>
    <row r="36" spans="1:56" x14ac:dyDescent="0.2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T36" s="159">
        <f t="shared" si="3"/>
        <v>33</v>
      </c>
      <c r="AU36" s="160">
        <f>VA!$AD40</f>
        <v>0.98397165791092345</v>
      </c>
      <c r="AV36" s="160">
        <f>VA!$AD40</f>
        <v>0.98397165791092345</v>
      </c>
      <c r="AW36" s="160">
        <v>0.98397165791092345</v>
      </c>
      <c r="AX36" s="160">
        <f>VA!$Q40</f>
        <v>0.98397165791092345</v>
      </c>
      <c r="AY36" s="160">
        <f>VA!$AD40</f>
        <v>0.98397165791092345</v>
      </c>
      <c r="AZ36" s="160">
        <f>VA!$AD40</f>
        <v>0.98397165791092345</v>
      </c>
      <c r="BA36" s="160">
        <f>VA!$AD40</f>
        <v>0.98397165791092345</v>
      </c>
      <c r="BB36" s="160">
        <f>VA!$AD40</f>
        <v>0.98397165791092345</v>
      </c>
      <c r="BC36" s="160">
        <f>VA!$AD40</f>
        <v>0.98397165791092345</v>
      </c>
      <c r="BD36" s="160">
        <f>VA!$AD40</f>
        <v>0.98397165791092345</v>
      </c>
    </row>
    <row r="37" spans="1:56" x14ac:dyDescent="0.2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T37" s="159">
        <f t="shared" si="3"/>
        <v>34</v>
      </c>
      <c r="AU37" s="160">
        <f>VA!$AD41</f>
        <v>0.98397165791092345</v>
      </c>
      <c r="AV37" s="160">
        <f>VA!$AD41</f>
        <v>0.98397165791092345</v>
      </c>
      <c r="AW37" s="160">
        <v>0.98397165791092345</v>
      </c>
      <c r="AX37" s="160">
        <f>VA!$Q41</f>
        <v>0.98397165791092345</v>
      </c>
      <c r="AY37" s="160">
        <f>VA!$AD41</f>
        <v>0.98397165791092345</v>
      </c>
      <c r="AZ37" s="160">
        <f>VA!$AD41</f>
        <v>0.98397165791092345</v>
      </c>
      <c r="BA37" s="160">
        <f>VA!$AD41</f>
        <v>0.98397165791092345</v>
      </c>
      <c r="BB37" s="160">
        <f>VA!$AD41</f>
        <v>0.98397165791092345</v>
      </c>
      <c r="BC37" s="160">
        <f>VA!$AD41</f>
        <v>0.98397165791092345</v>
      </c>
      <c r="BD37" s="160">
        <f>VA!$AD41</f>
        <v>0.98397165791092345</v>
      </c>
    </row>
    <row r="38" spans="1:56" x14ac:dyDescent="0.2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T38" s="159">
        <f t="shared" si="3"/>
        <v>35</v>
      </c>
      <c r="AU38" s="160">
        <f>VA!$AD42</f>
        <v>0.98397165791092345</v>
      </c>
      <c r="AV38" s="160">
        <f>VA!$AD42</f>
        <v>0.98397165791092345</v>
      </c>
      <c r="AW38" s="160">
        <v>0.98397165791092345</v>
      </c>
      <c r="AX38" s="160">
        <f>VA!$Q42</f>
        <v>0.98397165791092345</v>
      </c>
      <c r="AY38" s="160">
        <f>VA!$AD42</f>
        <v>0.98397165791092345</v>
      </c>
      <c r="AZ38" s="160">
        <f>VA!$AD42</f>
        <v>0.98397165791092345</v>
      </c>
      <c r="BA38" s="160">
        <f>VA!$AD42</f>
        <v>0.98397165791092345</v>
      </c>
      <c r="BB38" s="160">
        <f>VA!$AD42</f>
        <v>0.98397165791092345</v>
      </c>
      <c r="BC38" s="160">
        <f>VA!$AD42</f>
        <v>0.98397165791092345</v>
      </c>
      <c r="BD38" s="160">
        <f>VA!$AD42</f>
        <v>0.98397165791092345</v>
      </c>
    </row>
    <row r="39" spans="1:56" x14ac:dyDescent="0.2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T39" s="159">
        <f t="shared" si="3"/>
        <v>36</v>
      </c>
      <c r="AU39" s="160">
        <f>VA!$AD43</f>
        <v>0.98397165791092345</v>
      </c>
      <c r="AV39" s="160">
        <f>VA!$AD43</f>
        <v>0.98397165791092345</v>
      </c>
      <c r="AW39" s="160">
        <v>0.98397165791092345</v>
      </c>
      <c r="AX39" s="160">
        <f>VA!$Q43</f>
        <v>0.98397165791092345</v>
      </c>
      <c r="AY39" s="160">
        <f>VA!$AD43</f>
        <v>0.98397165791092345</v>
      </c>
      <c r="AZ39" s="160">
        <f>VA!$AD43</f>
        <v>0.98397165791092345</v>
      </c>
      <c r="BA39" s="160">
        <f>VA!$AD43</f>
        <v>0.98397165791092345</v>
      </c>
      <c r="BB39" s="160">
        <f>VA!$AD43</f>
        <v>0.98397165791092345</v>
      </c>
      <c r="BC39" s="160">
        <f>VA!$AD43</f>
        <v>0.98397165791092345</v>
      </c>
      <c r="BD39" s="160">
        <f>VA!$AD43</f>
        <v>0.98397165791092345</v>
      </c>
    </row>
    <row r="40" spans="1:56" x14ac:dyDescent="0.2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T40" s="159">
        <f t="shared" si="3"/>
        <v>37</v>
      </c>
      <c r="AU40" s="160">
        <f>VA!$AD44</f>
        <v>0.98397165791092345</v>
      </c>
      <c r="AV40" s="160">
        <f>VA!$AD44</f>
        <v>0.98397165791092345</v>
      </c>
      <c r="AW40" s="160">
        <v>0.98397165791092345</v>
      </c>
      <c r="AX40" s="160">
        <f>VA!$Q44</f>
        <v>0.98397165791092345</v>
      </c>
      <c r="AY40" s="160">
        <f>VA!$AD44</f>
        <v>0.98397165791092345</v>
      </c>
      <c r="AZ40" s="160">
        <f>VA!$AD44</f>
        <v>0.98397165791092345</v>
      </c>
      <c r="BA40" s="160">
        <f>VA!$AD44</f>
        <v>0.98397165791092345</v>
      </c>
      <c r="BB40" s="160">
        <f>VA!$AD44</f>
        <v>0.98397165791092345</v>
      </c>
      <c r="BC40" s="160">
        <f>VA!$AD44</f>
        <v>0.98397165791092345</v>
      </c>
      <c r="BD40" s="160">
        <f>VA!$AD44</f>
        <v>0.98397165791092345</v>
      </c>
    </row>
    <row r="41" spans="1:56" x14ac:dyDescent="0.2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T41" s="159">
        <f t="shared" si="3"/>
        <v>38</v>
      </c>
      <c r="AU41" s="160">
        <f>VA!$AD45</f>
        <v>0.98397165791092345</v>
      </c>
      <c r="AV41" s="160">
        <f>VA!$AD45</f>
        <v>0.98397165791092345</v>
      </c>
      <c r="AW41" s="160">
        <v>0.98397165791092345</v>
      </c>
      <c r="AX41" s="160">
        <f>VA!$Q45</f>
        <v>0.98397165791092345</v>
      </c>
      <c r="AY41" s="160">
        <f>VA!$AD45</f>
        <v>0.98397165791092345</v>
      </c>
      <c r="AZ41" s="160">
        <f>VA!$AD45</f>
        <v>0.98397165791092345</v>
      </c>
      <c r="BA41" s="160">
        <f>VA!$AD45</f>
        <v>0.98397165791092345</v>
      </c>
      <c r="BB41" s="160">
        <f>VA!$AD45</f>
        <v>0.98397165791092345</v>
      </c>
      <c r="BC41" s="160">
        <f>VA!$AD45</f>
        <v>0.98397165791092345</v>
      </c>
      <c r="BD41" s="160">
        <f>VA!$AD45</f>
        <v>0.98397165791092345</v>
      </c>
    </row>
    <row r="42" spans="1:56" x14ac:dyDescent="0.2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T42" s="159">
        <f t="shared" si="3"/>
        <v>39</v>
      </c>
      <c r="AU42" s="160">
        <f>VA!$AD46</f>
        <v>0.98397165791092345</v>
      </c>
      <c r="AV42" s="160">
        <f>VA!$AD46</f>
        <v>0.98397165791092345</v>
      </c>
      <c r="AW42" s="160">
        <v>0.98397165791092345</v>
      </c>
      <c r="AX42" s="160">
        <f>VA!$Q46</f>
        <v>0.98397165791092345</v>
      </c>
      <c r="AY42" s="160">
        <f>VA!$AD46</f>
        <v>0.98397165791092345</v>
      </c>
      <c r="AZ42" s="160">
        <f>VA!$AD46</f>
        <v>0.98397165791092345</v>
      </c>
      <c r="BA42" s="160">
        <f>VA!$AD46</f>
        <v>0.98397165791092345</v>
      </c>
      <c r="BB42" s="160">
        <f>VA!$AD46</f>
        <v>0.98397165791092345</v>
      </c>
      <c r="BC42" s="160">
        <f>VA!$AD46</f>
        <v>0.98397165791092345</v>
      </c>
      <c r="BD42" s="160">
        <f>VA!$AD46</f>
        <v>0.98397165791092345</v>
      </c>
    </row>
    <row r="43" spans="1:56" x14ac:dyDescent="0.2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T43" s="159">
        <f t="shared" si="3"/>
        <v>40</v>
      </c>
      <c r="AU43" s="160">
        <f>VA!$AD47</f>
        <v>0.98397165791092345</v>
      </c>
      <c r="AV43" s="160">
        <f>VA!$AD47</f>
        <v>0.98397165791092345</v>
      </c>
      <c r="AW43" s="160">
        <v>0.98397165791092345</v>
      </c>
      <c r="AX43" s="160">
        <f>VA!$Q47</f>
        <v>0.98397165791092345</v>
      </c>
      <c r="AY43" s="160">
        <f>VA!$AD47</f>
        <v>0.98397165791092345</v>
      </c>
      <c r="AZ43" s="160">
        <f>VA!$AD47</f>
        <v>0.98397165791092345</v>
      </c>
      <c r="BA43" s="160">
        <f>VA!$AD47</f>
        <v>0.98397165791092345</v>
      </c>
      <c r="BB43" s="160">
        <f>VA!$AD47</f>
        <v>0.98397165791092345</v>
      </c>
      <c r="BC43" s="160">
        <f>VA!$AD47</f>
        <v>0.98397165791092345</v>
      </c>
      <c r="BD43" s="160">
        <f>VA!$AD47</f>
        <v>0.98397165791092345</v>
      </c>
    </row>
    <row r="44" spans="1:56" x14ac:dyDescent="0.2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T44" s="159">
        <f t="shared" si="3"/>
        <v>41</v>
      </c>
      <c r="AU44" s="160">
        <f>VA!$AD48</f>
        <v>0.98397165791092345</v>
      </c>
      <c r="AV44" s="160">
        <f>VA!$AD48</f>
        <v>0.98397165791092345</v>
      </c>
      <c r="AW44" s="160">
        <v>0.98397165791092345</v>
      </c>
      <c r="AX44" s="160">
        <f>VA!$Q48</f>
        <v>0.98397165791092345</v>
      </c>
      <c r="AY44" s="160">
        <f>VA!$AD48</f>
        <v>0.98397165791092345</v>
      </c>
      <c r="AZ44" s="160">
        <f>VA!$AD48</f>
        <v>0.98397165791092345</v>
      </c>
      <c r="BA44" s="160">
        <f>VA!$AD48</f>
        <v>0.98397165791092345</v>
      </c>
      <c r="BB44" s="160">
        <f>VA!$AD48</f>
        <v>0.98397165791092345</v>
      </c>
      <c r="BC44" s="160">
        <f>VA!$AD48</f>
        <v>0.98397165791092345</v>
      </c>
      <c r="BD44" s="160">
        <f>VA!$AD48</f>
        <v>0.98397165791092345</v>
      </c>
    </row>
    <row r="45" spans="1:56" x14ac:dyDescent="0.2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T45" s="159">
        <f t="shared" si="3"/>
        <v>42</v>
      </c>
      <c r="AU45" s="160">
        <f>VA!$AD49</f>
        <v>0.98397165791092345</v>
      </c>
      <c r="AV45" s="160">
        <f>VA!$AD49</f>
        <v>0.98397165791092345</v>
      </c>
      <c r="AW45" s="160">
        <v>0.98397165791092345</v>
      </c>
      <c r="AX45" s="160">
        <f>VA!$Q49</f>
        <v>0.98397165791092345</v>
      </c>
      <c r="AY45" s="160">
        <f>VA!$AD49</f>
        <v>0.98397165791092345</v>
      </c>
      <c r="AZ45" s="160">
        <f>VA!$AD49</f>
        <v>0.98397165791092345</v>
      </c>
      <c r="BA45" s="160">
        <f>VA!$AD49</f>
        <v>0.98397165791092345</v>
      </c>
      <c r="BB45" s="160">
        <f>VA!$AD49</f>
        <v>0.98397165791092345</v>
      </c>
      <c r="BC45" s="160">
        <f>VA!$AD49</f>
        <v>0.98397165791092345</v>
      </c>
      <c r="BD45" s="160">
        <f>VA!$AD49</f>
        <v>0.98397165791092345</v>
      </c>
    </row>
    <row r="46" spans="1:56" x14ac:dyDescent="0.2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T46" s="159">
        <f t="shared" si="3"/>
        <v>43</v>
      </c>
      <c r="AU46" s="160">
        <f>VA!$AD50</f>
        <v>0.98397165791092345</v>
      </c>
      <c r="AV46" s="160">
        <f>VA!$AD50</f>
        <v>0.98397165791092345</v>
      </c>
      <c r="AW46" s="160">
        <v>0.98397165791092345</v>
      </c>
      <c r="AX46" s="160">
        <f>VA!$Q50</f>
        <v>0.98397165791092345</v>
      </c>
      <c r="AY46" s="160">
        <f>VA!$AD50</f>
        <v>0.98397165791092345</v>
      </c>
      <c r="AZ46" s="160">
        <f>VA!$AD50</f>
        <v>0.98397165791092345</v>
      </c>
      <c r="BA46" s="160">
        <f>VA!$AD50</f>
        <v>0.98397165791092345</v>
      </c>
      <c r="BB46" s="160">
        <f>VA!$AD50</f>
        <v>0.98397165791092345</v>
      </c>
      <c r="BC46" s="160">
        <f>VA!$AD50</f>
        <v>0.98397165791092345</v>
      </c>
      <c r="BD46" s="160">
        <f>VA!$AD50</f>
        <v>0.98397165791092345</v>
      </c>
    </row>
    <row r="47" spans="1:56" x14ac:dyDescent="0.2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T47" s="159">
        <f t="shared" si="3"/>
        <v>44</v>
      </c>
      <c r="AU47" s="160">
        <f>VA!$AD51</f>
        <v>0.98397165791092345</v>
      </c>
      <c r="AV47" s="160">
        <f>VA!$AD51</f>
        <v>0.98397165791092345</v>
      </c>
      <c r="AW47" s="160">
        <v>0.98397165791092345</v>
      </c>
      <c r="AX47" s="160">
        <f>VA!$Q51</f>
        <v>0.98397165791092345</v>
      </c>
      <c r="AY47" s="160">
        <f>VA!$AD51</f>
        <v>0.98397165791092345</v>
      </c>
      <c r="AZ47" s="160">
        <f>VA!$AD51</f>
        <v>0.98397165791092345</v>
      </c>
      <c r="BA47" s="160">
        <f>VA!$AD51</f>
        <v>0.98397165791092345</v>
      </c>
      <c r="BB47" s="160">
        <f>VA!$AD51</f>
        <v>0.98397165791092345</v>
      </c>
      <c r="BC47" s="160">
        <f>VA!$AD51</f>
        <v>0.98397165791092345</v>
      </c>
      <c r="BD47" s="160">
        <f>VA!$AD51</f>
        <v>0.98397165791092345</v>
      </c>
    </row>
    <row r="48" spans="1:56" x14ac:dyDescent="0.2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T48" s="159">
        <f t="shared" si="3"/>
        <v>45</v>
      </c>
      <c r="AU48" s="160">
        <f>VA!$AD52</f>
        <v>0.98397165791092345</v>
      </c>
      <c r="AV48" s="160">
        <f>VA!$AD52</f>
        <v>0.98397165791092345</v>
      </c>
      <c r="AW48" s="160">
        <v>0.98397165791092345</v>
      </c>
      <c r="AX48" s="160">
        <f>VA!$Q52</f>
        <v>0.98397165791092345</v>
      </c>
      <c r="AY48" s="160">
        <f>VA!$AD52</f>
        <v>0.98397165791092345</v>
      </c>
      <c r="AZ48" s="160">
        <f>VA!$AD52</f>
        <v>0.98397165791092345</v>
      </c>
      <c r="BA48" s="160">
        <f>VA!$AD52</f>
        <v>0.98397165791092345</v>
      </c>
      <c r="BB48" s="160">
        <f>VA!$AD52</f>
        <v>0.98397165791092345</v>
      </c>
      <c r="BC48" s="160">
        <f>VA!$AD52</f>
        <v>0.98397165791092345</v>
      </c>
      <c r="BD48" s="160">
        <f>VA!$AD52</f>
        <v>0.98397165791092345</v>
      </c>
    </row>
    <row r="49" spans="8:56" x14ac:dyDescent="0.2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T49" s="159">
        <f t="shared" si="3"/>
        <v>46</v>
      </c>
      <c r="AU49" s="160">
        <f>VA!$AD53</f>
        <v>0.98397165791092345</v>
      </c>
      <c r="AV49" s="160">
        <f>VA!$AD53</f>
        <v>0.98397165791092345</v>
      </c>
      <c r="AW49" s="160">
        <v>0.98397165791092345</v>
      </c>
      <c r="AX49" s="160">
        <f>VA!$Q53</f>
        <v>0.98397165791092345</v>
      </c>
      <c r="AY49" s="160">
        <f>VA!$AD53</f>
        <v>0.98397165791092345</v>
      </c>
      <c r="AZ49" s="160">
        <f>VA!$AD53</f>
        <v>0.98397165791092345</v>
      </c>
      <c r="BA49" s="160">
        <f>VA!$AD53</f>
        <v>0.98397165791092345</v>
      </c>
      <c r="BB49" s="160">
        <f>VA!$AD53</f>
        <v>0.98397165791092345</v>
      </c>
      <c r="BC49" s="160">
        <f>VA!$AD53</f>
        <v>0.98397165791092345</v>
      </c>
      <c r="BD49" s="160">
        <f>VA!$AD53</f>
        <v>0.98397165791092345</v>
      </c>
    </row>
    <row r="50" spans="8:56" x14ac:dyDescent="0.2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T50" s="159">
        <f t="shared" si="3"/>
        <v>47</v>
      </c>
      <c r="AU50" s="160">
        <f>VA!$AD54</f>
        <v>0.98397165791092345</v>
      </c>
      <c r="AV50" s="160">
        <f>VA!$AD54</f>
        <v>0.98397165791092345</v>
      </c>
      <c r="AW50" s="160">
        <v>0.98397165791092345</v>
      </c>
      <c r="AX50" s="160">
        <f>VA!$Q54</f>
        <v>0.98397165791092345</v>
      </c>
      <c r="AY50" s="160">
        <f>VA!$AD54</f>
        <v>0.98397165791092345</v>
      </c>
      <c r="AZ50" s="160">
        <f>VA!$AD54</f>
        <v>0.98397165791092345</v>
      </c>
      <c r="BA50" s="160">
        <f>VA!$AD54</f>
        <v>0.98397165791092345</v>
      </c>
      <c r="BB50" s="160">
        <f>VA!$AD54</f>
        <v>0.98397165791092345</v>
      </c>
      <c r="BC50" s="160">
        <f>VA!$AD54</f>
        <v>0.98397165791092345</v>
      </c>
      <c r="BD50" s="160">
        <f>VA!$AD54</f>
        <v>0.98397165791092345</v>
      </c>
    </row>
    <row r="51" spans="8:56" x14ac:dyDescent="0.2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T51" s="159">
        <f t="shared" si="3"/>
        <v>48</v>
      </c>
      <c r="AU51" s="160">
        <f>VA!$AD55</f>
        <v>0.98397165791092345</v>
      </c>
      <c r="AV51" s="160">
        <f>VA!$AD55</f>
        <v>0.98397165791092345</v>
      </c>
      <c r="AW51" s="160">
        <v>0.98397165791092345</v>
      </c>
      <c r="AX51" s="160">
        <f>VA!$Q55</f>
        <v>0.98397165791092345</v>
      </c>
      <c r="AY51" s="160">
        <f>VA!$AD55</f>
        <v>0.98397165791092345</v>
      </c>
      <c r="AZ51" s="160">
        <f>VA!$AD55</f>
        <v>0.98397165791092345</v>
      </c>
      <c r="BA51" s="160">
        <f>VA!$AD55</f>
        <v>0.98397165791092345</v>
      </c>
      <c r="BB51" s="160">
        <f>VA!$AD55</f>
        <v>0.98397165791092345</v>
      </c>
      <c r="BC51" s="160">
        <f>VA!$AD55</f>
        <v>0.98397165791092345</v>
      </c>
      <c r="BD51" s="160">
        <f>VA!$AD55</f>
        <v>0.98397165791092345</v>
      </c>
    </row>
    <row r="52" spans="8:56" x14ac:dyDescent="0.2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T52" s="159">
        <f t="shared" si="3"/>
        <v>49</v>
      </c>
      <c r="AU52" s="160">
        <f>VA!$AD56</f>
        <v>0.98397165791092345</v>
      </c>
      <c r="AV52" s="160">
        <f>VA!$AD56</f>
        <v>0.98397165791092345</v>
      </c>
      <c r="AW52" s="160">
        <v>0.98397165791092345</v>
      </c>
      <c r="AX52" s="160">
        <f>VA!$Q56</f>
        <v>0.98397165791092345</v>
      </c>
      <c r="AY52" s="160">
        <f>VA!$AD56</f>
        <v>0.98397165791092345</v>
      </c>
      <c r="AZ52" s="160">
        <f>VA!$AD56</f>
        <v>0.98397165791092345</v>
      </c>
      <c r="BA52" s="160">
        <f>VA!$AD56</f>
        <v>0.98397165791092345</v>
      </c>
      <c r="BB52" s="160">
        <f>VA!$AD56</f>
        <v>0.98397165791092345</v>
      </c>
      <c r="BC52" s="160">
        <f>VA!$AD56</f>
        <v>0.98397165791092345</v>
      </c>
      <c r="BD52" s="160">
        <f>VA!$AD56</f>
        <v>0.98397165791092345</v>
      </c>
    </row>
    <row r="53" spans="8:56" x14ac:dyDescent="0.2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T53" s="159">
        <f t="shared" si="3"/>
        <v>50</v>
      </c>
      <c r="AU53" s="160">
        <f>VA!$AD57</f>
        <v>0.98397165791092345</v>
      </c>
      <c r="AV53" s="160">
        <f>VA!$AD57</f>
        <v>0.98397165791092345</v>
      </c>
      <c r="AW53" s="160">
        <v>0.98397165791092345</v>
      </c>
      <c r="AX53" s="160">
        <f>VA!$Q57</f>
        <v>0.98397165791092345</v>
      </c>
      <c r="AY53" s="160">
        <f>VA!$AD57</f>
        <v>0.98397165791092345</v>
      </c>
      <c r="AZ53" s="160">
        <f>VA!$AD57</f>
        <v>0.98397165791092345</v>
      </c>
      <c r="BA53" s="160">
        <f>VA!$AD57</f>
        <v>0.98397165791092345</v>
      </c>
      <c r="BB53" s="160">
        <f>VA!$AD57</f>
        <v>0.98397165791092345</v>
      </c>
      <c r="BC53" s="160">
        <f>VA!$AD57</f>
        <v>0.98397165791092345</v>
      </c>
      <c r="BD53" s="160">
        <f>VA!$AD57</f>
        <v>0.98397165791092345</v>
      </c>
    </row>
    <row r="54" spans="8:56" x14ac:dyDescent="0.2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T54" s="159">
        <f t="shared" si="3"/>
        <v>51</v>
      </c>
      <c r="AU54" s="160">
        <f>VA!$AD58</f>
        <v>0.98397165791092345</v>
      </c>
      <c r="AV54" s="160">
        <f>VA!$AD58</f>
        <v>0.98397165791092345</v>
      </c>
      <c r="AW54" s="160">
        <v>0.98397165791092345</v>
      </c>
      <c r="AX54" s="160">
        <f>VA!$Q58</f>
        <v>0.98397165791092345</v>
      </c>
      <c r="AY54" s="160">
        <f>VA!$AD58</f>
        <v>0.98397165791092345</v>
      </c>
      <c r="AZ54" s="160">
        <f>VA!$AD58</f>
        <v>0.98397165791092345</v>
      </c>
      <c r="BA54" s="160">
        <f>VA!$AD58</f>
        <v>0.98397165791092345</v>
      </c>
      <c r="BB54" s="160">
        <f>VA!$AD58</f>
        <v>0.98397165791092345</v>
      </c>
      <c r="BC54" s="160">
        <f>VA!$AD58</f>
        <v>0.98397165791092345</v>
      </c>
      <c r="BD54" s="160">
        <f>VA!$AD58</f>
        <v>0.98397165791092345</v>
      </c>
    </row>
    <row r="55" spans="8:56" x14ac:dyDescent="0.2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T55" s="159">
        <f t="shared" si="3"/>
        <v>52</v>
      </c>
      <c r="AU55" s="160">
        <f>VA!$AD59</f>
        <v>0.98397165791092345</v>
      </c>
      <c r="AV55" s="160">
        <f>VA!$AD59</f>
        <v>0.98397165791092345</v>
      </c>
      <c r="AW55" s="160">
        <v>0.98397165791092345</v>
      </c>
      <c r="AX55" s="160">
        <f>VA!$Q59</f>
        <v>0.98397165791092345</v>
      </c>
      <c r="AY55" s="160">
        <f>VA!$AD59</f>
        <v>0.98397165791092345</v>
      </c>
      <c r="AZ55" s="160">
        <f>VA!$AD59</f>
        <v>0.98397165791092345</v>
      </c>
      <c r="BA55" s="160">
        <f>VA!$AD59</f>
        <v>0.98397165791092345</v>
      </c>
      <c r="BB55" s="160">
        <f>VA!$AD59</f>
        <v>0.98397165791092345</v>
      </c>
      <c r="BC55" s="160">
        <f>VA!$AD59</f>
        <v>0.98397165791092345</v>
      </c>
      <c r="BD55" s="160">
        <f>VA!$AD59</f>
        <v>0.98397165791092345</v>
      </c>
    </row>
    <row r="56" spans="8:56" x14ac:dyDescent="0.2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T56" s="159">
        <f t="shared" si="3"/>
        <v>53</v>
      </c>
      <c r="AU56" s="160">
        <f>VA!$AD60</f>
        <v>0.98397165791092345</v>
      </c>
      <c r="AV56" s="160">
        <f>VA!$AD60</f>
        <v>0.98397165791092345</v>
      </c>
      <c r="AW56" s="160">
        <v>0.98397165791092345</v>
      </c>
      <c r="AX56" s="160">
        <f>VA!$Q60</f>
        <v>0.98397165791092345</v>
      </c>
      <c r="AY56" s="160">
        <f>VA!$AD60</f>
        <v>0.98397165791092345</v>
      </c>
      <c r="AZ56" s="160">
        <f>VA!$AD60</f>
        <v>0.98397165791092345</v>
      </c>
      <c r="BA56" s="160">
        <f>VA!$AD60</f>
        <v>0.98397165791092345</v>
      </c>
      <c r="BB56" s="160">
        <f>VA!$AD60</f>
        <v>0.98397165791092345</v>
      </c>
      <c r="BC56" s="160">
        <f>VA!$AD60</f>
        <v>0.98397165791092345</v>
      </c>
      <c r="BD56" s="160">
        <f>VA!$AD60</f>
        <v>0.98397165791092345</v>
      </c>
    </row>
    <row r="57" spans="8:56" x14ac:dyDescent="0.2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T57" s="159">
        <f t="shared" si="3"/>
        <v>54</v>
      </c>
      <c r="AU57" s="160">
        <f>VA!$AD61</f>
        <v>0.98397165791092345</v>
      </c>
      <c r="AV57" s="160">
        <f>VA!$AD61</f>
        <v>0.98397165791092345</v>
      </c>
      <c r="AW57" s="160">
        <v>0.98397165791092345</v>
      </c>
      <c r="AX57" s="160">
        <f>VA!$Q61</f>
        <v>0.98397165791092345</v>
      </c>
      <c r="AY57" s="160">
        <f>VA!$AD61</f>
        <v>0.98397165791092345</v>
      </c>
      <c r="AZ57" s="160">
        <f>VA!$AD61</f>
        <v>0.98397165791092345</v>
      </c>
      <c r="BA57" s="160">
        <f>VA!$AD61</f>
        <v>0.98397165791092345</v>
      </c>
      <c r="BB57" s="160">
        <f>VA!$AD61</f>
        <v>0.98397165791092345</v>
      </c>
      <c r="BC57" s="160">
        <f>VA!$AD61</f>
        <v>0.98397165791092345</v>
      </c>
      <c r="BD57" s="160">
        <f>VA!$AD61</f>
        <v>0.98397165791092345</v>
      </c>
    </row>
    <row r="58" spans="8:56" ht="16" thickBot="1" x14ac:dyDescent="0.25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T58" s="159">
        <f t="shared" si="3"/>
        <v>55</v>
      </c>
      <c r="AU58" s="160">
        <f>VA!$AD62</f>
        <v>0.98397165791092345</v>
      </c>
      <c r="AV58" s="160">
        <f>VA!$AD62</f>
        <v>0.98397165791092345</v>
      </c>
      <c r="AW58" s="160">
        <v>0.98397165791092345</v>
      </c>
      <c r="AX58" s="160">
        <f>VA!$Q62</f>
        <v>0.98397165791092345</v>
      </c>
      <c r="AY58" s="160">
        <f>VA!$AD62</f>
        <v>0.98397165791092345</v>
      </c>
      <c r="AZ58" s="160">
        <f>VA!$AD62</f>
        <v>0.98397165791092345</v>
      </c>
      <c r="BA58" s="160">
        <f>VA!$AD62</f>
        <v>0.98397165791092345</v>
      </c>
      <c r="BB58" s="160">
        <f>VA!$AD62</f>
        <v>0.98397165791092345</v>
      </c>
      <c r="BC58" s="160">
        <f>VA!$AD62</f>
        <v>0.98397165791092345</v>
      </c>
      <c r="BD58" s="160">
        <f>VA!$AD62</f>
        <v>0.98397165791092345</v>
      </c>
    </row>
    <row r="59" spans="8:56" ht="16" thickBot="1" x14ac:dyDescent="0.25">
      <c r="H59" s="158" t="s">
        <v>244</v>
      </c>
      <c r="I59" s="184">
        <v>14.580772071355785</v>
      </c>
      <c r="J59" s="184">
        <v>15.460317931840995</v>
      </c>
      <c r="K59" s="184">
        <v>13.315814874643628</v>
      </c>
      <c r="L59" s="184">
        <v>14.292354008004393</v>
      </c>
      <c r="M59" s="184">
        <v>14.84987382267232</v>
      </c>
      <c r="N59" s="184">
        <v>15.240489476016625</v>
      </c>
      <c r="O59" s="184">
        <v>15.182008269953853</v>
      </c>
      <c r="P59" s="184">
        <v>15.022309576138591</v>
      </c>
      <c r="Q59" s="184">
        <v>15.765078424375417</v>
      </c>
      <c r="R59" s="185">
        <v>14.732871281014914</v>
      </c>
      <c r="T59" s="158" t="s">
        <v>244</v>
      </c>
      <c r="U59" s="162">
        <v>18.158022775147909</v>
      </c>
      <c r="V59" s="162">
        <v>19.574462711555078</v>
      </c>
      <c r="W59" s="184">
        <v>16.299297045636685</v>
      </c>
      <c r="X59" s="18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  <c r="AG59" s="158" t="s">
        <v>244</v>
      </c>
      <c r="AH59" s="184">
        <v>25.286774593194671</v>
      </c>
      <c r="AI59" s="184">
        <v>27.794982348889434</v>
      </c>
      <c r="AJ59" s="184">
        <v>22.998010450012728</v>
      </c>
      <c r="AK59" s="184">
        <v>25.284465316840187</v>
      </c>
      <c r="AL59" s="184">
        <v>26.10194460284497</v>
      </c>
      <c r="AM59" s="184">
        <v>27.113315905001311</v>
      </c>
      <c r="AN59" s="184">
        <v>27.237676379683588</v>
      </c>
      <c r="AO59" s="184">
        <v>26.454145243820264</v>
      </c>
      <c r="AP59" s="184">
        <v>29.469970052764978</v>
      </c>
      <c r="AQ59" s="184">
        <v>25.676276261203292</v>
      </c>
      <c r="AT59" s="158" t="s">
        <v>244</v>
      </c>
      <c r="AU59" s="162">
        <v>18.158022775147909</v>
      </c>
      <c r="AV59" s="162">
        <v>19.574462711555078</v>
      </c>
      <c r="AW59" s="184">
        <v>16.299297045636685</v>
      </c>
      <c r="AX59" s="184">
        <v>17.790336021937616</v>
      </c>
      <c r="AY59" s="162">
        <v>18.606680996697385</v>
      </c>
      <c r="AZ59" s="162">
        <v>19.203096587217757</v>
      </c>
      <c r="BA59" s="162">
        <v>19.199220954684929</v>
      </c>
      <c r="BB59" s="162">
        <v>18.839559917359619</v>
      </c>
      <c r="BC59" s="162">
        <v>20.306201736783041</v>
      </c>
      <c r="BD59" s="163">
        <v>18.387370647548551</v>
      </c>
    </row>
    <row r="60" spans="8:56" ht="16" thickBot="1" x14ac:dyDescent="0.25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  <c r="AG60" s="158" t="s">
        <v>248</v>
      </c>
      <c r="AH60" s="164">
        <v>2.4E-2</v>
      </c>
      <c r="AI60" s="164">
        <v>1.3999999999999999E-2</v>
      </c>
      <c r="AJ60" s="164">
        <v>0.12</v>
      </c>
      <c r="AK60" s="164">
        <v>0.12</v>
      </c>
      <c r="AL60" s="164">
        <v>0.12</v>
      </c>
      <c r="AM60" s="164">
        <v>6.9999999999999993E-2</v>
      </c>
      <c r="AN60" s="164">
        <v>0.24</v>
      </c>
      <c r="AO60" s="164">
        <v>0.13999999999999999</v>
      </c>
      <c r="AP60" s="164">
        <v>9.6000000000000002E-2</v>
      </c>
      <c r="AQ60" s="165">
        <v>5.5999999999999994E-2</v>
      </c>
      <c r="AT60" s="158" t="s">
        <v>248</v>
      </c>
      <c r="AU60" s="164">
        <v>2.4E-2</v>
      </c>
      <c r="AV60" s="164">
        <v>1.3999999999999999E-2</v>
      </c>
      <c r="AW60" s="164">
        <v>0.12</v>
      </c>
      <c r="AX60" s="164">
        <v>0.12</v>
      </c>
      <c r="AY60" s="164">
        <v>0.12</v>
      </c>
      <c r="AZ60" s="164">
        <v>6.9999999999999993E-2</v>
      </c>
      <c r="BA60" s="164">
        <v>0.24</v>
      </c>
      <c r="BB60" s="164">
        <v>0.13999999999999999</v>
      </c>
      <c r="BC60" s="164">
        <v>9.6000000000000002E-2</v>
      </c>
      <c r="BD60" s="165">
        <v>5.5999999999999994E-2</v>
      </c>
    </row>
    <row r="61" spans="8:56" ht="16" thickBot="1" x14ac:dyDescent="0.25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  <c r="AG61" s="112" t="s">
        <v>249</v>
      </c>
      <c r="AH61" s="167">
        <f>SUMPRODUCT(AH59:AQ59,AH60:AQ60)</f>
        <v>26.327686161786684</v>
      </c>
      <c r="AT61" s="112" t="s">
        <v>249</v>
      </c>
      <c r="AU61" s="167">
        <f>SUMPRODUCT(AU59:BD59,AU60:BD60)</f>
        <v>18.602049013931786</v>
      </c>
    </row>
    <row r="62" spans="8:56" x14ac:dyDescent="0.2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AR66"/>
  <sheetViews>
    <sheetView topLeftCell="B21" zoomScale="89" zoomScaleNormal="60" workbookViewId="0">
      <selection activeCell="I66" sqref="I66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3.6640625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3.6640625" customWidth="1"/>
    <col min="33" max="44" width="37.1640625" customWidth="1"/>
  </cols>
  <sheetData>
    <row r="1" spans="1:44" ht="25" thickBot="1" x14ac:dyDescent="0.35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308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9"/>
    </row>
    <row r="2" spans="1:44" ht="16" thickBot="1" x14ac:dyDescent="0.25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95" t="s">
        <v>243</v>
      </c>
      <c r="AH2" s="99" t="s">
        <v>211</v>
      </c>
      <c r="AI2" s="99" t="s">
        <v>212</v>
      </c>
      <c r="AJ2" s="99" t="s">
        <v>203</v>
      </c>
      <c r="AK2" s="99" t="s">
        <v>205</v>
      </c>
      <c r="AL2" s="99" t="s">
        <v>213</v>
      </c>
      <c r="AM2" s="99" t="s">
        <v>215</v>
      </c>
      <c r="AN2" s="99" t="s">
        <v>214</v>
      </c>
      <c r="AO2" s="99" t="s">
        <v>216</v>
      </c>
      <c r="AP2" s="99" t="s">
        <v>217</v>
      </c>
      <c r="AQ2" s="196" t="s">
        <v>218</v>
      </c>
      <c r="AR2" s="197" t="s">
        <v>309</v>
      </c>
    </row>
    <row r="3" spans="1:44" x14ac:dyDescent="0.2">
      <c r="A3" s="83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0.9775595365451456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R3" s="198">
        <f t="shared" ref="AR3:AR34" si="0">SUMPRODUCT($AH$63:$AQ$63,AH3:AQ3)</f>
        <v>1</v>
      </c>
    </row>
    <row r="4" spans="1:44" ht="19" x14ac:dyDescent="0.25">
      <c r="A4" s="93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0.94872571577169229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R4" s="199">
        <f t="shared" si="0"/>
        <v>1</v>
      </c>
    </row>
    <row r="5" spans="1:44" x14ac:dyDescent="0.2">
      <c r="A5" s="83" t="s">
        <v>200</v>
      </c>
      <c r="B5" s="91">
        <v>0.6</v>
      </c>
      <c r="H5" s="159">
        <f t="shared" ref="H5:H58" si="1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2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0.92074236925511521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3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R5" s="199">
        <f t="shared" si="0"/>
        <v>1</v>
      </c>
    </row>
    <row r="6" spans="1:44" x14ac:dyDescent="0.2">
      <c r="A6" s="83" t="s">
        <v>201</v>
      </c>
      <c r="B6" s="91">
        <v>0.4</v>
      </c>
      <c r="H6" s="159">
        <f t="shared" si="1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2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0.89358441164625846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3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R6" s="199">
        <f t="shared" si="0"/>
        <v>1</v>
      </c>
    </row>
    <row r="7" spans="1:44" x14ac:dyDescent="0.2">
      <c r="A7" s="83"/>
      <c r="H7" s="159">
        <f t="shared" si="1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2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0.86722749750635941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3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R7" s="199">
        <f t="shared" si="0"/>
        <v>1</v>
      </c>
    </row>
    <row r="8" spans="1:44" ht="19" x14ac:dyDescent="0.25">
      <c r="A8" s="93" t="s">
        <v>202</v>
      </c>
      <c r="H8" s="159">
        <f t="shared" si="1"/>
        <v>5</v>
      </c>
      <c r="I8" s="160">
        <v>0.74567737298044623</v>
      </c>
      <c r="J8" s="160">
        <v>0.75240557985479739</v>
      </c>
      <c r="K8" s="160">
        <v>0.74707660914480567</v>
      </c>
      <c r="L8" s="160">
        <v>0.75299569885837148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2"/>
        <v>5</v>
      </c>
      <c r="U8" s="160">
        <v>0.82328807288831718</v>
      </c>
      <c r="V8" s="160">
        <v>0.83071655693824642</v>
      </c>
      <c r="W8" s="160">
        <v>0.82483294267652929</v>
      </c>
      <c r="X8" s="160">
        <v>0.83136809600169592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3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R8" s="199">
        <f t="shared" si="0"/>
        <v>0.98009676308950511</v>
      </c>
    </row>
    <row r="9" spans="1:44" x14ac:dyDescent="0.2">
      <c r="A9" s="83" t="s">
        <v>197</v>
      </c>
      <c r="B9" s="187">
        <v>0.8</v>
      </c>
      <c r="H9" s="159">
        <f t="shared" si="1"/>
        <v>6</v>
      </c>
      <c r="I9" s="160">
        <v>0.7085075105920593</v>
      </c>
      <c r="J9" s="160">
        <v>0.71645498290042897</v>
      </c>
      <c r="K9" s="160">
        <v>0.71052769760450951</v>
      </c>
      <c r="L9" s="160">
        <v>0.71732751185505439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2"/>
        <v>6</v>
      </c>
      <c r="U9" s="160">
        <v>0.79789453219506756</v>
      </c>
      <c r="V9" s="160">
        <v>0.80684467683689487</v>
      </c>
      <c r="W9" s="160">
        <v>0.80016959088837425</v>
      </c>
      <c r="X9" s="160">
        <v>0.80782728615531385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3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R9" s="199">
        <f t="shared" si="0"/>
        <v>0.97517902178905658</v>
      </c>
    </row>
    <row r="10" spans="1:44" x14ac:dyDescent="0.2">
      <c r="A10" s="83" t="s">
        <v>203</v>
      </c>
      <c r="B10" s="187">
        <v>0.2</v>
      </c>
      <c r="H10" s="159">
        <f t="shared" si="1"/>
        <v>7</v>
      </c>
      <c r="I10" s="160">
        <v>0.67269955661620839</v>
      </c>
      <c r="J10" s="160">
        <v>0.681908670565882</v>
      </c>
      <c r="K10" s="160">
        <v>0.6754821457670922</v>
      </c>
      <c r="L10" s="160">
        <v>0.68313476467568179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2"/>
        <v>7</v>
      </c>
      <c r="U10" s="160">
        <v>0.77272033931906381</v>
      </c>
      <c r="V10" s="160">
        <v>0.7832987165248031</v>
      </c>
      <c r="W10" s="160">
        <v>0.7759166595956406</v>
      </c>
      <c r="X10" s="160">
        <v>0.78470711325591946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3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R10" s="199">
        <f t="shared" si="0"/>
        <v>0.96976094431249116</v>
      </c>
    </row>
    <row r="11" spans="1:44" x14ac:dyDescent="0.2">
      <c r="A11" s="83" t="s">
        <v>204</v>
      </c>
      <c r="B11" s="187">
        <v>0.7</v>
      </c>
      <c r="H11" s="159">
        <f t="shared" si="1"/>
        <v>8</v>
      </c>
      <c r="I11" s="160">
        <v>0.63815857646334462</v>
      </c>
      <c r="J11" s="160">
        <v>0.64868610416399564</v>
      </c>
      <c r="K11" s="160">
        <v>0.64186194139260588</v>
      </c>
      <c r="L11" s="160">
        <v>0.65034633309751044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2"/>
        <v>8</v>
      </c>
      <c r="U11" s="160">
        <v>0.7477044826803293</v>
      </c>
      <c r="V11" s="160">
        <v>0.76003915926955823</v>
      </c>
      <c r="W11" s="160">
        <v>0.75204356494097302</v>
      </c>
      <c r="X11" s="160">
        <v>0.76198438207412234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3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R11" s="199">
        <f t="shared" si="0"/>
        <v>0.96377308600352429</v>
      </c>
    </row>
    <row r="12" spans="1:44" x14ac:dyDescent="0.2">
      <c r="A12" s="83" t="s">
        <v>205</v>
      </c>
      <c r="B12" s="187">
        <v>0.3</v>
      </c>
      <c r="H12" s="159">
        <f t="shared" si="1"/>
        <v>9</v>
      </c>
      <c r="I12" s="160">
        <v>0.60479060043697908</v>
      </c>
      <c r="J12" s="160">
        <v>0.61672855368086277</v>
      </c>
      <c r="K12" s="160">
        <v>0.60959302104393764</v>
      </c>
      <c r="L12" s="160">
        <v>0.61891065609429374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2"/>
        <v>9</v>
      </c>
      <c r="U12" s="160">
        <v>0.72278075215485915</v>
      </c>
      <c r="V12" s="160">
        <v>0.73704771136118519</v>
      </c>
      <c r="W12" s="160">
        <v>0.72852008933363399</v>
      </c>
      <c r="X12" s="160">
        <v>0.73965552573944915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3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R12" s="199">
        <f t="shared" si="0"/>
        <v>0.95715080928858076</v>
      </c>
    </row>
    <row r="13" spans="1:44" x14ac:dyDescent="0.2">
      <c r="A13" s="83"/>
      <c r="B13" s="187"/>
      <c r="H13" s="159">
        <f t="shared" si="1"/>
        <v>10</v>
      </c>
      <c r="I13" s="160">
        <v>0.57250791884897512</v>
      </c>
      <c r="J13" s="160">
        <v>0.5859462104504537</v>
      </c>
      <c r="K13" s="160">
        <v>0.57860922907547008</v>
      </c>
      <c r="L13" s="160">
        <v>0.58875160931024106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2"/>
        <v>10</v>
      </c>
      <c r="U13" s="160">
        <v>0.69788395847971185</v>
      </c>
      <c r="V13" s="160">
        <v>0.71426516095617676</v>
      </c>
      <c r="W13" s="160">
        <v>0.70532142160046629</v>
      </c>
      <c r="X13" s="160">
        <v>0.71768492651211735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3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R13" s="199">
        <f t="shared" si="0"/>
        <v>0.9498026515817436</v>
      </c>
    </row>
    <row r="14" spans="1:44" ht="19" x14ac:dyDescent="0.25">
      <c r="A14" s="93" t="s">
        <v>210</v>
      </c>
      <c r="B14" s="187"/>
      <c r="H14" s="159">
        <f t="shared" si="1"/>
        <v>11</v>
      </c>
      <c r="I14" s="160">
        <v>0.54119669108061674</v>
      </c>
      <c r="J14" s="160">
        <v>0.55625069198047217</v>
      </c>
      <c r="K14" s="160">
        <v>0.54882922633558795</v>
      </c>
      <c r="L14" s="160">
        <v>0.55979736195576091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2"/>
        <v>11</v>
      </c>
      <c r="U14" s="160">
        <v>0.67291006147783616</v>
      </c>
      <c r="V14" s="160">
        <v>0.69162781943526674</v>
      </c>
      <c r="W14" s="160">
        <v>0.68240015972178392</v>
      </c>
      <c r="X14" s="160">
        <v>0.69603765776289528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3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R14" s="199">
        <f t="shared" si="0"/>
        <v>0.9416045309675154</v>
      </c>
    </row>
    <row r="15" spans="1:44" x14ac:dyDescent="0.2">
      <c r="A15" s="83" t="s">
        <v>206</v>
      </c>
      <c r="B15" s="91">
        <v>0.05</v>
      </c>
      <c r="H15" s="159">
        <f t="shared" si="1"/>
        <v>12</v>
      </c>
      <c r="I15" s="160">
        <v>0.51080344175811265</v>
      </c>
      <c r="J15" s="160">
        <v>0.52755531764183716</v>
      </c>
      <c r="K15" s="160">
        <v>0.52021783150799616</v>
      </c>
      <c r="L15" s="160">
        <v>0.53198073945710911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2"/>
        <v>12</v>
      </c>
      <c r="U15" s="160">
        <v>0.64782227364403344</v>
      </c>
      <c r="V15" s="160">
        <v>0.66906770277709715</v>
      </c>
      <c r="W15" s="160">
        <v>0.65976199619513698</v>
      </c>
      <c r="X15" s="160">
        <v>0.67468020768179393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3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R15" s="199">
        <f t="shared" si="0"/>
        <v>0.93246826997311005</v>
      </c>
    </row>
    <row r="16" spans="1:44" x14ac:dyDescent="0.2">
      <c r="A16" s="83" t="s">
        <v>207</v>
      </c>
      <c r="B16" s="91">
        <v>0.25</v>
      </c>
      <c r="H16" s="159">
        <f t="shared" si="1"/>
        <v>13</v>
      </c>
      <c r="I16" s="160">
        <v>0.48123411879384981</v>
      </c>
      <c r="J16" s="160">
        <v>0.49976772581638712</v>
      </c>
      <c r="K16" s="160">
        <v>0.49271340830786836</v>
      </c>
      <c r="L16" s="160">
        <v>0.50523400227273652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2"/>
        <v>13</v>
      </c>
      <c r="U16" s="160">
        <v>0.6225276468723141</v>
      </c>
      <c r="V16" s="160">
        <v>0.64650284380289336</v>
      </c>
      <c r="W16" s="160">
        <v>0.63737733190054724</v>
      </c>
      <c r="X16" s="160">
        <v>0.65357405527072032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3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R16" s="199">
        <f t="shared" si="0"/>
        <v>0.92225302829905664</v>
      </c>
    </row>
    <row r="17" spans="1:44" x14ac:dyDescent="0.2">
      <c r="A17" s="83" t="s">
        <v>208</v>
      </c>
      <c r="B17" s="91">
        <v>0.5</v>
      </c>
      <c r="H17" s="159">
        <f t="shared" si="1"/>
        <v>14</v>
      </c>
      <c r="I17" s="160">
        <v>0.45238631573381471</v>
      </c>
      <c r="J17" s="160">
        <v>0.47279593717892898</v>
      </c>
      <c r="K17" s="160">
        <v>0.46625320987768887</v>
      </c>
      <c r="L17" s="160">
        <v>0.479494020918382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2"/>
        <v>14</v>
      </c>
      <c r="U17" s="160">
        <v>0.59691413631102375</v>
      </c>
      <c r="V17" s="160">
        <v>0.62384419837000471</v>
      </c>
      <c r="W17" s="160">
        <v>0.61521120864350665</v>
      </c>
      <c r="X17" s="160">
        <v>0.63268217761742984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3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R17" s="199">
        <f t="shared" si="0"/>
        <v>0.91079727438676528</v>
      </c>
    </row>
    <row r="18" spans="1:44" x14ac:dyDescent="0.2">
      <c r="A18" s="83" t="s">
        <v>209</v>
      </c>
      <c r="B18" s="91">
        <v>0.2</v>
      </c>
      <c r="H18" s="159">
        <f t="shared" si="1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2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0.54863656543010075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3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R18" s="199">
        <f t="shared" si="0"/>
        <v>0.86873732603316056</v>
      </c>
    </row>
    <row r="19" spans="1:44" x14ac:dyDescent="0.2">
      <c r="A19" s="83"/>
      <c r="B19" s="187"/>
      <c r="H19" s="159">
        <f t="shared" si="1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2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0.52649114713690259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3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R19" s="199">
        <f t="shared" si="0"/>
        <v>0.85074114880138763</v>
      </c>
    </row>
    <row r="20" spans="1:44" x14ac:dyDescent="0.2">
      <c r="A20" s="83"/>
      <c r="B20" s="187"/>
      <c r="H20" s="159">
        <f t="shared" si="1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2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0.50353900350304692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3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R20" s="199">
        <f t="shared" si="0"/>
        <v>0.83074360195954144</v>
      </c>
    </row>
    <row r="21" spans="1:44" x14ac:dyDescent="0.2">
      <c r="A21" s="83"/>
      <c r="H21" s="159">
        <f t="shared" si="1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2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0.47973138238110558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3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R21" s="199">
        <f t="shared" si="0"/>
        <v>0.80852193736377487</v>
      </c>
    </row>
    <row r="22" spans="1:44" ht="20" thickBot="1" x14ac:dyDescent="0.3">
      <c r="A22" s="93" t="s">
        <v>198</v>
      </c>
      <c r="H22" s="159">
        <f t="shared" si="1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2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0.45504378271246254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3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R22" s="199">
        <f t="shared" si="0"/>
        <v>0.78386179159608438</v>
      </c>
    </row>
    <row r="23" spans="1:44" x14ac:dyDescent="0.2">
      <c r="A23" s="94" t="s">
        <v>211</v>
      </c>
      <c r="B23" s="95">
        <f>B5*B9*B15</f>
        <v>2.4E-2</v>
      </c>
      <c r="H23" s="159">
        <f t="shared" si="1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2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0.42947157354045906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3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R23" s="199">
        <f t="shared" si="0"/>
        <v>0.75656001580370713</v>
      </c>
    </row>
    <row r="24" spans="1:44" x14ac:dyDescent="0.2">
      <c r="A24" s="96" t="s">
        <v>212</v>
      </c>
      <c r="B24" s="97">
        <f>B6*B11*B15</f>
        <v>1.3999999999999999E-2</v>
      </c>
      <c r="H24" s="159">
        <f t="shared" si="1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2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0.40312211813059012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3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R24" s="199">
        <f t="shared" si="0"/>
        <v>0.72654932260692495</v>
      </c>
    </row>
    <row r="25" spans="1:44" x14ac:dyDescent="0.2">
      <c r="A25" s="96" t="s">
        <v>203</v>
      </c>
      <c r="B25" s="98">
        <f>B5*B10</f>
        <v>0.12</v>
      </c>
      <c r="H25" s="159">
        <f t="shared" si="1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2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0.37641194008125528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3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R25" s="199">
        <f t="shared" si="0"/>
        <v>0.69399569242923675</v>
      </c>
    </row>
    <row r="26" spans="1:44" x14ac:dyDescent="0.2">
      <c r="A26" s="96" t="s">
        <v>205</v>
      </c>
      <c r="B26" s="98">
        <f>B6*B12</f>
        <v>0.12</v>
      </c>
      <c r="H26" s="159">
        <f t="shared" si="1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2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0.3493006889391389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3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R26" s="199">
        <f t="shared" si="0"/>
        <v>0.65881415090001094</v>
      </c>
    </row>
    <row r="27" spans="1:44" x14ac:dyDescent="0.2">
      <c r="A27" s="96" t="s">
        <v>213</v>
      </c>
      <c r="B27" s="98">
        <f>B5*B9*B16</f>
        <v>0.12</v>
      </c>
      <c r="H27" s="159">
        <f t="shared" si="1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2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0.32189988148631243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3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R27" s="199">
        <f t="shared" si="0"/>
        <v>0.621114737834774</v>
      </c>
    </row>
    <row r="28" spans="1:44" x14ac:dyDescent="0.2">
      <c r="A28" s="96" t="s">
        <v>215</v>
      </c>
      <c r="B28" s="98">
        <f>B6*B11*B16</f>
        <v>6.9999999999999993E-2</v>
      </c>
      <c r="H28" s="159">
        <f t="shared" si="1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2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0.29437667939463236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3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R28" s="199">
        <f t="shared" si="0"/>
        <v>0.58115584559892375</v>
      </c>
    </row>
    <row r="29" spans="1:44" x14ac:dyDescent="0.2">
      <c r="A29" s="96" t="s">
        <v>214</v>
      </c>
      <c r="B29" s="98">
        <f>B5*B9*B17</f>
        <v>0.24</v>
      </c>
      <c r="H29" s="159">
        <f t="shared" si="1"/>
        <v>26</v>
      </c>
      <c r="I29" s="160">
        <v>0.16608506393507505</v>
      </c>
      <c r="J29" s="160">
        <v>0.20920564199867184</v>
      </c>
      <c r="K29" s="160">
        <v>0.12011644821224975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2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0.26695754180678927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3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R29" s="199">
        <f t="shared" si="0"/>
        <v>0.53920275757510083</v>
      </c>
    </row>
    <row r="30" spans="1:44" x14ac:dyDescent="0.2">
      <c r="A30" s="96" t="s">
        <v>216</v>
      </c>
      <c r="B30" s="98">
        <f>B6*B11*B17</f>
        <v>0.13999999999999999</v>
      </c>
      <c r="H30" s="159">
        <f t="shared" si="1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2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0.23911256832283426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3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R30" s="199">
        <f t="shared" si="0"/>
        <v>0.49452530781924459</v>
      </c>
    </row>
    <row r="31" spans="1:44" x14ac:dyDescent="0.2">
      <c r="A31" s="96" t="s">
        <v>217</v>
      </c>
      <c r="B31" s="98">
        <f>B5*B9*B18</f>
        <v>9.6000000000000002E-2</v>
      </c>
      <c r="H31" s="159">
        <f t="shared" si="1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2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0.21124352988490891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3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R31" s="199">
        <f t="shared" si="0"/>
        <v>0.44782467541319282</v>
      </c>
    </row>
    <row r="32" spans="1:44" ht="16" thickBot="1" x14ac:dyDescent="0.25">
      <c r="A32" s="99" t="s">
        <v>218</v>
      </c>
      <c r="B32" s="100">
        <f>B6*B11*B18</f>
        <v>5.5999999999999994E-2</v>
      </c>
      <c r="H32" s="159">
        <f t="shared" si="1"/>
        <v>29</v>
      </c>
      <c r="I32" s="160">
        <v>0.10227271775959988</v>
      </c>
      <c r="J32" s="160">
        <v>0.14375147920645645</v>
      </c>
      <c r="K32" s="160">
        <v>7.009818245806243E-2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2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0.18334992625922658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3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R32" s="199">
        <f t="shared" si="0"/>
        <v>0.39932605954820755</v>
      </c>
    </row>
    <row r="33" spans="1:44" x14ac:dyDescent="0.2">
      <c r="H33" s="159">
        <f t="shared" si="1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2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0.15607554213294328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3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R33" s="199">
        <f t="shared" si="0"/>
        <v>0.34994738377590739</v>
      </c>
    </row>
    <row r="34" spans="1:44" x14ac:dyDescent="0.2">
      <c r="H34" s="159">
        <f t="shared" si="1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2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0.12991268838016146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3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R34" s="199">
        <f t="shared" si="0"/>
        <v>0.30080638162992668</v>
      </c>
    </row>
    <row r="35" spans="1:44" x14ac:dyDescent="0.2">
      <c r="A35" t="s">
        <v>219</v>
      </c>
      <c r="B35" s="101">
        <v>60000</v>
      </c>
      <c r="H35" s="159">
        <f t="shared" si="1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2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0.10526523203997949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3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R35" s="199">
        <f t="shared" ref="AR35:AR58" si="4">SUMPRODUCT($AH$63:$AQ$63,AH35:AQ35)</f>
        <v>0.25301859933431115</v>
      </c>
    </row>
    <row r="36" spans="1:44" x14ac:dyDescent="0.2">
      <c r="A36" t="s">
        <v>220</v>
      </c>
      <c r="H36" s="159">
        <f t="shared" si="1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2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8.2622802250544247E-2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3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R36" s="199">
        <f t="shared" si="4"/>
        <v>0.20789975642903122</v>
      </c>
    </row>
    <row r="37" spans="1:44" x14ac:dyDescent="0.2">
      <c r="A37" t="s">
        <v>221</v>
      </c>
      <c r="H37" s="159">
        <f t="shared" si="1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2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6.2587965535342113E-2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3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R37" s="199">
        <f t="shared" si="4"/>
        <v>0.16675659392856926</v>
      </c>
    </row>
    <row r="38" spans="1:44" x14ac:dyDescent="0.2">
      <c r="A38" t="s">
        <v>222</v>
      </c>
      <c r="H38" s="159">
        <f t="shared" si="1"/>
        <v>35</v>
      </c>
      <c r="I38" s="160">
        <v>1.7694538656480865E-2</v>
      </c>
      <c r="J38" s="160">
        <v>3.521843719606739E-2</v>
      </c>
      <c r="K38" s="160">
        <v>1.1256031596643764E-2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2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4.563963666096419E-2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3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R38" s="199">
        <f t="shared" si="4"/>
        <v>0.1304927790875888</v>
      </c>
    </row>
    <row r="39" spans="1:44" x14ac:dyDescent="0.2">
      <c r="A39" t="s">
        <v>223</v>
      </c>
      <c r="H39" s="159">
        <f t="shared" si="1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2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3.1975215789426699E-2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3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R39" s="199">
        <f t="shared" si="4"/>
        <v>9.9669379322014709E-2</v>
      </c>
    </row>
    <row r="40" spans="1:44" x14ac:dyDescent="0.2">
      <c r="A40" t="s">
        <v>301</v>
      </c>
      <c r="B40" s="188">
        <f>'Section 2 v1'!H51</f>
        <v>81185.996468191428</v>
      </c>
      <c r="H40" s="159">
        <f t="shared" si="1"/>
        <v>37</v>
      </c>
      <c r="I40" s="160">
        <v>7.1356569532849768E-3</v>
      </c>
      <c r="J40" s="160">
        <v>1.6300987131210653E-2</v>
      </c>
      <c r="K40" s="160">
        <v>4.493472247831253E-3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2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2.157137844446759E-2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3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R40" s="199">
        <f t="shared" si="4"/>
        <v>7.4549914885285798E-2</v>
      </c>
    </row>
    <row r="41" spans="1:44" x14ac:dyDescent="0.2">
      <c r="H41" s="159">
        <f t="shared" si="1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2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1.4010888386076016E-2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3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R41" s="199">
        <f t="shared" si="4"/>
        <v>5.4711160718341562E-2</v>
      </c>
    </row>
    <row r="42" spans="1:44" x14ac:dyDescent="0.2">
      <c r="H42" s="159">
        <f t="shared" si="1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2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8.7552409510139734E-3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3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R42" s="199">
        <f t="shared" si="4"/>
        <v>3.9459790752723475E-2</v>
      </c>
    </row>
    <row r="43" spans="1:44" x14ac:dyDescent="0.2">
      <c r="H43" s="159">
        <f t="shared" si="1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2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5.25263192526494E-3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3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R43" s="199">
        <f t="shared" si="4"/>
        <v>2.801112080237415E-2</v>
      </c>
    </row>
    <row r="44" spans="1:44" x14ac:dyDescent="0.2">
      <c r="H44" s="159">
        <f t="shared" si="1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2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3.0038199826450821E-3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3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R44" s="199">
        <f t="shared" si="4"/>
        <v>1.9562245398622013E-2</v>
      </c>
    </row>
    <row r="45" spans="1:44" x14ac:dyDescent="0.2">
      <c r="H45" s="159">
        <f t="shared" si="1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2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1.6580233868800371E-3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3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R45" s="199">
        <f t="shared" si="4"/>
        <v>1.3467107443676463E-2</v>
      </c>
    </row>
    <row r="46" spans="1:44" x14ac:dyDescent="0.2">
      <c r="H46" s="159">
        <f t="shared" si="1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2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8.8222336137988068E-4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3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R46" s="199">
        <f t="shared" si="4"/>
        <v>9.0987533580190478E-3</v>
      </c>
    </row>
    <row r="47" spans="1:44" x14ac:dyDescent="0.2">
      <c r="H47" s="159">
        <f t="shared" si="1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2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4.5190563242240611E-4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3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R47" s="199">
        <f t="shared" si="4"/>
        <v>5.9993010027731596E-3</v>
      </c>
    </row>
    <row r="48" spans="1:44" x14ac:dyDescent="0.2">
      <c r="H48" s="159">
        <f t="shared" si="1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2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2.1806732464684081E-4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3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R48" s="199">
        <f t="shared" si="4"/>
        <v>3.8624217142280196E-3</v>
      </c>
    </row>
    <row r="49" spans="8:44" x14ac:dyDescent="0.2">
      <c r="H49" s="159">
        <f t="shared" si="1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2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1.0090876007306511E-4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3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R49" s="199">
        <f t="shared" si="4"/>
        <v>2.4250538842528848E-3</v>
      </c>
    </row>
    <row r="50" spans="8:44" x14ac:dyDescent="0.2">
      <c r="H50" s="159">
        <f t="shared" si="1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2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4.4707645630827098E-5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3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R50" s="199">
        <f t="shared" si="4"/>
        <v>1.4795831400705806E-3</v>
      </c>
    </row>
    <row r="51" spans="8:44" x14ac:dyDescent="0.2">
      <c r="H51" s="159">
        <f t="shared" si="1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2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1.8927387426332786E-5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3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R51" s="199">
        <f t="shared" si="4"/>
        <v>8.7164396507227466E-4</v>
      </c>
    </row>
    <row r="52" spans="8:44" x14ac:dyDescent="0.2">
      <c r="H52" s="159">
        <f t="shared" si="1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2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7.6403797506683126E-6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3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R52" s="199">
        <f t="shared" si="4"/>
        <v>4.9261612530594322E-4</v>
      </c>
    </row>
    <row r="53" spans="8:44" x14ac:dyDescent="0.2">
      <c r="H53" s="159">
        <f t="shared" si="1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2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2.9337288270423305E-6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3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R53" s="199">
        <f t="shared" si="4"/>
        <v>2.7009889741037439E-4</v>
      </c>
    </row>
    <row r="54" spans="8:44" x14ac:dyDescent="0.2">
      <c r="H54" s="159">
        <f t="shared" si="1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2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3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R54" s="199">
        <f t="shared" si="4"/>
        <v>1.4184561429577509E-4</v>
      </c>
    </row>
    <row r="55" spans="8:44" x14ac:dyDescent="0.2">
      <c r="H55" s="159">
        <f t="shared" si="1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2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3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R55" s="199">
        <f t="shared" si="4"/>
        <v>7.3001676655739959E-5</v>
      </c>
    </row>
    <row r="56" spans="8:44" x14ac:dyDescent="0.2">
      <c r="H56" s="159">
        <f t="shared" si="1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2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3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R56" s="199">
        <f t="shared" si="4"/>
        <v>3.5483135178375403E-5</v>
      </c>
    </row>
    <row r="57" spans="8:44" x14ac:dyDescent="0.2">
      <c r="H57" s="159">
        <f t="shared" si="1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2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3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R57" s="199">
        <f t="shared" si="4"/>
        <v>1.613433822748302E-5</v>
      </c>
    </row>
    <row r="58" spans="8:44" x14ac:dyDescent="0.2">
      <c r="H58" s="159">
        <f t="shared" si="1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2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3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R58" s="199">
        <f t="shared" si="4"/>
        <v>7.2604522023673567E-6</v>
      </c>
    </row>
    <row r="59" spans="8:44" x14ac:dyDescent="0.2">
      <c r="H59" s="159">
        <f>H58+1</f>
        <v>56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  <c r="Q59" s="160">
        <v>3.7330437976819225E-6</v>
      </c>
      <c r="R59" s="161">
        <v>0</v>
      </c>
      <c r="T59" s="159">
        <f>T58+1</f>
        <v>56</v>
      </c>
      <c r="U59" s="160">
        <v>0</v>
      </c>
      <c r="V59" s="160">
        <v>0</v>
      </c>
      <c r="W59" s="160">
        <v>0</v>
      </c>
      <c r="X59" s="160">
        <v>0</v>
      </c>
      <c r="Y59" s="160">
        <v>0</v>
      </c>
      <c r="Z59" s="160">
        <v>0</v>
      </c>
      <c r="AA59" s="160">
        <v>0</v>
      </c>
      <c r="AB59" s="160">
        <v>0</v>
      </c>
      <c r="AC59" s="160">
        <v>1.1315472772456184E-5</v>
      </c>
      <c r="AD59" s="161">
        <v>0</v>
      </c>
      <c r="AG59" s="159">
        <f>AG58+1</f>
        <v>56</v>
      </c>
      <c r="AH59" s="160">
        <v>0</v>
      </c>
      <c r="AI59" s="160">
        <v>0</v>
      </c>
      <c r="AJ59" s="160">
        <v>0</v>
      </c>
      <c r="AK59" s="160">
        <v>0</v>
      </c>
      <c r="AL59" s="160">
        <v>0</v>
      </c>
      <c r="AM59" s="160">
        <v>0</v>
      </c>
      <c r="AN59" s="160">
        <v>0</v>
      </c>
      <c r="AO59" s="160">
        <v>0</v>
      </c>
      <c r="AP59" s="160">
        <v>3.2520775489770456E-5</v>
      </c>
      <c r="AQ59" s="160">
        <v>0</v>
      </c>
      <c r="AR59" s="199">
        <f t="shared" ref="AR59:AR61" si="5">SUMPRODUCT($AH$63:$AQ$63,AH59:AQ59)</f>
        <v>3.1219944470179637E-6</v>
      </c>
    </row>
    <row r="60" spans="8:44" x14ac:dyDescent="0.2">
      <c r="H60" s="159">
        <f>H59+1</f>
        <v>57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  <c r="Q60" s="160">
        <v>1.4773628929050082E-6</v>
      </c>
      <c r="R60" s="161">
        <v>0</v>
      </c>
      <c r="T60" s="159">
        <f>T59+1</f>
        <v>57</v>
      </c>
      <c r="U60" s="160">
        <v>0</v>
      </c>
      <c r="V60" s="160">
        <v>0</v>
      </c>
      <c r="W60" s="160">
        <v>0</v>
      </c>
      <c r="X60" s="160">
        <v>0</v>
      </c>
      <c r="Y60" s="160">
        <v>0</v>
      </c>
      <c r="Z60" s="160">
        <v>0</v>
      </c>
      <c r="AA60" s="160">
        <v>0</v>
      </c>
      <c r="AB60" s="160">
        <v>0</v>
      </c>
      <c r="AC60" s="160">
        <v>4.5676937388428336E-6</v>
      </c>
      <c r="AD60" s="161">
        <v>0</v>
      </c>
      <c r="AG60" s="159">
        <f>AG59+1</f>
        <v>57</v>
      </c>
      <c r="AH60" s="160">
        <v>0</v>
      </c>
      <c r="AI60" s="160">
        <v>0</v>
      </c>
      <c r="AJ60" s="160">
        <v>0</v>
      </c>
      <c r="AK60" s="160">
        <v>0</v>
      </c>
      <c r="AL60" s="160">
        <v>0</v>
      </c>
      <c r="AM60" s="160">
        <v>0</v>
      </c>
      <c r="AN60" s="160">
        <v>0</v>
      </c>
      <c r="AO60" s="160">
        <v>0</v>
      </c>
      <c r="AP60" s="160">
        <v>1.333351795080589E-5</v>
      </c>
      <c r="AQ60" s="160">
        <v>0</v>
      </c>
      <c r="AR60" s="199">
        <f t="shared" si="5"/>
        <v>1.2800177232773654E-6</v>
      </c>
    </row>
    <row r="61" spans="8:44" ht="16" thickBot="1" x14ac:dyDescent="0.25">
      <c r="H61" s="159">
        <f>H60+1</f>
        <v>58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5.5615012377698193E-7</v>
      </c>
      <c r="R61" s="161">
        <v>0</v>
      </c>
      <c r="T61" s="159">
        <f>T60+1</f>
        <v>58</v>
      </c>
      <c r="U61" s="160">
        <v>0</v>
      </c>
      <c r="V61" s="160">
        <v>0</v>
      </c>
      <c r="W61" s="160">
        <v>0</v>
      </c>
      <c r="X61" s="160">
        <v>0</v>
      </c>
      <c r="Y61" s="160">
        <v>0</v>
      </c>
      <c r="Z61" s="160">
        <v>0</v>
      </c>
      <c r="AA61" s="160">
        <v>0</v>
      </c>
      <c r="AB61" s="160">
        <v>0</v>
      </c>
      <c r="AC61" s="160">
        <v>1.7538885804166794E-6</v>
      </c>
      <c r="AD61" s="161">
        <v>0</v>
      </c>
      <c r="AG61" s="159">
        <f>AG60+1</f>
        <v>58</v>
      </c>
      <c r="AH61" s="160">
        <v>0</v>
      </c>
      <c r="AI61" s="160">
        <v>0</v>
      </c>
      <c r="AJ61" s="160">
        <v>0</v>
      </c>
      <c r="AK61" s="160">
        <v>0</v>
      </c>
      <c r="AL61" s="160">
        <v>0</v>
      </c>
      <c r="AM61" s="160">
        <v>0</v>
      </c>
      <c r="AN61" s="160">
        <v>0</v>
      </c>
      <c r="AO61" s="160">
        <v>0</v>
      </c>
      <c r="AP61" s="160">
        <v>5.2000720008142973E-6</v>
      </c>
      <c r="AQ61" s="160">
        <v>0</v>
      </c>
      <c r="AR61" s="200">
        <f t="shared" si="5"/>
        <v>4.9920691207817257E-7</v>
      </c>
    </row>
    <row r="62" spans="8:44" ht="16" thickBot="1" x14ac:dyDescent="0.25">
      <c r="H62" s="158" t="s">
        <v>244</v>
      </c>
      <c r="I62" s="184">
        <v>14.580772071355785</v>
      </c>
      <c r="J62" s="184">
        <v>15.460317931840995</v>
      </c>
      <c r="K62" s="184">
        <v>13.76721450538988</v>
      </c>
      <c r="L62" s="184">
        <v>14.598541071094278</v>
      </c>
      <c r="M62" s="184">
        <v>14.84987382267232</v>
      </c>
      <c r="N62" s="184">
        <v>15.240489476016625</v>
      </c>
      <c r="O62" s="184">
        <v>15.182008269953853</v>
      </c>
      <c r="P62" s="184">
        <v>15.022309576138591</v>
      </c>
      <c r="Q62" s="184">
        <v>15.765044595617068</v>
      </c>
      <c r="R62" s="185">
        <v>14.732871281014914</v>
      </c>
      <c r="T62" s="158" t="s">
        <v>244</v>
      </c>
      <c r="U62" s="162">
        <v>18.158022775147909</v>
      </c>
      <c r="V62" s="162">
        <v>19.574462711555078</v>
      </c>
      <c r="W62" s="184">
        <v>16.853718385453028</v>
      </c>
      <c r="X62" s="184">
        <v>18.166787667891651</v>
      </c>
      <c r="Y62" s="162">
        <v>18.606680996697385</v>
      </c>
      <c r="Z62" s="162">
        <v>19.203096587217757</v>
      </c>
      <c r="AA62" s="162">
        <v>19.199220954684929</v>
      </c>
      <c r="AB62" s="162">
        <v>18.839559917359619</v>
      </c>
      <c r="AC62" s="162">
        <v>20.306085160780867</v>
      </c>
      <c r="AD62" s="163">
        <v>18.387370647548551</v>
      </c>
      <c r="AG62" s="158" t="s">
        <v>244</v>
      </c>
      <c r="AH62" s="184">
        <v>25.286774593194671</v>
      </c>
      <c r="AI62" s="184">
        <v>27.794982348889434</v>
      </c>
      <c r="AJ62" s="184">
        <v>22.998010450012728</v>
      </c>
      <c r="AK62" s="184">
        <v>25.284465316840187</v>
      </c>
      <c r="AL62" s="184">
        <v>26.10194460284497</v>
      </c>
      <c r="AM62" s="184">
        <v>27.113315905001311</v>
      </c>
      <c r="AN62" s="184">
        <v>27.237676379683588</v>
      </c>
      <c r="AO62" s="184">
        <v>26.454145243820264</v>
      </c>
      <c r="AP62" s="184">
        <v>29.470021107130421</v>
      </c>
      <c r="AQ62" s="184">
        <v>25.676276261203292</v>
      </c>
      <c r="AR62" s="200">
        <f>SUM(AR3:AR58)</f>
        <v>26.327686161786691</v>
      </c>
    </row>
    <row r="63" spans="8:44" ht="16" thickBot="1" x14ac:dyDescent="0.25">
      <c r="H63" s="158" t="s">
        <v>302</v>
      </c>
      <c r="I63" s="189">
        <f>I62*$B$40</f>
        <v>1183754.509888595</v>
      </c>
      <c r="J63" s="189">
        <f t="shared" ref="J63:Q63" si="6">J62*$B$40</f>
        <v>1255161.3170115596</v>
      </c>
      <c r="K63" s="189">
        <f t="shared" si="6"/>
        <v>1117705.0282114167</v>
      </c>
      <c r="L63" s="189">
        <f t="shared" si="6"/>
        <v>1185197.1038386077</v>
      </c>
      <c r="M63" s="189">
        <f t="shared" si="6"/>
        <v>1205601.8037205634</v>
      </c>
      <c r="N63" s="189">
        <f t="shared" si="6"/>
        <v>1237314.3247733943</v>
      </c>
      <c r="O63" s="189">
        <f t="shared" si="6"/>
        <v>1232566.4697845266</v>
      </c>
      <c r="P63" s="189">
        <f t="shared" si="6"/>
        <v>1219601.172192466</v>
      </c>
      <c r="Q63" s="189">
        <f t="shared" si="6"/>
        <v>1279900.8548606476</v>
      </c>
      <c r="R63" s="189">
        <f>R62*$B$40</f>
        <v>1196102.8357867957</v>
      </c>
      <c r="S63" s="159"/>
      <c r="T63" s="158" t="s">
        <v>303</v>
      </c>
      <c r="U63" s="190">
        <f>U62*$B$40</f>
        <v>1474177.1728924976</v>
      </c>
      <c r="V63" s="190">
        <f t="shared" ref="V63:AD63" si="7">V62*$B$40</f>
        <v>1589172.2605670553</v>
      </c>
      <c r="W63" s="190">
        <f t="shared" si="7"/>
        <v>1368285.9213172826</v>
      </c>
      <c r="X63" s="190">
        <f t="shared" si="7"/>
        <v>1474888.7594438351</v>
      </c>
      <c r="Y63" s="190">
        <f t="shared" si="7"/>
        <v>1510601.9376826384</v>
      </c>
      <c r="Z63" s="190">
        <f t="shared" si="7"/>
        <v>1559022.5317081998</v>
      </c>
      <c r="AA63" s="190">
        <f t="shared" si="7"/>
        <v>1558707.8846190774</v>
      </c>
      <c r="AB63" s="190">
        <f t="shared" si="7"/>
        <v>1529508.4449130388</v>
      </c>
      <c r="AC63" s="190">
        <f t="shared" si="7"/>
        <v>1648569.7581459498</v>
      </c>
      <c r="AD63" s="191">
        <f t="shared" si="7"/>
        <v>1492797.0084512033</v>
      </c>
      <c r="AG63" s="158" t="s">
        <v>248</v>
      </c>
      <c r="AH63" s="164">
        <v>2.4E-2</v>
      </c>
      <c r="AI63" s="164">
        <v>1.3999999999999999E-2</v>
      </c>
      <c r="AJ63" s="164">
        <v>0.12</v>
      </c>
      <c r="AK63" s="164">
        <v>0.12</v>
      </c>
      <c r="AL63" s="164">
        <v>0.12</v>
      </c>
      <c r="AM63" s="164">
        <v>6.9999999999999993E-2</v>
      </c>
      <c r="AN63" s="164">
        <v>0.24</v>
      </c>
      <c r="AO63" s="164">
        <v>0.13999999999999999</v>
      </c>
      <c r="AP63" s="164">
        <v>9.6000000000000002E-2</v>
      </c>
      <c r="AQ63" s="165">
        <v>5.5999999999999994E-2</v>
      </c>
    </row>
    <row r="64" spans="8:44" ht="16" thickBot="1" x14ac:dyDescent="0.25">
      <c r="H64" s="158" t="s">
        <v>248</v>
      </c>
      <c r="I64" s="164">
        <v>2.4E-2</v>
      </c>
      <c r="J64" s="164">
        <v>1.3999999999999999E-2</v>
      </c>
      <c r="K64" s="164">
        <v>0.12</v>
      </c>
      <c r="L64" s="164">
        <v>0.12</v>
      </c>
      <c r="M64" s="164">
        <v>0.12</v>
      </c>
      <c r="N64" s="164">
        <v>6.9999999999999993E-2</v>
      </c>
      <c r="O64" s="164">
        <v>0.24</v>
      </c>
      <c r="P64" s="164">
        <v>0.13999999999999999</v>
      </c>
      <c r="Q64" s="164">
        <v>9.6000000000000002E-2</v>
      </c>
      <c r="R64" s="165">
        <v>5.5999999999999994E-2</v>
      </c>
      <c r="T64" s="158" t="s">
        <v>248</v>
      </c>
      <c r="U64" s="164">
        <v>2.4E-2</v>
      </c>
      <c r="V64" s="164">
        <v>1.3999999999999999E-2</v>
      </c>
      <c r="W64" s="164">
        <v>0.12</v>
      </c>
      <c r="X64" s="164">
        <v>0.12</v>
      </c>
      <c r="Y64" s="164">
        <v>0.12</v>
      </c>
      <c r="Z64" s="164">
        <v>6.9999999999999993E-2</v>
      </c>
      <c r="AA64" s="164">
        <v>0.24</v>
      </c>
      <c r="AB64" s="164">
        <v>0.13999999999999999</v>
      </c>
      <c r="AC64" s="164">
        <v>9.6000000000000002E-2</v>
      </c>
      <c r="AD64" s="165">
        <v>5.5999999999999994E-2</v>
      </c>
      <c r="AG64" s="112" t="s">
        <v>249</v>
      </c>
      <c r="AH64" s="167">
        <f>SUMPRODUCT(AH62:AQ62,AH63:AQ63)</f>
        <v>26.327691063005766</v>
      </c>
    </row>
    <row r="65" spans="8:21" ht="16" thickBot="1" x14ac:dyDescent="0.25">
      <c r="H65" s="112" t="s">
        <v>249</v>
      </c>
      <c r="I65" s="167">
        <f>SUMPRODUCT(I62:R62,I64:R64)</f>
        <v>14.904383170342655</v>
      </c>
      <c r="T65" s="112" t="s">
        <v>249</v>
      </c>
      <c r="U65" s="167">
        <f>SUMPRODUCT(U62:AD62,U64:AD64)</f>
        <v>18.713742580928024</v>
      </c>
    </row>
    <row r="66" spans="8:21" ht="16" thickBot="1" x14ac:dyDescent="0.25">
      <c r="H66" s="112" t="s">
        <v>304</v>
      </c>
      <c r="I66" s="192">
        <f>SUMPRODUCT(I63:R63,I64:R64)</f>
        <v>1210027.1994280107</v>
      </c>
      <c r="J66" s="166"/>
      <c r="K66" s="166"/>
      <c r="L66" s="166"/>
      <c r="M66" s="166"/>
      <c r="N66" s="166"/>
      <c r="O66" s="166"/>
      <c r="P66" s="166"/>
      <c r="Q66" s="166"/>
      <c r="R66" s="166"/>
      <c r="T66" s="112" t="s">
        <v>305</v>
      </c>
      <c r="U66" s="192">
        <f>SUMPRODUCT(U63:AD63,U64:AD64)</f>
        <v>1519293.839081866</v>
      </c>
    </row>
  </sheetData>
  <mergeCells count="3">
    <mergeCell ref="H1:R1"/>
    <mergeCell ref="T1:AD1"/>
    <mergeCell ref="AG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"/>
  <sheetData>
    <row r="1" spans="1:1" x14ac:dyDescent="0.2">
      <c r="A1" t="s">
        <v>250</v>
      </c>
    </row>
    <row r="2" spans="1:1" x14ac:dyDescent="0.2">
      <c r="A2" t="s">
        <v>251</v>
      </c>
    </row>
    <row r="3" spans="1:1" x14ac:dyDescent="0.2">
      <c r="A3" t="s">
        <v>252</v>
      </c>
    </row>
    <row r="4" spans="1:1" x14ac:dyDescent="0.2">
      <c r="A4" t="s">
        <v>253</v>
      </c>
    </row>
    <row r="5" spans="1:1" x14ac:dyDescent="0.2">
      <c r="A5" t="s">
        <v>254</v>
      </c>
    </row>
    <row r="6" spans="1:1" x14ac:dyDescent="0.2">
      <c r="A6" t="s">
        <v>255</v>
      </c>
    </row>
    <row r="7" spans="1:1" x14ac:dyDescent="0.2">
      <c r="A7" t="s">
        <v>256</v>
      </c>
    </row>
    <row r="8" spans="1:1" x14ac:dyDescent="0.2">
      <c r="A8" t="s">
        <v>257</v>
      </c>
    </row>
    <row r="9" spans="1:1" x14ac:dyDescent="0.2">
      <c r="A9" t="s">
        <v>258</v>
      </c>
    </row>
    <row r="10" spans="1:1" x14ac:dyDescent="0.2">
      <c r="A10" t="s">
        <v>259</v>
      </c>
    </row>
    <row r="11" spans="1:1" x14ac:dyDescent="0.2">
      <c r="A11" t="s">
        <v>260</v>
      </c>
    </row>
    <row r="12" spans="1:1" x14ac:dyDescent="0.2">
      <c r="A12" t="s">
        <v>261</v>
      </c>
    </row>
    <row r="13" spans="1:1" x14ac:dyDescent="0.2">
      <c r="A13" t="s">
        <v>262</v>
      </c>
    </row>
    <row r="14" spans="1:1" x14ac:dyDescent="0.2">
      <c r="A14" t="s">
        <v>263</v>
      </c>
    </row>
    <row r="15" spans="1:1" x14ac:dyDescent="0.2">
      <c r="A15" t="s">
        <v>264</v>
      </c>
    </row>
    <row r="18" spans="1:1" x14ac:dyDescent="0.2">
      <c r="A18" t="s">
        <v>265</v>
      </c>
    </row>
    <row r="19" spans="1:1" x14ac:dyDescent="0.2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16"/>
  <sheetViews>
    <sheetView zoomScale="90" zoomScaleNormal="90" workbookViewId="0">
      <selection activeCell="D14" sqref="D14"/>
    </sheetView>
  </sheetViews>
  <sheetFormatPr baseColWidth="10" defaultRowHeight="15" x14ac:dyDescent="0.2"/>
  <cols>
    <col min="1" max="18" width="20.6640625" customWidth="1"/>
  </cols>
  <sheetData>
    <row r="1" spans="1:18" ht="16" thickBot="1" x14ac:dyDescent="0.25"/>
    <row r="2" spans="1:18" ht="16" thickBot="1" x14ac:dyDescent="0.25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7" t="s">
        <v>325</v>
      </c>
    </row>
    <row r="3" spans="1:18" x14ac:dyDescent="0.2">
      <c r="A3">
        <v>1</v>
      </c>
      <c r="B3">
        <v>65</v>
      </c>
      <c r="C3" t="s">
        <v>26</v>
      </c>
      <c r="D3" s="208">
        <v>1.4999999999999999E-2</v>
      </c>
      <c r="E3" t="s">
        <v>326</v>
      </c>
      <c r="F3">
        <v>35</v>
      </c>
      <c r="G3" s="213">
        <f>'Section 4_1'!D53</f>
        <v>163914.31773038019</v>
      </c>
      <c r="H3" s="213">
        <f>'Section 4_1'!F53</f>
        <v>154639.99327274557</v>
      </c>
      <c r="I3" s="213">
        <f>'Section 4_1'!H53</f>
        <v>81185.996468191428</v>
      </c>
      <c r="J3" s="208">
        <f>'Section 4_1'!I53</f>
        <v>0.49529533229508882</v>
      </c>
      <c r="K3" s="214">
        <f>'Section 4_1'!T62</f>
        <v>13.446401820403024</v>
      </c>
      <c r="L3" s="213">
        <f>'Section 4_1'!T63</f>
        <v>1091659.5307011227</v>
      </c>
      <c r="M3" s="213">
        <f>'Section 4_1'!M53</f>
        <v>463867.18839905225</v>
      </c>
      <c r="N3" s="213">
        <f>'Section 4_1'!P53</f>
        <v>627792.34230207035</v>
      </c>
      <c r="O3" s="213">
        <f>'Section 4_1'!Q53</f>
        <v>1091659.5307011227</v>
      </c>
      <c r="P3" s="208">
        <f>'Section 4_1'!E9</f>
        <v>0.05</v>
      </c>
      <c r="Q3" s="117">
        <f>'Section 4_1'!E10</f>
        <v>6.7669406028563278E-2</v>
      </c>
      <c r="R3" s="208">
        <f t="shared" ref="R3:R8" si="0">P3+Q3</f>
        <v>0.11766940602856328</v>
      </c>
    </row>
    <row r="4" spans="1:18" x14ac:dyDescent="0.2">
      <c r="A4">
        <v>2</v>
      </c>
      <c r="B4">
        <v>65</v>
      </c>
      <c r="C4" t="s">
        <v>26</v>
      </c>
      <c r="D4" s="117">
        <v>1.4999999999999999E-2</v>
      </c>
      <c r="E4" t="s">
        <v>331</v>
      </c>
      <c r="F4">
        <v>35</v>
      </c>
      <c r="G4" s="213">
        <f>'Section 4_2'!D53</f>
        <v>163914.31773038019</v>
      </c>
      <c r="H4" s="213">
        <f>'Section 4_2'!F53</f>
        <v>154639.99327274557</v>
      </c>
      <c r="I4" s="213">
        <f>'Section 4_2'!H53</f>
        <v>81185.996468191428</v>
      </c>
      <c r="J4" s="208">
        <f>'Section 4_2'!I53</f>
        <v>0.49529533229508882</v>
      </c>
      <c r="K4" s="214">
        <f>'Section 4_2'!T62</f>
        <v>15.214909080778602</v>
      </c>
      <c r="L4" s="213">
        <f>'Section 4_2'!T63</f>
        <v>1235237.5548959454</v>
      </c>
      <c r="M4" s="213">
        <f>'Section 4_2'!M53</f>
        <v>463867.18839905225</v>
      </c>
      <c r="N4" s="213">
        <f>'Section 4_2'!P53</f>
        <v>771370.36649689288</v>
      </c>
      <c r="O4" s="213">
        <f>'Section 4_2'!Q53</f>
        <v>1235237.5548959451</v>
      </c>
      <c r="P4" s="208">
        <f>'Section 4_2'!E9</f>
        <v>0.05</v>
      </c>
      <c r="Q4" s="117">
        <f>'Section 4_2'!E10</f>
        <v>8.3145605659146596E-2</v>
      </c>
      <c r="R4" s="208">
        <f t="shared" si="0"/>
        <v>0.1331456056591466</v>
      </c>
    </row>
    <row r="5" spans="1:18" x14ac:dyDescent="0.2">
      <c r="A5">
        <v>3</v>
      </c>
      <c r="B5">
        <v>65</v>
      </c>
      <c r="C5" t="s">
        <v>337</v>
      </c>
      <c r="D5" s="117">
        <v>1.4999999999999999E-2</v>
      </c>
      <c r="E5" t="s">
        <v>338</v>
      </c>
      <c r="F5">
        <v>35</v>
      </c>
      <c r="G5" s="213">
        <f>'Section 2 v2'!D53</f>
        <v>163914.31773038019</v>
      </c>
      <c r="H5" s="213">
        <f>'Section 2 v2'!F53</f>
        <v>154639.99327274557</v>
      </c>
      <c r="I5" s="213">
        <f>'Section 2 v2'!H53</f>
        <v>81185.996468191428</v>
      </c>
      <c r="J5" s="208">
        <f>'Section 2 v2'!I53</f>
        <v>0.49529533229508882</v>
      </c>
      <c r="K5" s="214">
        <f>'Section 3'!I65</f>
        <v>14.904383170342655</v>
      </c>
      <c r="L5" s="213">
        <f>'Section 3'!I66</f>
        <v>1210027.1994280107</v>
      </c>
      <c r="M5" s="213">
        <f>'Section 2 v2'!M53</f>
        <v>463867.18839905225</v>
      </c>
      <c r="N5" s="213">
        <f>'Section 2 v2'!P53</f>
        <v>746160.01102895837</v>
      </c>
      <c r="O5" s="213">
        <f>'Section 2 v2'!Q53</f>
        <v>1210027.1994280107</v>
      </c>
      <c r="P5" s="208">
        <f>'Section 2 v2'!E9</f>
        <v>0.05</v>
      </c>
      <c r="Q5" s="117">
        <f>'Section 2 v2'!E10</f>
        <v>8.0428194717132862E-2</v>
      </c>
      <c r="R5" s="208">
        <f t="shared" si="0"/>
        <v>0.13042819471713285</v>
      </c>
    </row>
    <row r="6" spans="1:18" x14ac:dyDescent="0.2">
      <c r="A6">
        <v>4</v>
      </c>
      <c r="B6">
        <v>65</v>
      </c>
      <c r="C6" s="215" t="s">
        <v>337</v>
      </c>
      <c r="D6" s="117">
        <v>1.4999999999999999E-2</v>
      </c>
      <c r="E6" t="s">
        <v>341</v>
      </c>
      <c r="F6">
        <v>35</v>
      </c>
      <c r="G6" s="213">
        <f>'Section 2 v3'!D53</f>
        <v>163914.31773038019</v>
      </c>
      <c r="H6" s="213">
        <f>'Section 2 v3'!F53</f>
        <v>154639.99327274557</v>
      </c>
      <c r="I6" s="213">
        <f>'Section 2 v3'!H53</f>
        <v>81185.996468191428</v>
      </c>
      <c r="J6" s="208">
        <f>'Section 2 v3'!I53</f>
        <v>0.49529533229508882</v>
      </c>
      <c r="K6" s="214">
        <f>'Section 3'!U65</f>
        <v>18.713742580928024</v>
      </c>
      <c r="L6" s="213">
        <f>'Section 3'!U66</f>
        <v>1519293.839081866</v>
      </c>
      <c r="M6" s="213">
        <f>'Section 2 v3'!M53</f>
        <v>556640.62607886258</v>
      </c>
      <c r="N6" s="213">
        <f>'Section 2 v3'!P53</f>
        <v>962653.21300300339</v>
      </c>
      <c r="O6" s="213">
        <f>'Section 2 v3'!Q53</f>
        <v>1519293.839081866</v>
      </c>
      <c r="P6" s="117">
        <f>'Section 2 v3'!E9</f>
        <v>0.06</v>
      </c>
      <c r="Q6" s="117">
        <f>'Section 2 v3'!E10</f>
        <v>0.10376388296889619</v>
      </c>
      <c r="R6" s="117">
        <f t="shared" si="0"/>
        <v>0.16376388296889619</v>
      </c>
    </row>
    <row r="7" spans="1:18" x14ac:dyDescent="0.2">
      <c r="A7" t="s">
        <v>344</v>
      </c>
      <c r="B7">
        <v>65</v>
      </c>
      <c r="C7" t="s">
        <v>26</v>
      </c>
      <c r="D7" s="117">
        <v>1.4999999999999999E-2</v>
      </c>
      <c r="E7" t="s">
        <v>346</v>
      </c>
      <c r="F7">
        <v>35</v>
      </c>
      <c r="G7" s="213">
        <f>'Section 4_5'!D54</f>
        <v>163914.31773038019</v>
      </c>
      <c r="H7" s="213">
        <f>'Section 4_5'!F54</f>
        <v>154639.99327274557</v>
      </c>
      <c r="I7" s="213">
        <f>'Section 4_5'!H54</f>
        <v>81185.996468191428</v>
      </c>
      <c r="J7" s="208">
        <f>'Section 4_5'!I54</f>
        <v>0.49529533229508882</v>
      </c>
      <c r="K7" s="214">
        <f>'Section 4_5'!T63</f>
        <v>14.638838166892095</v>
      </c>
      <c r="L7" s="213">
        <f>'Section 4_5'!T64</f>
        <v>1188468.6637157274</v>
      </c>
      <c r="M7" s="213">
        <f>'Section 4_5'!M54</f>
        <v>463867.18839905225</v>
      </c>
      <c r="N7" s="213">
        <v>724602.29632627475</v>
      </c>
      <c r="O7" s="213">
        <v>1188469.484725327</v>
      </c>
      <c r="P7" s="208">
        <f>'Section 4_5'!E10</f>
        <v>0.05</v>
      </c>
      <c r="Q7" s="208">
        <v>7.8104499999999993E-2</v>
      </c>
      <c r="R7" s="208">
        <f t="shared" si="0"/>
        <v>0.12810450000000001</v>
      </c>
    </row>
    <row r="8" spans="1:18" x14ac:dyDescent="0.2">
      <c r="A8" t="s">
        <v>345</v>
      </c>
      <c r="B8">
        <v>65</v>
      </c>
      <c r="C8" t="s">
        <v>26</v>
      </c>
      <c r="D8" s="117">
        <v>1.4999999999999999E-2</v>
      </c>
      <c r="E8" t="s">
        <v>342</v>
      </c>
      <c r="F8">
        <v>35</v>
      </c>
      <c r="G8" s="213">
        <f>'Section 4_5'!D54</f>
        <v>163914.31773038019</v>
      </c>
      <c r="H8" s="213">
        <f>'Section 4_5'!F54</f>
        <v>154639.99327274557</v>
      </c>
      <c r="I8" s="213">
        <f>'Section 4_5'!H54</f>
        <v>81185.996468191428</v>
      </c>
      <c r="J8" s="208">
        <f>'Section 4_5'!I54</f>
        <v>0.49529533229508882</v>
      </c>
      <c r="K8" s="214">
        <f>'Section 4_5'!U63</f>
        <v>15.466787698552865</v>
      </c>
      <c r="L8" s="213">
        <f>'Section 4_5'!U64</f>
        <v>1255686.5714689796</v>
      </c>
      <c r="M8" s="213">
        <f>'Section 4_5'!M54</f>
        <v>463867.18839905225</v>
      </c>
      <c r="N8" s="213">
        <v>791819.43512842862</v>
      </c>
      <c r="O8" s="213">
        <v>1255686.6235274808</v>
      </c>
      <c r="P8" s="208">
        <f>'Section 4_5'!E10</f>
        <v>0.05</v>
      </c>
      <c r="Q8" s="208">
        <v>8.5349800000000003E-2</v>
      </c>
      <c r="R8" s="208">
        <f t="shared" si="0"/>
        <v>0.13534980000000002</v>
      </c>
    </row>
    <row r="9" spans="1:18" x14ac:dyDescent="0.2">
      <c r="A9">
        <v>6</v>
      </c>
      <c r="B9">
        <v>65</v>
      </c>
      <c r="C9" t="s">
        <v>26</v>
      </c>
      <c r="D9" s="117">
        <v>1.4999999999999999E-2</v>
      </c>
      <c r="E9" t="s">
        <v>352</v>
      </c>
      <c r="F9">
        <v>35</v>
      </c>
      <c r="G9" s="213">
        <f>'Section 4_6'!D53</f>
        <v>163914.31773038019</v>
      </c>
      <c r="H9" s="213">
        <f>'Section 4_6'!F53</f>
        <v>154639.99327274557</v>
      </c>
      <c r="I9" s="213">
        <f>'Section 4_6'!H53</f>
        <v>81185.996468191428</v>
      </c>
      <c r="J9" s="208">
        <f>'Section 4_6'!I53</f>
        <v>0.49529533229508882</v>
      </c>
      <c r="K9" s="214">
        <f>'Section 4_6'!T62</f>
        <v>15.466787698552865</v>
      </c>
      <c r="L9" s="213">
        <f>'Section 4_6'!T63</f>
        <v>1255686.5714689796</v>
      </c>
      <c r="M9" s="213">
        <f>'Section 4_6'!M53</f>
        <v>510343.80179987015</v>
      </c>
      <c r="N9" s="213">
        <f>'Section 4_6'!P53</f>
        <v>745342.76966910949</v>
      </c>
      <c r="O9" s="213">
        <f>'Section 4_6'!Q53</f>
        <v>1255686.5714689796</v>
      </c>
      <c r="P9" s="208">
        <f>'Section 4_6'!E9</f>
        <v>0.05</v>
      </c>
      <c r="Q9" s="117">
        <f>'Section 4_6'!E10</f>
        <v>7.3023593804847811E-2</v>
      </c>
      <c r="R9" s="208">
        <f>P9+Q9</f>
        <v>0.12302359380484781</v>
      </c>
    </row>
    <row r="10" spans="1:18" x14ac:dyDescent="0.2">
      <c r="A10">
        <v>7</v>
      </c>
      <c r="B10">
        <v>65</v>
      </c>
      <c r="C10" t="s">
        <v>26</v>
      </c>
      <c r="D10" s="117">
        <v>1.4999999999999999E-2</v>
      </c>
      <c r="E10" t="s">
        <v>354</v>
      </c>
      <c r="F10">
        <v>35</v>
      </c>
      <c r="G10" s="213">
        <f>'Section 4_7'!D53</f>
        <v>193251.62004934295</v>
      </c>
      <c r="H10" s="213">
        <f>'Section 4_7'!F53</f>
        <v>180616.02553664282</v>
      </c>
      <c r="I10" s="213">
        <f>'Section 4_7'!H53</f>
        <v>94823.413406737483</v>
      </c>
      <c r="J10" s="208">
        <f>'Section 4_7'!I53</f>
        <v>0.49067331690428373</v>
      </c>
      <c r="K10" s="214">
        <f>'Section 4_7'!T62</f>
        <v>15.466787698552865</v>
      </c>
      <c r="L10" s="213">
        <f>'Section 4_7'!T63</f>
        <v>1466613.6040141201</v>
      </c>
      <c r="M10" s="213">
        <f>'Section 4_7'!M53</f>
        <v>498159.23183773505</v>
      </c>
      <c r="N10" s="213">
        <f>'Section 4_7'!P53</f>
        <v>968454.37217638548</v>
      </c>
      <c r="O10" s="213">
        <f>'Section 4_7'!Q53</f>
        <v>1466613.6040141205</v>
      </c>
      <c r="P10" s="208">
        <f>'Section 4_7'!E9</f>
        <v>0.05</v>
      </c>
      <c r="Q10" s="117">
        <f>'Section 4_7'!E10</f>
        <v>9.7203294677859028E-2</v>
      </c>
      <c r="R10" s="208">
        <f>P10+Q10</f>
        <v>0.14720329467785903</v>
      </c>
    </row>
    <row r="11" spans="1:18" x14ac:dyDescent="0.2">
      <c r="A11" t="s">
        <v>356</v>
      </c>
      <c r="B11">
        <v>65</v>
      </c>
      <c r="C11" t="s">
        <v>26</v>
      </c>
      <c r="D11" s="117">
        <v>1.4999999999999999E-2</v>
      </c>
      <c r="E11" t="s">
        <v>360</v>
      </c>
      <c r="F11">
        <v>35</v>
      </c>
      <c r="G11" s="213">
        <f>'Section 4_8'!$D$54</f>
        <v>163914.31773038019</v>
      </c>
      <c r="H11" s="213">
        <f>'Section 4_8'!$F$54</f>
        <v>154639.99327274557</v>
      </c>
      <c r="I11" s="213">
        <f>'Section 4_8'!$H$54</f>
        <v>81185.996468191428</v>
      </c>
      <c r="J11" s="208">
        <f>'Section 4_8'!$I$54</f>
        <v>0.49529533229508882</v>
      </c>
      <c r="K11" s="214">
        <f>'Section 4_8'!T63</f>
        <v>15.466787698552865</v>
      </c>
      <c r="L11" s="213">
        <f>'Section 4_8'!T64</f>
        <v>1255686.5714689796</v>
      </c>
      <c r="M11" s="213">
        <f>'Section 4_8'!$M$54</f>
        <v>463867.18839905225</v>
      </c>
      <c r="N11" s="213">
        <v>791819.43512842862</v>
      </c>
      <c r="O11" s="213">
        <v>1255686.6235274808</v>
      </c>
      <c r="P11" s="208">
        <f>'Section 4_8'!$E$10</f>
        <v>0.05</v>
      </c>
      <c r="Q11" s="117">
        <v>8.5349800000000003E-2</v>
      </c>
      <c r="R11" s="208">
        <f>P11+Q11</f>
        <v>0.13534980000000002</v>
      </c>
    </row>
    <row r="12" spans="1:18" x14ac:dyDescent="0.2">
      <c r="A12" t="s">
        <v>357</v>
      </c>
      <c r="B12">
        <v>65</v>
      </c>
      <c r="C12" t="s">
        <v>26</v>
      </c>
      <c r="D12" s="117">
        <v>1.4999999999999999E-2</v>
      </c>
      <c r="E12" t="s">
        <v>361</v>
      </c>
      <c r="F12">
        <v>35</v>
      </c>
      <c r="G12" s="213">
        <f>'Section 4_8'!$D$54</f>
        <v>163914.31773038019</v>
      </c>
      <c r="H12" s="213">
        <f>'Section 4_8'!$F$54</f>
        <v>154639.99327274557</v>
      </c>
      <c r="I12" s="213">
        <f>'Section 4_8'!$H$54</f>
        <v>81185.996468191428</v>
      </c>
      <c r="J12" s="208">
        <f>'Section 4_8'!$I$54</f>
        <v>0.49529533229508882</v>
      </c>
      <c r="K12" s="214">
        <f>'Section 4_8'!U63</f>
        <v>15.247296918473545</v>
      </c>
      <c r="L12" s="213">
        <f>'Section 4_8'!U64</f>
        <v>1237866.9937726592</v>
      </c>
      <c r="M12" s="213">
        <f>'Section 4_8'!$M$54</f>
        <v>463867.18839905225</v>
      </c>
      <c r="N12" s="213">
        <v>773999.51321889018</v>
      </c>
      <c r="O12" s="213">
        <v>1237866.7016179424</v>
      </c>
      <c r="P12" s="208">
        <f>'Section 4_8'!$E$10</f>
        <v>0.05</v>
      </c>
      <c r="Q12" s="117">
        <v>8.3429000000000003E-2</v>
      </c>
      <c r="R12" s="208">
        <f t="shared" ref="R12:R14" si="1">P12+Q12</f>
        <v>0.13342900000000002</v>
      </c>
    </row>
    <row r="13" spans="1:18" x14ac:dyDescent="0.2">
      <c r="A13" t="s">
        <v>358</v>
      </c>
      <c r="B13">
        <v>65</v>
      </c>
      <c r="C13" t="s">
        <v>26</v>
      </c>
      <c r="D13" s="117">
        <v>1.4999999999999999E-2</v>
      </c>
      <c r="E13" t="s">
        <v>362</v>
      </c>
      <c r="F13">
        <v>35</v>
      </c>
      <c r="G13" s="213">
        <f>'Section 4_8'!$D$54</f>
        <v>163914.31773038019</v>
      </c>
      <c r="H13" s="213">
        <f>'Section 4_8'!$F$54</f>
        <v>154639.99327274557</v>
      </c>
      <c r="I13" s="213">
        <f>'Section 4_8'!$H$54</f>
        <v>81185.996468191428</v>
      </c>
      <c r="J13" s="208">
        <f>'Section 4_8'!$I$54</f>
        <v>0.49529533229508882</v>
      </c>
      <c r="K13" s="214">
        <f>'Section 4_8'!V63</f>
        <v>15.343469960079055</v>
      </c>
      <c r="L13" s="213">
        <f>'Section 4_8'!V64</f>
        <v>1245674.8979887795</v>
      </c>
      <c r="M13" s="213">
        <f>'Section 4_8'!$M$54</f>
        <v>463867.18839905225</v>
      </c>
      <c r="N13" s="213">
        <v>781807.32573402324</v>
      </c>
      <c r="O13" s="213">
        <v>1245674.5141330755</v>
      </c>
      <c r="P13" s="208">
        <f>'Section 4_8'!$E$10</f>
        <v>0.05</v>
      </c>
      <c r="Q13" s="117">
        <v>8.4270600000000001E-2</v>
      </c>
      <c r="R13" s="208">
        <f t="shared" si="1"/>
        <v>0.13427060000000002</v>
      </c>
    </row>
    <row r="14" spans="1:18" x14ac:dyDescent="0.2">
      <c r="A14" t="s">
        <v>359</v>
      </c>
      <c r="B14">
        <v>65</v>
      </c>
      <c r="C14" t="s">
        <v>26</v>
      </c>
      <c r="D14" s="117">
        <v>1.4999999999999999E-2</v>
      </c>
      <c r="E14" t="s">
        <v>363</v>
      </c>
      <c r="F14">
        <v>35</v>
      </c>
      <c r="G14" s="213">
        <f>'Section 4_8'!$D$54</f>
        <v>163914.31773038019</v>
      </c>
      <c r="H14" s="213">
        <f>'Section 4_8'!$F$54</f>
        <v>154639.99327274557</v>
      </c>
      <c r="I14" s="213">
        <f>'Section 4_8'!$H$54</f>
        <v>81185.996468191428</v>
      </c>
      <c r="J14" s="208">
        <f>'Section 4_8'!$I$54</f>
        <v>0.49529533229508882</v>
      </c>
      <c r="K14" s="214">
        <f>'Section 4_8'!W63</f>
        <v>15.182008269953853</v>
      </c>
      <c r="L14" s="213">
        <f>'Section 4_8'!W64</f>
        <v>1232566.4697845266</v>
      </c>
      <c r="M14" s="213">
        <f>'Section 4_8'!$M$54</f>
        <v>463867.18839905225</v>
      </c>
      <c r="N14" s="213">
        <v>768698.34621642798</v>
      </c>
      <c r="O14" s="213">
        <v>1232565.5346154803</v>
      </c>
      <c r="P14" s="208">
        <f>'Section 4_8'!$E$10</f>
        <v>0.05</v>
      </c>
      <c r="Q14" s="117">
        <v>8.2857589999999995E-2</v>
      </c>
      <c r="R14" s="208">
        <f t="shared" si="1"/>
        <v>0.13285759</v>
      </c>
    </row>
    <row r="15" spans="1:18" x14ac:dyDescent="0.2">
      <c r="A15" t="s">
        <v>373</v>
      </c>
      <c r="B15">
        <v>65</v>
      </c>
      <c r="C15" t="s">
        <v>337</v>
      </c>
      <c r="D15" s="117">
        <v>1.4999999999999999E-2</v>
      </c>
      <c r="E15" t="s">
        <v>375</v>
      </c>
      <c r="F15">
        <v>30</v>
      </c>
      <c r="G15" s="213">
        <f>'Section 4_9_1'!D48</f>
        <v>141393.93036056284</v>
      </c>
      <c r="H15" s="213">
        <f>'Section 4_9_1'!F48</f>
        <v>133393.8166141783</v>
      </c>
      <c r="I15" s="213">
        <f>'Section 4_9_1'!H48</f>
        <v>60027.217476380232</v>
      </c>
      <c r="J15" s="208">
        <f>'Section 4_9_1'!I48</f>
        <v>0.42453885625293319</v>
      </c>
      <c r="K15" s="214">
        <f>'Section 3'!I65</f>
        <v>14.904383170342655</v>
      </c>
      <c r="L15" s="213">
        <f>'Section 4_9_1'!E12</f>
        <v>894668.64991746005</v>
      </c>
      <c r="M15" s="213">
        <f>'Section 4_9_1'!M48</f>
        <v>319579.32127499604</v>
      </c>
      <c r="N15" s="213">
        <f>'Section 4_9_1'!P48</f>
        <v>575089.32864246366</v>
      </c>
      <c r="O15" s="213">
        <f>'Section 4_9_1'!Q48</f>
        <v>894668.6499174597</v>
      </c>
      <c r="P15" s="208">
        <f>'Section 4_9_1'!E9</f>
        <v>0.05</v>
      </c>
      <c r="Q15" s="208">
        <f>'Section 4_9_1'!E10</f>
        <v>8.9975991930279359E-2</v>
      </c>
      <c r="R15" s="208">
        <f>P15+Q15</f>
        <v>0.13997599193027938</v>
      </c>
    </row>
    <row r="16" spans="1:18" x14ac:dyDescent="0.2">
      <c r="A16" t="s">
        <v>374</v>
      </c>
      <c r="B16">
        <v>65</v>
      </c>
      <c r="C16" t="s">
        <v>337</v>
      </c>
      <c r="D16" s="117">
        <v>1.4999999999999999E-2</v>
      </c>
      <c r="E16" t="s">
        <v>376</v>
      </c>
      <c r="F16">
        <v>40</v>
      </c>
      <c r="G16" s="213">
        <f>'Section 4_9_2'!D58</f>
        <v>190021.61895140263</v>
      </c>
      <c r="H16" s="213">
        <f>'Section 4_9_2'!F58</f>
        <v>179270.13505102036</v>
      </c>
      <c r="I16" s="213">
        <f>'Section 4_9_2'!H58</f>
        <v>107562.0810306122</v>
      </c>
      <c r="J16" s="208">
        <f>'Section 4_9_2'!I58</f>
        <v>0.56605180833724411</v>
      </c>
      <c r="K16" s="214">
        <f>'Section 3'!I65</f>
        <v>14.904383170342655</v>
      </c>
      <c r="L16" s="213">
        <f>'Section 4_9_2'!E12</f>
        <v>1603146.4702796894</v>
      </c>
      <c r="M16" s="213">
        <f>'Section 4_9_2'!M58</f>
        <v>660382.04648922302</v>
      </c>
      <c r="N16" s="213">
        <f>'Section 4_9_2'!P58</f>
        <v>942764.42379046604</v>
      </c>
      <c r="O16" s="213">
        <f>'Section 4_9_2'!Q58</f>
        <v>1603146.4702796889</v>
      </c>
      <c r="P16" s="208">
        <f>'Section 4_9_2'!E9</f>
        <v>0.05</v>
      </c>
      <c r="Q16" s="117">
        <f>'Section 4_9_2'!E10</f>
        <v>7.1380228218079808E-2</v>
      </c>
      <c r="R16" s="208">
        <f>P16+Q16</f>
        <v>0.12138022821807981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327</v>
      </c>
    </row>
    <row r="2" spans="1:20" ht="16" thickBot="1" x14ac:dyDescent="0.25">
      <c r="S2" s="157" t="s">
        <v>243</v>
      </c>
      <c r="T2" s="158" t="s">
        <v>328</v>
      </c>
    </row>
    <row r="3" spans="1:20" ht="15" x14ac:dyDescent="0.2">
      <c r="A3" s="16" t="s">
        <v>50</v>
      </c>
      <c r="E3" s="27">
        <v>2022</v>
      </c>
      <c r="S3" s="159">
        <v>0</v>
      </c>
      <c r="T3" s="209">
        <v>0.99999999999999767</v>
      </c>
    </row>
    <row r="4" spans="1:20" ht="15" x14ac:dyDescent="0.2">
      <c r="A4" s="16" t="s">
        <v>54</v>
      </c>
      <c r="E4" s="27">
        <v>30</v>
      </c>
      <c r="S4" s="159">
        <f>S3+1</f>
        <v>1</v>
      </c>
      <c r="T4" s="209">
        <v>0.94478264100963039</v>
      </c>
    </row>
    <row r="5" spans="1:20" ht="15" x14ac:dyDescent="0.2">
      <c r="A5" s="16" t="s">
        <v>219</v>
      </c>
      <c r="E5" s="175">
        <v>60000</v>
      </c>
      <c r="S5" s="159">
        <f t="shared" ref="S5:S58" si="0">S4+1</f>
        <v>2</v>
      </c>
      <c r="T5" s="209">
        <v>0.89225671004158513</v>
      </c>
    </row>
    <row r="6" spans="1:20" ht="15" x14ac:dyDescent="0.2">
      <c r="A6" s="16" t="s">
        <v>278</v>
      </c>
      <c r="E6" s="174">
        <v>0.03</v>
      </c>
      <c r="S6" s="159">
        <f t="shared" si="0"/>
        <v>3</v>
      </c>
      <c r="T6" s="209">
        <v>0.84224259202359086</v>
      </c>
    </row>
    <row r="7" spans="1:20" ht="15" x14ac:dyDescent="0.2">
      <c r="A7" s="16" t="s">
        <v>277</v>
      </c>
      <c r="E7" s="32">
        <v>1.4999999999999999E-2</v>
      </c>
      <c r="S7" s="159">
        <f t="shared" si="0"/>
        <v>4</v>
      </c>
      <c r="T7" s="209">
        <v>0.79458121248759461</v>
      </c>
    </row>
    <row r="8" spans="1:20" ht="15" x14ac:dyDescent="0.2">
      <c r="A8" s="16" t="s">
        <v>279</v>
      </c>
      <c r="E8" s="176">
        <f>F53</f>
        <v>154639.99327274557</v>
      </c>
      <c r="S8" s="159">
        <f t="shared" si="0"/>
        <v>5</v>
      </c>
      <c r="T8" s="209">
        <v>0.74910734449559857</v>
      </c>
    </row>
    <row r="9" spans="1:20" ht="15" x14ac:dyDescent="0.2">
      <c r="A9" s="16" t="s">
        <v>99</v>
      </c>
      <c r="E9" s="181">
        <v>0.05</v>
      </c>
      <c r="S9" s="159">
        <f t="shared" si="0"/>
        <v>6</v>
      </c>
      <c r="T9" s="209">
        <v>0.70567174884545603</v>
      </c>
    </row>
    <row r="10" spans="1:20" ht="15" x14ac:dyDescent="0.2">
      <c r="A10" s="16" t="s">
        <v>225</v>
      </c>
      <c r="E10" s="194">
        <f>E9*(1-M53/E12)/(M53/E12)</f>
        <v>6.7669406028563278E-2</v>
      </c>
      <c r="S10" s="159">
        <f t="shared" si="0"/>
        <v>7</v>
      </c>
      <c r="T10" s="209">
        <v>0.6641202180185436</v>
      </c>
    </row>
    <row r="11" spans="1:20" ht="15" x14ac:dyDescent="0.2">
      <c r="A11" s="16" t="s">
        <v>288</v>
      </c>
      <c r="E11" s="183">
        <v>5.6000000000000001E-2</v>
      </c>
      <c r="S11" s="159">
        <f t="shared" si="0"/>
        <v>8</v>
      </c>
      <c r="T11" s="209">
        <v>0.6243285308636557</v>
      </c>
    </row>
    <row r="12" spans="1:20" ht="15" x14ac:dyDescent="0.2">
      <c r="A12" s="16" t="s">
        <v>332</v>
      </c>
      <c r="E12" s="193">
        <f>T63</f>
        <v>1091659.5307011227</v>
      </c>
      <c r="S12" s="159">
        <f t="shared" si="0"/>
        <v>9</v>
      </c>
      <c r="T12" s="209">
        <v>0.58616836850789733</v>
      </c>
    </row>
    <row r="13" spans="1:20" ht="15" x14ac:dyDescent="0.2">
      <c r="A13" s="16" t="s">
        <v>310</v>
      </c>
      <c r="E13" s="186">
        <f>Q53</f>
        <v>1091659.5307011227</v>
      </c>
      <c r="S13" s="159">
        <f t="shared" si="0"/>
        <v>10</v>
      </c>
      <c r="T13" s="209">
        <v>0.54953902041022984</v>
      </c>
    </row>
    <row r="14" spans="1:20" ht="15" x14ac:dyDescent="0.2">
      <c r="E14" s="27"/>
      <c r="S14" s="159">
        <f t="shared" si="0"/>
        <v>11</v>
      </c>
      <c r="T14" s="209">
        <v>0.51434818820147454</v>
      </c>
    </row>
    <row r="15" spans="1:20" ht="15" x14ac:dyDescent="0.2">
      <c r="S15" s="159">
        <f t="shared" si="0"/>
        <v>12</v>
      </c>
      <c r="T15" s="209">
        <v>0.48049886559347232</v>
      </c>
    </row>
    <row r="16" spans="1:20" ht="15" x14ac:dyDescent="0.2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0.44790560583961375</v>
      </c>
    </row>
    <row r="17" spans="1:20" ht="15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0.41648661524788833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0.38616255748619394</v>
      </c>
    </row>
    <row r="19" spans="1:20" ht="15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9">
        <f t="shared" si="0"/>
        <v>16</v>
      </c>
      <c r="T19" s="209">
        <v>0.35686242666314638</v>
      </c>
    </row>
    <row r="20" spans="1:20" ht="15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9">
        <f t="shared" si="0"/>
        <v>17</v>
      </c>
      <c r="T20" s="209">
        <v>0.32840520594568651</v>
      </c>
    </row>
    <row r="21" spans="1:20" ht="15" x14ac:dyDescent="0.2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9">
        <f t="shared" si="0"/>
        <v>18</v>
      </c>
      <c r="T21" s="209">
        <v>0.30075045175292431</v>
      </c>
    </row>
    <row r="22" spans="1:20" ht="15" x14ac:dyDescent="0.2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9">
        <f t="shared" si="0"/>
        <v>19</v>
      </c>
      <c r="T22" s="209">
        <v>0.27378623121883128</v>
      </c>
    </row>
    <row r="23" spans="1:20" ht="15" x14ac:dyDescent="0.2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9">
        <f t="shared" si="0"/>
        <v>20</v>
      </c>
      <c r="T23" s="209">
        <v>0.24751420517596917</v>
      </c>
    </row>
    <row r="24" spans="1:20" ht="15" x14ac:dyDescent="0.2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9">
        <f t="shared" si="0"/>
        <v>21</v>
      </c>
      <c r="T24" s="209">
        <v>0.22196424932762679</v>
      </c>
    </row>
    <row r="25" spans="1:20" ht="15" x14ac:dyDescent="0.2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9">
        <f t="shared" si="0"/>
        <v>22</v>
      </c>
      <c r="T25" s="209">
        <v>0.1971978647355489</v>
      </c>
    </row>
    <row r="26" spans="1:20" ht="15" x14ac:dyDescent="0.2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9">
        <f t="shared" si="0"/>
        <v>23</v>
      </c>
      <c r="T26" s="209">
        <v>0.1733083386794752</v>
      </c>
    </row>
    <row r="27" spans="1:20" ht="15" x14ac:dyDescent="0.2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9">
        <f t="shared" si="0"/>
        <v>24</v>
      </c>
      <c r="T27" s="209">
        <v>0.15041723829324732</v>
      </c>
    </row>
    <row r="28" spans="1:20" ht="15" x14ac:dyDescent="0.2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9">
        <f t="shared" si="0"/>
        <v>25</v>
      </c>
      <c r="T28" s="209">
        <v>0.12867169065808742</v>
      </c>
    </row>
    <row r="29" spans="1:20" ht="15" x14ac:dyDescent="0.2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9">
        <f t="shared" si="0"/>
        <v>26</v>
      </c>
      <c r="T29" s="209">
        <v>0.10823830625984947</v>
      </c>
    </row>
    <row r="30" spans="1:20" ht="15" x14ac:dyDescent="0.2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9">
        <f t="shared" si="0"/>
        <v>27</v>
      </c>
      <c r="T30" s="209">
        <v>8.9295504645850787E-2</v>
      </c>
    </row>
    <row r="31" spans="1:20" ht="15" x14ac:dyDescent="0.2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9">
        <f t="shared" si="0"/>
        <v>28</v>
      </c>
      <c r="T31" s="209">
        <v>7.202083393208604E-2</v>
      </c>
    </row>
    <row r="32" spans="1:20" ht="15" x14ac:dyDescent="0.2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9">
        <f t="shared" si="0"/>
        <v>29</v>
      </c>
      <c r="T32" s="209">
        <v>5.6645612181827808E-2</v>
      </c>
    </row>
    <row r="33" spans="1:20" ht="15" x14ac:dyDescent="0.2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9">
        <f t="shared" si="0"/>
        <v>30</v>
      </c>
      <c r="T33" s="209">
        <v>4.3272656827046889E-2</v>
      </c>
    </row>
    <row r="34" spans="1:20" ht="15" x14ac:dyDescent="0.2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9">
        <f t="shared" si="0"/>
        <v>31</v>
      </c>
      <c r="T34" s="209">
        <v>3.2003293580246103E-2</v>
      </c>
    </row>
    <row r="35" spans="1:20" ht="15" x14ac:dyDescent="0.2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9">
        <f t="shared" si="0"/>
        <v>32</v>
      </c>
      <c r="T35" s="209">
        <v>2.2951370041681036E-2</v>
      </c>
    </row>
    <row r="36" spans="1:20" ht="15" x14ac:dyDescent="0.2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9">
        <f t="shared" si="0"/>
        <v>33</v>
      </c>
      <c r="T36" s="209">
        <v>1.5946835112289885E-2</v>
      </c>
    </row>
    <row r="37" spans="1:20" ht="15" x14ac:dyDescent="0.2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9">
        <f t="shared" si="0"/>
        <v>34</v>
      </c>
      <c r="T37" s="209">
        <v>1.0760757407560112E-2</v>
      </c>
    </row>
    <row r="38" spans="1:20" ht="15" x14ac:dyDescent="0.2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9">
        <f t="shared" si="0"/>
        <v>35</v>
      </c>
      <c r="T38" s="209">
        <v>7.0559613738307089E-3</v>
      </c>
    </row>
    <row r="39" spans="1:20" ht="15" x14ac:dyDescent="0.2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9">
        <f t="shared" si="0"/>
        <v>36</v>
      </c>
      <c r="T39" s="209">
        <v>4.4981896332469806E-3</v>
      </c>
    </row>
    <row r="40" spans="1:20" ht="15" x14ac:dyDescent="0.2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9">
        <f t="shared" si="0"/>
        <v>37</v>
      </c>
      <c r="T40" s="209">
        <v>2.7884116379810909E-3</v>
      </c>
    </row>
    <row r="41" spans="1:20" ht="15" x14ac:dyDescent="0.2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9">
        <f t="shared" si="0"/>
        <v>38</v>
      </c>
      <c r="T41" s="209">
        <v>1.6798788659267093E-3</v>
      </c>
    </row>
    <row r="42" spans="1:20" ht="15" x14ac:dyDescent="0.2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9">
        <f t="shared" si="0"/>
        <v>39</v>
      </c>
      <c r="T42" s="209">
        <v>9.8186648343739154E-4</v>
      </c>
    </row>
    <row r="43" spans="1:20" ht="15" x14ac:dyDescent="0.2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9">
        <f t="shared" si="0"/>
        <v>40</v>
      </c>
      <c r="T43" s="209">
        <v>5.5492018803157022E-4</v>
      </c>
    </row>
    <row r="44" spans="1:20" ht="15" x14ac:dyDescent="0.2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9">
        <f t="shared" si="0"/>
        <v>41</v>
      </c>
      <c r="T44" s="209">
        <v>3.0483321753951609E-4</v>
      </c>
    </row>
    <row r="45" spans="1:20" ht="15" x14ac:dyDescent="0.2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9">
        <f t="shared" si="0"/>
        <v>42</v>
      </c>
      <c r="T45" s="209">
        <v>1.6265726136195432E-4</v>
      </c>
    </row>
    <row r="46" spans="1:20" ht="15" x14ac:dyDescent="0.2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9">
        <f t="shared" si="0"/>
        <v>43</v>
      </c>
      <c r="T46" s="209">
        <v>8.4252433160618979E-5</v>
      </c>
    </row>
    <row r="47" spans="1:20" ht="15" x14ac:dyDescent="0.2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9">
        <f t="shared" si="0"/>
        <v>44</v>
      </c>
      <c r="T47" s="209">
        <v>4.1942004488937324E-5</v>
      </c>
    </row>
    <row r="48" spans="1:20" ht="15" x14ac:dyDescent="0.2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9">
        <f t="shared" si="0"/>
        <v>45</v>
      </c>
      <c r="T48" s="209">
        <v>2.0014378716770341E-5</v>
      </c>
    </row>
    <row r="49" spans="1:20" ht="15" x14ac:dyDescent="0.2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9">
        <f t="shared" si="0"/>
        <v>46</v>
      </c>
      <c r="T49" s="209">
        <v>9.1283165417638121E-6</v>
      </c>
    </row>
    <row r="50" spans="1:20" ht="15" x14ac:dyDescent="0.2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9">
        <f t="shared" si="0"/>
        <v>47</v>
      </c>
      <c r="T50" s="209">
        <v>3.9665534401026925E-6</v>
      </c>
    </row>
    <row r="51" spans="1:20" ht="15" x14ac:dyDescent="0.2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9">
        <f t="shared" si="0"/>
        <v>48</v>
      </c>
      <c r="T51" s="209">
        <v>1.6357753163433017E-6</v>
      </c>
    </row>
    <row r="52" spans="1:20" ht="15" x14ac:dyDescent="0.2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9">
        <f t="shared" si="0"/>
        <v>49</v>
      </c>
      <c r="T52" s="209">
        <v>6.3735723192759901E-7</v>
      </c>
    </row>
    <row r="53" spans="1:20" s="212" customFormat="1" ht="15" x14ac:dyDescent="0.2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11091.984520392027</v>
      </c>
      <c r="O53" s="204">
        <f t="shared" si="8"/>
        <v>284.69426935672868</v>
      </c>
      <c r="P53" s="204">
        <f t="shared" si="11"/>
        <v>627792.34230207035</v>
      </c>
      <c r="Q53" s="204">
        <f t="shared" si="9"/>
        <v>1091659.5307011227</v>
      </c>
      <c r="S53" s="159">
        <f t="shared" si="0"/>
        <v>50</v>
      </c>
      <c r="T53" s="209">
        <v>2.3341136809834644E-7</v>
      </c>
    </row>
    <row r="54" spans="1:20" ht="15" x14ac:dyDescent="0.2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9">
        <f t="shared" si="0"/>
        <v>51</v>
      </c>
      <c r="T54" s="209">
        <v>0</v>
      </c>
    </row>
    <row r="55" spans="1:20" ht="15" x14ac:dyDescent="0.2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9">
        <f t="shared" si="0"/>
        <v>52</v>
      </c>
      <c r="T55" s="209">
        <v>0</v>
      </c>
    </row>
    <row r="56" spans="1:20" ht="15" x14ac:dyDescent="0.2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9">
        <f t="shared" si="0"/>
        <v>53</v>
      </c>
      <c r="T56" s="209">
        <v>0</v>
      </c>
    </row>
    <row r="57" spans="1:20" ht="15" x14ac:dyDescent="0.2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9">
        <f t="shared" si="0"/>
        <v>54</v>
      </c>
      <c r="T57" s="209">
        <v>0</v>
      </c>
    </row>
    <row r="58" spans="1:20" ht="15" x14ac:dyDescent="0.2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9">
        <f t="shared" si="0"/>
        <v>55</v>
      </c>
      <c r="T58" s="209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6" thickBot="1" x14ac:dyDescent="0.25">
      <c r="S62" s="158" t="s">
        <v>329</v>
      </c>
      <c r="T62" s="210">
        <v>13.446401820403024</v>
      </c>
    </row>
    <row r="63" spans="1:20" ht="16" thickBot="1" x14ac:dyDescent="0.25">
      <c r="S63" s="158" t="s">
        <v>330</v>
      </c>
      <c r="T63" s="211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topLeftCell="A6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334</v>
      </c>
    </row>
    <row r="2" spans="1:20" ht="16" thickBot="1" x14ac:dyDescent="0.25">
      <c r="S2" s="157" t="s">
        <v>243</v>
      </c>
      <c r="T2" s="158" t="s">
        <v>328</v>
      </c>
    </row>
    <row r="3" spans="1:20" ht="15" x14ac:dyDescent="0.2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">
      <c r="A8" s="16" t="s">
        <v>279</v>
      </c>
      <c r="E8" s="176">
        <f>F53</f>
        <v>154639.99327274557</v>
      </c>
      <c r="S8" s="159">
        <f t="shared" si="0"/>
        <v>5</v>
      </c>
      <c r="T8" s="209">
        <v>0.74707660914480567</v>
      </c>
    </row>
    <row r="9" spans="1:20" ht="15" x14ac:dyDescent="0.2">
      <c r="A9" s="16" t="s">
        <v>99</v>
      </c>
      <c r="E9" s="181">
        <v>0.05</v>
      </c>
      <c r="S9" s="159">
        <f t="shared" si="0"/>
        <v>6</v>
      </c>
      <c r="T9" s="209">
        <v>0.71052769760450929</v>
      </c>
    </row>
    <row r="10" spans="1:20" ht="15" x14ac:dyDescent="0.2">
      <c r="A10" s="16" t="s">
        <v>225</v>
      </c>
      <c r="E10" s="194">
        <f>E9*(1-M53/E12)/(M53/E12)</f>
        <v>8.3145605659146596E-2</v>
      </c>
      <c r="S10" s="159">
        <f t="shared" si="0"/>
        <v>7</v>
      </c>
      <c r="T10" s="209">
        <v>0.6754821457670922</v>
      </c>
    </row>
    <row r="11" spans="1:20" ht="15" x14ac:dyDescent="0.2">
      <c r="A11" s="16" t="s">
        <v>288</v>
      </c>
      <c r="E11" s="183">
        <v>5.6000000000000001E-2</v>
      </c>
      <c r="S11" s="159">
        <f t="shared" si="0"/>
        <v>8</v>
      </c>
      <c r="T11" s="209">
        <v>0.64186194139260588</v>
      </c>
    </row>
    <row r="12" spans="1:20" ht="15" x14ac:dyDescent="0.2">
      <c r="A12" s="16" t="s">
        <v>333</v>
      </c>
      <c r="E12" s="193">
        <f>T63</f>
        <v>1235237.5548959454</v>
      </c>
      <c r="S12" s="159">
        <f t="shared" si="0"/>
        <v>9</v>
      </c>
      <c r="T12" s="209">
        <v>0.60959302104393764</v>
      </c>
    </row>
    <row r="13" spans="1:20" ht="15" x14ac:dyDescent="0.2">
      <c r="A13" s="16" t="s">
        <v>310</v>
      </c>
      <c r="E13" s="186">
        <f>Q53</f>
        <v>1235237.5548959451</v>
      </c>
      <c r="S13" s="159">
        <f t="shared" si="0"/>
        <v>10</v>
      </c>
      <c r="T13" s="209">
        <v>0.57860922907546997</v>
      </c>
    </row>
    <row r="14" spans="1:20" ht="15" x14ac:dyDescent="0.2">
      <c r="E14" s="27"/>
      <c r="S14" s="159">
        <f t="shared" si="0"/>
        <v>11</v>
      </c>
      <c r="T14" s="209">
        <v>0.54882922633558784</v>
      </c>
    </row>
    <row r="15" spans="1:20" ht="15" x14ac:dyDescent="0.2">
      <c r="S15" s="159">
        <f t="shared" si="0"/>
        <v>12</v>
      </c>
      <c r="T15" s="209">
        <v>0.52021783150799605</v>
      </c>
    </row>
    <row r="16" spans="1:20" ht="15" x14ac:dyDescent="0.2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0.49271340830786836</v>
      </c>
    </row>
    <row r="17" spans="1:20" ht="15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0.46625320987768887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0.43394252598112099</v>
      </c>
    </row>
    <row r="19" spans="1:20" ht="15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9">
        <f t="shared" si="0"/>
        <v>16</v>
      </c>
      <c r="T19" s="209">
        <v>0.41155149033585736</v>
      </c>
    </row>
    <row r="20" spans="1:20" ht="15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9">
        <f t="shared" si="0"/>
        <v>17</v>
      </c>
      <c r="T20" s="209">
        <v>0.38942126387919174</v>
      </c>
    </row>
    <row r="21" spans="1:20" ht="15" x14ac:dyDescent="0.2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9">
        <f t="shared" si="0"/>
        <v>18</v>
      </c>
      <c r="T21" s="209">
        <v>0.36748702078593176</v>
      </c>
    </row>
    <row r="22" spans="1:20" ht="15" x14ac:dyDescent="0.2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9">
        <f t="shared" si="0"/>
        <v>19</v>
      </c>
      <c r="T22" s="209">
        <v>0.34568825239380424</v>
      </c>
    </row>
    <row r="23" spans="1:20" ht="15" x14ac:dyDescent="0.2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9">
        <f t="shared" si="0"/>
        <v>20</v>
      </c>
      <c r="T23" s="209">
        <v>0.32397756420044166</v>
      </c>
    </row>
    <row r="24" spans="1:20" ht="15" x14ac:dyDescent="0.2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9">
        <f t="shared" si="0"/>
        <v>21</v>
      </c>
      <c r="T24" s="209">
        <v>0.30234455328850901</v>
      </c>
    </row>
    <row r="25" spans="1:20" ht="15" x14ac:dyDescent="0.2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9">
        <f t="shared" si="0"/>
        <v>22</v>
      </c>
      <c r="T25" s="209">
        <v>0.28079259058729844</v>
      </c>
    </row>
    <row r="26" spans="1:20" ht="15" x14ac:dyDescent="0.2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9">
        <f t="shared" si="0"/>
        <v>23</v>
      </c>
      <c r="T26" s="209">
        <v>0.25932423970542517</v>
      </c>
    </row>
    <row r="27" spans="1:20" ht="15" x14ac:dyDescent="0.2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9">
        <f t="shared" si="0"/>
        <v>24</v>
      </c>
      <c r="T27" s="209">
        <v>0.23801783784059857</v>
      </c>
    </row>
    <row r="28" spans="1:20" ht="15" x14ac:dyDescent="0.2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9">
        <f t="shared" si="0"/>
        <v>25</v>
      </c>
      <c r="T28" s="209">
        <v>0.2170076642146995</v>
      </c>
    </row>
    <row r="29" spans="1:20" ht="15" x14ac:dyDescent="0.2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9">
        <f t="shared" si="0"/>
        <v>26</v>
      </c>
      <c r="T29" s="209">
        <v>0.19634866283268823</v>
      </c>
    </row>
    <row r="30" spans="1:20" ht="15" x14ac:dyDescent="0.2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9">
        <f t="shared" si="0"/>
        <v>27</v>
      </c>
      <c r="T30" s="209">
        <v>0.17590230526130801</v>
      </c>
    </row>
    <row r="31" spans="1:20" ht="15" x14ac:dyDescent="0.2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9">
        <f t="shared" si="0"/>
        <v>28</v>
      </c>
      <c r="T31" s="209">
        <v>0.1558799769035118</v>
      </c>
    </row>
    <row r="32" spans="1:20" ht="15" x14ac:dyDescent="0.2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9">
        <f t="shared" si="0"/>
        <v>29</v>
      </c>
      <c r="T32" s="209">
        <v>0.13639598052677765</v>
      </c>
    </row>
    <row r="33" spans="1:20" ht="15" x14ac:dyDescent="0.2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9">
        <f t="shared" si="0"/>
        <v>30</v>
      </c>
      <c r="T33" s="209">
        <v>0.11747816040232353</v>
      </c>
    </row>
    <row r="34" spans="1:20" ht="15" x14ac:dyDescent="0.2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9">
        <f t="shared" si="0"/>
        <v>31</v>
      </c>
      <c r="T34" s="209">
        <v>9.9415211459597141E-2</v>
      </c>
    </row>
    <row r="35" spans="1:20" ht="15" x14ac:dyDescent="0.2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9">
        <f t="shared" si="0"/>
        <v>32</v>
      </c>
      <c r="T35" s="209">
        <v>8.2421492053210588E-2</v>
      </c>
    </row>
    <row r="36" spans="1:20" ht="15" x14ac:dyDescent="0.2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9">
        <f t="shared" si="0"/>
        <v>33</v>
      </c>
      <c r="T36" s="209">
        <v>6.6836669242395078E-2</v>
      </c>
    </row>
    <row r="37" spans="1:20" ht="15" x14ac:dyDescent="0.2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9">
        <f t="shared" si="0"/>
        <v>34</v>
      </c>
      <c r="T37" s="209">
        <v>5.2895132349236297E-2</v>
      </c>
    </row>
    <row r="38" spans="1:20" ht="15" x14ac:dyDescent="0.2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9">
        <f t="shared" si="0"/>
        <v>35</v>
      </c>
      <c r="T38" s="209">
        <v>4.0721391953122757E-2</v>
      </c>
    </row>
    <row r="39" spans="1:20" ht="15" x14ac:dyDescent="0.2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9">
        <f t="shared" si="0"/>
        <v>36</v>
      </c>
      <c r="T39" s="209">
        <v>3.037674539285588E-2</v>
      </c>
    </row>
    <row r="40" spans="1:20" ht="15" x14ac:dyDescent="0.2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9">
        <f t="shared" si="0"/>
        <v>37</v>
      </c>
      <c r="T40" s="209">
        <v>2.1917414119229109E-2</v>
      </c>
    </row>
    <row r="41" spans="1:20" ht="15" x14ac:dyDescent="0.2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9">
        <f t="shared" si="0"/>
        <v>38</v>
      </c>
      <c r="T41" s="209">
        <v>1.525344128949384E-2</v>
      </c>
    </row>
    <row r="42" spans="1:20" ht="15" x14ac:dyDescent="0.2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9">
        <f t="shared" si="0"/>
        <v>39</v>
      </c>
      <c r="T42" s="209">
        <v>1.0215021684201258E-2</v>
      </c>
    </row>
    <row r="43" spans="1:20" ht="15" x14ac:dyDescent="0.2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9">
        <f t="shared" si="0"/>
        <v>40</v>
      </c>
      <c r="T43" s="209">
        <v>6.5936326915001916E-3</v>
      </c>
    </row>
    <row r="44" spans="1:20" ht="15" x14ac:dyDescent="0.2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9">
        <f t="shared" si="0"/>
        <v>41</v>
      </c>
      <c r="T44" s="209">
        <v>4.1056099373831412E-3</v>
      </c>
    </row>
    <row r="45" spans="1:20" ht="15" x14ac:dyDescent="0.2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9">
        <f t="shared" si="0"/>
        <v>42</v>
      </c>
      <c r="T45" s="209">
        <v>2.4687911666878113E-3</v>
      </c>
    </row>
    <row r="46" spans="1:20" ht="15" x14ac:dyDescent="0.2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9">
        <f t="shared" si="0"/>
        <v>43</v>
      </c>
      <c r="T46" s="209">
        <v>1.4296977874329339E-3</v>
      </c>
    </row>
    <row r="47" spans="1:20" ht="15" x14ac:dyDescent="0.2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9">
        <f t="shared" si="0"/>
        <v>44</v>
      </c>
      <c r="T47" s="209">
        <v>7.9129736221990408E-4</v>
      </c>
    </row>
    <row r="48" spans="1:20" ht="15" x14ac:dyDescent="0.2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9">
        <f t="shared" si="0"/>
        <v>45</v>
      </c>
      <c r="T48" s="209">
        <v>4.2360989483323738E-4</v>
      </c>
    </row>
    <row r="49" spans="1:20" ht="15" x14ac:dyDescent="0.2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9">
        <f t="shared" si="0"/>
        <v>46</v>
      </c>
      <c r="T49" s="209">
        <v>2.1901764103497356E-4</v>
      </c>
    </row>
    <row r="50" spans="1:20" ht="15" x14ac:dyDescent="0.2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9">
        <f t="shared" si="0"/>
        <v>47</v>
      </c>
      <c r="T50" s="209">
        <v>1.0919180645765381E-4</v>
      </c>
    </row>
    <row r="51" spans="1:20" ht="15" x14ac:dyDescent="0.2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9">
        <f t="shared" si="0"/>
        <v>48</v>
      </c>
      <c r="T51" s="209">
        <v>5.1375275886540625E-5</v>
      </c>
    </row>
    <row r="52" spans="1:20" ht="15" x14ac:dyDescent="0.2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9">
        <f t="shared" si="0"/>
        <v>49</v>
      </c>
      <c r="T52" s="209">
        <v>2.3203840297950208E-5</v>
      </c>
    </row>
    <row r="53" spans="1:20" s="212" customFormat="1" ht="15" x14ac:dyDescent="0.2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13628.755223898253</v>
      </c>
      <c r="O53" s="204">
        <f t="shared" si="8"/>
        <v>349.80471741338852</v>
      </c>
      <c r="P53" s="204">
        <f t="shared" si="11"/>
        <v>771370.36649689288</v>
      </c>
      <c r="Q53" s="204">
        <f t="shared" si="9"/>
        <v>1235237.5548959451</v>
      </c>
      <c r="S53" s="159">
        <f t="shared" si="0"/>
        <v>50</v>
      </c>
      <c r="T53" s="209">
        <v>1.0042913803903751E-5</v>
      </c>
    </row>
    <row r="54" spans="1:20" ht="15" x14ac:dyDescent="0.2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9">
        <f t="shared" si="0"/>
        <v>51</v>
      </c>
      <c r="T54" s="209">
        <v>4.1222229818713304E-6</v>
      </c>
    </row>
    <row r="55" spans="1:20" ht="15" x14ac:dyDescent="0.2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9">
        <f t="shared" si="0"/>
        <v>52</v>
      </c>
      <c r="T55" s="209">
        <v>1.6313816820147157E-6</v>
      </c>
    </row>
    <row r="56" spans="1:20" ht="15" x14ac:dyDescent="0.2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9">
        <f t="shared" si="0"/>
        <v>53</v>
      </c>
      <c r="T56" s="209">
        <v>6.1413016987040453E-7</v>
      </c>
    </row>
    <row r="57" spans="1:20" ht="15" x14ac:dyDescent="0.2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9">
        <f t="shared" si="0"/>
        <v>54</v>
      </c>
      <c r="T57" s="209">
        <v>0</v>
      </c>
    </row>
    <row r="58" spans="1:20" ht="15" x14ac:dyDescent="0.2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9">
        <f t="shared" si="0"/>
        <v>55</v>
      </c>
      <c r="T58" s="209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6" thickBot="1" x14ac:dyDescent="0.25">
      <c r="S62" s="158" t="s">
        <v>329</v>
      </c>
      <c r="T62" s="210">
        <v>15.214909080778602</v>
      </c>
    </row>
    <row r="63" spans="1:20" ht="16" thickBot="1" x14ac:dyDescent="0.25">
      <c r="S63" s="158" t="s">
        <v>330</v>
      </c>
      <c r="T63" s="211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"/>
  <sheetData>
    <row r="1" spans="1:1" ht="18" x14ac:dyDescent="0.2">
      <c r="A1" s="15" t="s">
        <v>335</v>
      </c>
    </row>
    <row r="3" spans="1:1" x14ac:dyDescent="0.2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"/>
  <sheetData>
    <row r="1" spans="1:1" ht="18" x14ac:dyDescent="0.2">
      <c r="A1" s="15" t="s">
        <v>339</v>
      </c>
    </row>
    <row r="3" spans="1:1" x14ac:dyDescent="0.2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topLeftCell="A7" zoomScaleNormal="100" workbookViewId="0">
      <selection activeCell="E11" sqref="E11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4.6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1" ht="18" x14ac:dyDescent="0.2">
      <c r="A1" s="15" t="s">
        <v>343</v>
      </c>
    </row>
    <row r="2" spans="1:21" ht="19" thickBot="1" x14ac:dyDescent="0.25">
      <c r="A2" s="15"/>
    </row>
    <row r="3" spans="1:21" ht="16" thickBot="1" x14ac:dyDescent="0.25">
      <c r="A3" s="16" t="s">
        <v>349</v>
      </c>
      <c r="E3" s="16" t="s">
        <v>351</v>
      </c>
      <c r="G3" s="16" t="s">
        <v>351</v>
      </c>
      <c r="H3" s="16" t="s">
        <v>350</v>
      </c>
      <c r="S3" s="157" t="s">
        <v>243</v>
      </c>
      <c r="T3" s="158" t="s">
        <v>347</v>
      </c>
      <c r="U3" s="158" t="s">
        <v>348</v>
      </c>
    </row>
    <row r="4" spans="1:21" ht="15" x14ac:dyDescent="0.2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</row>
    <row r="5" spans="1:21" ht="15" x14ac:dyDescent="0.2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</row>
    <row r="6" spans="1:21" ht="15" x14ac:dyDescent="0.2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</row>
    <row r="7" spans="1:21" ht="15" x14ac:dyDescent="0.2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</row>
    <row r="8" spans="1:21" ht="15" x14ac:dyDescent="0.2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</row>
    <row r="9" spans="1:21" ht="15" x14ac:dyDescent="0.2">
      <c r="A9" s="16" t="s">
        <v>279</v>
      </c>
      <c r="E9" s="176">
        <f>F54</f>
        <v>154639.99327274557</v>
      </c>
      <c r="S9" s="159">
        <f t="shared" si="0"/>
        <v>5</v>
      </c>
      <c r="T9" s="209">
        <v>0.74990279663701065</v>
      </c>
      <c r="U9" s="209">
        <v>0.75152958141060644</v>
      </c>
    </row>
    <row r="10" spans="1:21" ht="15" x14ac:dyDescent="0.2">
      <c r="A10" s="16" t="s">
        <v>99</v>
      </c>
      <c r="E10" s="181">
        <v>0.05</v>
      </c>
      <c r="S10" s="159">
        <f t="shared" si="0"/>
        <v>6</v>
      </c>
      <c r="T10" s="209">
        <v>0.71053248597251994</v>
      </c>
      <c r="U10" s="209">
        <v>0.71547765840705557</v>
      </c>
    </row>
    <row r="11" spans="1:21" ht="15" x14ac:dyDescent="0.2">
      <c r="A11" s="16" t="s">
        <v>225</v>
      </c>
      <c r="E11" s="194">
        <f>E10*(1-M54/E13)/(M54/E13)</f>
        <v>8.534979438864157E-2</v>
      </c>
      <c r="S11" s="159">
        <f t="shared" si="0"/>
        <v>7</v>
      </c>
      <c r="T11" s="209">
        <v>0.67292957866262515</v>
      </c>
      <c r="U11" s="209">
        <v>0.6808521100143623</v>
      </c>
    </row>
    <row r="12" spans="1:21" ht="15" x14ac:dyDescent="0.2">
      <c r="A12" s="16" t="s">
        <v>288</v>
      </c>
      <c r="E12" s="183">
        <v>5.6000000000000001E-2</v>
      </c>
      <c r="S12" s="159">
        <f t="shared" si="0"/>
        <v>8</v>
      </c>
      <c r="T12" s="209">
        <v>0.63698768915713155</v>
      </c>
      <c r="U12" s="209">
        <v>0.64756779175445844</v>
      </c>
    </row>
    <row r="13" spans="1:21" ht="15" x14ac:dyDescent="0.2">
      <c r="A13" s="16" t="s">
        <v>332</v>
      </c>
      <c r="E13" s="193">
        <f>IF(E3="Constant",T64,U64)</f>
        <v>1255686.5714689796</v>
      </c>
      <c r="S13" s="159">
        <f t="shared" si="0"/>
        <v>9</v>
      </c>
      <c r="T13" s="209">
        <v>0.60260000952206083</v>
      </c>
      <c r="U13" s="209">
        <v>0.61553728800094754</v>
      </c>
    </row>
    <row r="14" spans="1:21" ht="15" x14ac:dyDescent="0.2">
      <c r="A14" s="16" t="s">
        <v>310</v>
      </c>
      <c r="E14" s="186">
        <f>Q54</f>
        <v>1255686.5714689796</v>
      </c>
      <c r="S14" s="159">
        <f t="shared" si="0"/>
        <v>10</v>
      </c>
      <c r="T14" s="209">
        <v>0.56967185533126197</v>
      </c>
      <c r="U14" s="209">
        <v>0.58468375530526651</v>
      </c>
    </row>
    <row r="15" spans="1:21" ht="15" x14ac:dyDescent="0.2">
      <c r="E15" s="27"/>
      <c r="S15" s="159">
        <f t="shared" si="0"/>
        <v>11</v>
      </c>
      <c r="T15" s="209">
        <v>0.53811270498799579</v>
      </c>
      <c r="U15" s="209">
        <v>0.5549329870963029</v>
      </c>
    </row>
    <row r="16" spans="1:21" ht="15" x14ac:dyDescent="0.2">
      <c r="S16" s="159">
        <f t="shared" si="0"/>
        <v>12</v>
      </c>
      <c r="T16" s="209">
        <v>0.50783031970640968</v>
      </c>
      <c r="U16" s="209">
        <v>0.52620740291827606</v>
      </c>
    </row>
    <row r="17" spans="1:21" ht="15" x14ac:dyDescent="0.2">
      <c r="A17" s="38" t="s">
        <v>0</v>
      </c>
      <c r="B17" s="178"/>
      <c r="C17" s="201" t="s">
        <v>73</v>
      </c>
      <c r="D17" s="201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0.47873671101783527</v>
      </c>
      <c r="U17" s="209">
        <v>0.49843219913228781</v>
      </c>
    </row>
    <row r="18" spans="1:21" ht="15" x14ac:dyDescent="0.2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0.45074437778874715</v>
      </c>
      <c r="U18" s="209">
        <v>0.47153149777647207</v>
      </c>
    </row>
    <row r="19" spans="1:21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0.42376500103297271</v>
      </c>
      <c r="U19" s="209">
        <v>0.44737815351971111</v>
      </c>
    </row>
    <row r="20" spans="1:21" ht="15" x14ac:dyDescent="0.2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9">
        <f t="shared" si="0"/>
        <v>16</v>
      </c>
      <c r="T20" s="209">
        <v>0.39771244538006018</v>
      </c>
      <c r="U20" s="209">
        <v>0.42595314520328664</v>
      </c>
    </row>
    <row r="21" spans="1:21" ht="15" x14ac:dyDescent="0.2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9">
        <f t="shared" si="0"/>
        <v>17</v>
      </c>
      <c r="T21" s="209">
        <v>0.3724458111552526</v>
      </c>
      <c r="U21" s="209">
        <v>0.40466785082755796</v>
      </c>
    </row>
    <row r="22" spans="1:21" ht="15" x14ac:dyDescent="0.2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9">
        <f t="shared" si="0"/>
        <v>18</v>
      </c>
      <c r="T22" s="209">
        <v>0.34788464964004079</v>
      </c>
      <c r="U22" s="209">
        <v>0.38345449693750139</v>
      </c>
    </row>
    <row r="23" spans="1:21" ht="15" x14ac:dyDescent="0.2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9">
        <f t="shared" si="0"/>
        <v>19</v>
      </c>
      <c r="T23" s="209">
        <v>0.32391068962923369</v>
      </c>
      <c r="U23" s="209">
        <v>0.36219863615594805</v>
      </c>
    </row>
    <row r="24" spans="1:21" ht="15" x14ac:dyDescent="0.2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9">
        <f t="shared" si="0"/>
        <v>20</v>
      </c>
      <c r="T24" s="209">
        <v>0.30045573833077605</v>
      </c>
      <c r="U24" s="209">
        <v>0.34083563397386291</v>
      </c>
    </row>
    <row r="25" spans="1:21" ht="15" x14ac:dyDescent="0.2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9">
        <f t="shared" si="0"/>
        <v>21</v>
      </c>
      <c r="T25" s="209">
        <v>0.27746459599679735</v>
      </c>
      <c r="U25" s="209">
        <v>0.31931184335805307</v>
      </c>
    </row>
    <row r="26" spans="1:21" ht="15" x14ac:dyDescent="0.2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9">
        <f t="shared" si="0"/>
        <v>22</v>
      </c>
      <c r="T26" s="209">
        <v>0.25488260056510914</v>
      </c>
      <c r="U26" s="209">
        <v>0.29757099788726254</v>
      </c>
    </row>
    <row r="27" spans="1:21" ht="15" x14ac:dyDescent="0.2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9">
        <f t="shared" si="0"/>
        <v>23</v>
      </c>
      <c r="T27" s="209">
        <v>0.23268678030668485</v>
      </c>
      <c r="U27" s="209">
        <v>0.27559103301866117</v>
      </c>
    </row>
    <row r="28" spans="1:21" ht="15" x14ac:dyDescent="0.2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9">
        <f t="shared" si="0"/>
        <v>24</v>
      </c>
      <c r="T28" s="209">
        <v>0.21087842030979673</v>
      </c>
      <c r="U28" s="209">
        <v>0.25337774846318517</v>
      </c>
    </row>
    <row r="29" spans="1:21" ht="15" x14ac:dyDescent="0.2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9">
        <f t="shared" si="0"/>
        <v>25</v>
      </c>
      <c r="T29" s="209">
        <v>0.18945444744610618</v>
      </c>
      <c r="U29" s="209">
        <v>0.23093199023283795</v>
      </c>
    </row>
    <row r="30" spans="1:21" ht="15" x14ac:dyDescent="0.2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9">
        <f t="shared" si="0"/>
        <v>26</v>
      </c>
      <c r="T30" s="209">
        <v>0.16847119413381656</v>
      </c>
      <c r="U30" s="209">
        <v>0.20832812658858546</v>
      </c>
    </row>
    <row r="31" spans="1:21" ht="15" x14ac:dyDescent="0.2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9">
        <f t="shared" si="0"/>
        <v>27</v>
      </c>
      <c r="T31" s="209">
        <v>0.14802509856225504</v>
      </c>
      <c r="U31" s="209">
        <v>0.18569515549630558</v>
      </c>
    </row>
    <row r="32" spans="1:21" ht="15" x14ac:dyDescent="0.2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9">
        <f t="shared" si="0"/>
        <v>28</v>
      </c>
      <c r="T32" s="209">
        <v>0.12825427309599466</v>
      </c>
      <c r="U32" s="209">
        <v>0.1632224976043197</v>
      </c>
    </row>
    <row r="33" spans="1:21" ht="15" x14ac:dyDescent="0.2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9">
        <f t="shared" si="0"/>
        <v>29</v>
      </c>
      <c r="T33" s="209">
        <v>0.10938414669728531</v>
      </c>
      <c r="U33" s="209">
        <v>0.14122302808735943</v>
      </c>
    </row>
    <row r="34" spans="1:21" ht="15" x14ac:dyDescent="0.2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9">
        <f t="shared" si="0"/>
        <v>30</v>
      </c>
      <c r="T34" s="209">
        <v>9.1604412468698659E-2</v>
      </c>
      <c r="U34" s="209">
        <v>0.11998045106317953</v>
      </c>
    </row>
    <row r="35" spans="1:21" ht="15" x14ac:dyDescent="0.2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9">
        <f t="shared" si="0"/>
        <v>31</v>
      </c>
      <c r="T35" s="209">
        <v>7.5165377673559408E-2</v>
      </c>
      <c r="U35" s="209">
        <v>9.9874565121261111E-2</v>
      </c>
    </row>
    <row r="36" spans="1:21" ht="15" x14ac:dyDescent="0.2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9">
        <f t="shared" si="0"/>
        <v>32</v>
      </c>
      <c r="T36" s="209">
        <v>6.0414455430027859E-2</v>
      </c>
      <c r="U36" s="209">
        <v>8.1436834330702215E-2</v>
      </c>
    </row>
    <row r="37" spans="1:21" ht="15" x14ac:dyDescent="0.2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9">
        <f t="shared" si="0"/>
        <v>33</v>
      </c>
      <c r="T37" s="209">
        <v>4.7477726620750504E-2</v>
      </c>
      <c r="U37" s="209">
        <v>6.4925139885707181E-2</v>
      </c>
    </row>
    <row r="38" spans="1:21" ht="15" x14ac:dyDescent="0.2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9">
        <f t="shared" si="0"/>
        <v>34</v>
      </c>
      <c r="T38" s="209">
        <v>3.6423005072708112E-2</v>
      </c>
      <c r="U38" s="209">
        <v>5.0529117529403929E-2</v>
      </c>
    </row>
    <row r="39" spans="1:21" ht="15" x14ac:dyDescent="0.2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9">
        <f t="shared" si="0"/>
        <v>35</v>
      </c>
      <c r="T39" s="209">
        <v>2.7254972330695293E-2</v>
      </c>
      <c r="U39" s="209">
        <v>3.8357884340001841E-2</v>
      </c>
    </row>
    <row r="40" spans="1:21" ht="15" x14ac:dyDescent="0.2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9">
        <f t="shared" si="0"/>
        <v>36</v>
      </c>
      <c r="T40" s="209">
        <v>1.9831640356062604E-2</v>
      </c>
      <c r="U40" s="209">
        <v>2.8314604412473039E-2</v>
      </c>
    </row>
    <row r="41" spans="1:21" ht="15" x14ac:dyDescent="0.2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9">
        <f t="shared" si="0"/>
        <v>37</v>
      </c>
      <c r="T41" s="209">
        <v>1.4029191353943555E-2</v>
      </c>
      <c r="U41" s="209">
        <v>2.0320175755541934E-2</v>
      </c>
    </row>
    <row r="42" spans="1:21" ht="15" x14ac:dyDescent="0.2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9">
        <f t="shared" si="0"/>
        <v>38</v>
      </c>
      <c r="T42" s="209">
        <v>9.6461355632267171E-3</v>
      </c>
      <c r="U42" s="209">
        <v>1.4173958039027424E-2</v>
      </c>
    </row>
    <row r="43" spans="1:21" ht="15" x14ac:dyDescent="0.2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9">
        <f t="shared" si="0"/>
        <v>39</v>
      </c>
      <c r="T43" s="209">
        <v>6.4509478856733414E-3</v>
      </c>
      <c r="U43" s="209">
        <v>9.6162174575573998E-3</v>
      </c>
    </row>
    <row r="44" spans="1:21" ht="15" x14ac:dyDescent="0.2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9">
        <f t="shared" si="0"/>
        <v>40</v>
      </c>
      <c r="T44" s="209">
        <v>4.2017865903082405E-3</v>
      </c>
      <c r="U44" s="209">
        <v>6.3541533768820936E-3</v>
      </c>
    </row>
    <row r="45" spans="1:21" ht="15" x14ac:dyDescent="0.2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9">
        <f t="shared" si="0"/>
        <v>41</v>
      </c>
      <c r="T45" s="209">
        <v>2.672980626306133E-3</v>
      </c>
      <c r="U45" s="209">
        <v>4.1007422666495342E-3</v>
      </c>
    </row>
    <row r="46" spans="1:21" ht="15" x14ac:dyDescent="0.2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9">
        <f t="shared" si="0"/>
        <v>42</v>
      </c>
      <c r="T46" s="209">
        <v>1.6635091545781791E-3</v>
      </c>
      <c r="U46" s="209">
        <v>2.5890165067757741E-3</v>
      </c>
    </row>
    <row r="47" spans="1:21" ht="15" x14ac:dyDescent="0.2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9">
        <f t="shared" si="0"/>
        <v>43</v>
      </c>
      <c r="T47" s="209">
        <v>1.013570233692885E-3</v>
      </c>
      <c r="U47" s="209">
        <v>1.6003185249931888E-3</v>
      </c>
    </row>
    <row r="48" spans="1:21" ht="15" x14ac:dyDescent="0.2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9">
        <f t="shared" si="0"/>
        <v>44</v>
      </c>
      <c r="T48" s="209">
        <v>6.024818138237897E-4</v>
      </c>
      <c r="U48" s="209">
        <v>9.6502705123934721E-4</v>
      </c>
    </row>
    <row r="49" spans="1:21" ht="15" x14ac:dyDescent="0.2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9">
        <f t="shared" si="0"/>
        <v>45</v>
      </c>
      <c r="T49" s="209">
        <v>3.4923668992676578E-4</v>
      </c>
      <c r="U49" s="209">
        <v>5.6749020424058552E-4</v>
      </c>
    </row>
    <row r="50" spans="1:21" ht="15" x14ac:dyDescent="0.2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9">
        <f t="shared" si="0"/>
        <v>46</v>
      </c>
      <c r="T50" s="209">
        <v>1.9732718827291876E-4</v>
      </c>
      <c r="U50" s="209">
        <v>3.2528826364534223E-4</v>
      </c>
    </row>
    <row r="51" spans="1:21" ht="15" x14ac:dyDescent="0.2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9">
        <f t="shared" si="0"/>
        <v>47</v>
      </c>
      <c r="T51" s="209">
        <v>1.0779950267120664E-4</v>
      </c>
      <c r="U51" s="209">
        <v>1.802773578913484E-4</v>
      </c>
    </row>
    <row r="52" spans="1:21" ht="15" x14ac:dyDescent="0.2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9">
        <f t="shared" si="0"/>
        <v>48</v>
      </c>
      <c r="T52" s="209">
        <v>5.5933103827401403E-5</v>
      </c>
      <c r="U52" s="209">
        <v>9.4893465572293596E-5</v>
      </c>
    </row>
    <row r="53" spans="1:21" ht="15" x14ac:dyDescent="0.2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9">
        <f t="shared" si="0"/>
        <v>49</v>
      </c>
      <c r="T53" s="209">
        <v>2.7894872710650807E-5</v>
      </c>
      <c r="U53" s="209">
        <v>4.8010334573535044E-5</v>
      </c>
    </row>
    <row r="54" spans="1:21" s="212" customFormat="1" ht="15" x14ac:dyDescent="0.2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13990.053315642415</v>
      </c>
      <c r="O54" s="204">
        <f t="shared" si="8"/>
        <v>359.07803510148864</v>
      </c>
      <c r="P54" s="204">
        <f t="shared" si="11"/>
        <v>791819.38306992722</v>
      </c>
      <c r="Q54" s="204">
        <f t="shared" si="9"/>
        <v>1255686.5714689796</v>
      </c>
      <c r="S54" s="159">
        <f t="shared" si="0"/>
        <v>50</v>
      </c>
      <c r="T54" s="209">
        <v>1.3334034742874676E-5</v>
      </c>
      <c r="U54" s="209">
        <v>2.3281710868013874E-5</v>
      </c>
    </row>
    <row r="55" spans="1:21" ht="15" x14ac:dyDescent="0.2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9">
        <f t="shared" si="0"/>
        <v>51</v>
      </c>
      <c r="T55" s="209">
        <v>6.0105228076378248E-6</v>
      </c>
      <c r="U55" s="209">
        <v>1.0646540713142669E-5</v>
      </c>
    </row>
    <row r="56" spans="1:21" ht="15" x14ac:dyDescent="0.2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9">
        <f t="shared" si="0"/>
        <v>52</v>
      </c>
      <c r="T56" s="209">
        <v>2.6208460976905375E-6</v>
      </c>
      <c r="U56" s="209">
        <v>4.7095645008261876E-6</v>
      </c>
    </row>
    <row r="57" spans="1:21" ht="15" x14ac:dyDescent="0.2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9">
        <f t="shared" si="0"/>
        <v>53</v>
      </c>
      <c r="T57" s="209">
        <v>1.0819053666297486E-6</v>
      </c>
      <c r="U57" s="209">
        <v>1.9722931484360787E-6</v>
      </c>
    </row>
    <row r="58" spans="1:21" ht="15" x14ac:dyDescent="0.2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9">
        <f t="shared" si="0"/>
        <v>54</v>
      </c>
      <c r="T58" s="209">
        <v>0</v>
      </c>
      <c r="U58" s="209">
        <v>0</v>
      </c>
    </row>
    <row r="59" spans="1:21" ht="15" x14ac:dyDescent="0.2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9">
        <f t="shared" si="0"/>
        <v>55</v>
      </c>
      <c r="T59" s="209">
        <v>0</v>
      </c>
      <c r="U59" s="209">
        <v>0</v>
      </c>
    </row>
    <row r="60" spans="1:21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</row>
    <row r="61" spans="1:21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</row>
    <row r="62" spans="1:21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</row>
    <row r="63" spans="1:21" ht="16" thickBot="1" x14ac:dyDescent="0.25">
      <c r="S63" s="158" t="s">
        <v>329</v>
      </c>
      <c r="T63" s="210">
        <v>14.638838166892095</v>
      </c>
      <c r="U63" s="210">
        <v>15.466787698552865</v>
      </c>
    </row>
    <row r="64" spans="1:21" ht="16" thickBot="1" x14ac:dyDescent="0.25">
      <c r="S64" s="158" t="s">
        <v>330</v>
      </c>
      <c r="T64" s="211">
        <f>T63*H54</f>
        <v>1188468.6637157274</v>
      </c>
      <c r="U64" s="211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353</v>
      </c>
    </row>
    <row r="2" spans="1:20" ht="16" thickBot="1" x14ac:dyDescent="0.25">
      <c r="S2" s="157" t="s">
        <v>243</v>
      </c>
      <c r="T2" s="158" t="s">
        <v>328</v>
      </c>
    </row>
    <row r="3" spans="1:20" ht="15" x14ac:dyDescent="0.2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">
      <c r="A8" s="16" t="s">
        <v>279</v>
      </c>
      <c r="E8" s="176">
        <f>F53</f>
        <v>154639.99327274557</v>
      </c>
      <c r="S8" s="159">
        <f t="shared" si="0"/>
        <v>5</v>
      </c>
      <c r="T8" s="209">
        <v>0.75152958141060644</v>
      </c>
    </row>
    <row r="9" spans="1:20" ht="15" x14ac:dyDescent="0.2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">
      <c r="A10" s="16" t="s">
        <v>225</v>
      </c>
      <c r="E10" s="194">
        <f>E9*(1-M53/E12)/(M53/E12)</f>
        <v>7.3023593804847811E-2</v>
      </c>
      <c r="S10" s="159">
        <f t="shared" si="0"/>
        <v>7</v>
      </c>
      <c r="T10" s="209">
        <v>0.6808521100143623</v>
      </c>
    </row>
    <row r="11" spans="1:20" ht="15" x14ac:dyDescent="0.2">
      <c r="A11" s="16" t="s">
        <v>288</v>
      </c>
      <c r="E11" s="183">
        <f>5.6%+0.5%</f>
        <v>6.0999999999999992E-2</v>
      </c>
      <c r="S11" s="159">
        <f t="shared" si="0"/>
        <v>8</v>
      </c>
      <c r="T11" s="209">
        <v>0.64756779175445844</v>
      </c>
    </row>
    <row r="12" spans="1:20" ht="15" x14ac:dyDescent="0.2">
      <c r="A12" s="16" t="s">
        <v>332</v>
      </c>
      <c r="E12" s="193">
        <f>T63</f>
        <v>1255686.5714689796</v>
      </c>
      <c r="S12" s="159">
        <f t="shared" si="0"/>
        <v>9</v>
      </c>
      <c r="T12" s="209">
        <v>0.61553728800094754</v>
      </c>
    </row>
    <row r="13" spans="1:20" ht="15" x14ac:dyDescent="0.2">
      <c r="A13" s="16" t="s">
        <v>310</v>
      </c>
      <c r="E13" s="186">
        <f>Q53</f>
        <v>1255686.5714689796</v>
      </c>
      <c r="S13" s="159">
        <f t="shared" si="0"/>
        <v>10</v>
      </c>
      <c r="T13" s="209">
        <v>0.58468375530526651</v>
      </c>
    </row>
    <row r="14" spans="1:20" ht="15" x14ac:dyDescent="0.2">
      <c r="E14" s="27"/>
      <c r="S14" s="159">
        <f t="shared" si="0"/>
        <v>11</v>
      </c>
      <c r="T14" s="209">
        <v>0.5549329870963029</v>
      </c>
    </row>
    <row r="15" spans="1:20" ht="15" x14ac:dyDescent="0.2">
      <c r="S15" s="159">
        <f t="shared" si="0"/>
        <v>12</v>
      </c>
      <c r="T15" s="209">
        <v>0.52620740291827606</v>
      </c>
    </row>
    <row r="16" spans="1:20" ht="15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83.874999999999986</v>
      </c>
      <c r="M19" s="182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9">
        <f t="shared" si="0"/>
        <v>16</v>
      </c>
      <c r="T19" s="209">
        <v>0.42595314520328664</v>
      </c>
    </row>
    <row r="20" spans="1:20" ht="15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86.391249999999985</v>
      </c>
      <c r="M20" s="182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9">
        <f t="shared" si="0"/>
        <v>17</v>
      </c>
      <c r="T20" s="209">
        <v>0.40466785082755796</v>
      </c>
    </row>
    <row r="21" spans="1:20" ht="15" x14ac:dyDescent="0.2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88.982987499999979</v>
      </c>
      <c r="M21" s="182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9">
        <f t="shared" si="0"/>
        <v>18</v>
      </c>
      <c r="T21" s="209">
        <v>0.38345449693750139</v>
      </c>
    </row>
    <row r="22" spans="1:20" ht="15" x14ac:dyDescent="0.2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91.652477124999976</v>
      </c>
      <c r="M22" s="182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9">
        <f t="shared" si="0"/>
        <v>19</v>
      </c>
      <c r="T22" s="209">
        <v>0.36219863615594805</v>
      </c>
    </row>
    <row r="23" spans="1:20" ht="15" x14ac:dyDescent="0.2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94.402051438749979</v>
      </c>
      <c r="M23" s="182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9">
        <f t="shared" si="0"/>
        <v>20</v>
      </c>
      <c r="T23" s="209">
        <v>0.34083563397386291</v>
      </c>
    </row>
    <row r="24" spans="1:20" ht="15" x14ac:dyDescent="0.2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97.234112981912489</v>
      </c>
      <c r="M24" s="182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9">
        <f t="shared" si="0"/>
        <v>21</v>
      </c>
      <c r="T24" s="209">
        <v>0.31931184335805307</v>
      </c>
    </row>
    <row r="25" spans="1:20" ht="15" x14ac:dyDescent="0.2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100.15113637136986</v>
      </c>
      <c r="M25" s="182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9">
        <f t="shared" si="0"/>
        <v>22</v>
      </c>
      <c r="T25" s="209">
        <v>0.29757099788726254</v>
      </c>
    </row>
    <row r="26" spans="1:20" ht="15" x14ac:dyDescent="0.2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103.15567046251095</v>
      </c>
      <c r="M26" s="182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9">
        <f t="shared" si="0"/>
        <v>23</v>
      </c>
      <c r="T26" s="209">
        <v>0.27559103301866117</v>
      </c>
    </row>
    <row r="27" spans="1:20" ht="15" x14ac:dyDescent="0.2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106.25034057638631</v>
      </c>
      <c r="M27" s="182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9">
        <f t="shared" si="0"/>
        <v>24</v>
      </c>
      <c r="T27" s="209">
        <v>0.25337774846318517</v>
      </c>
    </row>
    <row r="28" spans="1:20" ht="15" x14ac:dyDescent="0.2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109.43785079367788</v>
      </c>
      <c r="M28" s="182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9">
        <f t="shared" si="0"/>
        <v>25</v>
      </c>
      <c r="T28" s="209">
        <v>0.23093199023283795</v>
      </c>
    </row>
    <row r="29" spans="1:20" ht="15" x14ac:dyDescent="0.2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112.72098631748823</v>
      </c>
      <c r="M29" s="182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9">
        <f t="shared" si="0"/>
        <v>26</v>
      </c>
      <c r="T29" s="209">
        <v>0.20832812658858546</v>
      </c>
    </row>
    <row r="30" spans="1:20" ht="15" x14ac:dyDescent="0.2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116.10261590701288</v>
      </c>
      <c r="M30" s="182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9">
        <f t="shared" si="0"/>
        <v>27</v>
      </c>
      <c r="T30" s="209">
        <v>0.18569515549630558</v>
      </c>
    </row>
    <row r="31" spans="1:20" ht="15" x14ac:dyDescent="0.2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119.58569438422325</v>
      </c>
      <c r="M31" s="182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9">
        <f t="shared" si="0"/>
        <v>28</v>
      </c>
      <c r="T31" s="209">
        <v>0.1632224976043197</v>
      </c>
    </row>
    <row r="32" spans="1:20" ht="15" x14ac:dyDescent="0.2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123.17326521574995</v>
      </c>
      <c r="M32" s="182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9">
        <f t="shared" si="0"/>
        <v>29</v>
      </c>
      <c r="T32" s="209">
        <v>0.14122302808735943</v>
      </c>
    </row>
    <row r="33" spans="1:20" ht="15" x14ac:dyDescent="0.2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126.86846317222246</v>
      </c>
      <c r="M33" s="182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9">
        <f t="shared" si="0"/>
        <v>30</v>
      </c>
      <c r="T33" s="209">
        <v>0.11998045106317953</v>
      </c>
    </row>
    <row r="34" spans="1:20" ht="15" x14ac:dyDescent="0.2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130.67451706738916</v>
      </c>
      <c r="M34" s="182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9">
        <f t="shared" si="0"/>
        <v>31</v>
      </c>
      <c r="T34" s="209">
        <v>9.9874565121261111E-2</v>
      </c>
    </row>
    <row r="35" spans="1:20" ht="15" x14ac:dyDescent="0.2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134.59475257941082</v>
      </c>
      <c r="M35" s="182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9">
        <f t="shared" si="0"/>
        <v>32</v>
      </c>
      <c r="T35" s="209">
        <v>8.1436834330702215E-2</v>
      </c>
    </row>
    <row r="36" spans="1:20" ht="15" x14ac:dyDescent="0.2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138.63259515679314</v>
      </c>
      <c r="M36" s="182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9">
        <f t="shared" si="0"/>
        <v>33</v>
      </c>
      <c r="T36" s="209">
        <v>6.4925139885707181E-2</v>
      </c>
    </row>
    <row r="37" spans="1:20" ht="15" x14ac:dyDescent="0.2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142.79157301149695</v>
      </c>
      <c r="M37" s="182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9">
        <f t="shared" si="0"/>
        <v>34</v>
      </c>
      <c r="T37" s="209">
        <v>5.0529117529403929E-2</v>
      </c>
    </row>
    <row r="38" spans="1:20" ht="15" x14ac:dyDescent="0.2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147.07532020184189</v>
      </c>
      <c r="M38" s="182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9">
        <f t="shared" si="0"/>
        <v>35</v>
      </c>
      <c r="T38" s="209">
        <v>3.8357884340001841E-2</v>
      </c>
    </row>
    <row r="39" spans="1:20" ht="15" x14ac:dyDescent="0.2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151.48757980789713</v>
      </c>
      <c r="M39" s="182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9">
        <f t="shared" si="0"/>
        <v>36</v>
      </c>
      <c r="T39" s="209">
        <v>2.8314604412473039E-2</v>
      </c>
    </row>
    <row r="40" spans="1:20" ht="15" x14ac:dyDescent="0.2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156.03220720213403</v>
      </c>
      <c r="M40" s="182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9">
        <f t="shared" si="0"/>
        <v>37</v>
      </c>
      <c r="T40" s="209">
        <v>2.0320175755541934E-2</v>
      </c>
    </row>
    <row r="41" spans="1:20" ht="15" x14ac:dyDescent="0.2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160.7131734181981</v>
      </c>
      <c r="M41" s="182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9">
        <f t="shared" si="0"/>
        <v>38</v>
      </c>
      <c r="T41" s="209">
        <v>1.4173958039027424E-2</v>
      </c>
    </row>
    <row r="42" spans="1:20" ht="15" x14ac:dyDescent="0.2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165.53456862074401</v>
      </c>
      <c r="M42" s="182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9">
        <f t="shared" si="0"/>
        <v>39</v>
      </c>
      <c r="T42" s="209">
        <v>9.6162174575573998E-3</v>
      </c>
    </row>
    <row r="43" spans="1:20" ht="15" x14ac:dyDescent="0.2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170.50060567936632</v>
      </c>
      <c r="M43" s="182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9">
        <f t="shared" si="0"/>
        <v>40</v>
      </c>
      <c r="T43" s="209">
        <v>6.3541533768820936E-3</v>
      </c>
    </row>
    <row r="44" spans="1:20" ht="15" x14ac:dyDescent="0.2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175.61562384974735</v>
      </c>
      <c r="M44" s="182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9">
        <f t="shared" si="0"/>
        <v>41</v>
      </c>
      <c r="T44" s="209">
        <v>4.1007422666495342E-3</v>
      </c>
    </row>
    <row r="45" spans="1:20" ht="15" x14ac:dyDescent="0.2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180.88409256523974</v>
      </c>
      <c r="M45" s="182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9">
        <f t="shared" si="0"/>
        <v>42</v>
      </c>
      <c r="T45" s="209">
        <v>2.5890165067757741E-3</v>
      </c>
    </row>
    <row r="46" spans="1:20" ht="15" x14ac:dyDescent="0.2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186.31061534219697</v>
      </c>
      <c r="M46" s="182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9">
        <f t="shared" si="0"/>
        <v>43</v>
      </c>
      <c r="T46" s="209">
        <v>1.6003185249931888E-3</v>
      </c>
    </row>
    <row r="47" spans="1:20" ht="15" x14ac:dyDescent="0.2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191.89993380246287</v>
      </c>
      <c r="M47" s="182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9">
        <f t="shared" si="0"/>
        <v>44</v>
      </c>
      <c r="T47" s="209">
        <v>9.6502705123934721E-4</v>
      </c>
    </row>
    <row r="48" spans="1:20" ht="15" x14ac:dyDescent="0.2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197.65693181653677</v>
      </c>
      <c r="M48" s="182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9">
        <f t="shared" si="0"/>
        <v>45</v>
      </c>
      <c r="T48" s="209">
        <v>5.6749020424058552E-4</v>
      </c>
    </row>
    <row r="49" spans="1:20" ht="15" x14ac:dyDescent="0.2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203.58663977103288</v>
      </c>
      <c r="M49" s="182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9">
        <f t="shared" si="0"/>
        <v>46</v>
      </c>
      <c r="T49" s="209">
        <v>3.2528826364534223E-4</v>
      </c>
    </row>
    <row r="50" spans="1:20" ht="15" x14ac:dyDescent="0.2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209.6942389641639</v>
      </c>
      <c r="M50" s="182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9">
        <f t="shared" si="0"/>
        <v>47</v>
      </c>
      <c r="T50" s="209">
        <v>1.802773578913484E-4</v>
      </c>
    </row>
    <row r="51" spans="1:20" ht="15" x14ac:dyDescent="0.2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215.98506613308885</v>
      </c>
      <c r="M51" s="182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9">
        <f t="shared" si="0"/>
        <v>48</v>
      </c>
      <c r="T51" s="209">
        <v>9.4893465572293596E-5</v>
      </c>
    </row>
    <row r="52" spans="1:20" ht="15" x14ac:dyDescent="0.2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222.4646181170815</v>
      </c>
      <c r="M52" s="182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9">
        <f t="shared" si="0"/>
        <v>49</v>
      </c>
      <c r="T52" s="209">
        <v>4.8010334573535044E-5</v>
      </c>
    </row>
    <row r="53" spans="1:20" s="212" customFormat="1" ht="15" x14ac:dyDescent="0.2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229.13855666059396</v>
      </c>
      <c r="M53" s="206">
        <f t="shared" si="12"/>
        <v>510343.80179987015</v>
      </c>
      <c r="N53" s="204">
        <f t="shared" si="1"/>
        <v>11969.612556742048</v>
      </c>
      <c r="O53" s="204">
        <f t="shared" si="8"/>
        <v>334.65041773224635</v>
      </c>
      <c r="P53" s="204">
        <f t="shared" si="11"/>
        <v>745342.76966910949</v>
      </c>
      <c r="Q53" s="204">
        <f t="shared" si="9"/>
        <v>1255686.5714689796</v>
      </c>
      <c r="S53" s="159">
        <f t="shared" si="0"/>
        <v>50</v>
      </c>
      <c r="T53" s="209">
        <v>2.3281710868013874E-5</v>
      </c>
    </row>
    <row r="54" spans="1:20" ht="15" x14ac:dyDescent="0.2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236.01271336041179</v>
      </c>
      <c r="M54" s="182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9">
        <f t="shared" si="0"/>
        <v>51</v>
      </c>
      <c r="T54" s="209">
        <v>1.0646540713142669E-5</v>
      </c>
    </row>
    <row r="55" spans="1:20" ht="15" x14ac:dyDescent="0.2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243.09309476122411</v>
      </c>
      <c r="M55" s="182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9">
        <f t="shared" si="0"/>
        <v>52</v>
      </c>
      <c r="T55" s="209">
        <v>4.7095645008261876E-6</v>
      </c>
    </row>
    <row r="56" spans="1:20" ht="15" x14ac:dyDescent="0.2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250.38588760406088</v>
      </c>
      <c r="M56" s="182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9">
        <f t="shared" si="0"/>
        <v>53</v>
      </c>
      <c r="T56" s="209">
        <v>1.9722931484360787E-6</v>
      </c>
    </row>
    <row r="57" spans="1:20" ht="15" x14ac:dyDescent="0.2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257.8974642321827</v>
      </c>
      <c r="M57" s="182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9">
        <f t="shared" si="0"/>
        <v>54</v>
      </c>
      <c r="T57" s="209">
        <v>0</v>
      </c>
    </row>
    <row r="58" spans="1:20" ht="15" x14ac:dyDescent="0.2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265.63438815914822</v>
      </c>
      <c r="M58" s="182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9">
        <f t="shared" si="0"/>
        <v>55</v>
      </c>
      <c r="T58" s="209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6" thickBot="1" x14ac:dyDescent="0.25">
      <c r="S62" s="158" t="s">
        <v>329</v>
      </c>
      <c r="T62" s="210">
        <v>15.466787698552865</v>
      </c>
    </row>
    <row r="63" spans="1:20" ht="16" thickBot="1" x14ac:dyDescent="0.25">
      <c r="S63" s="158" t="s">
        <v>330</v>
      </c>
      <c r="T63" s="211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355</v>
      </c>
    </row>
    <row r="2" spans="1:20" ht="16" thickBot="1" x14ac:dyDescent="0.25">
      <c r="S2" s="157" t="s">
        <v>243</v>
      </c>
      <c r="T2" s="158" t="s">
        <v>328</v>
      </c>
    </row>
    <row r="3" spans="1:20" ht="15" x14ac:dyDescent="0.2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">
      <c r="A6" s="16" t="s">
        <v>278</v>
      </c>
      <c r="E6" s="174">
        <f>3%+0.5%</f>
        <v>3.4999999999999996E-2</v>
      </c>
      <c r="S6" s="159">
        <f t="shared" si="0"/>
        <v>3</v>
      </c>
      <c r="T6" s="209">
        <v>0.84204454889734948</v>
      </c>
    </row>
    <row r="7" spans="1:20" ht="15" x14ac:dyDescent="0.2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">
      <c r="A8" s="16" t="s">
        <v>279</v>
      </c>
      <c r="E8" s="176">
        <f>F53</f>
        <v>180616.02553664282</v>
      </c>
      <c r="S8" s="159">
        <f t="shared" si="0"/>
        <v>5</v>
      </c>
      <c r="T8" s="209">
        <v>0.75152958141060644</v>
      </c>
    </row>
    <row r="9" spans="1:20" ht="15" x14ac:dyDescent="0.2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">
      <c r="A10" s="16" t="s">
        <v>225</v>
      </c>
      <c r="E10" s="194">
        <f>E9*(1-M53/E12)/(M53/E12)</f>
        <v>9.7203294677859028E-2</v>
      </c>
      <c r="S10" s="159">
        <f t="shared" si="0"/>
        <v>7</v>
      </c>
      <c r="T10" s="209">
        <v>0.6808521100143623</v>
      </c>
    </row>
    <row r="11" spans="1:20" ht="15" x14ac:dyDescent="0.2">
      <c r="A11" s="16" t="s">
        <v>288</v>
      </c>
      <c r="E11" s="183">
        <v>5.6000000000000001E-2</v>
      </c>
      <c r="S11" s="159">
        <f t="shared" si="0"/>
        <v>8</v>
      </c>
      <c r="T11" s="209">
        <v>0.64756779175445844</v>
      </c>
    </row>
    <row r="12" spans="1:20" ht="15" x14ac:dyDescent="0.2">
      <c r="A12" s="16" t="s">
        <v>332</v>
      </c>
      <c r="E12" s="193">
        <f>T63</f>
        <v>1466613.6040141201</v>
      </c>
      <c r="S12" s="159">
        <f t="shared" si="0"/>
        <v>9</v>
      </c>
      <c r="T12" s="209">
        <v>0.61553728800094754</v>
      </c>
    </row>
    <row r="13" spans="1:20" ht="15" x14ac:dyDescent="0.2">
      <c r="A13" s="16" t="s">
        <v>310</v>
      </c>
      <c r="E13" s="186">
        <f>Q53</f>
        <v>1466613.6040141205</v>
      </c>
      <c r="S13" s="159">
        <f t="shared" si="0"/>
        <v>10</v>
      </c>
      <c r="T13" s="209">
        <v>0.58468375530526651</v>
      </c>
    </row>
    <row r="14" spans="1:20" ht="15" x14ac:dyDescent="0.2">
      <c r="E14" s="27"/>
      <c r="S14" s="159">
        <f t="shared" si="0"/>
        <v>11</v>
      </c>
      <c r="T14" s="209">
        <v>0.5549329870963029</v>
      </c>
    </row>
    <row r="15" spans="1:20" ht="15" x14ac:dyDescent="0.2">
      <c r="S15" s="159">
        <f t="shared" si="0"/>
        <v>12</v>
      </c>
      <c r="T15" s="209">
        <v>0.52620740291827606</v>
      </c>
    </row>
    <row r="16" spans="1:20" ht="15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7">
        <f>H19/D19</f>
        <v>4.5154006384160707E-2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9">
        <f t="shared" si="0"/>
        <v>16</v>
      </c>
      <c r="T19" s="209">
        <v>0.42595314520328664</v>
      </c>
    </row>
    <row r="20" spans="1:20" ht="15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7">
        <f t="shared" ref="I20:I57" si="5">H20/D20</f>
        <v>8.7254118616735668E-2</v>
      </c>
      <c r="J20" s="177"/>
      <c r="K20" s="182">
        <f t="shared" ref="K20:K58" si="6">D20*$E$9</f>
        <v>3105</v>
      </c>
      <c r="L20" s="182">
        <f t="shared" ref="L20:L58" si="7">K20*(11/24)*$E$11</f>
        <v>79.695000000000007</v>
      </c>
      <c r="M20" s="182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9">
        <f t="shared" si="0"/>
        <v>17</v>
      </c>
      <c r="T20" s="209">
        <v>0.40466785082755796</v>
      </c>
    </row>
    <row r="21" spans="1:20" ht="15" x14ac:dyDescent="0.2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7">
        <f t="shared" si="5"/>
        <v>0.12645524437208069</v>
      </c>
      <c r="J21" s="177"/>
      <c r="K21" s="182">
        <f t="shared" si="6"/>
        <v>3213.6749999999993</v>
      </c>
      <c r="L21" s="182">
        <f t="shared" si="7"/>
        <v>82.484324999999984</v>
      </c>
      <c r="M21" s="182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9">
        <f t="shared" si="0"/>
        <v>18</v>
      </c>
      <c r="T21" s="209">
        <v>0.38345449693750139</v>
      </c>
    </row>
    <row r="22" spans="1:20" ht="15" x14ac:dyDescent="0.2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7">
        <f t="shared" si="5"/>
        <v>0.16290530675952425</v>
      </c>
      <c r="J22" s="177"/>
      <c r="K22" s="182">
        <f t="shared" si="6"/>
        <v>3326.153624999999</v>
      </c>
      <c r="L22" s="182">
        <f t="shared" si="7"/>
        <v>85.371276374999965</v>
      </c>
      <c r="M22" s="182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9">
        <f t="shared" si="0"/>
        <v>19</v>
      </c>
      <c r="T22" s="209">
        <v>0.36219863615594805</v>
      </c>
    </row>
    <row r="23" spans="1:20" ht="15" x14ac:dyDescent="0.2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7">
        <f t="shared" si="5"/>
        <v>0.19674553956464286</v>
      </c>
      <c r="J23" s="177"/>
      <c r="K23" s="182">
        <f t="shared" si="6"/>
        <v>3442.5690018749988</v>
      </c>
      <c r="L23" s="182">
        <f t="shared" si="7"/>
        <v>88.359271048124967</v>
      </c>
      <c r="M23" s="182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9">
        <f t="shared" si="0"/>
        <v>20</v>
      </c>
      <c r="T23" s="209">
        <v>0.34083563397386291</v>
      </c>
    </row>
    <row r="24" spans="1:20" ht="15" x14ac:dyDescent="0.2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7">
        <f t="shared" si="5"/>
        <v>0.22811077050973089</v>
      </c>
      <c r="J24" s="177"/>
      <c r="K24" s="182">
        <f t="shared" si="6"/>
        <v>3563.058916940623</v>
      </c>
      <c r="L24" s="182">
        <f t="shared" si="7"/>
        <v>91.451845534809323</v>
      </c>
      <c r="M24" s="182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9">
        <f t="shared" si="0"/>
        <v>21</v>
      </c>
      <c r="T24" s="209">
        <v>0.31931184335805307</v>
      </c>
    </row>
    <row r="25" spans="1:20" ht="15" x14ac:dyDescent="0.2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7">
        <f t="shared" si="5"/>
        <v>0.25712969300613786</v>
      </c>
      <c r="J25" s="177"/>
      <c r="K25" s="182">
        <f t="shared" si="6"/>
        <v>3687.7659790335451</v>
      </c>
      <c r="L25" s="182">
        <f t="shared" si="7"/>
        <v>94.652660128527657</v>
      </c>
      <c r="M25" s="182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9">
        <f t="shared" si="0"/>
        <v>22</v>
      </c>
      <c r="T25" s="209">
        <v>0.29757099788726254</v>
      </c>
    </row>
    <row r="26" spans="1:20" ht="15" x14ac:dyDescent="0.2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7">
        <f t="shared" si="5"/>
        <v>0.2839251268528783</v>
      </c>
      <c r="J26" s="177"/>
      <c r="K26" s="182">
        <f t="shared" si="6"/>
        <v>3816.8377882997188</v>
      </c>
      <c r="L26" s="182">
        <f t="shared" si="7"/>
        <v>97.965503233026112</v>
      </c>
      <c r="M26" s="182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9">
        <f t="shared" si="0"/>
        <v>23</v>
      </c>
      <c r="T26" s="209">
        <v>0.27559103301866117</v>
      </c>
    </row>
    <row r="27" spans="1:20" ht="15" x14ac:dyDescent="0.2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7">
        <f t="shared" si="5"/>
        <v>0.30861426831834599</v>
      </c>
      <c r="J27" s="177"/>
      <c r="K27" s="182">
        <f t="shared" si="6"/>
        <v>3950.4271108902085</v>
      </c>
      <c r="L27" s="182">
        <f t="shared" si="7"/>
        <v>101.39429584618202</v>
      </c>
      <c r="M27" s="182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9">
        <f t="shared" si="0"/>
        <v>24</v>
      </c>
      <c r="T27" s="209">
        <v>0.25337774846318517</v>
      </c>
    </row>
    <row r="28" spans="1:20" ht="15" x14ac:dyDescent="0.2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7">
        <f t="shared" si="5"/>
        <v>0.33130893002506279</v>
      </c>
      <c r="J28" s="177"/>
      <c r="K28" s="182">
        <f t="shared" si="6"/>
        <v>4088.6920597713652</v>
      </c>
      <c r="L28" s="182">
        <f t="shared" si="7"/>
        <v>104.94309620079838</v>
      </c>
      <c r="M28" s="182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9">
        <f t="shared" si="0"/>
        <v>25</v>
      </c>
      <c r="T28" s="209">
        <v>0.23093199023283795</v>
      </c>
    </row>
    <row r="29" spans="1:20" ht="15" x14ac:dyDescent="0.2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7">
        <f t="shared" si="5"/>
        <v>0.35211577104112962</v>
      </c>
      <c r="J29" s="177"/>
      <c r="K29" s="182">
        <f t="shared" si="6"/>
        <v>4231.7962818633632</v>
      </c>
      <c r="L29" s="182">
        <f t="shared" si="7"/>
        <v>108.61610456782631</v>
      </c>
      <c r="M29" s="182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9">
        <f t="shared" si="0"/>
        <v>26</v>
      </c>
      <c r="T29" s="209">
        <v>0.20832812658858546</v>
      </c>
    </row>
    <row r="30" spans="1:20" ht="15" x14ac:dyDescent="0.2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7">
        <f t="shared" si="5"/>
        <v>0.37113651756640803</v>
      </c>
      <c r="J30" s="177"/>
      <c r="K30" s="182">
        <f t="shared" si="6"/>
        <v>4379.9091517285806</v>
      </c>
      <c r="L30" s="182">
        <f t="shared" si="7"/>
        <v>112.41766822770023</v>
      </c>
      <c r="M30" s="182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9">
        <f t="shared" si="0"/>
        <v>27</v>
      </c>
      <c r="T30" s="209">
        <v>0.18569515549630558</v>
      </c>
    </row>
    <row r="31" spans="1:20" ht="15" x14ac:dyDescent="0.2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7">
        <f t="shared" si="5"/>
        <v>0.38846817458641747</v>
      </c>
      <c r="J31" s="177"/>
      <c r="K31" s="182">
        <f t="shared" si="6"/>
        <v>4533.2059720390798</v>
      </c>
      <c r="L31" s="182">
        <f t="shared" si="7"/>
        <v>116.35228661566971</v>
      </c>
      <c r="M31" s="182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9">
        <f t="shared" si="0"/>
        <v>28</v>
      </c>
      <c r="T31" s="209">
        <v>0.1632224976043197</v>
      </c>
    </row>
    <row r="32" spans="1:20" ht="15" x14ac:dyDescent="0.2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7">
        <f t="shared" si="5"/>
        <v>0.40420322885245968</v>
      </c>
      <c r="J32" s="177"/>
      <c r="K32" s="182">
        <f t="shared" si="6"/>
        <v>4691.8681810604476</v>
      </c>
      <c r="L32" s="182">
        <f t="shared" si="7"/>
        <v>120.42461664721814</v>
      </c>
      <c r="M32" s="182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9">
        <f t="shared" si="0"/>
        <v>29</v>
      </c>
      <c r="T32" s="209">
        <v>0.14122302808735943</v>
      </c>
    </row>
    <row r="33" spans="1:20" ht="15" x14ac:dyDescent="0.2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7">
        <f t="shared" si="5"/>
        <v>0.41842984353256696</v>
      </c>
      <c r="J33" s="177"/>
      <c r="K33" s="182">
        <f t="shared" si="6"/>
        <v>4856.0835673975625</v>
      </c>
      <c r="L33" s="182">
        <f t="shared" si="7"/>
        <v>124.63947822987076</v>
      </c>
      <c r="M33" s="182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9">
        <f t="shared" si="0"/>
        <v>30</v>
      </c>
      <c r="T33" s="209">
        <v>0.11998045106317953</v>
      </c>
    </row>
    <row r="34" spans="1:20" ht="15" x14ac:dyDescent="0.2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7">
        <f t="shared" si="5"/>
        <v>0.43123204486448125</v>
      </c>
      <c r="J34" s="177"/>
      <c r="K34" s="182">
        <f t="shared" si="6"/>
        <v>5026.0464922564779</v>
      </c>
      <c r="L34" s="182">
        <f t="shared" si="7"/>
        <v>129.00185996791629</v>
      </c>
      <c r="M34" s="182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9">
        <f t="shared" si="0"/>
        <v>31</v>
      </c>
      <c r="T34" s="209">
        <v>9.9874565121261111E-2</v>
      </c>
    </row>
    <row r="35" spans="1:20" ht="15" x14ac:dyDescent="0.2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7">
        <f t="shared" si="5"/>
        <v>0.44268990112899648</v>
      </c>
      <c r="J35" s="177"/>
      <c r="K35" s="182">
        <f t="shared" si="6"/>
        <v>5201.9581194854545</v>
      </c>
      <c r="L35" s="182">
        <f t="shared" si="7"/>
        <v>133.51692506679331</v>
      </c>
      <c r="M35" s="182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9">
        <f t="shared" si="0"/>
        <v>32</v>
      </c>
      <c r="T35" s="209">
        <v>8.1436834330702215E-2</v>
      </c>
    </row>
    <row r="36" spans="1:20" ht="15" x14ac:dyDescent="0.2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7">
        <f t="shared" si="5"/>
        <v>0.45287969424961277</v>
      </c>
      <c r="J36" s="177"/>
      <c r="K36" s="182">
        <f t="shared" si="6"/>
        <v>5384.0266536674444</v>
      </c>
      <c r="L36" s="182">
        <f t="shared" si="7"/>
        <v>138.19001744413109</v>
      </c>
      <c r="M36" s="182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9">
        <f t="shared" si="0"/>
        <v>33</v>
      </c>
      <c r="T36" s="209">
        <v>6.4925139885707181E-2</v>
      </c>
    </row>
    <row r="37" spans="1:20" ht="15" x14ac:dyDescent="0.2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7">
        <f t="shared" si="5"/>
        <v>0.46187408431254129</v>
      </c>
      <c r="J37" s="177"/>
      <c r="K37" s="182">
        <f t="shared" si="6"/>
        <v>5572.4675865458048</v>
      </c>
      <c r="L37" s="182">
        <f t="shared" si="7"/>
        <v>143.02666805467564</v>
      </c>
      <c r="M37" s="182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9">
        <f t="shared" si="0"/>
        <v>34</v>
      </c>
      <c r="T37" s="209">
        <v>5.0529117529403929E-2</v>
      </c>
    </row>
    <row r="38" spans="1:20" ht="15" x14ac:dyDescent="0.2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7">
        <f t="shared" si="5"/>
        <v>0.46974226728964286</v>
      </c>
      <c r="J38" s="177"/>
      <c r="K38" s="182">
        <f t="shared" si="6"/>
        <v>5767.5039520749069</v>
      </c>
      <c r="L38" s="182">
        <f t="shared" si="7"/>
        <v>148.03260143658929</v>
      </c>
      <c r="M38" s="182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9">
        <f t="shared" si="0"/>
        <v>35</v>
      </c>
      <c r="T38" s="209">
        <v>3.8357884340001841E-2</v>
      </c>
    </row>
    <row r="39" spans="1:20" ht="15" x14ac:dyDescent="0.2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7">
        <f t="shared" si="5"/>
        <v>0.47655012623586962</v>
      </c>
      <c r="J39" s="177"/>
      <c r="K39" s="182">
        <f t="shared" si="6"/>
        <v>5969.3665903975279</v>
      </c>
      <c r="L39" s="182">
        <f t="shared" si="7"/>
        <v>153.21374248686988</v>
      </c>
      <c r="M39" s="182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9">
        <f t="shared" si="0"/>
        <v>36</v>
      </c>
      <c r="T39" s="209">
        <v>2.8314604412473039E-2</v>
      </c>
    </row>
    <row r="40" spans="1:20" ht="15" x14ac:dyDescent="0.2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7">
        <f t="shared" si="5"/>
        <v>0.48236037622218236</v>
      </c>
      <c r="J40" s="177"/>
      <c r="K40" s="182">
        <f t="shared" si="6"/>
        <v>6178.2944210614405</v>
      </c>
      <c r="L40" s="182">
        <f t="shared" si="7"/>
        <v>158.57622347391029</v>
      </c>
      <c r="M40" s="182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9">
        <f t="shared" si="0"/>
        <v>37</v>
      </c>
      <c r="T40" s="209">
        <v>2.0320175755541934E-2</v>
      </c>
    </row>
    <row r="41" spans="1:20" ht="15" x14ac:dyDescent="0.2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7">
        <f t="shared" si="5"/>
        <v>0.48723270325472967</v>
      </c>
      <c r="J41" s="177"/>
      <c r="K41" s="182">
        <f t="shared" si="6"/>
        <v>6394.5347257985904</v>
      </c>
      <c r="L41" s="182">
        <f t="shared" si="7"/>
        <v>164.12639129549714</v>
      </c>
      <c r="M41" s="182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9">
        <f t="shared" si="0"/>
        <v>38</v>
      </c>
      <c r="T41" s="209">
        <v>1.4173958039027424E-2</v>
      </c>
    </row>
    <row r="42" spans="1:20" ht="15" x14ac:dyDescent="0.2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7">
        <f t="shared" si="5"/>
        <v>0.49122389742127764</v>
      </c>
      <c r="J42" s="177"/>
      <c r="K42" s="182">
        <f t="shared" si="6"/>
        <v>6618.3434412015404</v>
      </c>
      <c r="L42" s="182">
        <f t="shared" si="7"/>
        <v>169.87081499083953</v>
      </c>
      <c r="M42" s="182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9">
        <f t="shared" si="0"/>
        <v>39</v>
      </c>
      <c r="T42" s="209">
        <v>9.6162174575573998E-3</v>
      </c>
    </row>
    <row r="43" spans="1:20" ht="15" x14ac:dyDescent="0.2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7">
        <f t="shared" si="5"/>
        <v>0.49438798049645505</v>
      </c>
      <c r="J43" s="177"/>
      <c r="K43" s="182">
        <f t="shared" si="6"/>
        <v>6849.9854616435932</v>
      </c>
      <c r="L43" s="182">
        <f t="shared" si="7"/>
        <v>175.81629351551891</v>
      </c>
      <c r="M43" s="182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9">
        <f t="shared" si="0"/>
        <v>40</v>
      </c>
      <c r="T43" s="209">
        <v>6.3541533768820936E-3</v>
      </c>
    </row>
    <row r="44" spans="1:20" ht="15" x14ac:dyDescent="0.2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7">
        <f t="shared" si="5"/>
        <v>0.49677632822832196</v>
      </c>
      <c r="J44" s="177"/>
      <c r="K44" s="182">
        <f t="shared" si="6"/>
        <v>7089.7349528011182</v>
      </c>
      <c r="L44" s="182">
        <f t="shared" si="7"/>
        <v>181.96986378856204</v>
      </c>
      <c r="M44" s="182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9">
        <f t="shared" si="0"/>
        <v>41</v>
      </c>
      <c r="T44" s="209">
        <v>4.1007422666495342E-3</v>
      </c>
    </row>
    <row r="45" spans="1:20" ht="15" x14ac:dyDescent="0.2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7">
        <f t="shared" si="5"/>
        <v>0.49843778752005558</v>
      </c>
      <c r="J45" s="177"/>
      <c r="K45" s="182">
        <f t="shared" si="6"/>
        <v>7337.8756761491568</v>
      </c>
      <c r="L45" s="182">
        <f t="shared" si="7"/>
        <v>188.33880902116169</v>
      </c>
      <c r="M45" s="182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9">
        <f t="shared" si="0"/>
        <v>42</v>
      </c>
      <c r="T45" s="209">
        <v>2.5890165067757741E-3</v>
      </c>
    </row>
    <row r="46" spans="1:20" ht="15" x14ac:dyDescent="0.2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7">
        <f t="shared" si="5"/>
        <v>0.49941878871216883</v>
      </c>
      <c r="J46" s="177"/>
      <c r="K46" s="182">
        <f t="shared" si="6"/>
        <v>7594.7013248143767</v>
      </c>
      <c r="L46" s="182">
        <f t="shared" si="7"/>
        <v>194.93066733690233</v>
      </c>
      <c r="M46" s="182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9">
        <f t="shared" si="0"/>
        <v>43</v>
      </c>
      <c r="T46" s="209">
        <v>1.6003185249931888E-3</v>
      </c>
    </row>
    <row r="47" spans="1:20" ht="15" x14ac:dyDescent="0.2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7">
        <f t="shared" si="5"/>
        <v>0.49976345316262583</v>
      </c>
      <c r="J47" s="177"/>
      <c r="K47" s="182">
        <f t="shared" si="6"/>
        <v>7860.515871182879</v>
      </c>
      <c r="L47" s="182">
        <f t="shared" si="7"/>
        <v>201.7532406936939</v>
      </c>
      <c r="M47" s="182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9">
        <f t="shared" si="0"/>
        <v>44</v>
      </c>
      <c r="T47" s="209">
        <v>9.6502705123934721E-4</v>
      </c>
    </row>
    <row r="48" spans="1:20" ht="15" x14ac:dyDescent="0.2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7">
        <f t="shared" si="5"/>
        <v>0.49951369631446868</v>
      </c>
      <c r="J48" s="177"/>
      <c r="K48" s="182">
        <f t="shared" si="6"/>
        <v>8135.6339266742789</v>
      </c>
      <c r="L48" s="182">
        <f t="shared" si="7"/>
        <v>208.81460411797315</v>
      </c>
      <c r="M48" s="182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9">
        <f t="shared" si="0"/>
        <v>45</v>
      </c>
      <c r="T48" s="209">
        <v>5.6749020424058552E-4</v>
      </c>
    </row>
    <row r="49" spans="1:20" ht="15" x14ac:dyDescent="0.2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7">
        <f t="shared" si="5"/>
        <v>0.49870932643312493</v>
      </c>
      <c r="J49" s="177"/>
      <c r="K49" s="182">
        <f t="shared" si="6"/>
        <v>8420.3811141078768</v>
      </c>
      <c r="L49" s="182">
        <f t="shared" si="7"/>
        <v>216.12311526210215</v>
      </c>
      <c r="M49" s="182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9">
        <f t="shared" si="0"/>
        <v>46</v>
      </c>
      <c r="T49" s="209">
        <v>3.2528826364534223E-4</v>
      </c>
    </row>
    <row r="50" spans="1:20" ht="15" x14ac:dyDescent="0.2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 t="shared" si="4"/>
        <v>86695.692257588555</v>
      </c>
      <c r="I50" s="177">
        <f t="shared" si="5"/>
        <v>0.4973881391884058</v>
      </c>
      <c r="J50" s="177"/>
      <c r="K50" s="182">
        <f t="shared" si="6"/>
        <v>8715.0944531016521</v>
      </c>
      <c r="L50" s="182">
        <f t="shared" si="7"/>
        <v>223.68742429627571</v>
      </c>
      <c r="M50" s="182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9">
        <f t="shared" si="0"/>
        <v>47</v>
      </c>
      <c r="T50" s="209">
        <v>1.802773578913484E-4</v>
      </c>
    </row>
    <row r="51" spans="1:20" ht="15" x14ac:dyDescent="0.2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7">
        <f t="shared" si="5"/>
        <v>0.49558600824931748</v>
      </c>
      <c r="J51" s="177"/>
      <c r="K51" s="182">
        <f t="shared" si="6"/>
        <v>9020.1227589602095</v>
      </c>
      <c r="L51" s="182">
        <f t="shared" si="7"/>
        <v>231.51648414664535</v>
      </c>
      <c r="M51" s="182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9">
        <f t="shared" si="0"/>
        <v>48</v>
      </c>
      <c r="T51" s="209">
        <v>9.4893465572293596E-5</v>
      </c>
    </row>
    <row r="52" spans="1:20" ht="15" x14ac:dyDescent="0.2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7">
        <f t="shared" si="5"/>
        <v>0.4933369720531926</v>
      </c>
      <c r="J52" s="177"/>
      <c r="K52" s="182">
        <f t="shared" si="6"/>
        <v>9335.8270555238159</v>
      </c>
      <c r="L52" s="182">
        <f t="shared" si="7"/>
        <v>239.61956109177794</v>
      </c>
      <c r="M52" s="182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9">
        <f t="shared" si="0"/>
        <v>49</v>
      </c>
      <c r="T52" s="209">
        <v>4.8010334573535044E-5</v>
      </c>
    </row>
    <row r="53" spans="1:20" s="212" customFormat="1" ht="15" x14ac:dyDescent="0.2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193251.62004934295</v>
      </c>
      <c r="E53" s="204"/>
      <c r="F53" s="204">
        <f t="shared" si="13"/>
        <v>180616.02553664282</v>
      </c>
      <c r="G53" s="204">
        <f t="shared" si="3"/>
        <v>2709.2403830496423</v>
      </c>
      <c r="H53" s="204">
        <f>$E$7*$E$8*(C53+1)</f>
        <v>94823.413406737483</v>
      </c>
      <c r="I53" s="205">
        <f t="shared" si="5"/>
        <v>0.49067331690428373</v>
      </c>
      <c r="J53" s="205"/>
      <c r="K53" s="206">
        <f t="shared" si="6"/>
        <v>9662.5810024671482</v>
      </c>
      <c r="L53" s="206">
        <f t="shared" si="7"/>
        <v>248.00624572999013</v>
      </c>
      <c r="M53" s="206">
        <f t="shared" si="12"/>
        <v>498159.23183773505</v>
      </c>
      <c r="N53" s="204">
        <f t="shared" si="1"/>
        <v>18784.694170629933</v>
      </c>
      <c r="O53" s="204">
        <f t="shared" si="8"/>
        <v>482.14048371283496</v>
      </c>
      <c r="P53" s="204">
        <f t="shared" si="11"/>
        <v>968454.37217638548</v>
      </c>
      <c r="Q53" s="204">
        <f t="shared" si="9"/>
        <v>1466613.6040141205</v>
      </c>
      <c r="S53" s="159">
        <f t="shared" si="0"/>
        <v>50</v>
      </c>
      <c r="T53" s="209">
        <v>2.3281710868013874E-5</v>
      </c>
    </row>
    <row r="54" spans="1:20" ht="15" x14ac:dyDescent="0.2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10000.771337553497</v>
      </c>
      <c r="L54" s="182">
        <f t="shared" si="7"/>
        <v>256.68646433053976</v>
      </c>
      <c r="M54" s="182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9">
        <f t="shared" si="0"/>
        <v>51</v>
      </c>
      <c r="T54" s="209">
        <v>1.0646540713142669E-5</v>
      </c>
    </row>
    <row r="55" spans="1:20" ht="15" x14ac:dyDescent="0.2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10350.79833436787</v>
      </c>
      <c r="L55" s="182">
        <f t="shared" si="7"/>
        <v>265.67049058210864</v>
      </c>
      <c r="M55" s="182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9">
        <f t="shared" si="0"/>
        <v>52</v>
      </c>
      <c r="T55" s="209">
        <v>4.7095645008261876E-6</v>
      </c>
    </row>
    <row r="56" spans="1:20" ht="15" x14ac:dyDescent="0.2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10713.076276070744</v>
      </c>
      <c r="L56" s="182">
        <f t="shared" si="7"/>
        <v>274.96895775248242</v>
      </c>
      <c r="M56" s="182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9">
        <f t="shared" si="0"/>
        <v>53</v>
      </c>
      <c r="T56" s="209">
        <v>1.9722931484360787E-6</v>
      </c>
    </row>
    <row r="57" spans="1:20" ht="15" x14ac:dyDescent="0.2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11088.033945733219</v>
      </c>
      <c r="L57" s="182">
        <f t="shared" si="7"/>
        <v>284.5928712738193</v>
      </c>
      <c r="M57" s="182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9">
        <f t="shared" si="0"/>
        <v>54</v>
      </c>
      <c r="T57" s="209">
        <v>0</v>
      </c>
    </row>
    <row r="58" spans="1:20" ht="15" x14ac:dyDescent="0.2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11476.115133833882</v>
      </c>
      <c r="L58" s="182">
        <f t="shared" si="7"/>
        <v>294.55362176840299</v>
      </c>
      <c r="M58" s="182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9">
        <f t="shared" si="0"/>
        <v>55</v>
      </c>
      <c r="T58" s="209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6" thickBot="1" x14ac:dyDescent="0.25">
      <c r="S62" s="158" t="s">
        <v>329</v>
      </c>
      <c r="T62" s="210">
        <v>15.466787698552865</v>
      </c>
    </row>
    <row r="63" spans="1:20" ht="16" thickBot="1" x14ac:dyDescent="0.25">
      <c r="S63" s="158" t="s">
        <v>330</v>
      </c>
      <c r="T63" s="211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topLeftCell="B1" zoomScaleNormal="100" workbookViewId="0">
      <selection activeCell="E11" sqref="E11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5.332031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2" width="34.1640625" style="16" customWidth="1"/>
    <col min="23" max="23" width="35.6640625" style="16" customWidth="1"/>
    <col min="24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3" ht="18" x14ac:dyDescent="0.2">
      <c r="A1" s="15" t="s">
        <v>364</v>
      </c>
    </row>
    <row r="2" spans="1:23" ht="19" thickBot="1" x14ac:dyDescent="0.25">
      <c r="A2" s="15"/>
      <c r="S2" s="16" t="s">
        <v>372</v>
      </c>
    </row>
    <row r="3" spans="1:23" ht="16" thickBot="1" x14ac:dyDescent="0.25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7" t="s">
        <v>243</v>
      </c>
      <c r="T3" s="158" t="s">
        <v>368</v>
      </c>
      <c r="U3" s="158" t="s">
        <v>369</v>
      </c>
      <c r="V3" s="158" t="s">
        <v>370</v>
      </c>
      <c r="W3" s="158" t="s">
        <v>371</v>
      </c>
    </row>
    <row r="4" spans="1:23" ht="15" x14ac:dyDescent="0.2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  <c r="V4" s="209">
        <v>0.9775595365451456</v>
      </c>
      <c r="W4" s="209">
        <v>0.9775595365451456</v>
      </c>
    </row>
    <row r="5" spans="1:23" ht="15" x14ac:dyDescent="0.2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  <c r="V5" s="209">
        <v>0.9301232507565611</v>
      </c>
      <c r="W5" s="209">
        <v>0.9301232507565611</v>
      </c>
    </row>
    <row r="6" spans="1:23" ht="15" x14ac:dyDescent="0.2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  <c r="V6" s="209">
        <v>0.8849888208911143</v>
      </c>
      <c r="W6" s="209">
        <v>0.8849888208911143</v>
      </c>
    </row>
    <row r="7" spans="1:23" ht="15" x14ac:dyDescent="0.2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  <c r="V7" s="209">
        <v>0.84204454889734948</v>
      </c>
      <c r="W7" s="209">
        <v>0.84204454889734948</v>
      </c>
    </row>
    <row r="8" spans="1:23" ht="15" x14ac:dyDescent="0.2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  <c r="V8" s="209">
        <v>0.80118415689567035</v>
      </c>
      <c r="W8" s="209">
        <v>0.80118415689567035</v>
      </c>
    </row>
    <row r="9" spans="1:23" ht="15" x14ac:dyDescent="0.2">
      <c r="A9" s="16" t="s">
        <v>279</v>
      </c>
      <c r="E9" s="176">
        <f>F54</f>
        <v>154639.99327274557</v>
      </c>
      <c r="S9" s="159">
        <f t="shared" si="0"/>
        <v>5</v>
      </c>
      <c r="T9" s="209">
        <v>0.75152958141060644</v>
      </c>
      <c r="U9" s="209">
        <v>0.74920399927775849</v>
      </c>
      <c r="V9" s="209">
        <v>0.74842381910576983</v>
      </c>
      <c r="W9" s="209">
        <v>0.74637156362355694</v>
      </c>
    </row>
    <row r="10" spans="1:23" ht="15" x14ac:dyDescent="0.2">
      <c r="A10" s="16" t="s">
        <v>99</v>
      </c>
      <c r="E10" s="181">
        <v>0.05</v>
      </c>
      <c r="S10" s="159">
        <f t="shared" si="0"/>
        <v>6</v>
      </c>
      <c r="T10" s="209">
        <v>0.71547765840705557</v>
      </c>
      <c r="U10" s="209">
        <v>0.71277106896821196</v>
      </c>
      <c r="V10" s="209">
        <v>0.7118470997202031</v>
      </c>
      <c r="W10" s="209">
        <v>0.70949721777397801</v>
      </c>
    </row>
    <row r="11" spans="1:23" ht="15" x14ac:dyDescent="0.2">
      <c r="A11" s="16" t="s">
        <v>225</v>
      </c>
      <c r="E11" s="194">
        <f>E10*(1-M54/E13)/(M54/E13)</f>
        <v>8.2857690801379072E-2</v>
      </c>
      <c r="S11" s="159">
        <f t="shared" si="0"/>
        <v>7</v>
      </c>
      <c r="T11" s="209">
        <v>0.6808521100143623</v>
      </c>
      <c r="U11" s="209">
        <v>0.67777501776883931</v>
      </c>
      <c r="V11" s="209">
        <v>0.67670549310834915</v>
      </c>
      <c r="W11" s="209">
        <v>0.67405193264961283</v>
      </c>
    </row>
    <row r="12" spans="1:23" ht="15" x14ac:dyDescent="0.2">
      <c r="A12" s="16" t="s">
        <v>288</v>
      </c>
      <c r="E12" s="183">
        <v>5.6000000000000001E-2</v>
      </c>
      <c r="S12" s="159">
        <f t="shared" si="0"/>
        <v>8</v>
      </c>
      <c r="T12" s="209">
        <v>0.64756779175445844</v>
      </c>
      <c r="U12" s="209">
        <v>0.64412107265748209</v>
      </c>
      <c r="V12" s="209">
        <v>0.64291358783247232</v>
      </c>
      <c r="W12" s="209">
        <v>0.63994940929240929</v>
      </c>
    </row>
    <row r="13" spans="1:23" ht="15" x14ac:dyDescent="0.2">
      <c r="A13" s="16" t="s">
        <v>332</v>
      </c>
      <c r="E13" s="193">
        <f>IF(E3="De base",T64,IF(E3="CPM-Privée",U64,IF(E3="MI",V64,W64)))</f>
        <v>1232566.4697845266</v>
      </c>
      <c r="S13" s="159">
        <f t="shared" si="0"/>
        <v>9</v>
      </c>
      <c r="T13" s="209">
        <v>0.61553728800094754</v>
      </c>
      <c r="U13" s="209">
        <v>0.6117180200224549</v>
      </c>
      <c r="V13" s="209">
        <v>0.61038787149314866</v>
      </c>
      <c r="W13" s="209">
        <v>0.60710539261709784</v>
      </c>
    </row>
    <row r="14" spans="1:23" ht="15" x14ac:dyDescent="0.2">
      <c r="A14" s="16" t="s">
        <v>310</v>
      </c>
      <c r="E14" s="186">
        <f>Q54</f>
        <v>1232566.4697845262</v>
      </c>
      <c r="S14" s="159">
        <f t="shared" si="0"/>
        <v>10</v>
      </c>
      <c r="T14" s="209">
        <v>0.58468375530526651</v>
      </c>
      <c r="U14" s="209">
        <v>0.58048342144845455</v>
      </c>
      <c r="V14" s="209">
        <v>0.57905156678585534</v>
      </c>
      <c r="W14" s="209">
        <v>0.57543930559126655</v>
      </c>
    </row>
    <row r="15" spans="1:23" ht="15" x14ac:dyDescent="0.2">
      <c r="E15" s="27"/>
      <c r="S15" s="159">
        <f t="shared" si="0"/>
        <v>11</v>
      </c>
      <c r="T15" s="209">
        <v>0.5549329870963029</v>
      </c>
      <c r="U15" s="209">
        <v>0.55033511274577918</v>
      </c>
      <c r="V15" s="209">
        <v>0.5488106288368565</v>
      </c>
      <c r="W15" s="209">
        <v>0.54485392400303767</v>
      </c>
    </row>
    <row r="16" spans="1:23" ht="15" x14ac:dyDescent="0.2">
      <c r="S16" s="159">
        <f t="shared" si="0"/>
        <v>12</v>
      </c>
      <c r="T16" s="209">
        <v>0.52620740291827606</v>
      </c>
      <c r="U16" s="209">
        <v>0.52119786013073888</v>
      </c>
      <c r="V16" s="209">
        <v>0.51961834737770307</v>
      </c>
      <c r="W16" s="209">
        <v>0.51530423224369759</v>
      </c>
    </row>
    <row r="17" spans="1:23" ht="15" x14ac:dyDescent="0.2">
      <c r="A17" s="38" t="s">
        <v>0</v>
      </c>
      <c r="B17" s="178"/>
      <c r="C17" s="202" t="s">
        <v>73</v>
      </c>
      <c r="D17" s="202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0.49843219913228781</v>
      </c>
      <c r="U17" s="209">
        <v>0.49299522046624372</v>
      </c>
      <c r="V17" s="209">
        <v>0.49139535739180046</v>
      </c>
      <c r="W17" s="209">
        <v>0.48670893776240293</v>
      </c>
    </row>
    <row r="18" spans="1:23" ht="15" x14ac:dyDescent="0.2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0.47153149777647207</v>
      </c>
      <c r="U18" s="209">
        <v>0.46565214016423068</v>
      </c>
      <c r="V18" s="209">
        <v>0.46405748573052669</v>
      </c>
      <c r="W18" s="209">
        <v>0.45898159367575087</v>
      </c>
    </row>
    <row r="19" spans="1:23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0.44737815351971111</v>
      </c>
      <c r="U19" s="209">
        <v>0.44101828289919237</v>
      </c>
      <c r="V19" s="209">
        <v>0.4394498987849208</v>
      </c>
      <c r="W19" s="209">
        <v>0.43394252598112099</v>
      </c>
    </row>
    <row r="20" spans="1:23" ht="15" x14ac:dyDescent="0.2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9">
        <f t="shared" si="0"/>
        <v>16</v>
      </c>
      <c r="T20" s="209">
        <v>0.42595314520328664</v>
      </c>
      <c r="U20" s="209">
        <v>0.41907113840631688</v>
      </c>
      <c r="V20" s="209">
        <v>0.41754427667297944</v>
      </c>
      <c r="W20" s="209">
        <v>0.41155149033585736</v>
      </c>
    </row>
    <row r="21" spans="1:23" ht="15" x14ac:dyDescent="0.2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9">
        <f t="shared" si="0"/>
        <v>17</v>
      </c>
      <c r="T21" s="209">
        <v>0.40466785082755796</v>
      </c>
      <c r="U21" s="209">
        <v>0.39725295035323854</v>
      </c>
      <c r="V21" s="209">
        <v>0.39586619128475908</v>
      </c>
      <c r="W21" s="209">
        <v>0.38942126387919174</v>
      </c>
    </row>
    <row r="22" spans="1:23" ht="15" x14ac:dyDescent="0.2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9">
        <f t="shared" si="0"/>
        <v>18</v>
      </c>
      <c r="T22" s="209">
        <v>0.38345449693750139</v>
      </c>
      <c r="U22" s="209">
        <v>0.37550922382794971</v>
      </c>
      <c r="V22" s="209">
        <v>0.37434735833836053</v>
      </c>
      <c r="W22" s="209">
        <v>0.36748702078593176</v>
      </c>
    </row>
    <row r="23" spans="1:23" ht="15" x14ac:dyDescent="0.2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9">
        <f t="shared" si="0"/>
        <v>19</v>
      </c>
      <c r="T23" s="209">
        <v>0.36219863615594805</v>
      </c>
      <c r="U23" s="209">
        <v>0.35373447504711492</v>
      </c>
      <c r="V23" s="209">
        <v>0.35292307817736879</v>
      </c>
      <c r="W23" s="209">
        <v>0.34568825239380424</v>
      </c>
    </row>
    <row r="24" spans="1:23" ht="15" x14ac:dyDescent="0.2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9">
        <f t="shared" si="0"/>
        <v>20</v>
      </c>
      <c r="T24" s="209">
        <v>0.34083563397386291</v>
      </c>
      <c r="U24" s="209">
        <v>0.33188058854538144</v>
      </c>
      <c r="V24" s="209">
        <v>0.33152113052066501</v>
      </c>
      <c r="W24" s="209">
        <v>0.32397756420044166</v>
      </c>
    </row>
    <row r="25" spans="1:23" ht="15" x14ac:dyDescent="0.2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9">
        <f t="shared" si="0"/>
        <v>21</v>
      </c>
      <c r="T25" s="209">
        <v>0.31931184335805307</v>
      </c>
      <c r="U25" s="209">
        <v>0.30991380452017014</v>
      </c>
      <c r="V25" s="209">
        <v>0.31011530000017457</v>
      </c>
      <c r="W25" s="209">
        <v>0.30234455328850901</v>
      </c>
    </row>
    <row r="26" spans="1:23" ht="15" x14ac:dyDescent="0.2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9">
        <f t="shared" si="0"/>
        <v>22</v>
      </c>
      <c r="T26" s="209">
        <v>0.29757099788726254</v>
      </c>
      <c r="U26" s="209">
        <v>0.28779564612859454</v>
      </c>
      <c r="V26" s="209">
        <v>0.28869195227069205</v>
      </c>
      <c r="W26" s="209">
        <v>0.28079259058729844</v>
      </c>
    </row>
    <row r="27" spans="1:23" ht="15" x14ac:dyDescent="0.2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9">
        <f t="shared" si="0"/>
        <v>23</v>
      </c>
      <c r="T27" s="209">
        <v>0.27559103301866117</v>
      </c>
      <c r="U27" s="209">
        <v>0.26552168002871129</v>
      </c>
      <c r="V27" s="209">
        <v>0.26723646762927689</v>
      </c>
      <c r="W27" s="209">
        <v>0.25932423970542517</v>
      </c>
    </row>
    <row r="28" spans="1:23" ht="15" x14ac:dyDescent="0.2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9">
        <f t="shared" si="0"/>
        <v>24</v>
      </c>
      <c r="T28" s="209">
        <v>0.25337774846318517</v>
      </c>
      <c r="U28" s="209">
        <v>0.24311496565182927</v>
      </c>
      <c r="V28" s="209">
        <v>0.24580964662668742</v>
      </c>
      <c r="W28" s="209">
        <v>0.23801783784059857</v>
      </c>
    </row>
    <row r="29" spans="1:23" ht="15" x14ac:dyDescent="0.2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9">
        <f t="shared" si="0"/>
        <v>25</v>
      </c>
      <c r="T29" s="209">
        <v>0.23093199023283795</v>
      </c>
      <c r="U29" s="209">
        <v>0.22061107396253835</v>
      </c>
      <c r="V29" s="209">
        <v>0.22452960674880448</v>
      </c>
      <c r="W29" s="209">
        <v>0.2170076642146995</v>
      </c>
    </row>
    <row r="30" spans="1:23" ht="15" x14ac:dyDescent="0.2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9">
        <f t="shared" si="0"/>
        <v>26</v>
      </c>
      <c r="T30" s="209">
        <v>0.20832812658858546</v>
      </c>
      <c r="U30" s="209">
        <v>0.19810305729349262</v>
      </c>
      <c r="V30" s="209">
        <v>0.20344615600154026</v>
      </c>
      <c r="W30" s="209">
        <v>0.19634866283268823</v>
      </c>
    </row>
    <row r="31" spans="1:23" ht="15" x14ac:dyDescent="0.2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9">
        <f t="shared" si="0"/>
        <v>27</v>
      </c>
      <c r="T31" s="209">
        <v>0.18569515549630558</v>
      </c>
      <c r="U31" s="209">
        <v>0.17573283335363604</v>
      </c>
      <c r="V31" s="209">
        <v>0.18250476381571468</v>
      </c>
      <c r="W31" s="209">
        <v>0.17590230526130801</v>
      </c>
    </row>
    <row r="32" spans="1:23" ht="15" x14ac:dyDescent="0.2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9">
        <f t="shared" si="0"/>
        <v>28</v>
      </c>
      <c r="T32" s="209">
        <v>0.1632224976043197</v>
      </c>
      <c r="U32" s="209">
        <v>0.15369392060683165</v>
      </c>
      <c r="V32" s="209">
        <v>0.16191363352345717</v>
      </c>
      <c r="W32" s="209">
        <v>0.1558799769035118</v>
      </c>
    </row>
    <row r="33" spans="1:23" ht="15" x14ac:dyDescent="0.2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9">
        <f t="shared" si="0"/>
        <v>29</v>
      </c>
      <c r="T33" s="209">
        <v>0.14122302808735943</v>
      </c>
      <c r="U33" s="209">
        <v>0.13229300473650027</v>
      </c>
      <c r="V33" s="209">
        <v>0.14178430601652245</v>
      </c>
      <c r="W33" s="209">
        <v>0.13639598052677765</v>
      </c>
    </row>
    <row r="34" spans="1:23" ht="15" x14ac:dyDescent="0.2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9">
        <f t="shared" si="0"/>
        <v>30</v>
      </c>
      <c r="T34" s="209">
        <v>0.11998045106317953</v>
      </c>
      <c r="U34" s="209">
        <v>0.11179814681473123</v>
      </c>
      <c r="V34" s="209">
        <v>0.12220576413590399</v>
      </c>
      <c r="W34" s="209">
        <v>0.11747816040232353</v>
      </c>
    </row>
    <row r="35" spans="1:23" ht="15" x14ac:dyDescent="0.2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9">
        <f t="shared" si="0"/>
        <v>31</v>
      </c>
      <c r="T35" s="209">
        <v>9.9874565121261111E-2</v>
      </c>
      <c r="U35" s="209">
        <v>9.2556491566315208E-2</v>
      </c>
      <c r="V35" s="209">
        <v>0.10348041694542159</v>
      </c>
      <c r="W35" s="209">
        <v>9.9415211459597141E-2</v>
      </c>
    </row>
    <row r="36" spans="1:23" ht="15" x14ac:dyDescent="0.2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9">
        <f t="shared" si="0"/>
        <v>32</v>
      </c>
      <c r="T36" s="209">
        <v>8.1436834330702215E-2</v>
      </c>
      <c r="U36" s="209">
        <v>7.5050987088254084E-2</v>
      </c>
      <c r="V36" s="209">
        <v>8.5836987424744396E-2</v>
      </c>
      <c r="W36" s="209">
        <v>8.2421492053210588E-2</v>
      </c>
    </row>
    <row r="37" spans="1:23" ht="15" x14ac:dyDescent="0.2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9">
        <f t="shared" si="0"/>
        <v>33</v>
      </c>
      <c r="T37" s="209">
        <v>6.4925139885707181E-2</v>
      </c>
      <c r="U37" s="209">
        <v>5.9496322579352501E-2</v>
      </c>
      <c r="V37" s="209">
        <v>6.9634612524925907E-2</v>
      </c>
      <c r="W37" s="209">
        <v>6.6836669242395078E-2</v>
      </c>
    </row>
    <row r="38" spans="1:23" ht="15" x14ac:dyDescent="0.2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9">
        <f t="shared" si="0"/>
        <v>34</v>
      </c>
      <c r="T38" s="209">
        <v>5.0529117529403929E-2</v>
      </c>
      <c r="U38" s="209">
        <v>4.6042604497706967E-2</v>
      </c>
      <c r="V38" s="209">
        <v>5.5124638111688537E-2</v>
      </c>
      <c r="W38" s="209">
        <v>5.2895132349236297E-2</v>
      </c>
    </row>
    <row r="39" spans="1:23" ht="15" x14ac:dyDescent="0.2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9">
        <f t="shared" si="0"/>
        <v>35</v>
      </c>
      <c r="T39" s="209">
        <v>3.8357884340001841E-2</v>
      </c>
      <c r="U39" s="209">
        <v>3.4762576206634345E-2</v>
      </c>
      <c r="V39" s="209">
        <v>4.244404805226154E-2</v>
      </c>
      <c r="W39" s="209">
        <v>4.0721391953122757E-2</v>
      </c>
    </row>
    <row r="40" spans="1:23" ht="15" x14ac:dyDescent="0.2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9">
        <f t="shared" si="0"/>
        <v>36</v>
      </c>
      <c r="T40" s="209">
        <v>2.8314604412473039E-2</v>
      </c>
      <c r="U40" s="209">
        <v>2.5534258225829602E-2</v>
      </c>
      <c r="V40" s="209">
        <v>3.1662708698969103E-2</v>
      </c>
      <c r="W40" s="209">
        <v>3.037674539285588E-2</v>
      </c>
    </row>
    <row r="41" spans="1:23" ht="15" x14ac:dyDescent="0.2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9">
        <f t="shared" si="0"/>
        <v>37</v>
      </c>
      <c r="T41" s="209">
        <v>2.0320175755541934E-2</v>
      </c>
      <c r="U41" s="209">
        <v>1.8251940973462583E-2</v>
      </c>
      <c r="V41" s="209">
        <v>2.284380264075352E-2</v>
      </c>
      <c r="W41" s="209">
        <v>2.1917414119229109E-2</v>
      </c>
    </row>
    <row r="42" spans="1:23" ht="15" x14ac:dyDescent="0.2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9">
        <f t="shared" si="0"/>
        <v>38</v>
      </c>
      <c r="T42" s="209">
        <v>1.4173958039027424E-2</v>
      </c>
      <c r="U42" s="209">
        <v>1.2699242792196695E-2</v>
      </c>
      <c r="V42" s="209">
        <v>1.5895934323877231E-2</v>
      </c>
      <c r="W42" s="209">
        <v>1.525344128949384E-2</v>
      </c>
    </row>
    <row r="43" spans="1:23" ht="15" x14ac:dyDescent="0.2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9">
        <f t="shared" si="0"/>
        <v>39</v>
      </c>
      <c r="T43" s="209">
        <v>9.6162174575573998E-3</v>
      </c>
      <c r="U43" s="209">
        <v>8.6113859648577536E-3</v>
      </c>
      <c r="V43" s="209">
        <v>1.064316489086097E-2</v>
      </c>
      <c r="W43" s="209">
        <v>1.0215021684201258E-2</v>
      </c>
    </row>
    <row r="44" spans="1:23" ht="15" x14ac:dyDescent="0.2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9">
        <f t="shared" si="0"/>
        <v>40</v>
      </c>
      <c r="T44" s="209">
        <v>6.3541533768820936E-3</v>
      </c>
      <c r="U44" s="209">
        <v>5.6880647144765236E-3</v>
      </c>
      <c r="V44" s="209">
        <v>6.8682660306022018E-3</v>
      </c>
      <c r="W44" s="209">
        <v>6.5936326915001916E-3</v>
      </c>
    </row>
    <row r="45" spans="1:23" ht="15" x14ac:dyDescent="0.2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9">
        <f t="shared" si="0"/>
        <v>41</v>
      </c>
      <c r="T45" s="209">
        <v>4.1007422666495342E-3</v>
      </c>
      <c r="U45" s="209">
        <v>3.6698668988170359E-3</v>
      </c>
      <c r="V45" s="209">
        <v>4.2754544466045109E-3</v>
      </c>
      <c r="W45" s="209">
        <v>4.1056099373831412E-3</v>
      </c>
    </row>
    <row r="46" spans="1:23" ht="15" x14ac:dyDescent="0.2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9">
        <f t="shared" si="0"/>
        <v>42</v>
      </c>
      <c r="T46" s="209">
        <v>2.5890165067757741E-3</v>
      </c>
      <c r="U46" s="209">
        <v>2.3165063441397825E-3</v>
      </c>
      <c r="V46" s="209">
        <v>2.5702863533443527E-3</v>
      </c>
      <c r="W46" s="209">
        <v>2.4687911666878113E-3</v>
      </c>
    </row>
    <row r="47" spans="1:23" ht="15" x14ac:dyDescent="0.2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9">
        <f t="shared" si="0"/>
        <v>43</v>
      </c>
      <c r="T47" s="209">
        <v>1.6003185249931888E-3</v>
      </c>
      <c r="U47" s="209">
        <v>1.4316493031582549E-3</v>
      </c>
      <c r="V47" s="209">
        <v>1.4881528180933985E-3</v>
      </c>
      <c r="W47" s="209">
        <v>1.4296977874329339E-3</v>
      </c>
    </row>
    <row r="48" spans="1:23" ht="15" x14ac:dyDescent="0.2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9">
        <f t="shared" si="0"/>
        <v>44</v>
      </c>
      <c r="T48" s="209">
        <v>9.6502705123934721E-4</v>
      </c>
      <c r="U48" s="209">
        <v>8.6320597351221813E-4</v>
      </c>
      <c r="V48" s="209">
        <v>8.2350294545506649E-4</v>
      </c>
      <c r="W48" s="209">
        <v>7.9129736221990408E-4</v>
      </c>
    </row>
    <row r="49" spans="1:23" ht="15" x14ac:dyDescent="0.2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9">
        <f t="shared" si="0"/>
        <v>45</v>
      </c>
      <c r="T49" s="209">
        <v>5.6749020424058552E-4</v>
      </c>
      <c r="U49" s="209">
        <v>5.075603616710669E-4</v>
      </c>
      <c r="V49" s="209">
        <v>4.4078213444911251E-4</v>
      </c>
      <c r="W49" s="209">
        <v>4.2360989483323738E-4</v>
      </c>
    </row>
    <row r="50" spans="1:23" ht="15" x14ac:dyDescent="0.2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9">
        <f t="shared" si="0"/>
        <v>46</v>
      </c>
      <c r="T50" s="209">
        <v>3.2528826364534223E-4</v>
      </c>
      <c r="U50" s="209">
        <v>2.9091055100566847E-4</v>
      </c>
      <c r="V50" s="209">
        <v>2.2786615830744245E-4</v>
      </c>
      <c r="W50" s="209">
        <v>2.1901764103497356E-4</v>
      </c>
    </row>
    <row r="51" spans="1:23" ht="15" x14ac:dyDescent="0.2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9">
        <f t="shared" si="0"/>
        <v>47</v>
      </c>
      <c r="T51" s="209">
        <v>1.802773578913484E-4</v>
      </c>
      <c r="U51" s="209">
        <v>1.6121330258150269E-4</v>
      </c>
      <c r="V51" s="209">
        <v>1.1359087462521801E-4</v>
      </c>
      <c r="W51" s="209">
        <v>1.0919180645765381E-4</v>
      </c>
    </row>
    <row r="52" spans="1:23" ht="15" x14ac:dyDescent="0.2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9">
        <f t="shared" si="0"/>
        <v>48</v>
      </c>
      <c r="T52" s="209">
        <v>9.4893465572293596E-5</v>
      </c>
      <c r="U52" s="209">
        <v>8.485385675166829E-5</v>
      </c>
      <c r="V52" s="209">
        <v>5.3440624739978625E-5</v>
      </c>
      <c r="W52" s="209">
        <v>5.1375275886540625E-5</v>
      </c>
    </row>
    <row r="53" spans="1:23" ht="15" x14ac:dyDescent="0.2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9">
        <f t="shared" si="0"/>
        <v>49</v>
      </c>
      <c r="T53" s="209">
        <v>4.8010334573535044E-5</v>
      </c>
      <c r="U53" s="209">
        <v>4.2928894643946632E-5</v>
      </c>
      <c r="V53" s="209">
        <v>2.4135023707613016E-5</v>
      </c>
      <c r="W53" s="209">
        <v>2.3203840297950208E-5</v>
      </c>
    </row>
    <row r="54" spans="1:23" s="212" customFormat="1" ht="15" x14ac:dyDescent="0.2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13581.56185642285</v>
      </c>
      <c r="O54" s="204">
        <f t="shared" si="8"/>
        <v>348.59342098151984</v>
      </c>
      <c r="P54" s="204">
        <f t="shared" si="11"/>
        <v>768699.28138547402</v>
      </c>
      <c r="Q54" s="204">
        <f t="shared" si="9"/>
        <v>1232566.4697845262</v>
      </c>
      <c r="S54" s="159">
        <f t="shared" si="0"/>
        <v>50</v>
      </c>
      <c r="T54" s="209">
        <v>2.3281710868013874E-5</v>
      </c>
      <c r="U54" s="209">
        <v>2.0816757362242652E-5</v>
      </c>
      <c r="V54" s="209">
        <v>1.0445368489729989E-5</v>
      </c>
      <c r="W54" s="209">
        <v>1.0042913803903751E-5</v>
      </c>
    </row>
    <row r="55" spans="1:23" ht="15" x14ac:dyDescent="0.2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9">
        <f t="shared" si="0"/>
        <v>51</v>
      </c>
      <c r="T55" s="209">
        <v>1.0646540713142669E-5</v>
      </c>
      <c r="U55" s="209">
        <v>9.5181428210167922E-6</v>
      </c>
      <c r="V55" s="209">
        <v>4.2866759397481436E-6</v>
      </c>
      <c r="W55" s="209">
        <v>4.1222229818713304E-6</v>
      </c>
    </row>
    <row r="56" spans="1:23" ht="15" x14ac:dyDescent="0.2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9">
        <f t="shared" si="0"/>
        <v>52</v>
      </c>
      <c r="T56" s="209">
        <v>4.7095645008261876E-6</v>
      </c>
      <c r="U56" s="209">
        <v>4.2104105691643372E-6</v>
      </c>
      <c r="V56" s="209">
        <v>1.696464416309594E-6</v>
      </c>
      <c r="W56" s="209">
        <v>1.6313816820147157E-6</v>
      </c>
    </row>
    <row r="57" spans="1:23" ht="15" x14ac:dyDescent="0.2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9">
        <f t="shared" si="0"/>
        <v>53</v>
      </c>
      <c r="T57" s="209">
        <v>1.9722931484360787E-6</v>
      </c>
      <c r="U57" s="209">
        <v>1.7632551621724029E-6</v>
      </c>
      <c r="V57" s="209">
        <v>6.3863042698913273E-7</v>
      </c>
      <c r="W57" s="209">
        <v>6.1413016987040453E-7</v>
      </c>
    </row>
    <row r="58" spans="1:23" ht="15" x14ac:dyDescent="0.2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9">
        <f t="shared" si="0"/>
        <v>54</v>
      </c>
      <c r="T58" s="209">
        <v>0</v>
      </c>
      <c r="U58" s="209">
        <v>0</v>
      </c>
      <c r="V58" s="209">
        <v>0</v>
      </c>
      <c r="W58" s="209">
        <v>0</v>
      </c>
    </row>
    <row r="59" spans="1:23" ht="15" x14ac:dyDescent="0.2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9">
        <f t="shared" si="0"/>
        <v>55</v>
      </c>
      <c r="T59" s="209">
        <v>0</v>
      </c>
      <c r="U59" s="209">
        <v>0</v>
      </c>
      <c r="V59" s="209">
        <v>0</v>
      </c>
      <c r="W59" s="209">
        <v>0</v>
      </c>
    </row>
    <row r="60" spans="1:23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  <c r="V60" s="209">
        <v>0</v>
      </c>
      <c r="W60" s="209">
        <v>0</v>
      </c>
    </row>
    <row r="61" spans="1:23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  <c r="V61" s="209">
        <v>0</v>
      </c>
      <c r="W61" s="209">
        <v>0</v>
      </c>
    </row>
    <row r="62" spans="1:23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  <c r="V62" s="209">
        <v>0</v>
      </c>
      <c r="W62" s="209">
        <v>0</v>
      </c>
    </row>
    <row r="63" spans="1:23" ht="16" thickBot="1" x14ac:dyDescent="0.25">
      <c r="S63" s="158" t="s">
        <v>329</v>
      </c>
      <c r="T63" s="210">
        <v>15.466787698552865</v>
      </c>
      <c r="U63" s="210">
        <v>15.247296918473545</v>
      </c>
      <c r="V63" s="210">
        <v>15.343469960079055</v>
      </c>
      <c r="W63" s="210">
        <v>15.182008269953853</v>
      </c>
    </row>
    <row r="64" spans="1:23" ht="16" thickBot="1" x14ac:dyDescent="0.25">
      <c r="S64" s="158" t="s">
        <v>330</v>
      </c>
      <c r="T64" s="211">
        <f>T63*H54</f>
        <v>1255686.5714689796</v>
      </c>
      <c r="U64" s="211">
        <f>U63*H54</f>
        <v>1237866.9937726592</v>
      </c>
      <c r="V64" s="211">
        <f>V63*H54</f>
        <v>1245674.8979887795</v>
      </c>
      <c r="W64" s="211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377</v>
      </c>
    </row>
    <row r="3" spans="1:18" x14ac:dyDescent="0.15">
      <c r="A3" s="16" t="s">
        <v>50</v>
      </c>
      <c r="E3" s="27">
        <v>2022</v>
      </c>
      <c r="G3" s="16" t="s">
        <v>379</v>
      </c>
    </row>
    <row r="4" spans="1:18" x14ac:dyDescent="0.15">
      <c r="A4" s="16" t="s">
        <v>54</v>
      </c>
      <c r="E4" s="27">
        <v>35</v>
      </c>
    </row>
    <row r="5" spans="1:18" x14ac:dyDescent="0.15">
      <c r="A5" s="16" t="s">
        <v>219</v>
      </c>
      <c r="E5" s="175">
        <v>60000</v>
      </c>
    </row>
    <row r="6" spans="1:18" x14ac:dyDescent="0.15">
      <c r="A6" s="16" t="s">
        <v>278</v>
      </c>
      <c r="E6" s="174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6">
        <f>F48</f>
        <v>133393.8166141783</v>
      </c>
    </row>
    <row r="9" spans="1:18" x14ac:dyDescent="0.15">
      <c r="A9" s="16" t="s">
        <v>99</v>
      </c>
      <c r="E9" s="181">
        <v>0.05</v>
      </c>
    </row>
    <row r="10" spans="1:18" x14ac:dyDescent="0.15">
      <c r="A10" s="16" t="s">
        <v>225</v>
      </c>
      <c r="E10" s="194">
        <f>E9*(1-M48/E12)/(M48/E12)</f>
        <v>8.9975991930279359E-2</v>
      </c>
    </row>
    <row r="11" spans="1:18" x14ac:dyDescent="0.15">
      <c r="A11" s="16" t="s">
        <v>288</v>
      </c>
      <c r="E11" s="183">
        <v>5.6000000000000001E-2</v>
      </c>
    </row>
    <row r="12" spans="1:18" x14ac:dyDescent="0.15">
      <c r="A12" s="16" t="s">
        <v>332</v>
      </c>
      <c r="E12" s="193">
        <f>'Section 3'!I65*'Section 4_9_1'!H48</f>
        <v>894668.64991746005</v>
      </c>
    </row>
    <row r="13" spans="1:18" x14ac:dyDescent="0.15">
      <c r="A13" s="16" t="s">
        <v>378</v>
      </c>
      <c r="E13" s="186">
        <f>Q48</f>
        <v>894668.6499174597</v>
      </c>
    </row>
    <row r="14" spans="1:18" x14ac:dyDescent="0.15">
      <c r="E14" s="27"/>
    </row>
    <row r="16" spans="1:18" x14ac:dyDescent="0.1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2022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7">
        <f>H19/D19</f>
        <v>3.3348454153544572E-2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15">
      <c r="A20" s="173">
        <f>A19+1</f>
        <v>2023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7">
        <f t="shared" ref="I20:I57" si="4">H20/D20</f>
        <v>6.4754279909795293E-2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15">
      <c r="A21" s="173">
        <f t="shared" ref="A21:C36" si="9">A20+1</f>
        <v>2024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7">
        <f t="shared" si="4"/>
        <v>9.4302349383197037E-2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15">
      <c r="A22" s="173">
        <f t="shared" si="9"/>
        <v>2025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7">
        <f t="shared" si="4"/>
        <v>0.12207423868375021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15">
      <c r="A23" s="173">
        <f t="shared" si="9"/>
        <v>2026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7">
        <f t="shared" si="4"/>
        <v>0.1481483479171726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15">
      <c r="A24" s="173">
        <f t="shared" si="9"/>
        <v>2027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7">
        <f t="shared" si="4"/>
        <v>0.17260001699088068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15">
      <c r="A25" s="173">
        <f t="shared" si="9"/>
        <v>2028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7">
        <f t="shared" si="4"/>
        <v>0.19550163736831144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15">
      <c r="A26" s="173">
        <f t="shared" si="9"/>
        <v>2029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7">
        <f t="shared" si="4"/>
        <v>0.2169227599093608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15">
      <c r="A27" s="173">
        <f t="shared" si="9"/>
        <v>2030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7">
        <f t="shared" si="4"/>
        <v>0.23693019893012707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15">
      <c r="A28" s="173">
        <f t="shared" si="9"/>
        <v>2031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7">
        <f t="shared" si="4"/>
        <v>0.25558813261070884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15">
      <c r="A29" s="173">
        <f t="shared" si="9"/>
        <v>2032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7">
        <f t="shared" si="4"/>
        <v>0.27295819987551423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15">
      <c r="A30" s="173">
        <f t="shared" si="9"/>
        <v>2033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7">
        <f t="shared" si="4"/>
        <v>0.28909959386638756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15">
      <c r="A31" s="173">
        <f t="shared" si="9"/>
        <v>2034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7">
        <f t="shared" si="4"/>
        <v>0.30406915212484131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15">
      <c r="A32" s="173">
        <f t="shared" si="9"/>
        <v>2035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7">
        <f t="shared" si="4"/>
        <v>0.31792144359580121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15">
      <c r="A33" s="173">
        <f t="shared" si="9"/>
        <v>2036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7">
        <f t="shared" si="4"/>
        <v>0.330708852561513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15">
      <c r="A34" s="173">
        <f t="shared" si="9"/>
        <v>2037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7">
        <f t="shared" si="4"/>
        <v>0.34248165961062838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15">
      <c r="A35" s="173">
        <f t="shared" si="9"/>
        <v>2038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7">
        <f t="shared" si="4"/>
        <v>0.35328811974397345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15">
      <c r="A36" s="173">
        <f t="shared" si="9"/>
        <v>2039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7">
        <f t="shared" si="4"/>
        <v>0.36317453771510688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15">
      <c r="A37" s="173">
        <f t="shared" ref="A37:C52" si="13">A36+1</f>
        <v>2040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7">
        <f t="shared" si="4"/>
        <v>0.37218534070048703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15">
      <c r="A38" s="173">
        <f t="shared" si="13"/>
        <v>2041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7">
        <f t="shared" si="4"/>
        <v>0.38036314839089125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15">
      <c r="A39" s="173">
        <f t="shared" si="13"/>
        <v>2042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7">
        <f t="shared" si="4"/>
        <v>0.38774884059265607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15">
      <c r="A40" s="173">
        <f t="shared" si="13"/>
        <v>2043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7">
        <f t="shared" si="4"/>
        <v>0.39438162242433811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15">
      <c r="A41" s="173">
        <f t="shared" si="13"/>
        <v>2044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7">
        <f t="shared" si="4"/>
        <v>0.40029908719151702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15">
      <c r="A42" s="173">
        <f t="shared" si="13"/>
        <v>2045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7">
        <f t="shared" si="4"/>
        <v>0.40553727701968806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15">
      <c r="A43" s="173">
        <f t="shared" si="13"/>
        <v>2046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7">
        <f t="shared" si="4"/>
        <v>0.41013074132249999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15">
      <c r="A44" s="173">
        <f t="shared" si="13"/>
        <v>2047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7">
        <f t="shared" si="4"/>
        <v>0.41411259317999999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15">
      <c r="A45" s="173">
        <f t="shared" si="13"/>
        <v>2048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7">
        <f t="shared" si="4"/>
        <v>0.41751456369902912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15">
      <c r="A46" s="173">
        <f t="shared" si="13"/>
        <v>2049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7">
        <f t="shared" si="4"/>
        <v>0.42036705442548777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15">
      <c r="A47" s="173">
        <f t="shared" si="13"/>
        <v>2050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7">
        <f t="shared" si="4"/>
        <v>0.42269918787583721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15">
      <c r="A48" s="203">
        <f t="shared" si="13"/>
        <v>2051</v>
      </c>
      <c r="B48" s="204">
        <f t="shared" si="13"/>
        <v>64</v>
      </c>
      <c r="C48" s="204">
        <f t="shared" si="13"/>
        <v>29</v>
      </c>
      <c r="D48" s="204">
        <f t="shared" si="1"/>
        <v>141393.93036056284</v>
      </c>
      <c r="E48" s="204"/>
      <c r="F48" s="204">
        <f>AVERAGE(D44:D48)</f>
        <v>133393.8166141783</v>
      </c>
      <c r="G48" s="204">
        <f>$E$7*$E$8</f>
        <v>2000.9072492126745</v>
      </c>
      <c r="H48" s="204">
        <f>$E$7*$E$8*(C48+1)</f>
        <v>60027.217476380232</v>
      </c>
      <c r="I48" s="205">
        <f t="shared" si="4"/>
        <v>0.42453885625293319</v>
      </c>
      <c r="J48" s="205"/>
      <c r="K48" s="206">
        <f t="shared" si="5"/>
        <v>7069.6965180281422</v>
      </c>
      <c r="L48" s="206">
        <f t="shared" si="6"/>
        <v>181.45554396272232</v>
      </c>
      <c r="M48" s="206">
        <f t="shared" si="11"/>
        <v>319579.32127499604</v>
      </c>
      <c r="N48" s="204">
        <f t="shared" si="0"/>
        <v>12722.059137112483</v>
      </c>
      <c r="O48" s="204">
        <f t="shared" si="7"/>
        <v>326.53285118588701</v>
      </c>
      <c r="P48" s="204">
        <f t="shared" si="10"/>
        <v>575089.32864246366</v>
      </c>
      <c r="Q48" s="204">
        <f t="shared" si="8"/>
        <v>894668.6499174597</v>
      </c>
    </row>
    <row r="49" spans="1:18" x14ac:dyDescent="0.15">
      <c r="A49" s="173">
        <f t="shared" si="13"/>
        <v>2052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7">
        <f t="shared" si="4"/>
        <v>0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15">
      <c r="A50" s="173">
        <f t="shared" si="13"/>
        <v>2053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7">
        <f t="shared" si="4"/>
        <v>0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15">
      <c r="A51" s="173">
        <f t="shared" si="13"/>
        <v>2054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7">
        <f t="shared" si="4"/>
        <v>0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15">
      <c r="A52" s="173">
        <f t="shared" si="13"/>
        <v>2055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7">
        <f t="shared" si="4"/>
        <v>0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2" customFormat="1" x14ac:dyDescent="0.15">
      <c r="A53" s="216">
        <f t="shared" ref="A53:C58" si="14">A52+1</f>
        <v>2056</v>
      </c>
      <c r="B53" s="217">
        <f t="shared" si="14"/>
        <v>69</v>
      </c>
      <c r="C53" s="217">
        <f t="shared" si="14"/>
        <v>34</v>
      </c>
      <c r="D53" s="217">
        <f t="shared" si="1"/>
        <v>163914.31773038019</v>
      </c>
      <c r="E53" s="217"/>
      <c r="F53" s="217">
        <f t="shared" si="12"/>
        <v>154639.99327274557</v>
      </c>
      <c r="G53" s="217">
        <v>0</v>
      </c>
      <c r="H53" s="217">
        <v>0</v>
      </c>
      <c r="I53" s="218">
        <f t="shared" si="4"/>
        <v>0</v>
      </c>
      <c r="J53" s="218"/>
      <c r="K53" s="219">
        <f t="shared" si="5"/>
        <v>8195.7158865190104</v>
      </c>
      <c r="L53" s="219">
        <f t="shared" si="6"/>
        <v>210.35670775398793</v>
      </c>
      <c r="M53" s="219">
        <f t="shared" si="11"/>
        <v>463867.18839905225</v>
      </c>
      <c r="N53" s="217">
        <f t="shared" si="0"/>
        <v>14748.353329365935</v>
      </c>
      <c r="O53" s="217">
        <f t="shared" si="7"/>
        <v>378.54106878705898</v>
      </c>
      <c r="P53" s="217">
        <f t="shared" si="10"/>
        <v>834738.20800228964</v>
      </c>
      <c r="Q53" s="217">
        <f t="shared" si="8"/>
        <v>1298605.396401342</v>
      </c>
    </row>
    <row r="54" spans="1:18" x14ac:dyDescent="0.15">
      <c r="A54" s="173">
        <f t="shared" si="14"/>
        <v>2057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15">
      <c r="A55" s="173">
        <f t="shared" si="14"/>
        <v>2058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15">
      <c r="A56" s="173">
        <f t="shared" si="14"/>
        <v>2059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15">
      <c r="A57" s="173">
        <f t="shared" si="14"/>
        <v>2060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15">
      <c r="A58" s="173">
        <f t="shared" si="14"/>
        <v>2061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abSelected="1" topLeftCell="B1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380</v>
      </c>
    </row>
    <row r="3" spans="1:18" x14ac:dyDescent="0.15">
      <c r="A3" s="16" t="s">
        <v>50</v>
      </c>
      <c r="E3" s="27">
        <v>2022</v>
      </c>
      <c r="G3" s="16" t="s">
        <v>379</v>
      </c>
    </row>
    <row r="4" spans="1:18" x14ac:dyDescent="0.15">
      <c r="A4" s="16" t="s">
        <v>54</v>
      </c>
      <c r="E4" s="27">
        <v>25</v>
      </c>
    </row>
    <row r="5" spans="1:18" x14ac:dyDescent="0.15">
      <c r="A5" s="16" t="s">
        <v>219</v>
      </c>
      <c r="E5" s="175">
        <v>60000</v>
      </c>
    </row>
    <row r="6" spans="1:18" x14ac:dyDescent="0.15">
      <c r="A6" s="16" t="s">
        <v>278</v>
      </c>
      <c r="E6" s="174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6">
        <f>F58</f>
        <v>179270.13505102036</v>
      </c>
    </row>
    <row r="9" spans="1:18" x14ac:dyDescent="0.15">
      <c r="A9" s="16" t="s">
        <v>99</v>
      </c>
      <c r="E9" s="181">
        <v>0.05</v>
      </c>
    </row>
    <row r="10" spans="1:18" x14ac:dyDescent="0.15">
      <c r="A10" s="16" t="s">
        <v>225</v>
      </c>
      <c r="E10" s="194">
        <f>E9*(1-M58/E12)/(M58/E12)</f>
        <v>7.1380228218079808E-2</v>
      </c>
    </row>
    <row r="11" spans="1:18" x14ac:dyDescent="0.15">
      <c r="A11" s="16" t="s">
        <v>288</v>
      </c>
      <c r="E11" s="183">
        <v>5.6000000000000001E-2</v>
      </c>
    </row>
    <row r="12" spans="1:18" x14ac:dyDescent="0.15">
      <c r="A12" s="16" t="s">
        <v>332</v>
      </c>
      <c r="E12" s="193">
        <f>'Section 3'!I65*'Section 4_9_2'!H58</f>
        <v>1603146.4702796894</v>
      </c>
    </row>
    <row r="13" spans="1:18" x14ac:dyDescent="0.15">
      <c r="A13" s="16" t="s">
        <v>381</v>
      </c>
      <c r="E13" s="186">
        <f>Q58</f>
        <v>1603146.4702796889</v>
      </c>
    </row>
    <row r="14" spans="1:18" x14ac:dyDescent="0.15">
      <c r="E14" s="27"/>
    </row>
    <row r="16" spans="1:18" x14ac:dyDescent="0.1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2022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7">
        <f>H19/D19</f>
        <v>4.4817533762755088E-2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15">
      <c r="A20" s="173">
        <f>A19+1</f>
        <v>2023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7">
        <f t="shared" ref="I20:I57" si="4">H20/D20</f>
        <v>8.7024337403407939E-2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15">
      <c r="A21" s="173">
        <f t="shared" ref="A21:C36" si="9">A20+1</f>
        <v>2024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7">
        <f t="shared" si="4"/>
        <v>0.12673447194671059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15">
      <c r="A22" s="173">
        <f t="shared" si="9"/>
        <v>2025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7">
        <f t="shared" si="4"/>
        <v>0.16405756886305578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15">
      <c r="A23" s="173">
        <f t="shared" si="9"/>
        <v>2026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7">
        <f t="shared" si="4"/>
        <v>0.19909899133865994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15">
      <c r="A24" s="173">
        <f t="shared" si="9"/>
        <v>2027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7">
        <f t="shared" si="4"/>
        <v>0.23195998990911837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15">
      <c r="A25" s="173">
        <f t="shared" si="9"/>
        <v>2028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7">
        <f t="shared" si="4"/>
        <v>0.2627378526478687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15">
      <c r="A26" s="173">
        <f t="shared" si="9"/>
        <v>2029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7">
        <f t="shared" si="4"/>
        <v>0.29152605009472254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15">
      <c r="A27" s="173">
        <f t="shared" si="9"/>
        <v>2030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7">
        <f t="shared" si="4"/>
        <v>0.31841437510345905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15">
      <c r="A28" s="173">
        <f t="shared" si="9"/>
        <v>2031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7">
        <f t="shared" si="4"/>
        <v>0.34348907778150922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15">
      <c r="A29" s="173">
        <f t="shared" si="9"/>
        <v>2032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7">
        <f t="shared" si="4"/>
        <v>0.36683299568899042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15">
      <c r="A30" s="173">
        <f t="shared" si="9"/>
        <v>2033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7">
        <f t="shared" si="4"/>
        <v>0.38852567945877187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15">
      <c r="A31" s="173">
        <f t="shared" si="9"/>
        <v>2034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7">
        <f t="shared" si="4"/>
        <v>0.4086435139938539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15">
      <c r="A32" s="173">
        <f t="shared" si="9"/>
        <v>2035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7">
        <f t="shared" si="4"/>
        <v>0.42725983539312579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15">
      <c r="A33" s="173">
        <f t="shared" si="9"/>
        <v>2036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7">
        <f t="shared" si="4"/>
        <v>0.44444504375151778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15">
      <c r="A34" s="173">
        <f t="shared" si="9"/>
        <v>2037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7">
        <f t="shared" si="4"/>
        <v>0.46026671197568186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15">
      <c r="A35" s="173">
        <f t="shared" si="9"/>
        <v>2038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7">
        <f t="shared" si="4"/>
        <v>0.47478969075161354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15">
      <c r="A36" s="173">
        <f t="shared" si="9"/>
        <v>2039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7">
        <f t="shared" si="4"/>
        <v>0.48807620979606187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15">
      <c r="A37" s="173">
        <f t="shared" ref="A37:C52" si="13">A36+1</f>
        <v>2040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7">
        <f t="shared" si="4"/>
        <v>0.50018597551915722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15">
      <c r="A38" s="173">
        <f t="shared" si="13"/>
        <v>2041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7">
        <f t="shared" si="4"/>
        <v>0.51117626522141768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15">
      <c r="A39" s="173">
        <f t="shared" si="13"/>
        <v>2042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7">
        <f t="shared" si="4"/>
        <v>0.52110201794416366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15">
      <c r="A40" s="173">
        <f t="shared" si="13"/>
        <v>2043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7">
        <f t="shared" si="4"/>
        <v>0.53001592208837722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15">
      <c r="A41" s="173">
        <f t="shared" si="13"/>
        <v>2044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7">
        <f t="shared" si="4"/>
        <v>0.53796849991318085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15">
      <c r="A42" s="173">
        <f t="shared" si="13"/>
        <v>2045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7">
        <f t="shared" si="4"/>
        <v>0.54500818902137349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15">
      <c r="A43" s="173">
        <f t="shared" si="13"/>
        <v>2046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7">
        <f t="shared" si="4"/>
        <v>0.55118142093585509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15">
      <c r="A44" s="173">
        <f t="shared" si="13"/>
        <v>2047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7">
        <f t="shared" si="4"/>
        <v>0.55653269686727114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15">
      <c r="A45" s="173">
        <f t="shared" si="13"/>
        <v>2048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7">
        <f t="shared" si="4"/>
        <v>0.56110466076984011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15">
      <c r="A46" s="173">
        <f t="shared" si="13"/>
        <v>2049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7">
        <f t="shared" si="4"/>
        <v>0.5649381697790552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15">
      <c r="A47" s="173">
        <f t="shared" si="13"/>
        <v>2050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7">
        <f t="shared" si="4"/>
        <v>0.56807236212179602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15">
      <c r="A48" s="216">
        <f t="shared" si="13"/>
        <v>2051</v>
      </c>
      <c r="B48" s="217">
        <f t="shared" si="13"/>
        <v>54</v>
      </c>
      <c r="C48" s="217">
        <f t="shared" si="13"/>
        <v>29</v>
      </c>
      <c r="D48" s="217">
        <f t="shared" si="1"/>
        <v>141393.93036056284</v>
      </c>
      <c r="E48" s="217"/>
      <c r="F48" s="217">
        <f>AVERAGE(D44:D48)</f>
        <v>133393.8166141783</v>
      </c>
      <c r="G48" s="217">
        <f>$E$7*$E$8</f>
        <v>2689.0520257653052</v>
      </c>
      <c r="H48" s="217">
        <f>$E$7*$E$8*(C48+1)</f>
        <v>80671.560772959157</v>
      </c>
      <c r="I48" s="218">
        <f t="shared" si="4"/>
        <v>0.57054472258633682</v>
      </c>
      <c r="J48" s="218"/>
      <c r="K48" s="219">
        <f t="shared" si="5"/>
        <v>7069.6965180281422</v>
      </c>
      <c r="L48" s="219">
        <f t="shared" si="6"/>
        <v>181.45554396272232</v>
      </c>
      <c r="M48" s="219">
        <f t="shared" si="11"/>
        <v>319579.32127499604</v>
      </c>
      <c r="N48" s="217">
        <f t="shared" si="0"/>
        <v>10092.731017788259</v>
      </c>
      <c r="O48" s="217">
        <f t="shared" si="7"/>
        <v>259.04676278989865</v>
      </c>
      <c r="P48" s="217">
        <f t="shared" si="10"/>
        <v>456232.89772776514</v>
      </c>
      <c r="Q48" s="217">
        <f t="shared" si="8"/>
        <v>775812.21900276118</v>
      </c>
    </row>
    <row r="49" spans="1:18" x14ac:dyDescent="0.15">
      <c r="A49" s="173">
        <f t="shared" si="13"/>
        <v>2052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7">
        <f t="shared" ref="G49:G57" si="14">$E$7*$E$8</f>
        <v>2689.0520257653052</v>
      </c>
      <c r="H49" s="217">
        <f t="shared" ref="H49:H57" si="15">$E$7*$E$8*(C49+1)</f>
        <v>83360.612798724454</v>
      </c>
      <c r="I49" s="177">
        <f t="shared" si="4"/>
        <v>0.57239114563677795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15">
      <c r="A50" s="173">
        <f t="shared" si="13"/>
        <v>2053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7">
        <f t="shared" si="14"/>
        <v>2689.0520257653052</v>
      </c>
      <c r="H50" s="217">
        <f t="shared" si="15"/>
        <v>86049.664824489766</v>
      </c>
      <c r="I50" s="177">
        <f t="shared" si="4"/>
        <v>0.5736459962535827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15">
      <c r="A51" s="173">
        <f t="shared" si="13"/>
        <v>2054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7">
        <f t="shared" si="14"/>
        <v>2689.0520257653052</v>
      </c>
      <c r="H51" s="217">
        <f t="shared" si="15"/>
        <v>88738.716850255078</v>
      </c>
      <c r="I51" s="177">
        <f t="shared" si="4"/>
        <v>0.57434216857913312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15">
      <c r="A52" s="173">
        <f t="shared" si="13"/>
        <v>2055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7">
        <f t="shared" si="14"/>
        <v>2689.0520257653052</v>
      </c>
      <c r="H52" s="217">
        <f t="shared" si="15"/>
        <v>91427.768876020375</v>
      </c>
      <c r="I52" s="177">
        <f t="shared" si="4"/>
        <v>0.57451114244455803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2" customFormat="1" x14ac:dyDescent="0.15">
      <c r="A53" s="216">
        <f t="shared" ref="A53:C58" si="16">A52+1</f>
        <v>2056</v>
      </c>
      <c r="B53" s="217">
        <f t="shared" si="16"/>
        <v>59</v>
      </c>
      <c r="C53" s="217">
        <f t="shared" si="16"/>
        <v>34</v>
      </c>
      <c r="D53" s="217">
        <f t="shared" si="1"/>
        <v>163914.31773038019</v>
      </c>
      <c r="E53" s="217"/>
      <c r="F53" s="217">
        <f t="shared" si="12"/>
        <v>154639.99327274557</v>
      </c>
      <c r="G53" s="217">
        <f t="shared" si="14"/>
        <v>2689.0520257653052</v>
      </c>
      <c r="H53" s="217">
        <f t="shared" si="15"/>
        <v>94116.820901785686</v>
      </c>
      <c r="I53" s="218">
        <f t="shared" si="4"/>
        <v>0.57418303785149993</v>
      </c>
      <c r="J53" s="218"/>
      <c r="K53" s="219">
        <f t="shared" si="5"/>
        <v>8195.7158865190104</v>
      </c>
      <c r="L53" s="219">
        <f t="shared" si="6"/>
        <v>210.35670775398793</v>
      </c>
      <c r="M53" s="219">
        <f t="shared" si="11"/>
        <v>463867.18839905225</v>
      </c>
      <c r="N53" s="217">
        <f t="shared" si="0"/>
        <v>11700.241407805384</v>
      </c>
      <c r="O53" s="217">
        <f t="shared" si="7"/>
        <v>300.30619613367156</v>
      </c>
      <c r="P53" s="217">
        <f t="shared" si="10"/>
        <v>662218.91541606735</v>
      </c>
      <c r="Q53" s="217">
        <f t="shared" si="8"/>
        <v>1126086.1038151197</v>
      </c>
    </row>
    <row r="54" spans="1:18" x14ac:dyDescent="0.15">
      <c r="A54" s="173">
        <f t="shared" si="16"/>
        <v>2057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7">
        <f t="shared" si="14"/>
        <v>2689.0520257653052</v>
      </c>
      <c r="H54" s="217">
        <f t="shared" si="15"/>
        <v>96805.872927550983</v>
      </c>
      <c r="I54" s="177">
        <f t="shared" si="4"/>
        <v>0.57338666747999989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15">
      <c r="A55" s="173">
        <f t="shared" si="16"/>
        <v>2058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7">
        <f t="shared" si="14"/>
        <v>2689.0520257653052</v>
      </c>
      <c r="H55" s="217">
        <f t="shared" si="15"/>
        <v>99494.924953316295</v>
      </c>
      <c r="I55" s="177">
        <f t="shared" si="4"/>
        <v>0.57214958729126209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15">
      <c r="A56" s="173">
        <f t="shared" si="16"/>
        <v>2059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7">
        <f t="shared" si="14"/>
        <v>2689.0520257653052</v>
      </c>
      <c r="H56" s="217">
        <f t="shared" si="15"/>
        <v>102183.97697908159</v>
      </c>
      <c r="I56" s="177">
        <f t="shared" si="4"/>
        <v>0.57049814529173326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15">
      <c r="A57" s="173">
        <f t="shared" si="16"/>
        <v>2060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7">
        <f t="shared" si="14"/>
        <v>2689.0520257653052</v>
      </c>
      <c r="H57" s="217">
        <f t="shared" si="15"/>
        <v>104873.0290048469</v>
      </c>
      <c r="I57" s="177">
        <f t="shared" si="4"/>
        <v>0.5684575285226775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15">
      <c r="A58" s="203">
        <f t="shared" si="16"/>
        <v>2061</v>
      </c>
      <c r="B58" s="204">
        <f t="shared" si="16"/>
        <v>64</v>
      </c>
      <c r="C58" s="204">
        <f t="shared" si="16"/>
        <v>39</v>
      </c>
      <c r="D58" s="204">
        <f t="shared" si="1"/>
        <v>190021.61895140263</v>
      </c>
      <c r="E58" s="204"/>
      <c r="F58" s="204">
        <f t="shared" si="12"/>
        <v>179270.13505102036</v>
      </c>
      <c r="G58" s="204">
        <f>$E$7*$E$8</f>
        <v>2689.0520257653052</v>
      </c>
      <c r="H58" s="204">
        <f>$E$7*$E$8*(C58+1)</f>
        <v>107562.0810306122</v>
      </c>
      <c r="I58" s="205">
        <f>H58/D58</f>
        <v>0.56605180833724411</v>
      </c>
      <c r="J58" s="205"/>
      <c r="K58" s="206">
        <f t="shared" si="5"/>
        <v>9501.0809475701317</v>
      </c>
      <c r="L58" s="206">
        <f t="shared" si="6"/>
        <v>243.86107765430006</v>
      </c>
      <c r="M58" s="206">
        <f t="shared" si="11"/>
        <v>660382.04648922302</v>
      </c>
      <c r="N58" s="204">
        <f t="shared" si="0"/>
        <v>13563.786527120119</v>
      </c>
      <c r="O58" s="204">
        <f t="shared" si="7"/>
        <v>348.13718752941639</v>
      </c>
      <c r="P58" s="204">
        <f t="shared" si="10"/>
        <v>942764.42379046604</v>
      </c>
      <c r="Q58" s="204">
        <f t="shared" si="8"/>
        <v>1603146.4702796889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31" t="s">
        <v>9</v>
      </c>
      <c r="B1" s="231"/>
      <c r="D1" s="231" t="s">
        <v>9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">
      <c r="A2" s="231" t="s">
        <v>2</v>
      </c>
      <c r="B2" s="231"/>
      <c r="D2" s="231" t="s">
        <v>3</v>
      </c>
      <c r="E2" s="231"/>
      <c r="F2" s="231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31" t="s">
        <v>8</v>
      </c>
      <c r="B1" s="231"/>
      <c r="D1" s="231" t="s">
        <v>8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">
      <c r="A2" s="231" t="s">
        <v>2</v>
      </c>
      <c r="B2" s="231"/>
      <c r="D2" s="231" t="s">
        <v>3</v>
      </c>
      <c r="E2" s="231"/>
      <c r="F2" s="231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">
      <c r="E103" s="9"/>
    </row>
    <row r="104" spans="1:61" x14ac:dyDescent="0.2">
      <c r="E104" s="9"/>
    </row>
    <row r="105" spans="1:61" x14ac:dyDescent="0.2">
      <c r="E105" s="9"/>
    </row>
    <row r="106" spans="1:61" x14ac:dyDescent="0.2">
      <c r="E106" s="9"/>
    </row>
    <row r="107" spans="1:61" x14ac:dyDescent="0.2">
      <c r="E107" s="9"/>
    </row>
    <row r="108" spans="1:61" x14ac:dyDescent="0.2">
      <c r="E108" s="9"/>
    </row>
    <row r="109" spans="1:61" x14ac:dyDescent="0.2">
      <c r="E109" s="9"/>
    </row>
    <row r="110" spans="1:61" x14ac:dyDescent="0.2">
      <c r="E110" s="9"/>
    </row>
    <row r="111" spans="1:61" x14ac:dyDescent="0.2">
      <c r="E111" s="9"/>
    </row>
    <row r="112" spans="1:61" x14ac:dyDescent="0.2">
      <c r="E112" s="9"/>
    </row>
    <row r="113" spans="5:5" x14ac:dyDescent="0.2">
      <c r="E113" s="9"/>
    </row>
    <row r="114" spans="5:5" x14ac:dyDescent="0.2">
      <c r="E114" s="9"/>
    </row>
    <row r="115" spans="5:5" x14ac:dyDescent="0.2">
      <c r="E115" s="9"/>
    </row>
    <row r="116" spans="5:5" x14ac:dyDescent="0.2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112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119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120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121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2">
      <c r="A1" s="76" t="s">
        <v>122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77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77" t="s">
        <v>115</v>
      </c>
      <c r="E6" s="16">
        <v>60</v>
      </c>
    </row>
    <row r="7" spans="1:115" ht="12.75" customHeight="1" x14ac:dyDescent="0.15">
      <c r="A7" s="77" t="s">
        <v>116</v>
      </c>
      <c r="E7" s="16">
        <v>115</v>
      </c>
    </row>
    <row r="8" spans="1:115" ht="12.75" customHeight="1" x14ac:dyDescent="0.15">
      <c r="A8" s="77" t="s">
        <v>117</v>
      </c>
      <c r="E8" s="16">
        <v>2014</v>
      </c>
    </row>
    <row r="9" spans="1:115" ht="12.75" customHeight="1" x14ac:dyDescent="0.15">
      <c r="A9" s="77" t="s">
        <v>118</v>
      </c>
      <c r="E9" s="16">
        <v>2125</v>
      </c>
    </row>
    <row r="10" spans="1:115" ht="12.75" customHeight="1" x14ac:dyDescent="0.15">
      <c r="A10" s="77"/>
    </row>
    <row r="11" spans="1:115" ht="12.75" customHeight="1" x14ac:dyDescent="0.15">
      <c r="B11" s="78" t="s">
        <v>5</v>
      </c>
      <c r="C11" s="78"/>
      <c r="D11" s="78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15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15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15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15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15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15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15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15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15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15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15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15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15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15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15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15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15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15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15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15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15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15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15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15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15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15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15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15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15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15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15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15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15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15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15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15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15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15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15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15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15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15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125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15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15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15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15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15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15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15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15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15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15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15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15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15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15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15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15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15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15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15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15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15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15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15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15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15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15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15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15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15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15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15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15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15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15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15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15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15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15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15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124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15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15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15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15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15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15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15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15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15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15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15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15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15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15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15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15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15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15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15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15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15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15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15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15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15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15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15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15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15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15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15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15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15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15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15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15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15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15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15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15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15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126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15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15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15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15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15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15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15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15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15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15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15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15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15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15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15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15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15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15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15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15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15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15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15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15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15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15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15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15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15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15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15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15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15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15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15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15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15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127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15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15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15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15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15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15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15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15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15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15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15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15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15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15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15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15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15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15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15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15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15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15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15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15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15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15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15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15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15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15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15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15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15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15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15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15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15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15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15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15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15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15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15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15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15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15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15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15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15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15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15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15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15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128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15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15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15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15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15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15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15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15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15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15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15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15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15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15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15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15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15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15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15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15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15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15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15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15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15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15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15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15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15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15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15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15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15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15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15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15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15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15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15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15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15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15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15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15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15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15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15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15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15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15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15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15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"/>
  <sheetData>
    <row r="1" spans="1:115" x14ac:dyDescent="0.2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3.869976090917568E-3</v>
      </c>
      <c r="DE21" s="170">
        <f>DD21*(1-'Table de mortalité H'!$AC52)</f>
        <v>3.8312763300083924E-3</v>
      </c>
      <c r="DF21" s="170">
        <f>DE21*(1-'Table de mortalité H'!$AC52)</f>
        <v>3.7929635667083082E-3</v>
      </c>
      <c r="DG21" s="170">
        <f>DF21*(1-'Table de mortalité H'!$AC52)</f>
        <v>3.7550339310412251E-3</v>
      </c>
      <c r="DH21" s="170">
        <f>DG21*(1-'Table de mortalité H'!$AC52)</f>
        <v>3.7174835917308129E-3</v>
      </c>
      <c r="DI21" s="170">
        <f>DH21*(1-'Table de mortalité H'!$AC52)</f>
        <v>3.6803087558135049E-3</v>
      </c>
      <c r="DJ21" s="170">
        <f>DI21*(1-'Table de mortalité H'!$AC52)</f>
        <v>3.6435056682553699E-3</v>
      </c>
      <c r="DK21" s="170">
        <f>DJ21*(1-'Table de mortalité H'!$AC52)</f>
        <v>3.6070706115728162E-3</v>
      </c>
    </row>
    <row r="22" spans="1:115" x14ac:dyDescent="0.2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"/>
  <sheetData>
    <row r="1" spans="1:115" x14ac:dyDescent="0.2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 x14ac:dyDescent="0.2">
      <c r="A1" t="s">
        <v>226</v>
      </c>
    </row>
    <row r="3" spans="1:23" x14ac:dyDescent="0.2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">
      <c r="C6" t="s">
        <v>136</v>
      </c>
    </row>
    <row r="7" spans="1:23" x14ac:dyDescent="0.2">
      <c r="H7" t="s">
        <v>231</v>
      </c>
      <c r="I7" t="s">
        <v>228</v>
      </c>
      <c r="J7" s="111">
        <v>0.02</v>
      </c>
    </row>
    <row r="8" spans="1:23" x14ac:dyDescent="0.2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6" thickBot="1" x14ac:dyDescent="0.25"/>
    <row r="11" spans="1:23" ht="16" thickBot="1" x14ac:dyDescent="0.25">
      <c r="B11" s="112" t="s">
        <v>140</v>
      </c>
      <c r="C11" s="113" t="str">
        <f>CONCATENATE(C3,"-",F3,"-M")</f>
        <v>ICA-Privée-MI-M</v>
      </c>
      <c r="D11" s="232" t="s">
        <v>235</v>
      </c>
      <c r="E11" s="233"/>
      <c r="F11" s="233"/>
      <c r="G11" s="233"/>
      <c r="H11" s="233"/>
      <c r="I11" s="233"/>
      <c r="J11" s="233"/>
      <c r="K11" s="234"/>
      <c r="N11" t="s">
        <v>140</v>
      </c>
      <c r="O11" t="str">
        <f>CONCATENATE(C3,"-",F3,"-F")</f>
        <v>ICA-Privée-MI-F</v>
      </c>
      <c r="P11" s="232" t="s">
        <v>236</v>
      </c>
      <c r="Q11" s="233"/>
      <c r="R11" s="233"/>
      <c r="S11" s="233"/>
      <c r="T11" s="233"/>
      <c r="U11" s="233"/>
      <c r="V11" s="233"/>
      <c r="W11" s="234"/>
    </row>
    <row r="12" spans="1:23" x14ac:dyDescent="0.2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73"/>
  <sheetViews>
    <sheetView zoomScale="90" zoomScaleNormal="90" workbookViewId="0">
      <selection activeCell="C3" sqref="C3"/>
    </sheetView>
  </sheetViews>
  <sheetFormatPr baseColWidth="10" defaultRowHeight="15" x14ac:dyDescent="0.2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 x14ac:dyDescent="0.2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6" thickBot="1" x14ac:dyDescent="0.25">
      <c r="J2" s="96" t="s">
        <v>147</v>
      </c>
      <c r="K2" s="151">
        <v>12</v>
      </c>
      <c r="L2" s="13"/>
      <c r="M2" s="13"/>
      <c r="N2" s="13"/>
    </row>
    <row r="3" spans="1:14" x14ac:dyDescent="0.2">
      <c r="B3" s="94" t="s">
        <v>29</v>
      </c>
      <c r="C3" s="150" t="s">
        <v>136</v>
      </c>
      <c r="E3" s="94" t="s">
        <v>135</v>
      </c>
      <c r="F3" s="150" t="s">
        <v>137</v>
      </c>
      <c r="J3" s="96" t="s">
        <v>145</v>
      </c>
      <c r="K3" s="151" t="s">
        <v>144</v>
      </c>
      <c r="L3" s="13"/>
      <c r="M3" s="13"/>
      <c r="N3" s="13"/>
    </row>
    <row r="4" spans="1:14" x14ac:dyDescent="0.2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6" thickBot="1" x14ac:dyDescent="0.25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6" thickBot="1" x14ac:dyDescent="0.25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6" thickBot="1" x14ac:dyDescent="0.25">
      <c r="J7" s="146" t="s">
        <v>150</v>
      </c>
      <c r="K7" s="152">
        <v>1</v>
      </c>
      <c r="L7" s="13"/>
      <c r="M7" s="13"/>
      <c r="N7" s="13"/>
    </row>
    <row r="8" spans="1:14" x14ac:dyDescent="0.2">
      <c r="B8" s="94" t="s">
        <v>161</v>
      </c>
      <c r="C8" s="150">
        <v>65</v>
      </c>
      <c r="E8" s="94" t="s">
        <v>162</v>
      </c>
      <c r="F8" s="150">
        <v>62</v>
      </c>
      <c r="J8" s="147" t="s">
        <v>151</v>
      </c>
      <c r="K8" s="153"/>
      <c r="L8" s="13"/>
      <c r="M8" s="13"/>
      <c r="N8" s="13"/>
    </row>
    <row r="9" spans="1:14" ht="16" thickBot="1" x14ac:dyDescent="0.25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0</v>
      </c>
      <c r="L9" s="13"/>
      <c r="M9" s="13"/>
      <c r="N9" s="13"/>
    </row>
    <row r="10" spans="1:14" ht="16" thickBot="1" x14ac:dyDescent="0.25">
      <c r="B10" s="99" t="s">
        <v>139</v>
      </c>
      <c r="C10" s="155">
        <v>2022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">
      <c r="F11" s="80"/>
      <c r="J11" s="147" t="s">
        <v>165</v>
      </c>
      <c r="K11" s="151">
        <v>1</v>
      </c>
      <c r="L11" s="13"/>
      <c r="M11" s="13"/>
      <c r="N11" s="13"/>
    </row>
    <row r="12" spans="1:14" ht="16" thickBot="1" x14ac:dyDescent="0.25">
      <c r="B12" t="s">
        <v>140</v>
      </c>
      <c r="C12" t="str">
        <f>CONCATENATE(C3,"-",F3,"-", C9)</f>
        <v>CPM-2014-Privée-mod-MI-M</v>
      </c>
      <c r="F12" t="s">
        <v>140</v>
      </c>
      <c r="G12" t="str">
        <f>CONCATENATE(C3,"-",F3,"-",F9)</f>
        <v>CPM-2014-Privée-mod-MI-F</v>
      </c>
      <c r="J12" s="148" t="s">
        <v>195</v>
      </c>
      <c r="K12" s="156">
        <v>0.6</v>
      </c>
      <c r="L12" s="13"/>
      <c r="M12" s="13"/>
      <c r="N12" s="13"/>
    </row>
    <row r="13" spans="1:14" ht="17" x14ac:dyDescent="0.2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">
      <c r="B14">
        <f>C10</f>
        <v>2022</v>
      </c>
      <c r="C14" s="16">
        <f>C8</f>
        <v>65</v>
      </c>
      <c r="D14" s="82">
        <f ca="1">INDIRECT(ADDRESS(13+C14-IF($C$3=$C$6,57,60),4+B14-2014,1,1,$C$12))</f>
        <v>1.0299931055725532E-2</v>
      </c>
      <c r="F14">
        <f>C10</f>
        <v>2022</v>
      </c>
      <c r="G14" s="16">
        <f>F8</f>
        <v>62</v>
      </c>
      <c r="H14" s="82">
        <f ca="1">INDIRECT(ADDRESS(13+G14-IF($C$3=$C$6,57,60),4+F14-2014,1,1,$G$12))</f>
        <v>4.8264506953865725E-3</v>
      </c>
      <c r="J14" s="13"/>
      <c r="K14" s="13"/>
      <c r="L14" s="13"/>
      <c r="M14" s="13"/>
      <c r="N14" s="13"/>
    </row>
    <row r="15" spans="1:14" x14ac:dyDescent="0.2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1.07435010894737E-2</v>
      </c>
      <c r="F15">
        <f>F14+1</f>
        <v>2023</v>
      </c>
      <c r="G15" s="16">
        <f>G14+1</f>
        <v>63</v>
      </c>
      <c r="H15" s="82">
        <f t="shared" ref="H15:H69" ca="1" si="1">INDIRECT(ADDRESS(13+G15-IF($C$3=$C$6,57,60),4+F15-2014,1,1,$G$12))</f>
        <v>5.1954200757657748E-3</v>
      </c>
    </row>
    <row r="16" spans="1:14" x14ac:dyDescent="0.2">
      <c r="B16">
        <f t="shared" ref="B16:B72" si="2">B15+1</f>
        <v>2024</v>
      </c>
      <c r="C16" s="16">
        <f t="shared" ref="C16:C72" si="3">C15+1</f>
        <v>67</v>
      </c>
      <c r="D16" s="82">
        <f t="shared" ca="1" si="0"/>
        <v>1.1210216717163648E-2</v>
      </c>
      <c r="F16">
        <f t="shared" ref="F16:F72" si="4">F15+1</f>
        <v>2024</v>
      </c>
      <c r="G16" s="16">
        <f t="shared" ref="G16:G72" si="5">G15+1</f>
        <v>64</v>
      </c>
      <c r="H16" s="82">
        <f t="shared" ca="1" si="1"/>
        <v>5.5896129762183005E-3</v>
      </c>
    </row>
    <row r="17" spans="2:8" x14ac:dyDescent="0.2">
      <c r="B17">
        <f t="shared" si="2"/>
        <v>2025</v>
      </c>
      <c r="C17" s="16">
        <f t="shared" si="3"/>
        <v>68</v>
      </c>
      <c r="D17" s="82">
        <f t="shared" ca="1" si="0"/>
        <v>1.177085239615001E-2</v>
      </c>
      <c r="F17">
        <f t="shared" si="4"/>
        <v>2025</v>
      </c>
      <c r="G17" s="16">
        <f t="shared" si="5"/>
        <v>65</v>
      </c>
      <c r="H17" s="82">
        <f t="shared" ca="1" si="1"/>
        <v>6.0354980959942623E-3</v>
      </c>
    </row>
    <row r="18" spans="2:8" x14ac:dyDescent="0.2">
      <c r="B18">
        <f t="shared" si="2"/>
        <v>2026</v>
      </c>
      <c r="C18" s="16">
        <f t="shared" si="3"/>
        <v>69</v>
      </c>
      <c r="D18" s="82">
        <f t="shared" ca="1" si="0"/>
        <v>1.2487440188758893E-2</v>
      </c>
      <c r="F18">
        <f t="shared" si="4"/>
        <v>2026</v>
      </c>
      <c r="G18" s="16">
        <f t="shared" si="5"/>
        <v>66</v>
      </c>
      <c r="H18" s="82">
        <f t="shared" ca="1" si="1"/>
        <v>6.506873777187715E-3</v>
      </c>
    </row>
    <row r="19" spans="2:8" x14ac:dyDescent="0.2">
      <c r="B19">
        <f t="shared" si="2"/>
        <v>2027</v>
      </c>
      <c r="C19" s="16">
        <f t="shared" si="3"/>
        <v>70</v>
      </c>
      <c r="D19" s="82">
        <f t="shared" ca="1" si="0"/>
        <v>1.3386321567872164E-2</v>
      </c>
      <c r="F19">
        <f t="shared" si="4"/>
        <v>2027</v>
      </c>
      <c r="G19" s="16">
        <f t="shared" si="5"/>
        <v>67</v>
      </c>
      <c r="H19" s="82">
        <f t="shared" ca="1" si="1"/>
        <v>6.9887871523421231E-3</v>
      </c>
    </row>
    <row r="20" spans="2:8" x14ac:dyDescent="0.2">
      <c r="B20">
        <f t="shared" si="2"/>
        <v>2028</v>
      </c>
      <c r="C20" s="16">
        <f t="shared" si="3"/>
        <v>71</v>
      </c>
      <c r="D20" s="82">
        <f t="shared" ca="1" si="0"/>
        <v>1.4591381027197391E-2</v>
      </c>
      <c r="F20">
        <f t="shared" si="4"/>
        <v>2028</v>
      </c>
      <c r="G20" s="16">
        <f t="shared" si="5"/>
        <v>68</v>
      </c>
      <c r="H20" s="82">
        <f t="shared" ca="1" si="1"/>
        <v>7.5153114890358424E-3</v>
      </c>
    </row>
    <row r="21" spans="2:8" x14ac:dyDescent="0.2">
      <c r="B21">
        <f t="shared" si="2"/>
        <v>2029</v>
      </c>
      <c r="C21" s="16">
        <f t="shared" si="3"/>
        <v>72</v>
      </c>
      <c r="D21" s="82">
        <f t="shared" ca="1" si="0"/>
        <v>1.596096305139677E-2</v>
      </c>
      <c r="F21">
        <f t="shared" si="4"/>
        <v>2029</v>
      </c>
      <c r="G21" s="16">
        <f t="shared" si="5"/>
        <v>69</v>
      </c>
      <c r="H21" s="82">
        <f t="shared" ca="1" si="1"/>
        <v>8.1099015333598572E-3</v>
      </c>
    </row>
    <row r="22" spans="2:8" x14ac:dyDescent="0.2">
      <c r="B22">
        <f t="shared" si="2"/>
        <v>2030</v>
      </c>
      <c r="C22" s="16">
        <f t="shared" si="3"/>
        <v>73</v>
      </c>
      <c r="D22" s="82">
        <f t="shared" ca="1" si="0"/>
        <v>1.751740911935418E-2</v>
      </c>
      <c r="F22">
        <f t="shared" si="4"/>
        <v>2030</v>
      </c>
      <c r="G22" s="16">
        <f t="shared" si="5"/>
        <v>70</v>
      </c>
      <c r="H22" s="82">
        <f t="shared" ca="1" si="1"/>
        <v>8.7881784065916881E-3</v>
      </c>
    </row>
    <row r="23" spans="2:8" x14ac:dyDescent="0.2">
      <c r="B23">
        <f t="shared" si="2"/>
        <v>2031</v>
      </c>
      <c r="C23" s="16">
        <f t="shared" si="3"/>
        <v>74</v>
      </c>
      <c r="D23" s="82">
        <f t="shared" ca="1" si="0"/>
        <v>1.9268063076234448E-2</v>
      </c>
      <c r="F23">
        <f t="shared" si="4"/>
        <v>2031</v>
      </c>
      <c r="G23" s="16">
        <f t="shared" si="5"/>
        <v>71</v>
      </c>
      <c r="H23" s="82">
        <f t="shared" ca="1" si="1"/>
        <v>9.6216940052154844E-3</v>
      </c>
    </row>
    <row r="24" spans="2:8" x14ac:dyDescent="0.2">
      <c r="B24">
        <f t="shared" si="2"/>
        <v>2032</v>
      </c>
      <c r="C24" s="16">
        <f t="shared" si="3"/>
        <v>75</v>
      </c>
      <c r="D24" s="82">
        <f t="shared" ca="1" si="0"/>
        <v>2.1331817801591206E-2</v>
      </c>
      <c r="F24">
        <f t="shared" si="4"/>
        <v>2032</v>
      </c>
      <c r="G24" s="16">
        <f t="shared" si="5"/>
        <v>72</v>
      </c>
      <c r="H24" s="82">
        <f t="shared" ca="1" si="1"/>
        <v>1.0549994411347836E-2</v>
      </c>
    </row>
    <row r="25" spans="2:8" x14ac:dyDescent="0.2">
      <c r="B25">
        <f t="shared" si="2"/>
        <v>2033</v>
      </c>
      <c r="C25" s="16">
        <f t="shared" si="3"/>
        <v>76</v>
      </c>
      <c r="D25" s="82">
        <f t="shared" ca="1" si="0"/>
        <v>2.3541250472444597E-2</v>
      </c>
      <c r="F25">
        <f t="shared" si="4"/>
        <v>2033</v>
      </c>
      <c r="G25" s="16">
        <f t="shared" si="5"/>
        <v>73</v>
      </c>
      <c r="H25" s="82">
        <f t="shared" ca="1" si="1"/>
        <v>1.1518917885015882E-2</v>
      </c>
    </row>
    <row r="26" spans="2:8" x14ac:dyDescent="0.2">
      <c r="B26">
        <f t="shared" si="2"/>
        <v>2034</v>
      </c>
      <c r="C26" s="16">
        <f t="shared" si="3"/>
        <v>77</v>
      </c>
      <c r="D26" s="82">
        <f t="shared" ca="1" si="0"/>
        <v>2.6070175992851639E-2</v>
      </c>
      <c r="F26">
        <f t="shared" si="4"/>
        <v>2034</v>
      </c>
      <c r="G26" s="16">
        <f t="shared" si="5"/>
        <v>74</v>
      </c>
      <c r="H26" s="82">
        <f t="shared" ca="1" si="1"/>
        <v>1.2648618374392047E-2</v>
      </c>
    </row>
    <row r="27" spans="2:8" x14ac:dyDescent="0.2">
      <c r="B27">
        <f t="shared" si="2"/>
        <v>2035</v>
      </c>
      <c r="C27" s="16">
        <f t="shared" si="3"/>
        <v>78</v>
      </c>
      <c r="D27" s="82">
        <f t="shared" ca="1" si="0"/>
        <v>2.8999914889963289E-2</v>
      </c>
      <c r="F27">
        <f t="shared" si="4"/>
        <v>2035</v>
      </c>
      <c r="G27" s="16">
        <f t="shared" si="5"/>
        <v>75</v>
      </c>
      <c r="H27" s="82">
        <f t="shared" ca="1" si="1"/>
        <v>1.3959001075904417E-2</v>
      </c>
    </row>
    <row r="28" spans="2:8" x14ac:dyDescent="0.2">
      <c r="B28">
        <f t="shared" si="2"/>
        <v>2036</v>
      </c>
      <c r="C28" s="16">
        <f t="shared" si="3"/>
        <v>79</v>
      </c>
      <c r="D28" s="82">
        <f t="shared" ca="1" si="0"/>
        <v>3.2325384064381235E-2</v>
      </c>
      <c r="F28">
        <f t="shared" si="4"/>
        <v>2036</v>
      </c>
      <c r="G28" s="16">
        <f t="shared" si="5"/>
        <v>76</v>
      </c>
      <c r="H28" s="82">
        <f t="shared" ca="1" si="1"/>
        <v>1.54706079883715E-2</v>
      </c>
    </row>
    <row r="29" spans="2:8" x14ac:dyDescent="0.2">
      <c r="B29">
        <f t="shared" si="2"/>
        <v>2037</v>
      </c>
      <c r="C29" s="16">
        <f t="shared" si="3"/>
        <v>80</v>
      </c>
      <c r="D29" s="82">
        <f t="shared" ca="1" si="0"/>
        <v>3.6121723303901579E-2</v>
      </c>
      <c r="F29">
        <f t="shared" si="4"/>
        <v>2037</v>
      </c>
      <c r="G29" s="16">
        <f t="shared" si="5"/>
        <v>77</v>
      </c>
      <c r="H29" s="82">
        <f t="shared" ca="1" si="1"/>
        <v>1.723319360833675E-2</v>
      </c>
    </row>
    <row r="30" spans="2:8" x14ac:dyDescent="0.2">
      <c r="B30">
        <f t="shared" si="2"/>
        <v>2038</v>
      </c>
      <c r="C30" s="16">
        <f t="shared" si="3"/>
        <v>81</v>
      </c>
      <c r="D30" s="82">
        <f t="shared" ca="1" si="0"/>
        <v>4.0039042946366496E-2</v>
      </c>
      <c r="F30">
        <f t="shared" si="4"/>
        <v>2038</v>
      </c>
      <c r="G30" s="16">
        <f t="shared" si="5"/>
        <v>78</v>
      </c>
      <c r="H30" s="82">
        <f t="shared" ca="1" si="1"/>
        <v>1.9279844250370971E-2</v>
      </c>
    </row>
    <row r="31" spans="2:8" x14ac:dyDescent="0.2">
      <c r="B31">
        <f t="shared" si="2"/>
        <v>2039</v>
      </c>
      <c r="C31" s="16">
        <f t="shared" si="3"/>
        <v>82</v>
      </c>
      <c r="D31" s="82">
        <f t="shared" ca="1" si="0"/>
        <v>4.4531686692526086E-2</v>
      </c>
      <c r="F31">
        <f t="shared" si="4"/>
        <v>2039</v>
      </c>
      <c r="G31" s="16">
        <f t="shared" si="5"/>
        <v>79</v>
      </c>
      <c r="H31" s="82">
        <f t="shared" ca="1" si="1"/>
        <v>2.1672710727261679E-2</v>
      </c>
    </row>
    <row r="32" spans="2:8" x14ac:dyDescent="0.2">
      <c r="B32">
        <f t="shared" si="2"/>
        <v>2040</v>
      </c>
      <c r="C32" s="16">
        <f t="shared" si="3"/>
        <v>83</v>
      </c>
      <c r="D32" s="82">
        <f t="shared" ca="1" si="0"/>
        <v>4.9616057608462771E-2</v>
      </c>
      <c r="F32">
        <f t="shared" si="4"/>
        <v>2040</v>
      </c>
      <c r="G32" s="16">
        <f t="shared" si="5"/>
        <v>80</v>
      </c>
      <c r="H32" s="82">
        <f t="shared" ca="1" si="1"/>
        <v>2.4559580249728919E-2</v>
      </c>
    </row>
    <row r="33" spans="2:8" x14ac:dyDescent="0.2">
      <c r="B33">
        <f t="shared" si="2"/>
        <v>2041</v>
      </c>
      <c r="C33" s="16">
        <f t="shared" si="3"/>
        <v>84</v>
      </c>
      <c r="D33" s="82">
        <f t="shared" ca="1" si="0"/>
        <v>5.5440627399285944E-2</v>
      </c>
      <c r="F33">
        <f t="shared" si="4"/>
        <v>2041</v>
      </c>
      <c r="G33" s="16">
        <f t="shared" si="5"/>
        <v>81</v>
      </c>
      <c r="H33" s="82">
        <f t="shared" ca="1" si="1"/>
        <v>2.7742895382526171E-2</v>
      </c>
    </row>
    <row r="34" spans="2:8" x14ac:dyDescent="0.2">
      <c r="B34">
        <f t="shared" si="2"/>
        <v>2042</v>
      </c>
      <c r="C34" s="16">
        <f t="shared" si="3"/>
        <v>85</v>
      </c>
      <c r="D34" s="82">
        <f t="shared" ca="1" si="0"/>
        <v>6.1838243597071969E-2</v>
      </c>
      <c r="F34">
        <f t="shared" si="4"/>
        <v>2042</v>
      </c>
      <c r="G34" s="16">
        <f t="shared" si="5"/>
        <v>82</v>
      </c>
      <c r="H34" s="82">
        <f t="shared" ca="1" si="1"/>
        <v>3.1375561004196986E-2</v>
      </c>
    </row>
    <row r="35" spans="2:8" x14ac:dyDescent="0.2">
      <c r="B35">
        <f t="shared" si="2"/>
        <v>2043</v>
      </c>
      <c r="C35" s="16">
        <f t="shared" si="3"/>
        <v>86</v>
      </c>
      <c r="D35" s="82">
        <f t="shared" ca="1" si="0"/>
        <v>6.8849841640624229E-2</v>
      </c>
      <c r="F35">
        <f t="shared" si="4"/>
        <v>2043</v>
      </c>
      <c r="G35" s="16">
        <f t="shared" si="5"/>
        <v>83</v>
      </c>
      <c r="H35" s="82">
        <f t="shared" ca="1" si="1"/>
        <v>3.5495729928864121E-2</v>
      </c>
    </row>
    <row r="36" spans="2:8" x14ac:dyDescent="0.2">
      <c r="B36">
        <f t="shared" si="2"/>
        <v>2044</v>
      </c>
      <c r="C36" s="16">
        <f t="shared" si="3"/>
        <v>87</v>
      </c>
      <c r="D36" s="82">
        <f t="shared" ca="1" si="0"/>
        <v>7.6661067887067239E-2</v>
      </c>
      <c r="F36">
        <f t="shared" si="4"/>
        <v>2044</v>
      </c>
      <c r="G36" s="16">
        <f t="shared" si="5"/>
        <v>84</v>
      </c>
      <c r="H36" s="82">
        <f t="shared" ca="1" si="1"/>
        <v>4.0163102209073702E-2</v>
      </c>
    </row>
    <row r="37" spans="2:8" x14ac:dyDescent="0.2">
      <c r="B37">
        <f t="shared" si="2"/>
        <v>2045</v>
      </c>
      <c r="C37" s="16">
        <f t="shared" si="3"/>
        <v>88</v>
      </c>
      <c r="D37" s="82">
        <f t="shared" ca="1" si="0"/>
        <v>8.4970632996928475E-2</v>
      </c>
      <c r="F37">
        <f t="shared" si="4"/>
        <v>2045</v>
      </c>
      <c r="G37" s="16">
        <f t="shared" si="5"/>
        <v>85</v>
      </c>
      <c r="H37" s="82">
        <f t="shared" ca="1" si="1"/>
        <v>4.5244391085039672E-2</v>
      </c>
    </row>
    <row r="38" spans="2:8" x14ac:dyDescent="0.2">
      <c r="B38">
        <f t="shared" si="2"/>
        <v>2046</v>
      </c>
      <c r="C38" s="16">
        <f t="shared" si="3"/>
        <v>89</v>
      </c>
      <c r="D38" s="82">
        <f t="shared" ca="1" si="0"/>
        <v>9.4003911897145687E-2</v>
      </c>
      <c r="F38">
        <f t="shared" si="4"/>
        <v>2046</v>
      </c>
      <c r="G38" s="16">
        <f t="shared" si="5"/>
        <v>86</v>
      </c>
      <c r="H38" s="82">
        <f t="shared" ca="1" si="1"/>
        <v>5.0078442008212029E-2</v>
      </c>
    </row>
    <row r="39" spans="2:8" x14ac:dyDescent="0.2">
      <c r="B39">
        <f t="shared" si="2"/>
        <v>2047</v>
      </c>
      <c r="C39" s="16">
        <f t="shared" si="3"/>
        <v>90</v>
      </c>
      <c r="D39" s="82">
        <f t="shared" ca="1" si="0"/>
        <v>0.1039466768235642</v>
      </c>
      <c r="F39">
        <f t="shared" si="4"/>
        <v>2047</v>
      </c>
      <c r="G39" s="16">
        <f t="shared" si="5"/>
        <v>87</v>
      </c>
      <c r="H39" s="82">
        <f t="shared" ca="1" si="1"/>
        <v>5.5762130925825E-2</v>
      </c>
    </row>
    <row r="40" spans="2:8" x14ac:dyDescent="0.2">
      <c r="B40">
        <f t="shared" si="2"/>
        <v>2048</v>
      </c>
      <c r="C40" s="16">
        <f t="shared" si="3"/>
        <v>91</v>
      </c>
      <c r="D40" s="82">
        <f t="shared" ca="1" si="0"/>
        <v>0.11796869054514952</v>
      </c>
      <c r="F40">
        <f t="shared" si="4"/>
        <v>2048</v>
      </c>
      <c r="G40" s="16">
        <f t="shared" si="5"/>
        <v>88</v>
      </c>
      <c r="H40" s="82">
        <f t="shared" ca="1" si="1"/>
        <v>6.2088450940299911E-2</v>
      </c>
    </row>
    <row r="41" spans="2:8" x14ac:dyDescent="0.2">
      <c r="B41">
        <f t="shared" si="2"/>
        <v>2049</v>
      </c>
      <c r="C41" s="16">
        <f t="shared" si="3"/>
        <v>92</v>
      </c>
      <c r="D41" s="82">
        <f t="shared" ca="1" si="0"/>
        <v>0.13306887167044579</v>
      </c>
      <c r="F41">
        <f t="shared" si="4"/>
        <v>2049</v>
      </c>
      <c r="G41" s="16">
        <f t="shared" si="5"/>
        <v>89</v>
      </c>
      <c r="H41" s="82">
        <f t="shared" ca="1" si="1"/>
        <v>6.9043863822460486E-2</v>
      </c>
    </row>
    <row r="42" spans="2:8" x14ac:dyDescent="0.2">
      <c r="B42">
        <f t="shared" si="2"/>
        <v>2050</v>
      </c>
      <c r="C42" s="16">
        <f t="shared" si="3"/>
        <v>93</v>
      </c>
      <c r="D42" s="82">
        <f t="shared" ca="1" si="0"/>
        <v>0.15137671660559648</v>
      </c>
      <c r="F42">
        <f t="shared" si="4"/>
        <v>2050</v>
      </c>
      <c r="G42" s="16">
        <f t="shared" si="5"/>
        <v>90</v>
      </c>
      <c r="H42" s="82">
        <f t="shared" ca="1" si="1"/>
        <v>7.6573890094622121E-2</v>
      </c>
    </row>
    <row r="43" spans="2:8" x14ac:dyDescent="0.2">
      <c r="B43">
        <f t="shared" si="2"/>
        <v>2051</v>
      </c>
      <c r="C43" s="16">
        <f t="shared" si="3"/>
        <v>94</v>
      </c>
      <c r="D43" s="82">
        <f t="shared" ca="1" si="0"/>
        <v>0.17214218070382184</v>
      </c>
      <c r="F43">
        <f t="shared" si="4"/>
        <v>2051</v>
      </c>
      <c r="G43" s="16">
        <f t="shared" si="5"/>
        <v>91</v>
      </c>
      <c r="H43" s="82">
        <f t="shared" ca="1" si="1"/>
        <v>8.778657303612844E-2</v>
      </c>
    </row>
    <row r="44" spans="2:8" x14ac:dyDescent="0.2">
      <c r="B44">
        <f t="shared" si="2"/>
        <v>2052</v>
      </c>
      <c r="C44" s="16">
        <f t="shared" si="3"/>
        <v>95</v>
      </c>
      <c r="D44" s="82">
        <f t="shared" ca="1" si="0"/>
        <v>0.19528473932899212</v>
      </c>
      <c r="F44">
        <f t="shared" si="4"/>
        <v>2052</v>
      </c>
      <c r="G44" s="16">
        <f t="shared" si="5"/>
        <v>92</v>
      </c>
      <c r="H44" s="82">
        <f t="shared" ca="1" si="1"/>
        <v>0.10012774108787562</v>
      </c>
    </row>
    <row r="45" spans="2:8" x14ac:dyDescent="0.2">
      <c r="B45">
        <f t="shared" si="2"/>
        <v>2053</v>
      </c>
      <c r="C45" s="16">
        <f t="shared" si="3"/>
        <v>96</v>
      </c>
      <c r="D45" s="82">
        <f t="shared" ca="1" si="0"/>
        <v>0.22006223843070627</v>
      </c>
      <c r="F45">
        <f t="shared" si="4"/>
        <v>2053</v>
      </c>
      <c r="G45" s="16">
        <f t="shared" si="5"/>
        <v>93</v>
      </c>
      <c r="H45" s="82">
        <f t="shared" ca="1" si="1"/>
        <v>0.11575005785227417</v>
      </c>
    </row>
    <row r="46" spans="2:8" x14ac:dyDescent="0.2">
      <c r="B46">
        <f t="shared" si="2"/>
        <v>2054</v>
      </c>
      <c r="C46" s="16">
        <f t="shared" si="3"/>
        <v>97</v>
      </c>
      <c r="D46" s="82">
        <f t="shared" ca="1" si="0"/>
        <v>0.24622981040925651</v>
      </c>
      <c r="F46">
        <f t="shared" si="4"/>
        <v>2054</v>
      </c>
      <c r="G46" s="16">
        <f t="shared" si="5"/>
        <v>94</v>
      </c>
      <c r="H46" s="82">
        <f t="shared" ca="1" si="1"/>
        <v>0.13265957416906923</v>
      </c>
    </row>
    <row r="47" spans="2:8" x14ac:dyDescent="0.2">
      <c r="B47">
        <f t="shared" si="2"/>
        <v>2055</v>
      </c>
      <c r="C47" s="16">
        <f t="shared" si="3"/>
        <v>98</v>
      </c>
      <c r="D47" s="82">
        <f t="shared" ca="1" si="0"/>
        <v>0.27360635701269409</v>
      </c>
      <c r="F47">
        <f t="shared" si="4"/>
        <v>2055</v>
      </c>
      <c r="G47" s="16">
        <f t="shared" si="5"/>
        <v>95</v>
      </c>
      <c r="H47" s="82">
        <f t="shared" ca="1" si="1"/>
        <v>0.15180698710819254</v>
      </c>
    </row>
    <row r="48" spans="2:8" x14ac:dyDescent="0.2">
      <c r="B48">
        <f t="shared" si="2"/>
        <v>2056</v>
      </c>
      <c r="C48" s="16">
        <f t="shared" si="3"/>
        <v>99</v>
      </c>
      <c r="D48" s="82">
        <f t="shared" ca="1" si="0"/>
        <v>0.3021402578829156</v>
      </c>
      <c r="F48">
        <f t="shared" si="4"/>
        <v>2056</v>
      </c>
      <c r="G48" s="16">
        <f t="shared" si="5"/>
        <v>96</v>
      </c>
      <c r="H48" s="82">
        <f t="shared" ca="1" si="1"/>
        <v>0.17426594907872048</v>
      </c>
    </row>
    <row r="49" spans="2:8" x14ac:dyDescent="0.2">
      <c r="B49">
        <f t="shared" si="2"/>
        <v>2057</v>
      </c>
      <c r="C49" s="16">
        <f t="shared" si="3"/>
        <v>100</v>
      </c>
      <c r="D49" s="82">
        <f t="shared" ca="1" si="0"/>
        <v>0.33203809073065127</v>
      </c>
      <c r="F49">
        <f t="shared" si="4"/>
        <v>2057</v>
      </c>
      <c r="G49" s="16">
        <f t="shared" si="5"/>
        <v>97</v>
      </c>
      <c r="H49" s="82">
        <f t="shared" ca="1" si="1"/>
        <v>0.20012164616035807</v>
      </c>
    </row>
    <row r="50" spans="2:8" x14ac:dyDescent="0.2">
      <c r="B50">
        <f t="shared" si="2"/>
        <v>2058</v>
      </c>
      <c r="C50" s="16">
        <f t="shared" si="3"/>
        <v>101</v>
      </c>
      <c r="D50" s="82">
        <f t="shared" ca="1" si="0"/>
        <v>0.35854739428972787</v>
      </c>
      <c r="F50">
        <f t="shared" si="4"/>
        <v>2058</v>
      </c>
      <c r="G50" s="16">
        <f t="shared" si="5"/>
        <v>98</v>
      </c>
      <c r="H50" s="82">
        <f t="shared" ca="1" si="1"/>
        <v>0.22812142639549582</v>
      </c>
    </row>
    <row r="51" spans="2:8" x14ac:dyDescent="0.2">
      <c r="B51">
        <f t="shared" si="2"/>
        <v>2059</v>
      </c>
      <c r="C51" s="16">
        <f t="shared" si="3"/>
        <v>102</v>
      </c>
      <c r="D51" s="82">
        <f t="shared" ca="1" si="0"/>
        <v>0.38627744284969595</v>
      </c>
      <c r="F51">
        <f t="shared" si="4"/>
        <v>2059</v>
      </c>
      <c r="G51" s="16">
        <f t="shared" si="5"/>
        <v>99</v>
      </c>
      <c r="H51" s="82">
        <f t="shared" ca="1" si="1"/>
        <v>0.25718110547743234</v>
      </c>
    </row>
    <row r="52" spans="2:8" x14ac:dyDescent="0.2">
      <c r="B52">
        <f t="shared" si="2"/>
        <v>2060</v>
      </c>
      <c r="C52" s="16">
        <f t="shared" si="3"/>
        <v>103</v>
      </c>
      <c r="D52" s="82">
        <f t="shared" ca="1" si="0"/>
        <v>0.41599193127988182</v>
      </c>
      <c r="F52">
        <f t="shared" si="4"/>
        <v>2060</v>
      </c>
      <c r="G52" s="16">
        <f t="shared" si="5"/>
        <v>100</v>
      </c>
      <c r="H52" s="82">
        <f t="shared" ca="1" si="1"/>
        <v>0.28668128346590799</v>
      </c>
    </row>
    <row r="53" spans="2:8" x14ac:dyDescent="0.2">
      <c r="B53">
        <f t="shared" si="2"/>
        <v>2061</v>
      </c>
      <c r="C53" s="16">
        <f t="shared" si="3"/>
        <v>104</v>
      </c>
      <c r="D53" s="82">
        <f t="shared" ca="1" si="0"/>
        <v>0.44871456234129481</v>
      </c>
      <c r="F53">
        <f t="shared" si="4"/>
        <v>2061</v>
      </c>
      <c r="G53" s="16">
        <f t="shared" si="5"/>
        <v>101</v>
      </c>
      <c r="H53" s="82">
        <f t="shared" ca="1" si="1"/>
        <v>0.31328094506912951</v>
      </c>
    </row>
    <row r="54" spans="2:8" x14ac:dyDescent="0.2">
      <c r="B54">
        <f t="shared" si="2"/>
        <v>2062</v>
      </c>
      <c r="C54" s="16">
        <f t="shared" si="3"/>
        <v>105</v>
      </c>
      <c r="D54" s="82">
        <f t="shared" ca="1" si="0"/>
        <v>0.47904000000000002</v>
      </c>
      <c r="F54">
        <f t="shared" si="4"/>
        <v>2062</v>
      </c>
      <c r="G54" s="16">
        <f t="shared" si="5"/>
        <v>102</v>
      </c>
      <c r="H54" s="82">
        <f t="shared" ca="1" si="1"/>
        <v>0.33907506532131182</v>
      </c>
    </row>
    <row r="55" spans="2:8" x14ac:dyDescent="0.2">
      <c r="B55">
        <f t="shared" si="2"/>
        <v>2063</v>
      </c>
      <c r="C55" s="16">
        <f t="shared" si="3"/>
        <v>106</v>
      </c>
      <c r="D55" s="82">
        <f t="shared" ca="1" si="0"/>
        <v>0.49928</v>
      </c>
      <c r="F55">
        <f t="shared" si="4"/>
        <v>2063</v>
      </c>
      <c r="G55" s="16">
        <f t="shared" si="5"/>
        <v>103</v>
      </c>
      <c r="H55" s="82">
        <f t="shared" ca="1" si="1"/>
        <v>0.36443343642231263</v>
      </c>
    </row>
    <row r="56" spans="2:8" x14ac:dyDescent="0.2">
      <c r="B56">
        <f t="shared" si="2"/>
        <v>2064</v>
      </c>
      <c r="C56" s="16">
        <f t="shared" si="3"/>
        <v>107</v>
      </c>
      <c r="D56" s="82">
        <f t="shared" ca="1" si="0"/>
        <v>0.51949999999999996</v>
      </c>
      <c r="F56">
        <f t="shared" si="4"/>
        <v>2064</v>
      </c>
      <c r="G56" s="16">
        <f t="shared" si="5"/>
        <v>104</v>
      </c>
      <c r="H56" s="82">
        <f t="shared" ca="1" si="1"/>
        <v>0.39017911697788094</v>
      </c>
    </row>
    <row r="57" spans="2:8" x14ac:dyDescent="0.2">
      <c r="B57">
        <f t="shared" si="2"/>
        <v>2065</v>
      </c>
      <c r="C57" s="16">
        <f t="shared" si="3"/>
        <v>108</v>
      </c>
      <c r="D57" s="82">
        <f t="shared" ca="1" si="0"/>
        <v>0.53969999999999996</v>
      </c>
      <c r="F57">
        <f t="shared" si="4"/>
        <v>2065</v>
      </c>
      <c r="G57" s="16">
        <f t="shared" si="5"/>
        <v>105</v>
      </c>
      <c r="H57" s="82">
        <f t="shared" ca="1" si="1"/>
        <v>0.41915999999999998</v>
      </c>
    </row>
    <row r="58" spans="2:8" x14ac:dyDescent="0.2">
      <c r="B58">
        <f t="shared" si="2"/>
        <v>2066</v>
      </c>
      <c r="C58" s="16">
        <f t="shared" si="3"/>
        <v>109</v>
      </c>
      <c r="D58" s="82">
        <f t="shared" ca="1" si="0"/>
        <v>0.55986999999999998</v>
      </c>
      <c r="F58">
        <f t="shared" si="4"/>
        <v>2066</v>
      </c>
      <c r="G58" s="16">
        <f t="shared" si="5"/>
        <v>106</v>
      </c>
      <c r="H58" s="82">
        <f t="shared" ca="1" si="1"/>
        <v>0.43936999999999998</v>
      </c>
    </row>
    <row r="59" spans="2:8" x14ac:dyDescent="0.2">
      <c r="B59">
        <f t="shared" si="2"/>
        <v>2067</v>
      </c>
      <c r="C59" s="16">
        <f t="shared" si="3"/>
        <v>110</v>
      </c>
      <c r="D59" s="82">
        <f t="shared" ca="1" si="0"/>
        <v>0.57999999999999996</v>
      </c>
      <c r="F59">
        <f t="shared" si="4"/>
        <v>2067</v>
      </c>
      <c r="G59" s="16">
        <f t="shared" si="5"/>
        <v>107</v>
      </c>
      <c r="H59" s="82">
        <f t="shared" ca="1" si="1"/>
        <v>0.45956000000000002</v>
      </c>
    </row>
    <row r="60" spans="2:8" x14ac:dyDescent="0.2">
      <c r="B60">
        <f t="shared" si="2"/>
        <v>2068</v>
      </c>
      <c r="C60" s="16">
        <f t="shared" si="3"/>
        <v>111</v>
      </c>
      <c r="D60" s="82">
        <f t="shared" ca="1" si="0"/>
        <v>0.6</v>
      </c>
      <c r="F60">
        <f t="shared" si="4"/>
        <v>2068</v>
      </c>
      <c r="G60" s="16">
        <f t="shared" si="5"/>
        <v>108</v>
      </c>
      <c r="H60" s="82">
        <f t="shared" ca="1" si="1"/>
        <v>0.47972999999999999</v>
      </c>
    </row>
    <row r="61" spans="2:8" x14ac:dyDescent="0.2">
      <c r="B61">
        <f t="shared" si="2"/>
        <v>2069</v>
      </c>
      <c r="C61" s="16">
        <f t="shared" si="3"/>
        <v>112</v>
      </c>
      <c r="D61" s="82">
        <f t="shared" ca="1" si="0"/>
        <v>0.62</v>
      </c>
      <c r="F61">
        <f t="shared" si="4"/>
        <v>2069</v>
      </c>
      <c r="G61" s="16">
        <f t="shared" si="5"/>
        <v>109</v>
      </c>
      <c r="H61" s="82">
        <f t="shared" ca="1" si="1"/>
        <v>0.50988</v>
      </c>
    </row>
    <row r="62" spans="2:8" x14ac:dyDescent="0.2">
      <c r="B62">
        <f t="shared" si="2"/>
        <v>2070</v>
      </c>
      <c r="C62" s="16">
        <f t="shared" si="3"/>
        <v>113</v>
      </c>
      <c r="D62" s="82">
        <f t="shared" ca="1" si="0"/>
        <v>0.64</v>
      </c>
      <c r="F62">
        <f t="shared" si="4"/>
        <v>2070</v>
      </c>
      <c r="G62" s="16">
        <f t="shared" si="5"/>
        <v>110</v>
      </c>
      <c r="H62" s="82">
        <f t="shared" ca="1" si="1"/>
        <v>0.53</v>
      </c>
    </row>
    <row r="63" spans="2:8" x14ac:dyDescent="0.2">
      <c r="B63">
        <f t="shared" si="2"/>
        <v>2071</v>
      </c>
      <c r="C63" s="16">
        <f t="shared" si="3"/>
        <v>114</v>
      </c>
      <c r="D63" s="82">
        <f t="shared" ca="1" si="0"/>
        <v>0.66</v>
      </c>
      <c r="F63">
        <f t="shared" si="4"/>
        <v>2071</v>
      </c>
      <c r="G63" s="16">
        <f t="shared" si="5"/>
        <v>111</v>
      </c>
      <c r="H63" s="82">
        <f t="shared" ca="1" si="1"/>
        <v>0.55000000000000004</v>
      </c>
    </row>
    <row r="64" spans="2:8" x14ac:dyDescent="0.2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112</v>
      </c>
      <c r="H64" s="82">
        <f t="shared" ca="1" si="1"/>
        <v>0.56999999999999995</v>
      </c>
    </row>
    <row r="65" spans="2:8" x14ac:dyDescent="0.2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113</v>
      </c>
      <c r="H65" s="82">
        <f t="shared" ca="1" si="1"/>
        <v>0.59</v>
      </c>
    </row>
    <row r="66" spans="2:8" x14ac:dyDescent="0.2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114</v>
      </c>
      <c r="H66" s="82">
        <f t="shared" ca="1" si="1"/>
        <v>0.61</v>
      </c>
    </row>
    <row r="67" spans="2:8" x14ac:dyDescent="0.2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115</v>
      </c>
      <c r="H67" s="82">
        <f t="shared" ca="1" si="1"/>
        <v>1</v>
      </c>
    </row>
    <row r="68" spans="2:8" x14ac:dyDescent="0.2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116</v>
      </c>
      <c r="H68" s="82">
        <f t="shared" ca="1" si="1"/>
        <v>0</v>
      </c>
    </row>
    <row r="69" spans="2:8" x14ac:dyDescent="0.2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117</v>
      </c>
      <c r="H69" s="82">
        <f t="shared" ca="1" si="1"/>
        <v>0</v>
      </c>
    </row>
    <row r="70" spans="2:8" x14ac:dyDescent="0.2">
      <c r="B70">
        <f t="shared" si="2"/>
        <v>2078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2078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">
      <c r="B71">
        <f t="shared" si="2"/>
        <v>2079</v>
      </c>
      <c r="C71" s="16">
        <f t="shared" si="3"/>
        <v>122</v>
      </c>
      <c r="D71" s="82">
        <f t="shared" ca="1" si="6"/>
        <v>0</v>
      </c>
      <c r="F71">
        <f t="shared" si="4"/>
        <v>2079</v>
      </c>
      <c r="G71" s="16">
        <f t="shared" si="5"/>
        <v>119</v>
      </c>
      <c r="H71" s="82">
        <f t="shared" ca="1" si="7"/>
        <v>0</v>
      </c>
    </row>
    <row r="72" spans="2:8" x14ac:dyDescent="0.2">
      <c r="B72">
        <f t="shared" si="2"/>
        <v>2080</v>
      </c>
      <c r="C72" s="16">
        <f t="shared" si="3"/>
        <v>123</v>
      </c>
      <c r="D72" s="82">
        <f t="shared" ca="1" si="6"/>
        <v>0</v>
      </c>
      <c r="F72">
        <f t="shared" si="4"/>
        <v>2080</v>
      </c>
      <c r="G72" s="16">
        <f t="shared" si="5"/>
        <v>120</v>
      </c>
      <c r="H72" s="82">
        <f t="shared" ca="1" si="7"/>
        <v>0</v>
      </c>
    </row>
    <row r="73" spans="2:8" x14ac:dyDescent="0.2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M88"/>
  <sheetViews>
    <sheetView zoomScale="83" zoomScaleNormal="100" workbookViewId="0">
      <selection activeCell="F18" sqref="F18"/>
    </sheetView>
  </sheetViews>
  <sheetFormatPr baseColWidth="10" defaultRowHeight="15" x14ac:dyDescent="0.2"/>
  <cols>
    <col min="2" max="2" width="26.5" customWidth="1"/>
    <col min="3" max="3" width="18.5" customWidth="1"/>
    <col min="4" max="4" width="14" customWidth="1"/>
    <col min="5" max="5" width="18.1640625" customWidth="1"/>
    <col min="6" max="6" width="16.6640625" customWidth="1"/>
    <col min="7" max="7" width="11.33203125" customWidth="1"/>
    <col min="8" max="8" width="10.5" customWidth="1"/>
    <col min="12" max="12" width="16" customWidth="1"/>
    <col min="13" max="13" width="18.5" customWidth="1"/>
  </cols>
  <sheetData>
    <row r="1" spans="2:13" ht="16" thickBot="1" x14ac:dyDescent="0.25"/>
    <row r="2" spans="2:13" x14ac:dyDescent="0.2">
      <c r="B2" s="94" t="s">
        <v>146</v>
      </c>
      <c r="C2" s="150">
        <f>'Probabilités de décès'!K1</f>
        <v>1</v>
      </c>
    </row>
    <row r="3" spans="2:13" x14ac:dyDescent="0.2">
      <c r="B3" s="96" t="s">
        <v>147</v>
      </c>
      <c r="C3" s="151">
        <f>'Probabilités de décès'!K2</f>
        <v>12</v>
      </c>
    </row>
    <row r="4" spans="2:13" x14ac:dyDescent="0.2">
      <c r="B4" s="96" t="s">
        <v>145</v>
      </c>
      <c r="C4" s="151" t="str">
        <f>'Probabilités de décès'!K3</f>
        <v>Taux det. variables</v>
      </c>
    </row>
    <row r="5" spans="2:13" x14ac:dyDescent="0.2">
      <c r="B5" s="96" t="s">
        <v>179</v>
      </c>
      <c r="C5" s="151" t="str">
        <f>'Probabilités de décès'!K4</f>
        <v>Aucun</v>
      </c>
    </row>
    <row r="6" spans="2:13" x14ac:dyDescent="0.2">
      <c r="B6" s="96" t="s">
        <v>148</v>
      </c>
      <c r="C6" s="133"/>
    </row>
    <row r="7" spans="2:13" x14ac:dyDescent="0.2">
      <c r="B7" s="146" t="s">
        <v>149</v>
      </c>
      <c r="C7" s="151">
        <f>'Probabilités de décès'!K6</f>
        <v>5</v>
      </c>
    </row>
    <row r="8" spans="2:13" x14ac:dyDescent="0.2">
      <c r="B8" s="146" t="s">
        <v>150</v>
      </c>
      <c r="C8" s="152">
        <f>'Probabilités de décès'!K7</f>
        <v>1</v>
      </c>
    </row>
    <row r="9" spans="2:13" x14ac:dyDescent="0.2">
      <c r="B9" s="147" t="s">
        <v>151</v>
      </c>
      <c r="C9" s="153"/>
    </row>
    <row r="10" spans="2:13" x14ac:dyDescent="0.2">
      <c r="B10" s="146" t="s">
        <v>152</v>
      </c>
      <c r="C10" s="151">
        <f>'Probabilités de décès'!K9</f>
        <v>0</v>
      </c>
    </row>
    <row r="11" spans="2:13" x14ac:dyDescent="0.2">
      <c r="B11" s="146" t="s">
        <v>153</v>
      </c>
      <c r="C11" s="152">
        <f>'Probabilités de décès'!K10</f>
        <v>0.6</v>
      </c>
    </row>
    <row r="12" spans="2:13" x14ac:dyDescent="0.2">
      <c r="B12" s="147" t="s">
        <v>165</v>
      </c>
      <c r="C12" s="151">
        <f>'Probabilités de décès'!K11</f>
        <v>1</v>
      </c>
    </row>
    <row r="13" spans="2:13" ht="16" thickBot="1" x14ac:dyDescent="0.25">
      <c r="B13" s="148" t="s">
        <v>195</v>
      </c>
      <c r="C13" s="154">
        <f>'Probabilités de décès'!K12</f>
        <v>0.6</v>
      </c>
    </row>
    <row r="14" spans="2:13" ht="16" thickBot="1" x14ac:dyDescent="0.25"/>
    <row r="15" spans="2:13" ht="16" thickBot="1" x14ac:dyDescent="0.25">
      <c r="B15" s="235" t="s">
        <v>141</v>
      </c>
      <c r="C15" s="236"/>
      <c r="D15" s="236"/>
      <c r="E15" s="236"/>
      <c r="F15" s="236"/>
      <c r="G15" s="236"/>
      <c r="H15" s="237"/>
      <c r="J15" s="235" t="s">
        <v>41</v>
      </c>
      <c r="K15" s="236"/>
      <c r="L15" s="236"/>
      <c r="M15" s="237"/>
    </row>
    <row r="17" spans="2:13" ht="17" x14ac:dyDescent="0.2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</row>
    <row r="19" spans="2:13" x14ac:dyDescent="0.2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</row>
    <row r="20" spans="2:13" x14ac:dyDescent="0.2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</row>
    <row r="22" spans="2:13" x14ac:dyDescent="0.2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</row>
    <row r="23" spans="2:13" x14ac:dyDescent="0.2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4.5999999999999999E-2</v>
      </c>
      <c r="G23" s="81">
        <f t="shared" si="4"/>
        <v>4.3977055449330782E-2</v>
      </c>
      <c r="H23" s="81">
        <f t="shared" si="1"/>
        <v>4.488919567503169E-2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</row>
    <row r="24" spans="2:13" x14ac:dyDescent="0.2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4.5999999999999999E-2</v>
      </c>
      <c r="G24" s="81">
        <f t="shared" si="4"/>
        <v>4.3977055449330782E-2</v>
      </c>
      <c r="H24" s="81">
        <f t="shared" si="1"/>
        <v>4.488919567503169E-2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</row>
    <row r="25" spans="2:13" x14ac:dyDescent="0.2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4.5999999999999999E-2</v>
      </c>
      <c r="G25" s="81">
        <f t="shared" si="4"/>
        <v>4.3977055449330782E-2</v>
      </c>
      <c r="H25" s="81">
        <f t="shared" si="1"/>
        <v>4.488919567503169E-2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</row>
    <row r="26" spans="2:13" x14ac:dyDescent="0.2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4.5999999999999999E-2</v>
      </c>
      <c r="G26" s="81">
        <f t="shared" si="4"/>
        <v>4.3977055449330782E-2</v>
      </c>
      <c r="H26" s="81">
        <f t="shared" si="1"/>
        <v>4.488919567503169E-2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</row>
    <row r="27" spans="2:13" x14ac:dyDescent="0.2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4.5999999999999999E-2</v>
      </c>
      <c r="G27" s="81">
        <f t="shared" si="4"/>
        <v>4.3977055449330782E-2</v>
      </c>
      <c r="H27" s="81">
        <f t="shared" si="1"/>
        <v>4.488919567503169E-2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</row>
    <row r="28" spans="2:13" x14ac:dyDescent="0.2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4.5999999999999999E-2</v>
      </c>
      <c r="G28" s="81">
        <f t="shared" si="4"/>
        <v>4.3977055449330782E-2</v>
      </c>
      <c r="H28" s="81">
        <f t="shared" si="1"/>
        <v>4.488919567503169E-2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</row>
    <row r="29" spans="2:13" x14ac:dyDescent="0.2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4.5999999999999999E-2</v>
      </c>
      <c r="G29" s="81">
        <f t="shared" si="4"/>
        <v>4.3977055449330782E-2</v>
      </c>
      <c r="H29" s="81">
        <f t="shared" si="1"/>
        <v>4.488919567503169E-2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</row>
    <row r="30" spans="2:13" x14ac:dyDescent="0.2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4.5999999999999999E-2</v>
      </c>
      <c r="G30" s="81">
        <f t="shared" si="4"/>
        <v>4.3977055449330782E-2</v>
      </c>
      <c r="H30" s="81">
        <f t="shared" si="1"/>
        <v>4.488919567503169E-2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</row>
    <row r="31" spans="2:13" x14ac:dyDescent="0.2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4.5999999999999999E-2</v>
      </c>
      <c r="G31" s="81">
        <f t="shared" si="4"/>
        <v>4.3977055449330782E-2</v>
      </c>
      <c r="H31" s="81">
        <f t="shared" si="1"/>
        <v>4.488919567503169E-2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</row>
    <row r="32" spans="2:13" x14ac:dyDescent="0.2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4.5999999999999999E-2</v>
      </c>
      <c r="G32" s="81">
        <f t="shared" si="4"/>
        <v>4.3977055449330782E-2</v>
      </c>
      <c r="H32" s="81">
        <f t="shared" si="1"/>
        <v>4.488919567503169E-2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</row>
    <row r="33" spans="2:13" x14ac:dyDescent="0.2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3.5999999999999997E-2</v>
      </c>
      <c r="G33" s="81">
        <f t="shared" si="4"/>
        <v>3.4749034749034742E-2</v>
      </c>
      <c r="H33" s="81">
        <f t="shared" si="1"/>
        <v>3.531507688220481E-2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</row>
    <row r="34" spans="2:13" x14ac:dyDescent="0.2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3.5999999999999997E-2</v>
      </c>
      <c r="G34" s="81">
        <f t="shared" si="4"/>
        <v>3.4749034749034742E-2</v>
      </c>
      <c r="H34" s="81">
        <f t="shared" si="1"/>
        <v>3.531507688220481E-2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</row>
    <row r="35" spans="2:13" x14ac:dyDescent="0.2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3.5999999999999997E-2</v>
      </c>
      <c r="G35" s="81">
        <f t="shared" si="4"/>
        <v>3.4749034749034742E-2</v>
      </c>
      <c r="H35" s="81">
        <f t="shared" si="1"/>
        <v>3.531507688220481E-2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</row>
    <row r="36" spans="2:13" x14ac:dyDescent="0.2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3.5999999999999997E-2</v>
      </c>
      <c r="G36" s="81">
        <f t="shared" si="4"/>
        <v>3.4749034749034742E-2</v>
      </c>
      <c r="H36" s="81">
        <f t="shared" si="1"/>
        <v>3.531507688220481E-2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</row>
    <row r="37" spans="2:13" x14ac:dyDescent="0.2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3.5999999999999997E-2</v>
      </c>
      <c r="G37" s="81">
        <f t="shared" si="4"/>
        <v>3.4749034749034742E-2</v>
      </c>
      <c r="H37" s="81">
        <f t="shared" si="1"/>
        <v>3.531507688220481E-2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</row>
    <row r="38" spans="2:13" x14ac:dyDescent="0.2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3.5999999999999997E-2</v>
      </c>
      <c r="G38" s="81">
        <f t="shared" si="4"/>
        <v>3.4749034749034742E-2</v>
      </c>
      <c r="H38" s="81">
        <f t="shared" si="1"/>
        <v>3.531507688220481E-2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</row>
    <row r="39" spans="2:13" x14ac:dyDescent="0.2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3.5999999999999997E-2</v>
      </c>
      <c r="G39" s="81">
        <f t="shared" si="4"/>
        <v>3.4749034749034742E-2</v>
      </c>
      <c r="H39" s="81">
        <f t="shared" si="1"/>
        <v>3.531507688220481E-2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</row>
    <row r="40" spans="2:13" x14ac:dyDescent="0.2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3.5999999999999997E-2</v>
      </c>
      <c r="G40" s="81">
        <f t="shared" si="4"/>
        <v>3.4749034749034742E-2</v>
      </c>
      <c r="H40" s="81">
        <f t="shared" si="1"/>
        <v>3.531507688220481E-2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</row>
    <row r="41" spans="2:13" x14ac:dyDescent="0.2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3.5999999999999997E-2</v>
      </c>
      <c r="G41" s="81">
        <f t="shared" si="4"/>
        <v>3.4749034749034742E-2</v>
      </c>
      <c r="H41" s="81">
        <f t="shared" si="1"/>
        <v>3.531507688220481E-2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</row>
    <row r="42" spans="2:13" x14ac:dyDescent="0.2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3.5999999999999997E-2</v>
      </c>
      <c r="G42" s="81">
        <f t="shared" si="4"/>
        <v>3.4749034749034742E-2</v>
      </c>
      <c r="H42" s="81">
        <f t="shared" si="1"/>
        <v>3.531507688220481E-2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</row>
    <row r="43" spans="2:13" x14ac:dyDescent="0.2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3.5999999999999997E-2</v>
      </c>
      <c r="G43" s="81">
        <f t="shared" si="4"/>
        <v>3.4749034749034742E-2</v>
      </c>
      <c r="H43" s="81">
        <f t="shared" si="1"/>
        <v>3.531507688220481E-2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</row>
    <row r="44" spans="2:13" x14ac:dyDescent="0.2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3.5999999999999997E-2</v>
      </c>
      <c r="G44" s="81">
        <f t="shared" si="4"/>
        <v>3.4749034749034742E-2</v>
      </c>
      <c r="H44" s="81">
        <f t="shared" si="1"/>
        <v>3.531507688220481E-2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</row>
    <row r="45" spans="2:13" x14ac:dyDescent="0.2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3.5999999999999997E-2</v>
      </c>
      <c r="G45" s="81">
        <f t="shared" si="4"/>
        <v>3.4749034749034742E-2</v>
      </c>
      <c r="H45" s="81">
        <f t="shared" si="1"/>
        <v>3.531507688220481E-2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</row>
    <row r="46" spans="2:13" x14ac:dyDescent="0.2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3.5999999999999997E-2</v>
      </c>
      <c r="G46" s="81">
        <f t="shared" si="4"/>
        <v>3.4749034749034742E-2</v>
      </c>
      <c r="H46" s="81">
        <f t="shared" si="1"/>
        <v>3.531507688220481E-2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</row>
    <row r="47" spans="2:13" x14ac:dyDescent="0.2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3.5999999999999997E-2</v>
      </c>
      <c r="G47" s="81">
        <f t="shared" si="4"/>
        <v>3.4749034749034742E-2</v>
      </c>
      <c r="H47" s="81">
        <f t="shared" si="1"/>
        <v>3.531507688220481E-2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</row>
    <row r="48" spans="2:13" x14ac:dyDescent="0.2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3.5999999999999997E-2</v>
      </c>
      <c r="G48" s="81">
        <f t="shared" si="4"/>
        <v>3.4749034749034742E-2</v>
      </c>
      <c r="H48" s="81">
        <f t="shared" si="1"/>
        <v>3.531507688220481E-2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</row>
    <row r="49" spans="2:13" x14ac:dyDescent="0.2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3.5999999999999997E-2</v>
      </c>
      <c r="G49" s="81">
        <f t="shared" si="4"/>
        <v>3.4749034749034742E-2</v>
      </c>
      <c r="H49" s="81">
        <f t="shared" si="1"/>
        <v>3.531507688220481E-2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</row>
    <row r="50" spans="2:13" x14ac:dyDescent="0.2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3.5999999999999997E-2</v>
      </c>
      <c r="G50" s="81">
        <f t="shared" si="4"/>
        <v>3.4749034749034742E-2</v>
      </c>
      <c r="H50" s="81">
        <f t="shared" si="1"/>
        <v>3.531507688220481E-2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</row>
    <row r="51" spans="2:13" x14ac:dyDescent="0.2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3.5999999999999997E-2</v>
      </c>
      <c r="G51" s="81">
        <f t="shared" si="4"/>
        <v>3.4749034749034742E-2</v>
      </c>
      <c r="H51" s="81">
        <f t="shared" si="1"/>
        <v>3.531507688220481E-2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</row>
    <row r="52" spans="2:13" x14ac:dyDescent="0.2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3.5999999999999997E-2</v>
      </c>
      <c r="G52" s="81">
        <f t="shared" si="4"/>
        <v>3.4749034749034742E-2</v>
      </c>
      <c r="H52" s="81">
        <f t="shared" si="1"/>
        <v>3.531507688220481E-2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</row>
    <row r="53" spans="2:13" x14ac:dyDescent="0.2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3.5999999999999997E-2</v>
      </c>
      <c r="G53" s="81">
        <f t="shared" si="4"/>
        <v>3.4749034749034742E-2</v>
      </c>
      <c r="H53" s="81">
        <f t="shared" si="1"/>
        <v>3.531507688220481E-2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</row>
    <row r="54" spans="2:13" x14ac:dyDescent="0.2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3.5999999999999997E-2</v>
      </c>
      <c r="G54" s="81">
        <f t="shared" si="4"/>
        <v>3.4749034749034742E-2</v>
      </c>
      <c r="H54" s="81">
        <f t="shared" si="1"/>
        <v>3.531507688220481E-2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</row>
    <row r="55" spans="2:13" x14ac:dyDescent="0.2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3.5999999999999997E-2</v>
      </c>
      <c r="G55" s="81">
        <f t="shared" si="4"/>
        <v>3.4749034749034742E-2</v>
      </c>
      <c r="H55" s="81">
        <f t="shared" si="1"/>
        <v>3.531507688220481E-2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</row>
    <row r="56" spans="2:13" x14ac:dyDescent="0.2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3.5999999999999997E-2</v>
      </c>
      <c r="G56" s="81">
        <f t="shared" si="4"/>
        <v>3.4749034749034742E-2</v>
      </c>
      <c r="H56" s="81">
        <f t="shared" si="1"/>
        <v>3.531507688220481E-2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</row>
    <row r="57" spans="2:13" x14ac:dyDescent="0.2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3.5999999999999997E-2</v>
      </c>
      <c r="G57" s="81">
        <f t="shared" si="4"/>
        <v>3.4749034749034742E-2</v>
      </c>
      <c r="H57" s="81">
        <f t="shared" si="1"/>
        <v>3.531507688220481E-2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</row>
    <row r="58" spans="2:13" x14ac:dyDescent="0.2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3.5999999999999997E-2</v>
      </c>
      <c r="G58" s="81">
        <f t="shared" si="4"/>
        <v>3.4749034749034742E-2</v>
      </c>
      <c r="H58" s="81">
        <f t="shared" si="1"/>
        <v>3.531507688220481E-2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</row>
    <row r="59" spans="2:13" x14ac:dyDescent="0.2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3.5999999999999997E-2</v>
      </c>
      <c r="G59" s="81">
        <f t="shared" si="4"/>
        <v>3.4749034749034742E-2</v>
      </c>
      <c r="H59" s="81">
        <f t="shared" si="1"/>
        <v>3.531507688220481E-2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</row>
    <row r="60" spans="2:13" x14ac:dyDescent="0.2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3.5999999999999997E-2</v>
      </c>
      <c r="G60" s="81">
        <f t="shared" si="4"/>
        <v>3.4749034749034742E-2</v>
      </c>
      <c r="H60" s="81">
        <f t="shared" si="1"/>
        <v>3.531507688220481E-2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</row>
    <row r="61" spans="2:13" x14ac:dyDescent="0.2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3.5999999999999997E-2</v>
      </c>
      <c r="G61" s="81">
        <f t="shared" si="4"/>
        <v>3.4749034749034742E-2</v>
      </c>
      <c r="H61" s="81">
        <f t="shared" si="1"/>
        <v>3.531507688220481E-2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</row>
    <row r="62" spans="2:13" x14ac:dyDescent="0.2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3.5999999999999997E-2</v>
      </c>
      <c r="G62" s="81">
        <f t="shared" si="4"/>
        <v>3.4749034749034742E-2</v>
      </c>
      <c r="H62" s="81">
        <f t="shared" si="1"/>
        <v>3.531507688220481E-2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</row>
    <row r="63" spans="2:13" x14ac:dyDescent="0.2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3.5999999999999997E-2</v>
      </c>
      <c r="G63" s="81">
        <f t="shared" si="4"/>
        <v>3.4749034749034742E-2</v>
      </c>
      <c r="H63" s="81">
        <f t="shared" si="1"/>
        <v>3.531507688220481E-2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</row>
    <row r="64" spans="2:13" x14ac:dyDescent="0.2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3.5999999999999997E-2</v>
      </c>
      <c r="G64" s="81">
        <f t="shared" si="4"/>
        <v>3.4749034749034742E-2</v>
      </c>
      <c r="H64" s="81">
        <f t="shared" si="1"/>
        <v>3.531507688220481E-2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</row>
    <row r="65" spans="2:13" x14ac:dyDescent="0.2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3.5999999999999997E-2</v>
      </c>
      <c r="G65" s="81">
        <f t="shared" si="4"/>
        <v>3.4749034749034742E-2</v>
      </c>
      <c r="H65" s="81">
        <f t="shared" si="1"/>
        <v>3.531507688220481E-2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</row>
    <row r="66" spans="2:13" x14ac:dyDescent="0.2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3.5999999999999997E-2</v>
      </c>
      <c r="G66" s="81">
        <f t="shared" si="4"/>
        <v>3.4749034749034742E-2</v>
      </c>
      <c r="H66" s="81">
        <f t="shared" si="1"/>
        <v>3.531507688220481E-2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</row>
    <row r="67" spans="2:13" x14ac:dyDescent="0.2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3.5999999999999997E-2</v>
      </c>
      <c r="G67" s="81">
        <f t="shared" si="4"/>
        <v>3.4749034749034742E-2</v>
      </c>
      <c r="H67" s="81">
        <f t="shared" si="1"/>
        <v>3.531507688220481E-2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</row>
    <row r="68" spans="2:13" x14ac:dyDescent="0.2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3.5999999999999997E-2</v>
      </c>
      <c r="G68" s="81">
        <f t="shared" si="4"/>
        <v>3.4749034749034742E-2</v>
      </c>
      <c r="H68" s="81">
        <f t="shared" si="1"/>
        <v>3.531507688220481E-2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</row>
    <row r="69" spans="2:13" x14ac:dyDescent="0.2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3.5999999999999997E-2</v>
      </c>
      <c r="G69" s="81">
        <f t="shared" si="4"/>
        <v>3.4749034749034742E-2</v>
      </c>
      <c r="H69" s="81">
        <f t="shared" si="1"/>
        <v>3.531507688220481E-2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</row>
    <row r="70" spans="2:13" x14ac:dyDescent="0.2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3.5999999999999997E-2</v>
      </c>
      <c r="G70" s="81">
        <f t="shared" si="4"/>
        <v>3.4749034749034742E-2</v>
      </c>
      <c r="H70" s="81">
        <f t="shared" si="1"/>
        <v>3.531507688220481E-2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</row>
    <row r="71" spans="2:13" x14ac:dyDescent="0.2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3.5999999999999997E-2</v>
      </c>
      <c r="G71" s="81">
        <f t="shared" si="4"/>
        <v>3.4749034749034742E-2</v>
      </c>
      <c r="H71" s="81">
        <f t="shared" si="1"/>
        <v>3.531507688220481E-2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</row>
    <row r="72" spans="2:13" x14ac:dyDescent="0.2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3.5999999999999997E-2</v>
      </c>
      <c r="G72" s="81">
        <f t="shared" si="4"/>
        <v>3.4749034749034742E-2</v>
      </c>
      <c r="H72" s="81">
        <f t="shared" si="1"/>
        <v>3.531507688220481E-2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</row>
    <row r="73" spans="2:13" x14ac:dyDescent="0.2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3.5999999999999997E-2</v>
      </c>
      <c r="G73" s="81">
        <f t="shared" si="4"/>
        <v>3.4749034749034742E-2</v>
      </c>
      <c r="H73" s="81">
        <f t="shared" si="1"/>
        <v>3.531507688220481E-2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</row>
    <row r="74" spans="2:13" x14ac:dyDescent="0.2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3.5999999999999997E-2</v>
      </c>
      <c r="G74" s="81">
        <f t="shared" si="4"/>
        <v>3.4749034749034742E-2</v>
      </c>
      <c r="H74" s="81">
        <f t="shared" si="1"/>
        <v>3.531507688220481E-2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</row>
    <row r="75" spans="2:13" x14ac:dyDescent="0.2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3.5999999999999997E-2</v>
      </c>
      <c r="G75" s="81">
        <f t="shared" si="4"/>
        <v>3.4749034749034742E-2</v>
      </c>
      <c r="H75" s="81">
        <f t="shared" si="1"/>
        <v>3.531507688220481E-2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</row>
    <row r="76" spans="2:13" x14ac:dyDescent="0.2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3.5999999999999997E-2</v>
      </c>
      <c r="G76" s="81">
        <f t="shared" si="4"/>
        <v>3.4749034749034742E-2</v>
      </c>
      <c r="H76" s="81">
        <f t="shared" si="1"/>
        <v>3.531507688220481E-2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</row>
    <row r="77" spans="2:13" x14ac:dyDescent="0.2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3.5999999999999997E-2</v>
      </c>
      <c r="G77" s="81">
        <f t="shared" si="4"/>
        <v>3.4749034749034742E-2</v>
      </c>
      <c r="H77" s="81">
        <f t="shared" si="1"/>
        <v>3.531507688220481E-2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</row>
    <row r="78" spans="2:13" x14ac:dyDescent="0.2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3.5999999999999997E-2</v>
      </c>
      <c r="G78" s="81">
        <f t="shared" si="4"/>
        <v>3.4749034749034742E-2</v>
      </c>
      <c r="H78" s="81">
        <f t="shared" si="1"/>
        <v>3.531507688220481E-2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</row>
    <row r="79" spans="2:13" x14ac:dyDescent="0.2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3.5999999999999997E-2</v>
      </c>
      <c r="G79" s="81">
        <f t="shared" si="4"/>
        <v>3.4749034749034742E-2</v>
      </c>
      <c r="H79" s="81">
        <f t="shared" si="1"/>
        <v>3.531507688220481E-2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</row>
    <row r="80" spans="2:13" x14ac:dyDescent="0.2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3.5999999999999997E-2</v>
      </c>
      <c r="G80" s="81">
        <f t="shared" si="4"/>
        <v>3.4749034749034742E-2</v>
      </c>
      <c r="H80" s="81">
        <f t="shared" si="1"/>
        <v>3.531507688220481E-2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</row>
    <row r="81" spans="2:13" x14ac:dyDescent="0.2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3.5999999999999997E-2</v>
      </c>
      <c r="G81" s="81">
        <f t="shared" si="4"/>
        <v>3.4749034749034742E-2</v>
      </c>
      <c r="H81" s="81">
        <f t="shared" si="1"/>
        <v>3.531507688220481E-2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</row>
    <row r="82" spans="2:13" x14ac:dyDescent="0.2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3.5999999999999997E-2</v>
      </c>
      <c r="G82" s="81">
        <f t="shared" si="4"/>
        <v>3.4749034749034742E-2</v>
      </c>
      <c r="H82" s="81">
        <f t="shared" si="1"/>
        <v>3.531507688220481E-2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</row>
    <row r="83" spans="2:13" x14ac:dyDescent="0.2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3.5999999999999997E-2</v>
      </c>
      <c r="G83" s="81">
        <f t="shared" ref="G83:G86" si="8">F83/(1+F83)</f>
        <v>3.4749034749034742E-2</v>
      </c>
      <c r="H83" s="81">
        <f t="shared" ref="H83:H86" si="9">$C$3*(1-(1-G83)^(1/$C$3))</f>
        <v>3.531507688220481E-2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</row>
    <row r="84" spans="2:13" x14ac:dyDescent="0.2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3.5999999999999997E-2</v>
      </c>
      <c r="G84" s="81">
        <f t="shared" si="8"/>
        <v>3.4749034749034742E-2</v>
      </c>
      <c r="H84" s="81">
        <f t="shared" si="9"/>
        <v>3.531507688220481E-2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</row>
    <row r="85" spans="2:13" x14ac:dyDescent="0.2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3.5999999999999997E-2</v>
      </c>
      <c r="G85" s="81">
        <f t="shared" si="8"/>
        <v>3.4749034749034742E-2</v>
      </c>
      <c r="H85" s="81">
        <f t="shared" si="9"/>
        <v>3.531507688220481E-2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</row>
    <row r="86" spans="2:13" x14ac:dyDescent="0.2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3.5999999999999997E-2</v>
      </c>
      <c r="G86" s="81">
        <f t="shared" si="8"/>
        <v>3.4749034749034742E-2</v>
      </c>
      <c r="H86" s="81">
        <f t="shared" si="9"/>
        <v>3.531507688220481E-2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</row>
    <row r="87" spans="2:13" x14ac:dyDescent="0.2">
      <c r="D87" s="81"/>
      <c r="E87" s="81"/>
      <c r="L87" s="81"/>
      <c r="M87" s="81"/>
    </row>
    <row r="88" spans="2:13" x14ac:dyDescent="0.2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G79"/>
  <sheetViews>
    <sheetView topLeftCell="T44" zoomScale="87" workbookViewId="0">
      <selection activeCell="AF7" sqref="AF7:AF65"/>
    </sheetView>
  </sheetViews>
  <sheetFormatPr baseColWidth="10" defaultRowHeight="15" x14ac:dyDescent="0.2"/>
  <cols>
    <col min="3" max="3" width="14.6640625" customWidth="1"/>
    <col min="7" max="7" width="12" bestFit="1" customWidth="1"/>
    <col min="16" max="16" width="16.1640625" customWidth="1"/>
    <col min="17" max="17" width="19.6640625" customWidth="1"/>
    <col min="18" max="18" width="19" customWidth="1"/>
    <col min="21" max="21" width="14.5" customWidth="1"/>
    <col min="22" max="22" width="17.83203125" customWidth="1"/>
    <col min="23" max="23" width="16.83203125" customWidth="1"/>
    <col min="24" max="24" width="20.83203125" customWidth="1"/>
    <col min="29" max="29" width="17.5" customWidth="1"/>
    <col min="30" max="30" width="21.33203125" customWidth="1"/>
    <col min="31" max="31" width="18.5" customWidth="1"/>
  </cols>
  <sheetData>
    <row r="1" spans="1:33" x14ac:dyDescent="0.2">
      <c r="A1" t="s">
        <v>268</v>
      </c>
    </row>
    <row r="2" spans="1:33" ht="16" thickBot="1" x14ac:dyDescent="0.25"/>
    <row r="3" spans="1:33" ht="16" thickBot="1" x14ac:dyDescent="0.25">
      <c r="B3" s="112" t="s">
        <v>170</v>
      </c>
      <c r="C3" s="113"/>
      <c r="D3" s="130">
        <f ca="1">IF('Autres hypothèses'!C12=0,S5,VA!AF5)</f>
        <v>15.182008269953853</v>
      </c>
      <c r="N3" s="235" t="s">
        <v>178</v>
      </c>
      <c r="O3" s="236"/>
      <c r="P3" s="236"/>
      <c r="Q3" s="236"/>
      <c r="R3" s="236"/>
      <c r="S3" s="237"/>
      <c r="U3" s="235" t="s">
        <v>184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7"/>
    </row>
    <row r="4" spans="1:33" ht="16" thickBot="1" x14ac:dyDescent="0.25">
      <c r="U4" s="83" t="s">
        <v>185</v>
      </c>
    </row>
    <row r="5" spans="1:33" ht="16" thickBot="1" x14ac:dyDescent="0.25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13.315814874643628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15.182008269953853</v>
      </c>
    </row>
    <row r="6" spans="1:33" x14ac:dyDescent="0.2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">
      <c r="B7" s="96">
        <v>0</v>
      </c>
      <c r="C7" s="13">
        <f>'Probabilités de décès'!C10</f>
        <v>2022</v>
      </c>
      <c r="D7" s="13">
        <f>'Probabilités de décès'!C8</f>
        <v>65</v>
      </c>
      <c r="E7" s="126">
        <f ca="1">'Probabilités de décès'!D14</f>
        <v>1.0299931055725532E-2</v>
      </c>
      <c r="F7" s="126">
        <f ca="1">1-E7</f>
        <v>0.98970006894427442</v>
      </c>
      <c r="G7" s="126">
        <f>1</f>
        <v>1</v>
      </c>
      <c r="H7" s="13"/>
      <c r="I7" s="13">
        <f>'Probabilités de décès'!F8</f>
        <v>62</v>
      </c>
      <c r="J7" s="126">
        <f ca="1">'Probabilités de décès'!H14</f>
        <v>4.8264506953865725E-3</v>
      </c>
      <c r="K7" s="126">
        <f ca="1">1-J7</f>
        <v>0.99517354930461344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0.9775595365451456</v>
      </c>
      <c r="R7" s="126">
        <f>1</f>
        <v>1</v>
      </c>
      <c r="S7" s="135">
        <f>P7*Q7*R7</f>
        <v>0.9775595365451456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0.9775595365451456</v>
      </c>
      <c r="AE7" s="126">
        <f>1</f>
        <v>1</v>
      </c>
      <c r="AF7" s="135">
        <f>AC7*AD7*AE7</f>
        <v>0.9775595365451456</v>
      </c>
    </row>
    <row r="8" spans="1:33" x14ac:dyDescent="0.2">
      <c r="B8" s="96">
        <f>B7+1</f>
        <v>1</v>
      </c>
      <c r="C8" s="13">
        <f>C7+1</f>
        <v>2023</v>
      </c>
      <c r="D8" s="13">
        <f>D7+1</f>
        <v>66</v>
      </c>
      <c r="E8" s="126">
        <f ca="1">IF(E7=1,1,'Probabilités de décès'!D15)</f>
        <v>1.07435010894737E-2</v>
      </c>
      <c r="F8" s="126">
        <f t="shared" ref="F8:F62" ca="1" si="0">1-E8</f>
        <v>0.98925649891052625</v>
      </c>
      <c r="G8" s="126">
        <f ca="1">G7*F7</f>
        <v>0.98970006894427442</v>
      </c>
      <c r="H8" s="13"/>
      <c r="I8" s="13">
        <f>I7+1</f>
        <v>63</v>
      </c>
      <c r="J8" s="126">
        <f ca="1">IF(J7=1,1,'Probabilités de décès'!H15)</f>
        <v>5.1954200757657748E-3</v>
      </c>
      <c r="K8" s="126">
        <f t="shared" ref="K8:K62" ca="1" si="1">1-J8</f>
        <v>0.99480457992423421</v>
      </c>
      <c r="L8" s="127">
        <f ca="1">L7*K7</f>
        <v>0.99517354930461344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0.9775595365451456</v>
      </c>
      <c r="R8" s="126">
        <f>R7/(1+VLOOKUP(C8-1,'Autres hypothèses'!$B$18:$H$86,5,FALSE))</f>
        <v>0.95147478591817325</v>
      </c>
      <c r="S8" s="135">
        <f t="shared" ref="S8:S71" ca="1" si="3">P8*Q8*R8</f>
        <v>0.9301232507565611</v>
      </c>
      <c r="U8" s="143">
        <f t="shared" ref="U8:U61" ca="1" si="4">L8*G8</f>
        <v>0.98492333035829416</v>
      </c>
      <c r="V8" s="126">
        <f t="shared" ref="V8:V61" ca="1" si="5">G8*(1-L8)</f>
        <v>4.7767385859802235E-3</v>
      </c>
      <c r="W8" s="126">
        <f t="shared" ref="W8:W61" ca="1" si="6">(1-G8)*L8</f>
        <v>1.0250218946319235E-2</v>
      </c>
      <c r="X8" s="126">
        <f t="shared" ref="X8:X61" ca="1" si="7">(1-G8)*(1-L8)</f>
        <v>4.9712109406340366E-5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ca="1">U8*Y8+V8*Z8+W8*AA8+X8*AB8</f>
        <v>1</v>
      </c>
      <c r="AD8" s="134">
        <f>(1-(1+VLOOKUP(C8,'Autres hypothèses'!$B$18:$H$86,5,FALSE))^-1)/VLOOKUP(C8,'Autres hypothèses'!$B$18:$H$86,7,FALSE)</f>
        <v>0.9775595365451456</v>
      </c>
      <c r="AE8" s="126">
        <f>AE7/(1+VLOOKUP(C8-1,'Autres hypothèses'!B18:H86,5,FALSE))</f>
        <v>0.95147478591817325</v>
      </c>
      <c r="AF8" s="135">
        <f t="shared" ref="AF8:AF71" ca="1" si="9">AC8*AD8*AE8</f>
        <v>0.9301232507565611</v>
      </c>
      <c r="AG8" s="80"/>
    </row>
    <row r="9" spans="1:33" x14ac:dyDescent="0.2">
      <c r="B9" s="96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6">
        <f ca="1">IF(E8=1,1,'Probabilités de décès'!D16)</f>
        <v>1.1210216717163648E-2</v>
      </c>
      <c r="F9" s="126">
        <f t="shared" ca="1" si="0"/>
        <v>0.9887897832828364</v>
      </c>
      <c r="G9" s="126">
        <f ca="1">G8*F8</f>
        <v>0.97906722517531941</v>
      </c>
      <c r="H9" s="13"/>
      <c r="I9" s="13">
        <f t="shared" ref="I9:I72" si="13">I8+1</f>
        <v>64</v>
      </c>
      <c r="J9" s="126">
        <f ca="1">IF(J8=1,1,'Probabilités de décès'!H16)</f>
        <v>5.5896129762183005E-3</v>
      </c>
      <c r="K9" s="126">
        <f ca="1">1-J9</f>
        <v>0.99441038702378171</v>
      </c>
      <c r="L9" s="127">
        <f ca="1">L8*K8</f>
        <v>0.9900032046676851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0.9775595365451456</v>
      </c>
      <c r="R9" s="126">
        <f>R8/(1+VLOOKUP(C9-1,'Autres hypothèses'!$B$18:$H$86,5,FALSE))</f>
        <v>0.90530426823803356</v>
      </c>
      <c r="S9" s="135">
        <f t="shared" ca="1" si="3"/>
        <v>0.8849888208911143</v>
      </c>
      <c r="U9" s="143">
        <f t="shared" ca="1" si="4"/>
        <v>0.96927969050866425</v>
      </c>
      <c r="V9" s="126">
        <f t="shared" ca="1" si="5"/>
        <v>9.7875346666551344E-3</v>
      </c>
      <c r="W9" s="126">
        <f t="shared" ca="1" si="6"/>
        <v>2.0723514159020823E-2</v>
      </c>
      <c r="X9" s="126">
        <f t="shared" ca="1" si="7"/>
        <v>2.0926066565976576E-4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ref="AC9:AC61" ca="1" si="14">U9*Y9+V9*Z9+W9*AA9+X9*AB9</f>
        <v>1</v>
      </c>
      <c r="AD9" s="134">
        <f>(1-(1+VLOOKUP(C9,'Autres hypothèses'!$B$18:$H$86,5,FALSE))^-1)/VLOOKUP(C9,'Autres hypothèses'!$B$18:$H$86,7,FALSE)</f>
        <v>0.9775595365451456</v>
      </c>
      <c r="AE9" s="126">
        <f>AE8/(1+VLOOKUP(C9-1,'Autres hypothèses'!B19:H87,5,FALSE))</f>
        <v>0.90530426823803356</v>
      </c>
      <c r="AF9" s="135">
        <f t="shared" ca="1" si="9"/>
        <v>0.8849888208911143</v>
      </c>
      <c r="AG9" s="80"/>
    </row>
    <row r="10" spans="1:33" x14ac:dyDescent="0.2">
      <c r="B10" s="96">
        <f t="shared" si="10"/>
        <v>3</v>
      </c>
      <c r="C10" s="13">
        <f t="shared" si="11"/>
        <v>2025</v>
      </c>
      <c r="D10" s="13">
        <f t="shared" si="12"/>
        <v>68</v>
      </c>
      <c r="E10" s="126">
        <f ca="1">IF(E9=1,1,'Probabilités de décès'!D17)</f>
        <v>1.177085239615001E-2</v>
      </c>
      <c r="F10" s="126">
        <f t="shared" ca="1" si="0"/>
        <v>0.98822914760384994</v>
      </c>
      <c r="G10" s="126">
        <f t="shared" ref="G10:G62" ca="1" si="15">G9*F9</f>
        <v>0.96809166940043212</v>
      </c>
      <c r="H10" s="13"/>
      <c r="I10" s="13">
        <f t="shared" si="13"/>
        <v>65</v>
      </c>
      <c r="J10" s="126">
        <f ca="1">IF(J9=1,1,'Probabilités de décès'!H17)</f>
        <v>6.0354980959942623E-3</v>
      </c>
      <c r="K10" s="126">
        <f t="shared" ca="1" si="1"/>
        <v>0.99396450190400576</v>
      </c>
      <c r="L10" s="127">
        <f t="shared" ref="L10:L62" ca="1" si="16">L9*K9</f>
        <v>0.98446946990837692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0.9775595365451456</v>
      </c>
      <c r="R10" s="126">
        <f>R9/(1+VLOOKUP(C10-1,'Autres hypothèses'!$B$18:$H$86,5,FALSE))</f>
        <v>0.86137418481259143</v>
      </c>
      <c r="S10" s="135">
        <f ca="1">P10*Q10*R10</f>
        <v>0.84204454889734948</v>
      </c>
      <c r="U10" s="143">
        <f ca="1">L10*G10</f>
        <v>0.95305669259735903</v>
      </c>
      <c r="V10" s="126">
        <f t="shared" ca="1" si="5"/>
        <v>1.5034976803073039E-2</v>
      </c>
      <c r="W10" s="126">
        <f t="shared" ca="1" si="6"/>
        <v>3.1412777311017832E-2</v>
      </c>
      <c r="X10" s="126">
        <f t="shared" ca="1" si="7"/>
        <v>4.9555328855004663E-4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0.9775595365451456</v>
      </c>
      <c r="AE10" s="126">
        <f>AE9/(1+VLOOKUP(C10-1,'Autres hypothèses'!B20:H88,5,FALSE))</f>
        <v>0.86137418481259143</v>
      </c>
      <c r="AF10" s="135">
        <f t="shared" ca="1" si="9"/>
        <v>0.84204454889734948</v>
      </c>
      <c r="AG10" s="80"/>
    </row>
    <row r="11" spans="1:33" x14ac:dyDescent="0.2">
      <c r="B11" s="96">
        <f t="shared" si="10"/>
        <v>4</v>
      </c>
      <c r="C11" s="13">
        <f t="shared" si="11"/>
        <v>2026</v>
      </c>
      <c r="D11" s="13">
        <f t="shared" si="12"/>
        <v>69</v>
      </c>
      <c r="E11" s="126">
        <f ca="1">IF(E10=1,1,'Probabilités de décès'!D18)</f>
        <v>1.2487440188758893E-2</v>
      </c>
      <c r="F11" s="126">
        <f t="shared" ca="1" si="0"/>
        <v>0.98751255981124109</v>
      </c>
      <c r="G11" s="126">
        <f t="shared" ca="1" si="15"/>
        <v>0.95669640525397714</v>
      </c>
      <c r="H11" s="13"/>
      <c r="I11" s="13">
        <f t="shared" si="13"/>
        <v>66</v>
      </c>
      <c r="J11" s="126">
        <f ca="1">IF(J10=1,1,'Probabilités de décès'!H18)</f>
        <v>6.506873777187715E-3</v>
      </c>
      <c r="K11" s="126">
        <f t="shared" ca="1" si="1"/>
        <v>0.99349312622281227</v>
      </c>
      <c r="L11" s="127">
        <f t="shared" ca="1" si="16"/>
        <v>0.97852770629718044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0.9775595365451456</v>
      </c>
      <c r="R11" s="126">
        <f>R10/(1+VLOOKUP(C11-1,'Autres hypothèses'!$B$18:$H$86,5,FALSE))</f>
        <v>0.81957581809000146</v>
      </c>
      <c r="S11" s="135">
        <f t="shared" ca="1" si="3"/>
        <v>0.80118415689567035</v>
      </c>
      <c r="U11" s="143">
        <f ca="1">L11*G11</f>
        <v>0.93615393905593203</v>
      </c>
      <c r="V11" s="126">
        <f t="shared" ca="1" si="5"/>
        <v>2.0542466198045079E-2</v>
      </c>
      <c r="W11" s="126">
        <f t="shared" ca="1" si="6"/>
        <v>4.2373767241248382E-2</v>
      </c>
      <c r="X11" s="126">
        <f t="shared" ca="1" si="7"/>
        <v>9.298275047744766E-4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14"/>
        <v>1</v>
      </c>
      <c r="AD11" s="134">
        <f>(1-(1+VLOOKUP(C11,'Autres hypothèses'!$B$18:$H$86,5,FALSE))^-1)/VLOOKUP(C11,'Autres hypothèses'!$B$18:$H$86,7,FALSE)</f>
        <v>0.9775595365451456</v>
      </c>
      <c r="AE11" s="126">
        <f>AE10/(1+VLOOKUP(C11-1,'Autres hypothèses'!B21:H89,5,FALSE))</f>
        <v>0.81957581809000146</v>
      </c>
      <c r="AF11" s="135">
        <f ca="1">AC11*AD11*AE11</f>
        <v>0.80118415689567035</v>
      </c>
      <c r="AG11" s="80"/>
    </row>
    <row r="12" spans="1:33" x14ac:dyDescent="0.2">
      <c r="B12" s="96">
        <f t="shared" si="10"/>
        <v>5</v>
      </c>
      <c r="C12" s="13">
        <f t="shared" si="11"/>
        <v>2027</v>
      </c>
      <c r="D12" s="13">
        <f t="shared" si="12"/>
        <v>70</v>
      </c>
      <c r="E12" s="126">
        <f ca="1">IF(E11=1,1,'Probabilités de décès'!D19)</f>
        <v>1.3386321567872164E-2</v>
      </c>
      <c r="F12" s="126">
        <f t="shared" ca="1" si="0"/>
        <v>0.98661367843212788</v>
      </c>
      <c r="G12" s="126">
        <f t="shared" ca="1" si="15"/>
        <v>0.94474971611456748</v>
      </c>
      <c r="H12" s="13"/>
      <c r="I12" s="13">
        <f t="shared" si="13"/>
        <v>67</v>
      </c>
      <c r="J12" s="126">
        <f ca="1">IF(J11=1,1,'Probabilités de décès'!H19)</f>
        <v>6.9887871523421231E-3</v>
      </c>
      <c r="K12" s="126">
        <f t="shared" ca="1" si="1"/>
        <v>0.99301121284765792</v>
      </c>
      <c r="L12" s="127">
        <f t="shared" ca="1" si="16"/>
        <v>0.97216055002482371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</v>
      </c>
      <c r="P12" s="134">
        <f t="shared" ca="1" si="2"/>
        <v>0.94474971611456748</v>
      </c>
      <c r="Q12" s="126">
        <f>(1-(1+VLOOKUP(C12,'Autres hypothèses'!$B$18:$H$86,5,FALSE))^-1)/VLOOKUP(C12,'Autres hypothèses'!$B$18:$H$86,7,FALSE)</f>
        <v>0.97968018334959373</v>
      </c>
      <c r="R12" s="126">
        <f>R11/(1+VLOOKUP(C12-1,'Autres hypothèses'!$B$18:$H$86,5,FALSE))</f>
        <v>0.77980572606089582</v>
      </c>
      <c r="S12" s="135">
        <f t="shared" ca="1" si="3"/>
        <v>0.72175119783541175</v>
      </c>
      <c r="U12" s="143">
        <f t="shared" ca="1" si="4"/>
        <v>0.91844840365373404</v>
      </c>
      <c r="V12" s="126">
        <f t="shared" ca="1" si="5"/>
        <v>2.6301312460833504E-2</v>
      </c>
      <c r="W12" s="126">
        <f t="shared" ca="1" si="6"/>
        <v>5.3712146371089731E-2</v>
      </c>
      <c r="X12" s="126">
        <f t="shared" ca="1" si="7"/>
        <v>1.5381375143427873E-3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</v>
      </c>
      <c r="AC12" s="134">
        <f t="shared" ca="1" si="14"/>
        <v>0.97697700393722131</v>
      </c>
      <c r="AD12" s="134">
        <f>(1-(1+VLOOKUP(C12,'Autres hypothèses'!$B$18:$H$86,5,FALSE))^-1)/VLOOKUP(C12,'Autres hypothèses'!$B$18:$H$86,7,FALSE)</f>
        <v>0.97968018334959373</v>
      </c>
      <c r="AE12" s="126">
        <f>AE11/(1+VLOOKUP(C12-1,'Autres hypothèses'!B22:H90,5,FALSE))</f>
        <v>0.77980572606089582</v>
      </c>
      <c r="AF12" s="135">
        <f t="shared" ca="1" si="9"/>
        <v>0.74637156362355694</v>
      </c>
      <c r="AG12" s="80"/>
    </row>
    <row r="13" spans="1:33" x14ac:dyDescent="0.2">
      <c r="B13" s="96">
        <f t="shared" si="10"/>
        <v>6</v>
      </c>
      <c r="C13" s="13">
        <f t="shared" si="11"/>
        <v>2028</v>
      </c>
      <c r="D13" s="13">
        <f t="shared" si="12"/>
        <v>71</v>
      </c>
      <c r="E13" s="126">
        <f ca="1">IF(E12=1,1,'Probabilités de décès'!D20)</f>
        <v>1.4591381027197391E-2</v>
      </c>
      <c r="F13" s="126">
        <f t="shared" ca="1" si="0"/>
        <v>0.98540861897280263</v>
      </c>
      <c r="G13" s="126">
        <f t="shared" ca="1" si="15"/>
        <v>0.93210299261350194</v>
      </c>
      <c r="H13" s="13"/>
      <c r="I13" s="13">
        <f t="shared" si="13"/>
        <v>68</v>
      </c>
      <c r="J13" s="126">
        <f ca="1">IF(J12=1,1,'Probabilités de décès'!H20)</f>
        <v>7.5153114890358424E-3</v>
      </c>
      <c r="K13" s="126">
        <f t="shared" ca="1" si="1"/>
        <v>0.99248468851096416</v>
      </c>
      <c r="L13" s="127">
        <f t="shared" ca="1" si="16"/>
        <v>0.96536632686279644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</v>
      </c>
      <c r="P13" s="134">
        <f t="shared" ca="1" si="2"/>
        <v>0.93210299261350194</v>
      </c>
      <c r="Q13" s="126">
        <f>(1-(1+VLOOKUP(C13,'Autres hypothèses'!$B$18:$H$86,5,FALSE))^-1)/VLOOKUP(C13,'Autres hypothèses'!$B$18:$H$86,7,FALSE)</f>
        <v>0.97968018334959373</v>
      </c>
      <c r="R13" s="126">
        <f>R12/(1+VLOOKUP(C13-1,'Autres hypothèses'!$B$18:$H$86,5,FALSE))</f>
        <v>0.7455121664062101</v>
      </c>
      <c r="S13" s="135">
        <f t="shared" ca="1" si="3"/>
        <v>0.68077400019999046</v>
      </c>
      <c r="U13" s="143">
        <f t="shared" ca="1" si="4"/>
        <v>0.89982084223711667</v>
      </c>
      <c r="V13" s="126">
        <f t="shared" ca="1" si="5"/>
        <v>3.2282150376385287E-2</v>
      </c>
      <c r="W13" s="126">
        <f t="shared" ca="1" si="6"/>
        <v>6.5545484625679801E-2</v>
      </c>
      <c r="X13" s="126">
        <f t="shared" ca="1" si="7"/>
        <v>2.3515227608182695E-3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</v>
      </c>
      <c r="AC13" s="134">
        <f t="shared" ca="1" si="14"/>
        <v>0.9714302833889098</v>
      </c>
      <c r="AD13" s="134">
        <f>(1-(1+VLOOKUP(C13,'Autres hypothèses'!$B$18:$H$86,5,FALSE))^-1)/VLOOKUP(C13,'Autres hypothèses'!$B$18:$H$86,7,FALSE)</f>
        <v>0.97968018334959373</v>
      </c>
      <c r="AE13" s="126">
        <f>AE12/(1+VLOOKUP(C13-1,'Autres hypothèses'!B23:H91,5,FALSE))</f>
        <v>0.7455121664062101</v>
      </c>
      <c r="AF13" s="135">
        <f t="shared" ca="1" si="9"/>
        <v>0.70949721777397801</v>
      </c>
      <c r="AG13" s="80"/>
    </row>
    <row r="14" spans="1:33" x14ac:dyDescent="0.2">
      <c r="B14" s="96">
        <f t="shared" si="10"/>
        <v>7</v>
      </c>
      <c r="C14" s="13">
        <f t="shared" si="11"/>
        <v>2029</v>
      </c>
      <c r="D14" s="13">
        <f t="shared" si="12"/>
        <v>72</v>
      </c>
      <c r="E14" s="126">
        <f ca="1">IF(E13=1,1,'Probabilités de décès'!D21)</f>
        <v>1.596096305139677E-2</v>
      </c>
      <c r="F14" s="126">
        <f t="shared" ca="1" si="0"/>
        <v>0.98403903694860317</v>
      </c>
      <c r="G14" s="126">
        <f t="shared" ca="1" si="15"/>
        <v>0.91850232269168741</v>
      </c>
      <c r="H14" s="13"/>
      <c r="I14" s="13">
        <f t="shared" si="13"/>
        <v>69</v>
      </c>
      <c r="J14" s="126">
        <f ca="1">IF(J13=1,1,'Probabilités de décès'!H21)</f>
        <v>8.1099015333598572E-3</v>
      </c>
      <c r="K14" s="126">
        <f t="shared" ca="1" si="1"/>
        <v>0.99189009846664011</v>
      </c>
      <c r="L14" s="127">
        <f t="shared" ca="1" si="16"/>
        <v>0.95811129821539609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</v>
      </c>
      <c r="P14" s="134">
        <f t="shared" ca="1" si="2"/>
        <v>0.91850232269168741</v>
      </c>
      <c r="Q14" s="126">
        <f>(1-(1+VLOOKUP(C14,'Autres hypothèses'!$B$18:$H$86,5,FALSE))^-1)/VLOOKUP(C14,'Autres hypothèses'!$B$18:$H$86,7,FALSE)</f>
        <v>0.97968018334959373</v>
      </c>
      <c r="R14" s="126">
        <f>R13/(1+VLOOKUP(C14-1,'Autres hypothèses'!$B$18:$H$86,5,FALSE))</f>
        <v>0.71272673652601348</v>
      </c>
      <c r="S14" s="135">
        <f t="shared" ca="1" si="3"/>
        <v>0.64133897454078681</v>
      </c>
      <c r="U14" s="143">
        <f t="shared" ca="1" si="4"/>
        <v>0.88002745280798933</v>
      </c>
      <c r="V14" s="126">
        <f t="shared" ca="1" si="5"/>
        <v>3.8474869883698123E-2</v>
      </c>
      <c r="W14" s="126">
        <f t="shared" ca="1" si="6"/>
        <v>7.8083845407406802E-2</v>
      </c>
      <c r="X14" s="126">
        <f t="shared" ca="1" si="7"/>
        <v>3.413831900905787E-3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</v>
      </c>
      <c r="AC14" s="134">
        <f t="shared" ca="1" si="14"/>
        <v>0.96535262993613147</v>
      </c>
      <c r="AD14" s="134">
        <f>(1-(1+VLOOKUP(C14,'Autres hypothèses'!$B$18:$H$86,5,FALSE))^-1)/VLOOKUP(C14,'Autres hypothèses'!$B$18:$H$86,7,FALSE)</f>
        <v>0.97968018334959373</v>
      </c>
      <c r="AE14" s="126">
        <f>AE13/(1+VLOOKUP(C14-1,'Autres hypothèses'!B24:H92,5,FALSE))</f>
        <v>0.71272673652601348</v>
      </c>
      <c r="AF14" s="135">
        <f t="shared" ca="1" si="9"/>
        <v>0.67405193264961283</v>
      </c>
      <c r="AG14" s="80"/>
    </row>
    <row r="15" spans="1:33" x14ac:dyDescent="0.2">
      <c r="B15" s="96">
        <f t="shared" si="10"/>
        <v>8</v>
      </c>
      <c r="C15" s="13">
        <f t="shared" si="11"/>
        <v>2030</v>
      </c>
      <c r="D15" s="13">
        <f t="shared" si="12"/>
        <v>73</v>
      </c>
      <c r="E15" s="126">
        <f ca="1">IF(E14=1,1,'Probabilités de décès'!D22)</f>
        <v>1.751740911935418E-2</v>
      </c>
      <c r="F15" s="126">
        <f t="shared" ca="1" si="0"/>
        <v>0.98248259088064582</v>
      </c>
      <c r="G15" s="126">
        <f t="shared" ca="1" si="15"/>
        <v>0.90384214105658323</v>
      </c>
      <c r="H15" s="13"/>
      <c r="I15" s="13">
        <f t="shared" si="13"/>
        <v>70</v>
      </c>
      <c r="J15" s="126">
        <f ca="1">IF(J14=1,1,'Probabilités de décès'!H22)</f>
        <v>8.7881784065916881E-3</v>
      </c>
      <c r="K15" s="126">
        <f t="shared" ca="1" si="1"/>
        <v>0.99121182159340826</v>
      </c>
      <c r="L15" s="127">
        <f t="shared" ca="1" si="16"/>
        <v>0.95034110992886967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</v>
      </c>
      <c r="P15" s="134">
        <f ca="1">G15*N15+(1-G15)*O15</f>
        <v>0.90384214105658323</v>
      </c>
      <c r="Q15" s="126">
        <f>(1-(1+VLOOKUP(C15,'Autres hypothèses'!$B$18:$H$86,5,FALSE))^-1)/VLOOKUP(C15,'Autres hypothèses'!$B$18:$H$86,7,FALSE)</f>
        <v>0.97968018334959373</v>
      </c>
      <c r="R15" s="126">
        <f>R14/(1+VLOOKUP(C15-1,'Autres hypothèses'!$B$18:$H$86,5,FALSE))</f>
        <v>0.68138311331358836</v>
      </c>
      <c r="S15" s="135">
        <f t="shared" ca="1" si="3"/>
        <v>0.60334855340795468</v>
      </c>
      <c r="U15" s="143">
        <f t="shared" ca="1" si="4"/>
        <v>0.85895834353219924</v>
      </c>
      <c r="V15" s="126">
        <f t="shared" ca="1" si="5"/>
        <v>4.4883797524383942E-2</v>
      </c>
      <c r="W15" s="126">
        <f t="shared" ca="1" si="6"/>
        <v>9.1382766396670381E-2</v>
      </c>
      <c r="X15" s="126">
        <f t="shared" ca="1" si="7"/>
        <v>4.7750925467463902E-3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</v>
      </c>
      <c r="AC15" s="134">
        <f t="shared" ca="1" si="14"/>
        <v>0.95867180089458548</v>
      </c>
      <c r="AD15" s="134">
        <f>(1-(1+VLOOKUP(C15,'Autres hypothèses'!$B$18:$H$86,5,FALSE))^-1)/VLOOKUP(C15,'Autres hypothèses'!$B$18:$H$86,7,FALSE)</f>
        <v>0.97968018334959373</v>
      </c>
      <c r="AE15" s="126">
        <f>AE14/(1+VLOOKUP(C15-1,'Autres hypothèses'!B25:H93,5,FALSE))</f>
        <v>0.68138311331358836</v>
      </c>
      <c r="AF15" s="135">
        <f t="shared" ca="1" si="9"/>
        <v>0.63994940929240929</v>
      </c>
      <c r="AG15" s="80"/>
    </row>
    <row r="16" spans="1:33" x14ac:dyDescent="0.2">
      <c r="B16" s="96">
        <f t="shared" si="10"/>
        <v>9</v>
      </c>
      <c r="C16" s="13">
        <f t="shared" si="11"/>
        <v>2031</v>
      </c>
      <c r="D16" s="13">
        <f t="shared" si="12"/>
        <v>74</v>
      </c>
      <c r="E16" s="126">
        <f ca="1">IF(E15=1,1,'Probabilités de décès'!D23)</f>
        <v>1.9268063076234448E-2</v>
      </c>
      <c r="F16" s="126">
        <f t="shared" ca="1" si="0"/>
        <v>0.98073193692376559</v>
      </c>
      <c r="G16" s="126">
        <f t="shared" ca="1" si="15"/>
        <v>0.88800916849238198</v>
      </c>
      <c r="H16" s="13"/>
      <c r="I16" s="13">
        <f t="shared" si="13"/>
        <v>71</v>
      </c>
      <c r="J16" s="126">
        <f ca="1">IF(J15=1,1,'Probabilités de décès'!H23)</f>
        <v>9.6216940052154844E-3</v>
      </c>
      <c r="K16" s="126">
        <f t="shared" ca="1" si="1"/>
        <v>0.99037830599478449</v>
      </c>
      <c r="L16" s="127">
        <f t="shared" ca="1" si="16"/>
        <v>0.9419893427076963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</v>
      </c>
      <c r="P16" s="134">
        <f t="shared" ca="1" si="2"/>
        <v>0.88800916849238198</v>
      </c>
      <c r="Q16" s="126">
        <f>(1-(1+VLOOKUP(C16,'Autres hypothèses'!$B$18:$H$86,5,FALSE))^-1)/VLOOKUP(C16,'Autres hypothèses'!$B$18:$H$86,7,FALSE)</f>
        <v>0.97968018334959373</v>
      </c>
      <c r="R16" s="126">
        <f>R15/(1+VLOOKUP(C16-1,'Autres hypothèses'!$B$18:$H$86,5,FALSE))</f>
        <v>0.65141789035715902</v>
      </c>
      <c r="S16" s="135">
        <f t="shared" ca="1" si="3"/>
        <v>0.56671075521638326</v>
      </c>
      <c r="U16" s="143">
        <f t="shared" ca="1" si="4"/>
        <v>0.83649517294654685</v>
      </c>
      <c r="V16" s="126">
        <f t="shared" ca="1" si="5"/>
        <v>5.1513995545835148E-2</v>
      </c>
      <c r="W16" s="126">
        <f t="shared" ca="1" si="6"/>
        <v>0.10549416976114946</v>
      </c>
      <c r="X16" s="126">
        <f t="shared" ca="1" si="7"/>
        <v>6.4966617464685562E-3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</v>
      </c>
      <c r="AC16" s="134">
        <f t="shared" ca="1" si="14"/>
        <v>0.95130567034907165</v>
      </c>
      <c r="AD16" s="134">
        <f>(1-(1+VLOOKUP(C16,'Autres hypothèses'!$B$18:$H$86,5,FALSE))^-1)/VLOOKUP(C16,'Autres hypothèses'!$B$18:$H$86,7,FALSE)</f>
        <v>0.97968018334959373</v>
      </c>
      <c r="AE16" s="126">
        <f>AE15/(1+VLOOKUP(C16-1,'Autres hypothèses'!B26:H94,5,FALSE))</f>
        <v>0.65141789035715902</v>
      </c>
      <c r="AF16" s="135">
        <f t="shared" ca="1" si="9"/>
        <v>0.60710539261709784</v>
      </c>
      <c r="AG16" s="80"/>
    </row>
    <row r="17" spans="2:33" x14ac:dyDescent="0.2">
      <c r="B17" s="96">
        <f t="shared" si="10"/>
        <v>10</v>
      </c>
      <c r="C17" s="13">
        <f t="shared" si="11"/>
        <v>2032</v>
      </c>
      <c r="D17" s="13">
        <f t="shared" si="12"/>
        <v>75</v>
      </c>
      <c r="E17" s="126">
        <f ca="1">IF(E16=1,1,'Probabilités de décès'!D24)</f>
        <v>2.1331817801591206E-2</v>
      </c>
      <c r="F17" s="126">
        <f t="shared" ca="1" si="0"/>
        <v>0.97866818219840879</v>
      </c>
      <c r="G17" s="126">
        <f t="shared" ca="1" si="15"/>
        <v>0.87089895182159627</v>
      </c>
      <c r="H17" s="13"/>
      <c r="I17" s="13">
        <f t="shared" si="13"/>
        <v>72</v>
      </c>
      <c r="J17" s="126">
        <f ca="1">IF(J16=1,1,'Probabilités de décès'!H24)</f>
        <v>1.0549994411347836E-2</v>
      </c>
      <c r="K17" s="126">
        <f t="shared" ca="1" si="1"/>
        <v>0.98945000558865215</v>
      </c>
      <c r="L17" s="127">
        <f ca="1">L16*K16</f>
        <v>0.9329258094959888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</v>
      </c>
      <c r="P17" s="134">
        <f t="shared" ca="1" si="2"/>
        <v>0.87089895182159627</v>
      </c>
      <c r="Q17" s="126">
        <f>(1-(1+VLOOKUP(C17,'Autres hypothèses'!$B$18:$H$86,5,FALSE))^-1)/VLOOKUP(C17,'Autres hypothèses'!$B$18:$H$86,7,FALSE)</f>
        <v>0.97968018334959373</v>
      </c>
      <c r="R17" s="126">
        <f>R16/(1+VLOOKUP(C17-1,'Autres hypothèses'!$B$18:$H$86,5,FALSE))</f>
        <v>0.62277044967223616</v>
      </c>
      <c r="S17" s="135">
        <f t="shared" ca="1" si="3"/>
        <v>0.53134927020926725</v>
      </c>
      <c r="U17" s="143">
        <f t="shared" ca="1" si="4"/>
        <v>0.81248410961737083</v>
      </c>
      <c r="V17" s="126">
        <f t="shared" ca="1" si="5"/>
        <v>5.8414842204225423E-2</v>
      </c>
      <c r="W17" s="126">
        <f t="shared" ca="1" si="6"/>
        <v>0.12044169987861796</v>
      </c>
      <c r="X17" s="126">
        <f t="shared" ca="1" si="7"/>
        <v>8.6593482997857803E-3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</v>
      </c>
      <c r="AC17" s="134">
        <f t="shared" ca="1" si="14"/>
        <v>0.94316397174876698</v>
      </c>
      <c r="AD17" s="134">
        <f>(1-(1+VLOOKUP(C17,'Autres hypothèses'!$B$18:$H$86,5,FALSE))^-1)/VLOOKUP(C17,'Autres hypothèses'!$B$18:$H$86,7,FALSE)</f>
        <v>0.97968018334959373</v>
      </c>
      <c r="AE17" s="126">
        <f>AE16/(1+VLOOKUP(C17-1,'Autres hypothèses'!B27:H95,5,FALSE))</f>
        <v>0.62277044967223616</v>
      </c>
      <c r="AF17" s="135">
        <f t="shared" ca="1" si="9"/>
        <v>0.57543930559126655</v>
      </c>
      <c r="AG17" s="80"/>
    </row>
    <row r="18" spans="2:33" x14ac:dyDescent="0.2">
      <c r="B18" s="96">
        <f t="shared" si="10"/>
        <v>11</v>
      </c>
      <c r="C18" s="13">
        <f t="shared" si="11"/>
        <v>2033</v>
      </c>
      <c r="D18" s="13">
        <f t="shared" si="12"/>
        <v>76</v>
      </c>
      <c r="E18" s="126">
        <f ca="1">IF(E17=1,1,'Probabilités de décès'!D25)</f>
        <v>2.3541250472444597E-2</v>
      </c>
      <c r="F18" s="126">
        <f t="shared" ca="1" si="0"/>
        <v>0.9764587495275554</v>
      </c>
      <c r="G18" s="126">
        <f t="shared" ca="1" si="15"/>
        <v>0.85232109405774126</v>
      </c>
      <c r="H18" s="13"/>
      <c r="I18" s="13">
        <f t="shared" si="13"/>
        <v>73</v>
      </c>
      <c r="J18" s="126">
        <f ca="1">IF(J17=1,1,'Probabilités de décès'!H25)</f>
        <v>1.1518917885015882E-2</v>
      </c>
      <c r="K18" s="126">
        <f t="shared" ca="1" si="1"/>
        <v>0.98848108211498409</v>
      </c>
      <c r="L18" s="127">
        <f t="shared" ca="1" si="16"/>
        <v>0.92308344741960391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</v>
      </c>
      <c r="P18" s="134">
        <f t="shared" ca="1" si="2"/>
        <v>0.85232109405774126</v>
      </c>
      <c r="Q18" s="126">
        <f>(1-(1+VLOOKUP(C18,'Autres hypothèses'!$B$18:$H$86,5,FALSE))^-1)/VLOOKUP(C18,'Autres hypothèses'!$B$18:$H$86,7,FALSE)</f>
        <v>0.97968018334959373</v>
      </c>
      <c r="R18" s="126">
        <f>R17/(1+VLOOKUP(C18-1,'Autres hypothèses'!$B$18:$H$86,5,FALSE))</f>
        <v>0.5953828390747955</v>
      </c>
      <c r="S18" s="135">
        <f t="shared" ca="1" si="3"/>
        <v>0.49714591241697392</v>
      </c>
      <c r="U18" s="143">
        <f t="shared" ca="1" si="4"/>
        <v>0.78676349381126831</v>
      </c>
      <c r="V18" s="126">
        <f t="shared" ca="1" si="5"/>
        <v>6.5557600246472975E-2</v>
      </c>
      <c r="W18" s="126">
        <f t="shared" ca="1" si="6"/>
        <v>0.13631995360833563</v>
      </c>
      <c r="X18" s="126">
        <f t="shared" ca="1" si="7"/>
        <v>1.1358952333923113E-2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</v>
      </c>
      <c r="AC18" s="134">
        <f t="shared" ca="1" si="14"/>
        <v>0.93411306622274259</v>
      </c>
      <c r="AD18" s="134">
        <f>(1-(1+VLOOKUP(C18,'Autres hypothèses'!$B$18:$H$86,5,FALSE))^-1)/VLOOKUP(C18,'Autres hypothèses'!$B$18:$H$86,7,FALSE)</f>
        <v>0.97968018334959373</v>
      </c>
      <c r="AE18" s="126">
        <f>AE17/(1+VLOOKUP(C18-1,'Autres hypothèses'!B28:H96,5,FALSE))</f>
        <v>0.5953828390747955</v>
      </c>
      <c r="AF18" s="135">
        <f t="shared" ca="1" si="9"/>
        <v>0.54485392400303767</v>
      </c>
      <c r="AG18" s="80"/>
    </row>
    <row r="19" spans="2:33" x14ac:dyDescent="0.2">
      <c r="B19" s="96">
        <f t="shared" si="10"/>
        <v>12</v>
      </c>
      <c r="C19" s="13">
        <f t="shared" si="11"/>
        <v>2034</v>
      </c>
      <c r="D19" s="13">
        <f t="shared" si="12"/>
        <v>77</v>
      </c>
      <c r="E19" s="126">
        <f ca="1">IF(E18=1,1,'Probabilités de décès'!D26)</f>
        <v>2.6070175992851639E-2</v>
      </c>
      <c r="F19" s="126">
        <f t="shared" ca="1" si="0"/>
        <v>0.97392982400714834</v>
      </c>
      <c r="G19" s="126">
        <f t="shared" ca="1" si="15"/>
        <v>0.83225638969957993</v>
      </c>
      <c r="H19" s="13"/>
      <c r="I19" s="13">
        <f t="shared" si="13"/>
        <v>74</v>
      </c>
      <c r="J19" s="126">
        <f ca="1">IF(J18=1,1,'Probabilités de décès'!H26)</f>
        <v>1.2648618374392047E-2</v>
      </c>
      <c r="K19" s="126">
        <f t="shared" ca="1" si="1"/>
        <v>0.98735138162560798</v>
      </c>
      <c r="L19" s="127">
        <f t="shared" ca="1" si="16"/>
        <v>0.91245052498776014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</v>
      </c>
      <c r="P19" s="134">
        <f t="shared" ca="1" si="2"/>
        <v>0.83225638969957993</v>
      </c>
      <c r="Q19" s="126">
        <f>(1-(1+VLOOKUP(C19,'Autres hypothèses'!$B$18:$H$86,5,FALSE))^-1)/VLOOKUP(C19,'Autres hypothèses'!$B$18:$H$86,7,FALSE)</f>
        <v>0.97968018334959373</v>
      </c>
      <c r="R19" s="126">
        <f>R18/(1+VLOOKUP(C19-1,'Autres hypothèses'!$B$18:$H$86,5,FALSE))</f>
        <v>0.56919965494722324</v>
      </c>
      <c r="S19" s="135">
        <f t="shared" ca="1" si="3"/>
        <v>0.46409414528815862</v>
      </c>
      <c r="U19" s="143">
        <f t="shared" ca="1" si="4"/>
        <v>0.75939277970579955</v>
      </c>
      <c r="V19" s="126">
        <f t="shared" ca="1" si="5"/>
        <v>7.2863609993780332E-2</v>
      </c>
      <c r="W19" s="126">
        <f t="shared" ca="1" si="6"/>
        <v>0.15305774528196053</v>
      </c>
      <c r="X19" s="126">
        <f t="shared" ca="1" si="7"/>
        <v>1.4685865018459528E-2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</v>
      </c>
      <c r="AC19" s="134">
        <f t="shared" ca="1" si="14"/>
        <v>0.92409103686875615</v>
      </c>
      <c r="AD19" s="134">
        <f>(1-(1+VLOOKUP(C19,'Autres hypothèses'!$B$18:$H$86,5,FALSE))^-1)/VLOOKUP(C19,'Autres hypothèses'!$B$18:$H$86,7,FALSE)</f>
        <v>0.97968018334959373</v>
      </c>
      <c r="AE19" s="126">
        <f>AE18/(1+VLOOKUP(C19-1,'Autres hypothèses'!B29:H97,5,FALSE))</f>
        <v>0.56919965494722324</v>
      </c>
      <c r="AF19" s="135">
        <f t="shared" ca="1" si="9"/>
        <v>0.51530423224369759</v>
      </c>
      <c r="AG19" s="80"/>
    </row>
    <row r="20" spans="2:33" x14ac:dyDescent="0.2">
      <c r="B20" s="96">
        <f t="shared" si="10"/>
        <v>13</v>
      </c>
      <c r="C20" s="13">
        <f t="shared" si="11"/>
        <v>2035</v>
      </c>
      <c r="D20" s="13">
        <f t="shared" si="12"/>
        <v>78</v>
      </c>
      <c r="E20" s="126">
        <f ca="1">IF(E19=1,1,'Probabilités de décès'!D27)</f>
        <v>2.8999914889963289E-2</v>
      </c>
      <c r="F20" s="126">
        <f t="shared" ca="1" si="0"/>
        <v>0.97100008511003666</v>
      </c>
      <c r="G20" s="126">
        <f t="shared" ca="1" si="15"/>
        <v>0.81055931914893653</v>
      </c>
      <c r="H20" s="13"/>
      <c r="I20" s="13">
        <f t="shared" si="13"/>
        <v>75</v>
      </c>
      <c r="J20" s="126">
        <f ca="1">IF(J19=1,1,'Probabilités de décès'!H27)</f>
        <v>1.3959001075904417E-2</v>
      </c>
      <c r="K20" s="126">
        <f t="shared" ca="1" si="1"/>
        <v>0.98604099892409558</v>
      </c>
      <c r="L20" s="127">
        <f t="shared" ca="1" si="16"/>
        <v>0.90090928651167634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</v>
      </c>
      <c r="P20" s="134">
        <f t="shared" ca="1" si="2"/>
        <v>0.81055931914893653</v>
      </c>
      <c r="Q20" s="126">
        <f>(1-(1+VLOOKUP(C20,'Autres hypothèses'!$B$18:$H$86,5,FALSE))^-1)/VLOOKUP(C20,'Autres hypothèses'!$B$18:$H$86,7,FALSE)</f>
        <v>0.97968018334959373</v>
      </c>
      <c r="R20" s="126">
        <f>R19/(1+VLOOKUP(C20-1,'Autres hypothèses'!$B$18:$H$86,5,FALSE))</f>
        <v>0.5441679301598692</v>
      </c>
      <c r="S20" s="135">
        <f t="shared" ca="1" si="3"/>
        <v>0.43211771438168661</v>
      </c>
      <c r="U20" s="143">
        <f t="shared" ca="1" si="4"/>
        <v>0.73024041788985861</v>
      </c>
      <c r="V20" s="126">
        <f t="shared" ca="1" si="5"/>
        <v>8.0318901259077966E-2</v>
      </c>
      <c r="W20" s="126">
        <f t="shared" ca="1" si="6"/>
        <v>0.17066886862181777</v>
      </c>
      <c r="X20" s="126">
        <f t="shared" ca="1" si="7"/>
        <v>1.8771812229245691E-2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</v>
      </c>
      <c r="AC20" s="134">
        <f t="shared" ca="1" si="14"/>
        <v>0.91296064032202717</v>
      </c>
      <c r="AD20" s="134">
        <f>(1-(1+VLOOKUP(C20,'Autres hypothèses'!$B$18:$H$86,5,FALSE))^-1)/VLOOKUP(C20,'Autres hypothèses'!$B$18:$H$86,7,FALSE)</f>
        <v>0.97968018334959373</v>
      </c>
      <c r="AE20" s="126">
        <f>AE19/(1+VLOOKUP(C20-1,'Autres hypothèses'!B30:H98,5,FALSE))</f>
        <v>0.5441679301598692</v>
      </c>
      <c r="AF20" s="135">
        <f t="shared" ca="1" si="9"/>
        <v>0.48670893776240293</v>
      </c>
      <c r="AG20" s="80"/>
    </row>
    <row r="21" spans="2:33" x14ac:dyDescent="0.2">
      <c r="B21" s="96">
        <f t="shared" si="10"/>
        <v>14</v>
      </c>
      <c r="C21" s="13">
        <f t="shared" si="11"/>
        <v>2036</v>
      </c>
      <c r="D21" s="13">
        <f t="shared" si="12"/>
        <v>79</v>
      </c>
      <c r="E21" s="126">
        <f ca="1">IF(E20=1,1,'Probabilités de décès'!D28)</f>
        <v>3.2325384064381235E-2</v>
      </c>
      <c r="F21" s="126">
        <f t="shared" ca="1" si="0"/>
        <v>0.96767461593561876</v>
      </c>
      <c r="G21" s="126">
        <f t="shared" ca="1" si="15"/>
        <v>0.78705316788035073</v>
      </c>
      <c r="H21" s="13"/>
      <c r="I21" s="13">
        <f t="shared" si="13"/>
        <v>76</v>
      </c>
      <c r="J21" s="126">
        <f ca="1">IF(J20=1,1,'Probabilités de décès'!H28)</f>
        <v>1.54706079883715E-2</v>
      </c>
      <c r="K21" s="126">
        <f t="shared" ca="1" si="1"/>
        <v>0.98452939201162848</v>
      </c>
      <c r="L21" s="127">
        <f t="shared" ca="1" si="16"/>
        <v>0.88833349281196761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</v>
      </c>
      <c r="P21" s="134">
        <f t="shared" ca="1" si="2"/>
        <v>0.78705316788035073</v>
      </c>
      <c r="Q21" s="126">
        <f>(1-(1+VLOOKUP(C21,'Autres hypothèses'!$B$18:$H$86,5,FALSE))^-1)/VLOOKUP(C21,'Autres hypothèses'!$B$18:$H$86,7,FALSE)</f>
        <v>0.97968018334959373</v>
      </c>
      <c r="R21" s="126">
        <f>R20/(1+VLOOKUP(C21-1,'Autres hypothèses'!$B$18:$H$86,5,FALSE))</f>
        <v>0.52023702692148099</v>
      </c>
      <c r="S21" s="135">
        <f t="shared" ca="1" si="3"/>
        <v>0.40113416581469613</v>
      </c>
      <c r="U21" s="143">
        <f t="shared" ca="1" si="4"/>
        <v>0.69916568965187587</v>
      </c>
      <c r="V21" s="126">
        <f t="shared" ca="1" si="5"/>
        <v>8.7887478228474855E-2</v>
      </c>
      <c r="W21" s="126">
        <f t="shared" ca="1" si="6"/>
        <v>0.18916780316009171</v>
      </c>
      <c r="X21" s="126">
        <f t="shared" ca="1" si="7"/>
        <v>2.3779028959557542E-2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</v>
      </c>
      <c r="AC21" s="134">
        <f t="shared" ca="1" si="14"/>
        <v>0.90055384977640573</v>
      </c>
      <c r="AD21" s="134">
        <f>(1-(1+VLOOKUP(C21,'Autres hypothèses'!$B$18:$H$86,5,FALSE))^-1)/VLOOKUP(C21,'Autres hypothèses'!$B$18:$H$86,7,FALSE)</f>
        <v>0.97968018334959373</v>
      </c>
      <c r="AE21" s="126">
        <f>AE20/(1+VLOOKUP(C21-1,'Autres hypothèses'!B31:H99,5,FALSE))</f>
        <v>0.52023702692148099</v>
      </c>
      <c r="AF21" s="135">
        <f t="shared" ca="1" si="9"/>
        <v>0.45898159367575087</v>
      </c>
      <c r="AG21" s="80"/>
    </row>
    <row r="22" spans="2:33" x14ac:dyDescent="0.2">
      <c r="B22" s="96">
        <f t="shared" si="10"/>
        <v>15</v>
      </c>
      <c r="C22" s="13">
        <f t="shared" si="11"/>
        <v>2037</v>
      </c>
      <c r="D22" s="13">
        <f t="shared" si="12"/>
        <v>80</v>
      </c>
      <c r="E22" s="126">
        <f ca="1">IF(E21=1,1,'Probabilités de décès'!D29)</f>
        <v>3.6121723303901579E-2</v>
      </c>
      <c r="F22" s="126">
        <f t="shared" ca="1" si="0"/>
        <v>0.96387827669609838</v>
      </c>
      <c r="G22" s="126">
        <f t="shared" ca="1" si="15"/>
        <v>0.76161137194953044</v>
      </c>
      <c r="H22" s="13"/>
      <c r="I22" s="13">
        <f t="shared" si="13"/>
        <v>77</v>
      </c>
      <c r="J22" s="126">
        <f ca="1">IF(J21=1,1,'Probabilités de décès'!H29)</f>
        <v>1.723319360833675E-2</v>
      </c>
      <c r="K22" s="126">
        <f t="shared" ca="1" si="1"/>
        <v>0.98276680639166325</v>
      </c>
      <c r="L22" s="127">
        <f t="shared" ca="1" si="16"/>
        <v>0.87459043358173283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0.76161137194953044</v>
      </c>
      <c r="Q22" s="126">
        <f>(1-(1+VLOOKUP(C22,'Autres hypothèses'!$B$18:$H$86,5,FALSE))^-1)/VLOOKUP(C22,'Autres hypothèses'!$B$18:$H$86,7,FALSE)</f>
        <v>0.98397165791092345</v>
      </c>
      <c r="R22" s="126">
        <f>R21/(1+VLOOKUP(C22-1,'Autres hypothèses'!$B$18:$H$86,5,FALSE))</f>
        <v>0.49735853434176003</v>
      </c>
      <c r="S22" s="135">
        <f t="shared" ca="1" si="3"/>
        <v>0.37272247722888197</v>
      </c>
      <c r="U22" s="143">
        <f t="shared" ca="1" si="4"/>
        <v>0.66609802001411822</v>
      </c>
      <c r="V22" s="126">
        <f t="shared" ca="1" si="5"/>
        <v>9.5513351935412216E-2</v>
      </c>
      <c r="W22" s="126">
        <f t="shared" ca="1" si="6"/>
        <v>0.20849241356761461</v>
      </c>
      <c r="X22" s="126">
        <f t="shared" ca="1" si="7"/>
        <v>2.9896214482854951E-2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14"/>
        <v>0.88670682009009916</v>
      </c>
      <c r="AD22" s="134">
        <f>(1-(1+VLOOKUP(C22,'Autres hypothèses'!$B$18:$H$86,5,FALSE))^-1)/VLOOKUP(C22,'Autres hypothèses'!$B$18:$H$86,7,FALSE)</f>
        <v>0.98397165791092345</v>
      </c>
      <c r="AE22" s="126">
        <f>AE21/(1+VLOOKUP(C22-1,'Autres hypothèses'!B32:H100,5,FALSE))</f>
        <v>0.49735853434176003</v>
      </c>
      <c r="AF22" s="135">
        <f t="shared" ca="1" si="9"/>
        <v>0.43394252598112099</v>
      </c>
      <c r="AG22" s="80"/>
    </row>
    <row r="23" spans="2:33" x14ac:dyDescent="0.2">
      <c r="B23" s="96">
        <f t="shared" si="10"/>
        <v>16</v>
      </c>
      <c r="C23" s="13">
        <f t="shared" si="11"/>
        <v>2038</v>
      </c>
      <c r="D23" s="13">
        <f t="shared" si="12"/>
        <v>81</v>
      </c>
      <c r="E23" s="126">
        <f ca="1">IF(E22=1,1,'Probabilités de décès'!D30)</f>
        <v>4.0039042946366496E-2</v>
      </c>
      <c r="F23" s="126">
        <f t="shared" ca="1" si="0"/>
        <v>0.95996095705363349</v>
      </c>
      <c r="G23" s="126">
        <f t="shared" ca="1" si="15"/>
        <v>0.73410065670686464</v>
      </c>
      <c r="H23" s="13"/>
      <c r="I23" s="13">
        <f t="shared" si="13"/>
        <v>78</v>
      </c>
      <c r="J23" s="126">
        <f ca="1">IF(J22=1,1,'Probabilités de décès'!H30)</f>
        <v>1.9279844250370971E-2</v>
      </c>
      <c r="K23" s="126">
        <f t="shared" ca="1" si="1"/>
        <v>0.98072015574962901</v>
      </c>
      <c r="L23" s="127">
        <f t="shared" ca="1" si="16"/>
        <v>0.85951844731181959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0.73410065670686464</v>
      </c>
      <c r="Q23" s="126">
        <f>(1-(1+VLOOKUP(C23,'Autres hypothèses'!$B$18:$H$86,5,FALSE))^-1)/VLOOKUP(C23,'Autres hypothèses'!$B$18:$H$86,7,FALSE)</f>
        <v>0.98397165791092345</v>
      </c>
      <c r="R23" s="126">
        <f>R22/(1+VLOOKUP(C23-1,'Autres hypothèses'!$B$18:$H$86,5,FALSE))</f>
        <v>0.4800758053491892</v>
      </c>
      <c r="S23" s="135">
        <f t="shared" ca="1" si="3"/>
        <v>0.34677519212092234</v>
      </c>
      <c r="U23" s="143">
        <f t="shared" ca="1" si="4"/>
        <v>0.63097305662327141</v>
      </c>
      <c r="V23" s="126">
        <f t="shared" ca="1" si="5"/>
        <v>0.10312760008359324</v>
      </c>
      <c r="W23" s="126">
        <f t="shared" ca="1" si="6"/>
        <v>0.22854539068854821</v>
      </c>
      <c r="X23" s="126">
        <f t="shared" ca="1" si="7"/>
        <v>3.7353952604587168E-2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14"/>
        <v>0.87122789111999355</v>
      </c>
      <c r="AD23" s="134">
        <f>(1-(1+VLOOKUP(C23,'Autres hypothèses'!$B$18:$H$86,5,FALSE))^-1)/VLOOKUP(C23,'Autres hypothèses'!$B$18:$H$86,7,FALSE)</f>
        <v>0.98397165791092345</v>
      </c>
      <c r="AE23" s="126">
        <f>AE22/(1+VLOOKUP(C23-1,'Autres hypothèses'!B33:H101,5,FALSE))</f>
        <v>0.4800758053491892</v>
      </c>
      <c r="AF23" s="135">
        <f t="shared" ca="1" si="9"/>
        <v>0.41155149033585736</v>
      </c>
      <c r="AG23" s="80"/>
    </row>
    <row r="24" spans="2:33" x14ac:dyDescent="0.2">
      <c r="B24" s="96">
        <f t="shared" si="10"/>
        <v>17</v>
      </c>
      <c r="C24" s="13">
        <f t="shared" si="11"/>
        <v>2039</v>
      </c>
      <c r="D24" s="13">
        <f t="shared" si="12"/>
        <v>82</v>
      </c>
      <c r="E24" s="126">
        <f ca="1">IF(E23=1,1,'Probabilités de décès'!D31)</f>
        <v>4.4531686692526086E-2</v>
      </c>
      <c r="F24" s="126">
        <f t="shared" ca="1" si="0"/>
        <v>0.95546831330747395</v>
      </c>
      <c r="G24" s="126">
        <f t="shared" ca="1" si="15"/>
        <v>0.70470796898602261</v>
      </c>
      <c r="H24" s="13"/>
      <c r="I24" s="13">
        <f t="shared" si="13"/>
        <v>79</v>
      </c>
      <c r="J24" s="126">
        <f ca="1">IF(J23=1,1,'Probabilités de décès'!H31)</f>
        <v>2.1672710727261679E-2</v>
      </c>
      <c r="K24" s="126">
        <f t="shared" ca="1" si="1"/>
        <v>0.97832728927273838</v>
      </c>
      <c r="L24" s="127">
        <f t="shared" ca="1" si="16"/>
        <v>0.84294706551732701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0.70470796898602261</v>
      </c>
      <c r="Q24" s="126">
        <f>(1-(1+VLOOKUP(C24,'Autres hypothèses'!$B$18:$H$86,5,FALSE))^-1)/VLOOKUP(C24,'Autres hypothèses'!$B$18:$H$86,7,FALSE)</f>
        <v>0.98397165791092345</v>
      </c>
      <c r="R24" s="126">
        <f>R23/(1+VLOOKUP(C24-1,'Autres hypothèses'!$B$18:$H$86,5,FALSE))</f>
        <v>0.46339363450693938</v>
      </c>
      <c r="S24" s="135">
        <f t="shared" ca="1" si="3"/>
        <v>0.32132301670932262</v>
      </c>
      <c r="U24" s="143">
        <f t="shared" ca="1" si="4"/>
        <v>0.59403151450344327</v>
      </c>
      <c r="V24" s="126">
        <f t="shared" ca="1" si="5"/>
        <v>0.11067645448257936</v>
      </c>
      <c r="W24" s="126">
        <f t="shared" ca="1" si="6"/>
        <v>0.24891555101388377</v>
      </c>
      <c r="X24" s="126">
        <f t="shared" ca="1" si="7"/>
        <v>4.6376480000093631E-2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14"/>
        <v>0.85405729959435284</v>
      </c>
      <c r="AD24" s="134">
        <f>(1-(1+VLOOKUP(C24,'Autres hypothèses'!$B$18:$H$86,5,FALSE))^-1)/VLOOKUP(C24,'Autres hypothèses'!$B$18:$H$86,7,FALSE)</f>
        <v>0.98397165791092345</v>
      </c>
      <c r="AE24" s="126">
        <f>AE23/(1+VLOOKUP(C24-1,'Autres hypothèses'!B34:H102,5,FALSE))</f>
        <v>0.46339363450693938</v>
      </c>
      <c r="AF24" s="135">
        <f t="shared" ca="1" si="9"/>
        <v>0.38942126387919174</v>
      </c>
      <c r="AG24" s="80"/>
    </row>
    <row r="25" spans="2:33" x14ac:dyDescent="0.2">
      <c r="B25" s="96">
        <f t="shared" si="10"/>
        <v>18</v>
      </c>
      <c r="C25" s="13">
        <f t="shared" si="11"/>
        <v>2040</v>
      </c>
      <c r="D25" s="13">
        <f t="shared" si="12"/>
        <v>83</v>
      </c>
      <c r="E25" s="126">
        <f ca="1">IF(E24=1,1,'Probabilités de décès'!D32)</f>
        <v>4.9616057608462771E-2</v>
      </c>
      <c r="F25" s="126">
        <f t="shared" ca="1" si="0"/>
        <v>0.95038394239153723</v>
      </c>
      <c r="G25" s="126">
        <f t="shared" ca="1" si="15"/>
        <v>0.67332613450141066</v>
      </c>
      <c r="H25" s="13"/>
      <c r="I25" s="13">
        <f t="shared" si="13"/>
        <v>80</v>
      </c>
      <c r="J25" s="126">
        <f ca="1">IF(J24=1,1,'Probabilités de décès'!H32)</f>
        <v>2.4559580249728919E-2</v>
      </c>
      <c r="K25" s="126">
        <f t="shared" ca="1" si="1"/>
        <v>0.97544041975027107</v>
      </c>
      <c r="L25" s="127">
        <f t="shared" ca="1" si="16"/>
        <v>0.82467811760797594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0.67332613450141066</v>
      </c>
      <c r="Q25" s="126">
        <f>(1-(1+VLOOKUP(C25,'Autres hypothèses'!$B$18:$H$86,5,FALSE))^-1)/VLOOKUP(C25,'Autres hypothèses'!$B$18:$H$86,7,FALSE)</f>
        <v>0.98397165791092345</v>
      </c>
      <c r="R25" s="126">
        <f>R24/(1+VLOOKUP(C25-1,'Autres hypothèses'!$B$18:$H$86,5,FALSE))</f>
        <v>0.4472911529989762</v>
      </c>
      <c r="S25" s="135">
        <f t="shared" ca="1" si="3"/>
        <v>0.29634552200977382</v>
      </c>
      <c r="U25" s="143">
        <f t="shared" ca="1" si="4"/>
        <v>0.55527732913687811</v>
      </c>
      <c r="V25" s="126">
        <f t="shared" ca="1" si="5"/>
        <v>0.11804880536453249</v>
      </c>
      <c r="W25" s="126">
        <f t="shared" ca="1" si="6"/>
        <v>0.26940078847109777</v>
      </c>
      <c r="X25" s="126">
        <f t="shared" ca="1" si="7"/>
        <v>5.727307702749157E-2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14"/>
        <v>0.83496660758406915</v>
      </c>
      <c r="AD25" s="134">
        <f>(1-(1+VLOOKUP(C25,'Autres hypothèses'!$B$18:$H$86,5,FALSE))^-1)/VLOOKUP(C25,'Autres hypothèses'!$B$18:$H$86,7,FALSE)</f>
        <v>0.98397165791092345</v>
      </c>
      <c r="AE25" s="126">
        <f>AE24/(1+VLOOKUP(C25-1,'Autres hypothèses'!B35:H103,5,FALSE))</f>
        <v>0.4472911529989762</v>
      </c>
      <c r="AF25" s="135">
        <f t="shared" ca="1" si="9"/>
        <v>0.36748702078593176</v>
      </c>
      <c r="AG25" s="80"/>
    </row>
    <row r="26" spans="2:33" x14ac:dyDescent="0.2">
      <c r="B26" s="96">
        <f t="shared" si="10"/>
        <v>19</v>
      </c>
      <c r="C26" s="13">
        <f t="shared" si="11"/>
        <v>2041</v>
      </c>
      <c r="D26" s="13">
        <f t="shared" si="12"/>
        <v>84</v>
      </c>
      <c r="E26" s="126">
        <f ca="1">IF(E25=1,1,'Probabilités de décès'!D33)</f>
        <v>5.5440627399285944E-2</v>
      </c>
      <c r="F26" s="126">
        <f t="shared" ca="1" si="0"/>
        <v>0.9445593726007141</v>
      </c>
      <c r="G26" s="126">
        <f t="shared" ca="1" si="15"/>
        <v>0.63991834622270516</v>
      </c>
      <c r="H26" s="13"/>
      <c r="I26" s="13">
        <f t="shared" si="13"/>
        <v>81</v>
      </c>
      <c r="J26" s="126">
        <f ca="1">IF(J25=1,1,'Probabilités de décès'!H33)</f>
        <v>2.7742895382526171E-2</v>
      </c>
      <c r="K26" s="126">
        <f t="shared" ca="1" si="1"/>
        <v>0.97225710461747383</v>
      </c>
      <c r="L26" s="127">
        <f t="shared" ca="1" si="16"/>
        <v>0.80442436919838745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0.63991834622270516</v>
      </c>
      <c r="Q26" s="126">
        <f>(1-(1+VLOOKUP(C26,'Autres hypothèses'!$B$18:$H$86,5,FALSE))^-1)/VLOOKUP(C26,'Autres hypothèses'!$B$18:$H$86,7,FALSE)</f>
        <v>0.98397165791092345</v>
      </c>
      <c r="R26" s="126">
        <f>R25/(1+VLOOKUP(C26-1,'Autres hypothèses'!$B$18:$H$86,5,FALSE))</f>
        <v>0.43174821718047895</v>
      </c>
      <c r="S26" s="135">
        <f t="shared" ca="1" si="3"/>
        <v>0.27185523698622288</v>
      </c>
      <c r="U26" s="143">
        <f t="shared" ca="1" si="4"/>
        <v>0.51476591199867494</v>
      </c>
      <c r="V26" s="126">
        <f t="shared" ca="1" si="5"/>
        <v>0.12515243422403027</v>
      </c>
      <c r="W26" s="126">
        <f t="shared" ca="1" si="6"/>
        <v>0.28965845719971256</v>
      </c>
      <c r="X26" s="126">
        <f t="shared" ca="1" si="7"/>
        <v>7.0423196577582295E-2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14"/>
        <v>0.81371342054253271</v>
      </c>
      <c r="AD26" s="134">
        <f>(1-(1+VLOOKUP(C26,'Autres hypothèses'!$B$18:$H$86,5,FALSE))^-1)/VLOOKUP(C26,'Autres hypothèses'!$B$18:$H$86,7,FALSE)</f>
        <v>0.98397165791092345</v>
      </c>
      <c r="AE26" s="126">
        <f>AE25/(1+VLOOKUP(C26-1,'Autres hypothèses'!B36:H104,5,FALSE))</f>
        <v>0.43174821718047895</v>
      </c>
      <c r="AF26" s="135">
        <f t="shared" ca="1" si="9"/>
        <v>0.34568825239380424</v>
      </c>
      <c r="AG26" s="80"/>
    </row>
    <row r="27" spans="2:33" x14ac:dyDescent="0.2">
      <c r="B27" s="96">
        <f t="shared" si="10"/>
        <v>20</v>
      </c>
      <c r="C27" s="13">
        <f t="shared" si="11"/>
        <v>2042</v>
      </c>
      <c r="D27" s="13">
        <f t="shared" si="12"/>
        <v>85</v>
      </c>
      <c r="E27" s="126">
        <f ca="1">IF(E26=1,1,'Probabilités de décès'!D34)</f>
        <v>6.1838243597071969E-2</v>
      </c>
      <c r="F27" s="126">
        <f t="shared" ca="1" si="0"/>
        <v>0.93816175640292798</v>
      </c>
      <c r="G27" s="126">
        <f t="shared" ca="1" si="15"/>
        <v>0.60444087162380489</v>
      </c>
      <c r="H27" s="13"/>
      <c r="I27" s="13">
        <f t="shared" si="13"/>
        <v>82</v>
      </c>
      <c r="J27" s="126">
        <f ca="1">IF(J26=1,1,'Probabilités de décès'!H34)</f>
        <v>3.1375561004196986E-2</v>
      </c>
      <c r="K27" s="126">
        <f t="shared" ca="1" si="1"/>
        <v>0.96862443899580297</v>
      </c>
      <c r="L27" s="127">
        <f t="shared" ca="1" si="16"/>
        <v>0.78210730808056195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0.60444087162380489</v>
      </c>
      <c r="Q27" s="126">
        <f>(1-(1+VLOOKUP(C27,'Autres hypothèses'!$B$18:$H$86,5,FALSE))^-1)/VLOOKUP(C27,'Autres hypothèses'!$B$18:$H$86,7,FALSE)</f>
        <v>0.98397165791092345</v>
      </c>
      <c r="R27" s="126">
        <f>R26/(1+VLOOKUP(C27-1,'Autres hypothèses'!$B$18:$H$86,5,FALSE))</f>
        <v>0.41674538337884065</v>
      </c>
      <c r="S27" s="135">
        <f t="shared" ca="1" si="3"/>
        <v>0.24786043637637559</v>
      </c>
      <c r="U27" s="143">
        <f t="shared" ca="1" si="4"/>
        <v>0.47273762299956257</v>
      </c>
      <c r="V27" s="126">
        <f t="shared" ca="1" si="5"/>
        <v>0.13170324862424232</v>
      </c>
      <c r="W27" s="126">
        <f t="shared" ca="1" si="6"/>
        <v>0.30936968508099938</v>
      </c>
      <c r="X27" s="126">
        <f t="shared" ca="1" si="7"/>
        <v>8.6189443295195733E-2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14"/>
        <v>0.79006268267240454</v>
      </c>
      <c r="AD27" s="134">
        <f>(1-(1+VLOOKUP(C27,'Autres hypothèses'!$B$18:$H$86,5,FALSE))^-1)/VLOOKUP(C27,'Autres hypothèses'!$B$18:$H$86,7,FALSE)</f>
        <v>0.98397165791092345</v>
      </c>
      <c r="AE27" s="126">
        <f>AE26/(1+VLOOKUP(C27-1,'Autres hypothèses'!B37:H105,5,FALSE))</f>
        <v>0.41674538337884065</v>
      </c>
      <c r="AF27" s="135">
        <f t="shared" ca="1" si="9"/>
        <v>0.32397756420044166</v>
      </c>
      <c r="AG27" s="80"/>
    </row>
    <row r="28" spans="2:33" x14ac:dyDescent="0.2">
      <c r="B28" s="96">
        <f t="shared" si="10"/>
        <v>21</v>
      </c>
      <c r="C28" s="13">
        <f t="shared" si="11"/>
        <v>2043</v>
      </c>
      <c r="D28" s="13">
        <f t="shared" si="12"/>
        <v>86</v>
      </c>
      <c r="E28" s="126">
        <f ca="1">IF(E27=1,1,'Probabilités de décès'!D35)</f>
        <v>6.8849841640624229E-2</v>
      </c>
      <c r="F28" s="126">
        <f t="shared" ca="1" si="0"/>
        <v>0.93115015835937576</v>
      </c>
      <c r="G28" s="126">
        <f t="shared" ca="1" si="15"/>
        <v>0.56706330976430552</v>
      </c>
      <c r="H28" s="13"/>
      <c r="I28" s="13">
        <f t="shared" si="13"/>
        <v>83</v>
      </c>
      <c r="J28" s="126">
        <f ca="1">IF(J27=1,1,'Probabilités de décès'!H35)</f>
        <v>3.5495729928864121E-2</v>
      </c>
      <c r="K28" s="126">
        <f t="shared" ca="1" si="1"/>
        <v>0.96450427007113593</v>
      </c>
      <c r="L28" s="127">
        <f t="shared" ca="1" si="16"/>
        <v>0.75756825252405191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0.56706330976430552</v>
      </c>
      <c r="Q28" s="126">
        <f>(1-(1+VLOOKUP(C28,'Autres hypothèses'!$B$18:$H$86,5,FALSE))^-1)/VLOOKUP(C28,'Autres hypothèses'!$B$18:$H$86,7,FALSE)</f>
        <v>0.98397165791092345</v>
      </c>
      <c r="R28" s="126">
        <f>R27/(1+VLOOKUP(C28-1,'Autres hypothèses'!$B$18:$H$86,5,FALSE))</f>
        <v>0.40226388357030951</v>
      </c>
      <c r="S28" s="135">
        <f t="shared" ca="1" si="3"/>
        <v>0.22445287870044084</v>
      </c>
      <c r="U28" s="143">
        <f t="shared" ca="1" si="4"/>
        <v>0.4295891606486501</v>
      </c>
      <c r="V28" s="126">
        <f t="shared" ca="1" si="5"/>
        <v>0.13747414911565545</v>
      </c>
      <c r="W28" s="126">
        <f t="shared" ca="1" si="6"/>
        <v>0.32797909187540181</v>
      </c>
      <c r="X28" s="126">
        <f t="shared" ca="1" si="7"/>
        <v>0.10495759836029264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14"/>
        <v>0.76385076488954662</v>
      </c>
      <c r="AD28" s="134">
        <f>(1-(1+VLOOKUP(C28,'Autres hypothèses'!$B$18:$H$86,5,FALSE))^-1)/VLOOKUP(C28,'Autres hypothèses'!$B$18:$H$86,7,FALSE)</f>
        <v>0.98397165791092345</v>
      </c>
      <c r="AE28" s="126">
        <f>AE27/(1+VLOOKUP(C28-1,'Autres hypothèses'!B38:H106,5,FALSE))</f>
        <v>0.40226388357030951</v>
      </c>
      <c r="AF28" s="135">
        <f t="shared" ca="1" si="9"/>
        <v>0.30234455328850901</v>
      </c>
      <c r="AG28" s="80"/>
    </row>
    <row r="29" spans="2:33" x14ac:dyDescent="0.2">
      <c r="B29" s="96">
        <f t="shared" si="10"/>
        <v>22</v>
      </c>
      <c r="C29" s="13">
        <f t="shared" si="11"/>
        <v>2044</v>
      </c>
      <c r="D29" s="13">
        <f t="shared" si="12"/>
        <v>87</v>
      </c>
      <c r="E29" s="126">
        <f ca="1">IF(E28=1,1,'Probabilités de décès'!D36)</f>
        <v>7.6661067887067239E-2</v>
      </c>
      <c r="F29" s="126">
        <f t="shared" ca="1" si="0"/>
        <v>0.92333893211293272</v>
      </c>
      <c r="G29" s="126">
        <f t="shared" ca="1" si="15"/>
        <v>0.52802109068682479</v>
      </c>
      <c r="H29" s="13"/>
      <c r="I29" s="13">
        <f t="shared" si="13"/>
        <v>84</v>
      </c>
      <c r="J29" s="126">
        <f ca="1">IF(J28=1,1,'Probabilités de décès'!H36)</f>
        <v>4.0163102209073702E-2</v>
      </c>
      <c r="K29" s="126">
        <f t="shared" ca="1" si="1"/>
        <v>0.95983689779092629</v>
      </c>
      <c r="L29" s="127">
        <f t="shared" ca="1" si="16"/>
        <v>0.73067781442977664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0.52802109068682479</v>
      </c>
      <c r="Q29" s="126">
        <f>(1-(1+VLOOKUP(C29,'Autres hypothèses'!$B$18:$H$86,5,FALSE))^-1)/VLOOKUP(C29,'Autres hypothèses'!$B$18:$H$86,7,FALSE)</f>
        <v>0.98397165791092345</v>
      </c>
      <c r="R29" s="126">
        <f>R28/(1+VLOOKUP(C29-1,'Autres hypothèses'!$B$18:$H$86,5,FALSE))</f>
        <v>0.38828560190184314</v>
      </c>
      <c r="S29" s="135">
        <f t="shared" ca="1" si="3"/>
        <v>0.20173680844221353</v>
      </c>
      <c r="U29" s="143">
        <f t="shared" ca="1" si="4"/>
        <v>0.38581329651587604</v>
      </c>
      <c r="V29" s="126">
        <f t="shared" ca="1" si="5"/>
        <v>0.14220779417094875</v>
      </c>
      <c r="W29" s="126">
        <f t="shared" ca="1" si="6"/>
        <v>0.3448645179139006</v>
      </c>
      <c r="X29" s="126">
        <f t="shared" ca="1" si="7"/>
        <v>0.12711439139927461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14"/>
        <v>0.73493980143516513</v>
      </c>
      <c r="AD29" s="134">
        <f>(1-(1+VLOOKUP(C29,'Autres hypothèses'!$B$18:$H$86,5,FALSE))^-1)/VLOOKUP(C29,'Autres hypothèses'!$B$18:$H$86,7,FALSE)</f>
        <v>0.98397165791092345</v>
      </c>
      <c r="AE29" s="126">
        <f>AE28/(1+VLOOKUP(C29-1,'Autres hypothèses'!B39:H107,5,FALSE))</f>
        <v>0.38828560190184314</v>
      </c>
      <c r="AF29" s="135">
        <f t="shared" ca="1" si="9"/>
        <v>0.28079259058729844</v>
      </c>
      <c r="AG29" s="80"/>
    </row>
    <row r="30" spans="2:33" x14ac:dyDescent="0.2">
      <c r="B30" s="96">
        <f t="shared" si="10"/>
        <v>23</v>
      </c>
      <c r="C30" s="13">
        <f t="shared" si="11"/>
        <v>2045</v>
      </c>
      <c r="D30" s="13">
        <f t="shared" si="12"/>
        <v>88</v>
      </c>
      <c r="E30" s="126">
        <f ca="1">IF(E29=1,1,'Probabilités de décès'!D37)</f>
        <v>8.4970632996928475E-2</v>
      </c>
      <c r="F30" s="126">
        <f t="shared" ca="1" si="0"/>
        <v>0.91502936700307158</v>
      </c>
      <c r="G30" s="126">
        <f t="shared" ca="1" si="15"/>
        <v>0.48754243000787878</v>
      </c>
      <c r="H30" s="13"/>
      <c r="I30" s="13">
        <f t="shared" si="13"/>
        <v>85</v>
      </c>
      <c r="J30" s="126">
        <f ca="1">IF(J29=1,1,'Probabilités de décès'!H37)</f>
        <v>4.5244391085039672E-2</v>
      </c>
      <c r="K30" s="126">
        <f t="shared" ca="1" si="1"/>
        <v>0.95475560891496036</v>
      </c>
      <c r="L30" s="127">
        <f t="shared" ca="1" si="16"/>
        <v>0.70133152668693088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0.48754243000787878</v>
      </c>
      <c r="Q30" s="126">
        <f>(1-(1+VLOOKUP(C30,'Autres hypothèses'!$B$18:$H$86,5,FALSE))^-1)/VLOOKUP(C30,'Autres hypothèses'!$B$18:$H$86,7,FALSE)</f>
        <v>0.98397165791092345</v>
      </c>
      <c r="R30" s="126">
        <f>R29/(1+VLOOKUP(C30-1,'Autres hypothèses'!$B$18:$H$86,5,FALSE))</f>
        <v>0.37479305202880608</v>
      </c>
      <c r="S30" s="135">
        <f t="shared" ca="1" si="3"/>
        <v>0.17979869621129796</v>
      </c>
      <c r="U30" s="143">
        <f t="shared" ca="1" si="4"/>
        <v>0.34192887676208178</v>
      </c>
      <c r="V30" s="126">
        <f t="shared" ca="1" si="5"/>
        <v>0.145613553245797</v>
      </c>
      <c r="W30" s="126">
        <f t="shared" ca="1" si="6"/>
        <v>0.3594026499248491</v>
      </c>
      <c r="X30" s="126">
        <f t="shared" ca="1" si="7"/>
        <v>0.15305492006727212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14"/>
        <v>0.70318401996278823</v>
      </c>
      <c r="AD30" s="134">
        <f>(1-(1+VLOOKUP(C30,'Autres hypothèses'!$B$18:$H$86,5,FALSE))^-1)/VLOOKUP(C30,'Autres hypothèses'!$B$18:$H$86,7,FALSE)</f>
        <v>0.98397165791092345</v>
      </c>
      <c r="AE30" s="126">
        <f>AE29/(1+VLOOKUP(C30-1,'Autres hypothèses'!B40:H108,5,FALSE))</f>
        <v>0.37479305202880608</v>
      </c>
      <c r="AF30" s="135">
        <f t="shared" ca="1" si="9"/>
        <v>0.25932423970542517</v>
      </c>
      <c r="AG30" s="80"/>
    </row>
    <row r="31" spans="2:33" x14ac:dyDescent="0.2">
      <c r="B31" s="96">
        <f t="shared" si="10"/>
        <v>24</v>
      </c>
      <c r="C31" s="13">
        <f t="shared" si="11"/>
        <v>2046</v>
      </c>
      <c r="D31" s="13">
        <f t="shared" si="12"/>
        <v>89</v>
      </c>
      <c r="E31" s="126">
        <f ca="1">IF(E30=1,1,'Probabilités de décès'!D38)</f>
        <v>9.4003911897145687E-2</v>
      </c>
      <c r="F31" s="126">
        <f t="shared" ca="1" si="0"/>
        <v>0.90599608810285437</v>
      </c>
      <c r="G31" s="126">
        <f t="shared" ca="1" si="15"/>
        <v>0.44611564111724866</v>
      </c>
      <c r="H31" s="13"/>
      <c r="I31" s="13">
        <f t="shared" si="13"/>
        <v>86</v>
      </c>
      <c r="J31" s="126">
        <f ca="1">IF(J30=1,1,'Probabilités de décès'!H38)</f>
        <v>5.0078442008212029E-2</v>
      </c>
      <c r="K31" s="126">
        <f t="shared" ca="1" si="1"/>
        <v>0.94992155799178801</v>
      </c>
      <c r="L31" s="127">
        <f t="shared" ca="1" si="16"/>
        <v>0.66960020881323945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0.44611564111724866</v>
      </c>
      <c r="Q31" s="126">
        <f>(1-(1+VLOOKUP(C31,'Autres hypothèses'!$B$18:$H$86,5,FALSE))^-1)/VLOOKUP(C31,'Autres hypothèses'!$B$18:$H$86,7,FALSE)</f>
        <v>0.98397165791092345</v>
      </c>
      <c r="R31" s="126">
        <f>R30/(1+VLOOKUP(C31-1,'Autres hypothèses'!$B$18:$H$86,5,FALSE))</f>
        <v>0.3617693552401603</v>
      </c>
      <c r="S31" s="135">
        <f t="shared" ca="1" si="3"/>
        <v>0.15880413820675823</v>
      </c>
      <c r="U31" s="143">
        <f t="shared" ca="1" si="4"/>
        <v>0.29871912644696191</v>
      </c>
      <c r="V31" s="126">
        <f t="shared" ca="1" si="5"/>
        <v>0.14739651467028678</v>
      </c>
      <c r="W31" s="126">
        <f t="shared" ca="1" si="6"/>
        <v>0.37088108236627754</v>
      </c>
      <c r="X31" s="126">
        <f t="shared" ca="1" si="7"/>
        <v>0.18300327651647377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14"/>
        <v>0.66864429053701513</v>
      </c>
      <c r="AD31" s="134">
        <f>(1-(1+VLOOKUP(C31,'Autres hypothèses'!$B$18:$H$86,5,FALSE))^-1)/VLOOKUP(C31,'Autres hypothèses'!$B$18:$H$86,7,FALSE)</f>
        <v>0.98397165791092345</v>
      </c>
      <c r="AE31" s="126">
        <f>AE30/(1+VLOOKUP(C31-1,'Autres hypothèses'!B41:H109,5,FALSE))</f>
        <v>0.3617693552401603</v>
      </c>
      <c r="AF31" s="135">
        <f t="shared" ca="1" si="9"/>
        <v>0.23801783784059857</v>
      </c>
      <c r="AG31" s="80"/>
    </row>
    <row r="32" spans="2:33" x14ac:dyDescent="0.2">
      <c r="B32" s="96">
        <f t="shared" si="10"/>
        <v>25</v>
      </c>
      <c r="C32" s="13">
        <f t="shared" si="11"/>
        <v>2047</v>
      </c>
      <c r="D32" s="13">
        <f t="shared" si="12"/>
        <v>90</v>
      </c>
      <c r="E32" s="126">
        <f ca="1">IF(E31=1,1,'Probabilités de décès'!D39)</f>
        <v>0.1039466768235642</v>
      </c>
      <c r="F32" s="126">
        <f t="shared" ca="1" si="0"/>
        <v>0.89605332317643582</v>
      </c>
      <c r="G32" s="126">
        <f t="shared" ca="1" si="15"/>
        <v>0.40417902569372416</v>
      </c>
      <c r="H32" s="13"/>
      <c r="I32" s="13">
        <f t="shared" si="13"/>
        <v>87</v>
      </c>
      <c r="J32" s="126">
        <f ca="1">IF(J31=1,1,'Probabilités de décès'!H39)</f>
        <v>5.5762130925825E-2</v>
      </c>
      <c r="K32" s="126">
        <f t="shared" ca="1" si="1"/>
        <v>0.94423786907417495</v>
      </c>
      <c r="L32" s="127">
        <f t="shared" ca="1" si="16"/>
        <v>0.63606767358749905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0.40417902569372416</v>
      </c>
      <c r="Q32" s="126">
        <f>(1-(1+VLOOKUP(C32,'Autres hypothèses'!$B$18:$H$86,5,FALSE))^-1)/VLOOKUP(C32,'Autres hypothèses'!$B$18:$H$86,7,FALSE)</f>
        <v>0.98397165791092345</v>
      </c>
      <c r="R32" s="126">
        <f>R31/(1+VLOOKUP(C32-1,'Autres hypothèses'!$B$18:$H$86,5,FALSE))</f>
        <v>0.34919821934378403</v>
      </c>
      <c r="S32" s="135">
        <f t="shared" ca="1" si="3"/>
        <v>0.13887637836859845</v>
      </c>
      <c r="U32" s="143">
        <f t="shared" ca="1" si="4"/>
        <v>0.25708521258586914</v>
      </c>
      <c r="V32" s="126">
        <f t="shared" ca="1" si="5"/>
        <v>0.14709381310785502</v>
      </c>
      <c r="W32" s="126">
        <f t="shared" ca="1" si="6"/>
        <v>0.37898246100162997</v>
      </c>
      <c r="X32" s="126">
        <f t="shared" ca="1" si="7"/>
        <v>0.21683851330464593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14"/>
        <v>0.63156850229470218</v>
      </c>
      <c r="AD32" s="134">
        <f>(1-(1+VLOOKUP(C32,'Autres hypothèses'!$B$18:$H$86,5,FALSE))^-1)/VLOOKUP(C32,'Autres hypothèses'!$B$18:$H$86,7,FALSE)</f>
        <v>0.98397165791092345</v>
      </c>
      <c r="AE32" s="126">
        <f>AE31/(1+VLOOKUP(C32-1,'Autres hypothèses'!B42:H110,5,FALSE))</f>
        <v>0.34919821934378403</v>
      </c>
      <c r="AF32" s="135">
        <f t="shared" ca="1" si="9"/>
        <v>0.2170076642146995</v>
      </c>
      <c r="AG32" s="80"/>
    </row>
    <row r="33" spans="2:33" x14ac:dyDescent="0.2">
      <c r="B33" s="96">
        <f t="shared" si="10"/>
        <v>26</v>
      </c>
      <c r="C33" s="13">
        <f t="shared" si="11"/>
        <v>2048</v>
      </c>
      <c r="D33" s="13">
        <f t="shared" si="12"/>
        <v>91</v>
      </c>
      <c r="E33" s="126">
        <f ca="1">IF(E32=1,1,'Probabilités de décès'!D40)</f>
        <v>0.11796869054514952</v>
      </c>
      <c r="F33" s="126">
        <f t="shared" ca="1" si="0"/>
        <v>0.88203130945485042</v>
      </c>
      <c r="G33" s="126">
        <f t="shared" ca="1" si="15"/>
        <v>0.36216595913107558</v>
      </c>
      <c r="H33" s="13"/>
      <c r="I33" s="13">
        <f t="shared" si="13"/>
        <v>88</v>
      </c>
      <c r="J33" s="126">
        <f ca="1">IF(J32=1,1,'Probabilités de décès'!H40)</f>
        <v>6.2088450940299911E-2</v>
      </c>
      <c r="K33" s="126">
        <f t="shared" ca="1" si="1"/>
        <v>0.93791154905970009</v>
      </c>
      <c r="L33" s="127">
        <f t="shared" ca="1" si="16"/>
        <v>0.60059918469522799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0.36216595913107558</v>
      </c>
      <c r="Q33" s="126">
        <f>(1-(1+VLOOKUP(C33,'Autres hypothèses'!$B$18:$H$86,5,FALSE))^-1)/VLOOKUP(C33,'Autres hypothèses'!$B$18:$H$86,7,FALSE)</f>
        <v>0.98397165791092345</v>
      </c>
      <c r="R33" s="126">
        <f>R32/(1+VLOOKUP(C33-1,'Autres hypothèses'!$B$18:$H$86,5,FALSE))</f>
        <v>0.3370639182855058</v>
      </c>
      <c r="S33" s="135">
        <f t="shared" ca="1" si="3"/>
        <v>0.12011644821224973</v>
      </c>
      <c r="U33" s="143">
        <f t="shared" ca="1" si="4"/>
        <v>0.21751657977848926</v>
      </c>
      <c r="V33" s="126">
        <f t="shared" ca="1" si="5"/>
        <v>0.14464937935258632</v>
      </c>
      <c r="W33" s="126">
        <f t="shared" ca="1" si="6"/>
        <v>0.38308260491673879</v>
      </c>
      <c r="X33" s="126">
        <f t="shared" ca="1" si="7"/>
        <v>0.25475143595218569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14"/>
        <v>0.59201552208111885</v>
      </c>
      <c r="AD33" s="134">
        <f>(1-(1+VLOOKUP(C33,'Autres hypothèses'!$B$18:$H$86,5,FALSE))^-1)/VLOOKUP(C33,'Autres hypothèses'!$B$18:$H$86,7,FALSE)</f>
        <v>0.98397165791092345</v>
      </c>
      <c r="AE33" s="126">
        <f>AE32/(1+VLOOKUP(C33-1,'Autres hypothèses'!B43:H111,5,FALSE))</f>
        <v>0.3370639182855058</v>
      </c>
      <c r="AF33" s="135">
        <f t="shared" ca="1" si="9"/>
        <v>0.19634866283268823</v>
      </c>
      <c r="AG33" s="80"/>
    </row>
    <row r="34" spans="2:33" x14ac:dyDescent="0.2">
      <c r="B34" s="96">
        <f t="shared" si="10"/>
        <v>27</v>
      </c>
      <c r="C34" s="13">
        <f t="shared" si="11"/>
        <v>2049</v>
      </c>
      <c r="D34" s="13">
        <f t="shared" si="12"/>
        <v>92</v>
      </c>
      <c r="E34" s="126">
        <f ca="1">IF(E33=1,1,'Probabilités de décès'!D41)</f>
        <v>0.13306887167044579</v>
      </c>
      <c r="F34" s="126">
        <f t="shared" ca="1" si="0"/>
        <v>0.86693112832955421</v>
      </c>
      <c r="G34" s="126">
        <f t="shared" ca="1" si="15"/>
        <v>0.31944171517235442</v>
      </c>
      <c r="H34" s="13"/>
      <c r="I34" s="13">
        <f t="shared" si="13"/>
        <v>89</v>
      </c>
      <c r="J34" s="126">
        <f ca="1">IF(J33=1,1,'Probabilités de décès'!H41)</f>
        <v>6.9043863822460486E-2</v>
      </c>
      <c r="K34" s="126">
        <f t="shared" ca="1" si="1"/>
        <v>0.93095613617753947</v>
      </c>
      <c r="L34" s="127">
        <f t="shared" ca="1" si="16"/>
        <v>0.56330891168149422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0.31944171517235442</v>
      </c>
      <c r="Q34" s="126">
        <f>(1-(1+VLOOKUP(C34,'Autres hypothèses'!$B$18:$H$86,5,FALSE))^-1)/VLOOKUP(C34,'Autres hypothèses'!$B$18:$H$86,7,FALSE)</f>
        <v>0.98397165791092345</v>
      </c>
      <c r="R34" s="126">
        <f>R33/(1+VLOOKUP(C34-1,'Autres hypothèses'!$B$18:$H$86,5,FALSE))</f>
        <v>0.32535127247635692</v>
      </c>
      <c r="S34" s="135">
        <f t="shared" ca="1" si="3"/>
        <v>0.10226493060204279</v>
      </c>
      <c r="U34" s="143">
        <f t="shared" ca="1" si="4"/>
        <v>0.17994436491940882</v>
      </c>
      <c r="V34" s="126">
        <f t="shared" ca="1" si="5"/>
        <v>0.1394973502529456</v>
      </c>
      <c r="W34" s="126">
        <f t="shared" ca="1" si="6"/>
        <v>0.38336454676208537</v>
      </c>
      <c r="X34" s="126">
        <f t="shared" ca="1" si="7"/>
        <v>0.29719373806556021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14"/>
        <v>0.54946044322960563</v>
      </c>
      <c r="AD34" s="134">
        <f>(1-(1+VLOOKUP(C34,'Autres hypothèses'!$B$18:$H$86,5,FALSE))^-1)/VLOOKUP(C34,'Autres hypothèses'!$B$18:$H$86,7,FALSE)</f>
        <v>0.98397165791092345</v>
      </c>
      <c r="AE34" s="126">
        <f>AE33/(1+VLOOKUP(C34-1,'Autres hypothèses'!B44:H112,5,FALSE))</f>
        <v>0.32535127247635692</v>
      </c>
      <c r="AF34" s="135">
        <f t="shared" ca="1" si="9"/>
        <v>0.17590230526130801</v>
      </c>
      <c r="AG34" s="80"/>
    </row>
    <row r="35" spans="2:33" x14ac:dyDescent="0.2">
      <c r="B35" s="96">
        <f t="shared" si="10"/>
        <v>28</v>
      </c>
      <c r="C35" s="13">
        <f t="shared" si="11"/>
        <v>2050</v>
      </c>
      <c r="D35" s="13">
        <f t="shared" si="12"/>
        <v>93</v>
      </c>
      <c r="E35" s="126">
        <f ca="1">IF(E34=1,1,'Probabilités de décès'!D42)</f>
        <v>0.15137671660559648</v>
      </c>
      <c r="F35" s="126">
        <f t="shared" ca="1" si="0"/>
        <v>0.84862328339440352</v>
      </c>
      <c r="G35" s="126">
        <f t="shared" ca="1" si="15"/>
        <v>0.27693396656989727</v>
      </c>
      <c r="H35" s="13"/>
      <c r="I35" s="13">
        <f t="shared" si="13"/>
        <v>90</v>
      </c>
      <c r="J35" s="126">
        <f ca="1">IF(J34=1,1,'Probabilités de décès'!H42)</f>
        <v>7.6573890094622121E-2</v>
      </c>
      <c r="K35" s="126">
        <f t="shared" ca="1" si="1"/>
        <v>0.92342610990537788</v>
      </c>
      <c r="L35" s="127">
        <f t="shared" ca="1" si="16"/>
        <v>0.52441588789337867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0.27693396656989727</v>
      </c>
      <c r="Q35" s="126">
        <f>(1-(1+VLOOKUP(C35,'Autres hypothèses'!$B$18:$H$86,5,FALSE))^-1)/VLOOKUP(C35,'Autres hypothèses'!$B$18:$H$86,7,FALSE)</f>
        <v>0.98397165791092345</v>
      </c>
      <c r="R35" s="126">
        <f>R34/(1+VLOOKUP(C35-1,'Autres hypothèses'!$B$18:$H$86,5,FALSE))</f>
        <v>0.31404562980343331</v>
      </c>
      <c r="S35" s="135">
        <f t="shared" ca="1" si="3"/>
        <v>8.5575918605571927E-2</v>
      </c>
      <c r="U35" s="143">
        <f t="shared" ca="1" si="4"/>
        <v>0.14522857196658792</v>
      </c>
      <c r="V35" s="126">
        <f t="shared" ca="1" si="5"/>
        <v>0.13170539460330935</v>
      </c>
      <c r="W35" s="126">
        <f t="shared" ca="1" si="6"/>
        <v>0.37918731592679072</v>
      </c>
      <c r="X35" s="126">
        <f t="shared" ca="1" si="7"/>
        <v>0.34387871750331195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14"/>
        <v>0.50444635612597166</v>
      </c>
      <c r="AD35" s="134">
        <f>(1-(1+VLOOKUP(C35,'Autres hypothèses'!$B$18:$H$86,5,FALSE))^-1)/VLOOKUP(C35,'Autres hypothèses'!$B$18:$H$86,7,FALSE)</f>
        <v>0.98397165791092345</v>
      </c>
      <c r="AE35" s="126">
        <f>AE34/(1+VLOOKUP(C35-1,'Autres hypothèses'!B45:H113,5,FALSE))</f>
        <v>0.31404562980343331</v>
      </c>
      <c r="AF35" s="135">
        <f t="shared" ca="1" si="9"/>
        <v>0.1558799769035118</v>
      </c>
      <c r="AG35" s="80"/>
    </row>
    <row r="36" spans="2:33" x14ac:dyDescent="0.2">
      <c r="B36" s="96">
        <f t="shared" si="10"/>
        <v>29</v>
      </c>
      <c r="C36" s="13">
        <f t="shared" si="11"/>
        <v>2051</v>
      </c>
      <c r="D36" s="13">
        <f t="shared" si="12"/>
        <v>94</v>
      </c>
      <c r="E36" s="126">
        <f ca="1">IF(E35=1,1,'Probabilités de décès'!D43)</f>
        <v>0.17214218070382184</v>
      </c>
      <c r="F36" s="126">
        <f t="shared" ca="1" si="0"/>
        <v>0.82785781929617819</v>
      </c>
      <c r="G36" s="126">
        <f t="shared" ca="1" si="15"/>
        <v>0.23501261199398221</v>
      </c>
      <c r="H36" s="13"/>
      <c r="I36" s="13">
        <f t="shared" si="13"/>
        <v>91</v>
      </c>
      <c r="J36" s="126">
        <f ca="1">IF(J35=1,1,'Probabilités de décès'!H43)</f>
        <v>8.778657303612844E-2</v>
      </c>
      <c r="K36" s="126">
        <f t="shared" ca="1" si="1"/>
        <v>0.91221342696387153</v>
      </c>
      <c r="L36" s="127">
        <f t="shared" ca="1" si="16"/>
        <v>0.48425932332995741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0.23501261199398221</v>
      </c>
      <c r="Q36" s="126">
        <f>(1-(1+VLOOKUP(C36,'Autres hypothèses'!$B$18:$H$86,5,FALSE))^-1)/VLOOKUP(C36,'Autres hypothèses'!$B$18:$H$86,7,FALSE)</f>
        <v>0.98397165791092345</v>
      </c>
      <c r="R36" s="126">
        <f>R35/(1+VLOOKUP(C36-1,'Autres hypothèses'!$B$18:$H$86,5,FALSE))</f>
        <v>0.3031328473006113</v>
      </c>
      <c r="S36" s="135">
        <f t="shared" ca="1" si="3"/>
        <v>7.0098182458062416E-2</v>
      </c>
      <c r="U36" s="143">
        <f t="shared" ca="1" si="4"/>
        <v>0.11380704845821166</v>
      </c>
      <c r="V36" s="126">
        <f t="shared" ca="1" si="5"/>
        <v>0.12120556353577054</v>
      </c>
      <c r="W36" s="126">
        <f t="shared" ca="1" si="6"/>
        <v>0.37045227487174576</v>
      </c>
      <c r="X36" s="126">
        <f t="shared" ca="1" si="7"/>
        <v>0.39453511313427203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14"/>
        <v>0.45728397691702966</v>
      </c>
      <c r="AD36" s="134">
        <f>(1-(1+VLOOKUP(C36,'Autres hypothèses'!$B$18:$H$86,5,FALSE))^-1)/VLOOKUP(C36,'Autres hypothèses'!$B$18:$H$86,7,FALSE)</f>
        <v>0.98397165791092345</v>
      </c>
      <c r="AE36" s="126">
        <f>AE35/(1+VLOOKUP(C36-1,'Autres hypothèses'!B46:H114,5,FALSE))</f>
        <v>0.3031328473006113</v>
      </c>
      <c r="AF36" s="135">
        <f t="shared" ca="1" si="9"/>
        <v>0.13639598052677765</v>
      </c>
      <c r="AG36" s="80"/>
    </row>
    <row r="37" spans="2:33" x14ac:dyDescent="0.2">
      <c r="B37" s="96">
        <f t="shared" si="10"/>
        <v>30</v>
      </c>
      <c r="C37" s="13">
        <f t="shared" si="11"/>
        <v>2052</v>
      </c>
      <c r="D37" s="13">
        <f t="shared" si="12"/>
        <v>95</v>
      </c>
      <c r="E37" s="126">
        <f ca="1">IF(E36=1,1,'Probabilités de décès'!D44)</f>
        <v>0.19528473932899212</v>
      </c>
      <c r="F37" s="126">
        <f t="shared" ca="1" si="0"/>
        <v>0.80471526067100785</v>
      </c>
      <c r="G37" s="126">
        <f t="shared" ca="1" si="15"/>
        <v>0.19455702847243697</v>
      </c>
      <c r="H37" s="13"/>
      <c r="I37" s="13">
        <f t="shared" si="13"/>
        <v>92</v>
      </c>
      <c r="J37" s="126">
        <f ca="1">IF(J36=1,1,'Probabilités de décès'!H44)</f>
        <v>0.10012774108787562</v>
      </c>
      <c r="K37" s="126">
        <f t="shared" ca="1" si="1"/>
        <v>0.89987225891212441</v>
      </c>
      <c r="L37" s="127">
        <f t="shared" ca="1" si="16"/>
        <v>0.44174785687402596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0.19455702847243697</v>
      </c>
      <c r="Q37" s="126">
        <f>(1-(1+VLOOKUP(C37,'Autres hypothèses'!$B$18:$H$86,5,FALSE))^-1)/VLOOKUP(C37,'Autres hypothèses'!$B$18:$H$86,7,FALSE)</f>
        <v>0.98397165791092345</v>
      </c>
      <c r="R37" s="126">
        <f>R36/(1+VLOOKUP(C37-1,'Autres hypothèses'!$B$18:$H$86,5,FALSE))</f>
        <v>0.29259927345618852</v>
      </c>
      <c r="S37" s="135">
        <f t="shared" ca="1" si="3"/>
        <v>5.6014795816947079E-2</v>
      </c>
      <c r="U37" s="143">
        <f t="shared" ca="1" si="4"/>
        <v>8.5945150367477879E-2</v>
      </c>
      <c r="V37" s="126">
        <f t="shared" ca="1" si="5"/>
        <v>0.10861187810495909</v>
      </c>
      <c r="W37" s="126">
        <f t="shared" ca="1" si="6"/>
        <v>0.35580270650654811</v>
      </c>
      <c r="X37" s="126">
        <f t="shared" ca="1" si="7"/>
        <v>0.44964026502101495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14"/>
        <v>0.40803865237636583</v>
      </c>
      <c r="AD37" s="134">
        <f>(1-(1+VLOOKUP(C37,'Autres hypothèses'!$B$18:$H$86,5,FALSE))^-1)/VLOOKUP(C37,'Autres hypothèses'!$B$18:$H$86,7,FALSE)</f>
        <v>0.98397165791092345</v>
      </c>
      <c r="AE37" s="126">
        <f>AE36/(1+VLOOKUP(C37-1,'Autres hypothèses'!B47:H115,5,FALSE))</f>
        <v>0.29259927345618852</v>
      </c>
      <c r="AF37" s="135">
        <f t="shared" ca="1" si="9"/>
        <v>0.11747816040232353</v>
      </c>
      <c r="AG37" s="80"/>
    </row>
    <row r="38" spans="2:33" x14ac:dyDescent="0.2">
      <c r="B38" s="96">
        <f t="shared" si="10"/>
        <v>31</v>
      </c>
      <c r="C38" s="13">
        <f t="shared" si="11"/>
        <v>2053</v>
      </c>
      <c r="D38" s="13">
        <f t="shared" si="12"/>
        <v>96</v>
      </c>
      <c r="E38" s="126">
        <f ca="1">IF(E37=1,1,'Probabilités de décès'!D45)</f>
        <v>0.22006223843070627</v>
      </c>
      <c r="F38" s="126">
        <f t="shared" ca="1" si="0"/>
        <v>0.77993776156929373</v>
      </c>
      <c r="G38" s="126">
        <f t="shared" ca="1" si="15"/>
        <v>0.15656300988257382</v>
      </c>
      <c r="H38" s="13"/>
      <c r="I38" s="13">
        <f t="shared" si="13"/>
        <v>93</v>
      </c>
      <c r="J38" s="126">
        <f ca="1">IF(J37=1,1,'Probabilités de décès'!H45)</f>
        <v>0.11575005785227417</v>
      </c>
      <c r="K38" s="126">
        <f t="shared" ca="1" si="1"/>
        <v>0.88424994214772579</v>
      </c>
      <c r="L38" s="127">
        <f t="shared" ca="1" si="16"/>
        <v>0.39751664183481955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0.15656300988257382</v>
      </c>
      <c r="Q38" s="126">
        <f>(1-(1+VLOOKUP(C38,'Autres hypothèses'!$B$18:$H$86,5,FALSE))^-1)/VLOOKUP(C38,'Autres hypothèses'!$B$18:$H$86,7,FALSE)</f>
        <v>0.98397165791092345</v>
      </c>
      <c r="R38" s="126">
        <f>R37/(1+VLOOKUP(C38-1,'Autres hypothèses'!$B$18:$H$86,5,FALSE))</f>
        <v>0.28243173113531711</v>
      </c>
      <c r="S38" s="135">
        <f t="shared" ca="1" si="3"/>
        <v>4.3509614881532668E-2</v>
      </c>
      <c r="U38" s="143">
        <f t="shared" ca="1" si="4"/>
        <v>6.2236401924072413E-2</v>
      </c>
      <c r="V38" s="126">
        <f t="shared" ca="1" si="5"/>
        <v>9.4326607958501424E-2</v>
      </c>
      <c r="W38" s="126">
        <f t="shared" ca="1" si="6"/>
        <v>0.33528023991074712</v>
      </c>
      <c r="X38" s="126">
        <f t="shared" ca="1" si="7"/>
        <v>0.50815675020667905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14"/>
        <v>0.3577311538290221</v>
      </c>
      <c r="AD38" s="134">
        <f>(1-(1+VLOOKUP(C38,'Autres hypothèses'!$B$18:$H$86,5,FALSE))^-1)/VLOOKUP(C38,'Autres hypothèses'!$B$18:$H$86,7,FALSE)</f>
        <v>0.98397165791092345</v>
      </c>
      <c r="AE38" s="126">
        <f>AE37/(1+VLOOKUP(C38-1,'Autres hypothèses'!B48:H116,5,FALSE))</f>
        <v>0.28243173113531711</v>
      </c>
      <c r="AF38" s="135">
        <f t="shared" ca="1" si="9"/>
        <v>9.9415211459597141E-2</v>
      </c>
      <c r="AG38" s="80"/>
    </row>
    <row r="39" spans="2:33" x14ac:dyDescent="0.2">
      <c r="B39" s="96">
        <f t="shared" si="10"/>
        <v>32</v>
      </c>
      <c r="C39" s="13">
        <f t="shared" si="11"/>
        <v>2054</v>
      </c>
      <c r="D39" s="13">
        <f t="shared" si="12"/>
        <v>97</v>
      </c>
      <c r="E39" s="126">
        <f ca="1">IF(E38=1,1,'Probabilités de décès'!D46)</f>
        <v>0.24622981040925651</v>
      </c>
      <c r="F39" s="126">
        <f t="shared" ca="1" si="0"/>
        <v>0.75377018959074349</v>
      </c>
      <c r="G39" s="126">
        <f t="shared" ca="1" si="15"/>
        <v>0.12210940347236585</v>
      </c>
      <c r="H39" s="13"/>
      <c r="I39" s="13">
        <f t="shared" si="13"/>
        <v>94</v>
      </c>
      <c r="J39" s="126">
        <f ca="1">IF(J38=1,1,'Probabilités de décès'!H46)</f>
        <v>0.13265957416906923</v>
      </c>
      <c r="K39" s="126">
        <f t="shared" ca="1" si="1"/>
        <v>0.86734042583093074</v>
      </c>
      <c r="L39" s="127">
        <f t="shared" ca="1" si="16"/>
        <v>0.35150406754519742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0.12210940347236585</v>
      </c>
      <c r="Q39" s="126">
        <f>(1-(1+VLOOKUP(C39,'Autres hypothèses'!$B$18:$H$86,5,FALSE))^-1)/VLOOKUP(C39,'Autres hypothèses'!$B$18:$H$86,7,FALSE)</f>
        <v>0.98397165791092345</v>
      </c>
      <c r="R39" s="126">
        <f>R38/(1+VLOOKUP(C39-1,'Autres hypothèses'!$B$18:$H$86,5,FALSE))</f>
        <v>0.27261750109586591</v>
      </c>
      <c r="S39" s="135">
        <f t="shared" ca="1" si="3"/>
        <v>3.2755590383633806E-2</v>
      </c>
      <c r="U39" s="143">
        <f t="shared" ca="1" si="4"/>
        <v>4.2921952006054247E-2</v>
      </c>
      <c r="V39" s="126">
        <f t="shared" ca="1" si="5"/>
        <v>7.9187451466311592E-2</v>
      </c>
      <c r="W39" s="126">
        <f t="shared" ca="1" si="6"/>
        <v>0.30858211553914316</v>
      </c>
      <c r="X39" s="126">
        <f t="shared" ca="1" si="7"/>
        <v>0.56930848098849096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14"/>
        <v>0.30725867279585173</v>
      </c>
      <c r="AD39" s="134">
        <f>(1-(1+VLOOKUP(C39,'Autres hypothèses'!$B$18:$H$86,5,FALSE))^-1)/VLOOKUP(C39,'Autres hypothèses'!$B$18:$H$86,7,FALSE)</f>
        <v>0.98397165791092345</v>
      </c>
      <c r="AE39" s="126">
        <f>AE38/(1+VLOOKUP(C39-1,'Autres hypothèses'!B49:H117,5,FALSE))</f>
        <v>0.27261750109586591</v>
      </c>
      <c r="AF39" s="135">
        <f t="shared" ca="1" si="9"/>
        <v>8.2421492053210588E-2</v>
      </c>
      <c r="AG39" s="80"/>
    </row>
    <row r="40" spans="2:33" x14ac:dyDescent="0.2">
      <c r="B40" s="96">
        <f t="shared" si="10"/>
        <v>33</v>
      </c>
      <c r="C40" s="13">
        <f t="shared" si="11"/>
        <v>2055</v>
      </c>
      <c r="D40" s="13">
        <f t="shared" si="12"/>
        <v>98</v>
      </c>
      <c r="E40" s="126">
        <f ca="1">IF(E39=1,1,'Probabilités de décès'!D47)</f>
        <v>0.27360635701269409</v>
      </c>
      <c r="F40" s="126">
        <f t="shared" ca="1" si="0"/>
        <v>0.72639364298730591</v>
      </c>
      <c r="G40" s="126">
        <f t="shared" ca="1" si="15"/>
        <v>9.2042428206177793E-2</v>
      </c>
      <c r="H40" s="13"/>
      <c r="I40" s="13">
        <f t="shared" si="13"/>
        <v>95</v>
      </c>
      <c r="J40" s="126">
        <f ca="1">IF(J39=1,1,'Probabilités de décès'!H47)</f>
        <v>0.15180698710819254</v>
      </c>
      <c r="K40" s="126">
        <f t="shared" ca="1" si="1"/>
        <v>0.84819301289180749</v>
      </c>
      <c r="L40" s="127">
        <f t="shared" ca="1" si="16"/>
        <v>0.30487368762595579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9.2042428206177793E-2</v>
      </c>
      <c r="Q40" s="126">
        <f>(1-(1+VLOOKUP(C40,'Autres hypothèses'!$B$18:$H$86,5,FALSE))^-1)/VLOOKUP(C40,'Autres hypothèses'!$B$18:$H$86,7,FALSE)</f>
        <v>0.98397165791092345</v>
      </c>
      <c r="R40" s="126">
        <f>R39/(1+VLOOKUP(C40-1,'Autres hypothèses'!$B$18:$H$86,5,FALSE))</f>
        <v>0.26314430607709066</v>
      </c>
      <c r="S40" s="135">
        <f t="shared" ca="1" si="3"/>
        <v>2.383222738767219E-2</v>
      </c>
      <c r="U40" s="143">
        <f t="shared" ca="1" si="4"/>
        <v>2.8061314505264712E-2</v>
      </c>
      <c r="V40" s="126">
        <f t="shared" ca="1" si="5"/>
        <v>6.3981113700913084E-2</v>
      </c>
      <c r="W40" s="126">
        <f t="shared" ca="1" si="6"/>
        <v>0.27681237312069107</v>
      </c>
      <c r="X40" s="126">
        <f t="shared" ca="1" si="7"/>
        <v>0.63114519867313112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14"/>
        <v>0.2581298520785924</v>
      </c>
      <c r="AD40" s="134">
        <f>(1-(1+VLOOKUP(C40,'Autres hypothèses'!$B$18:$H$86,5,FALSE))^-1)/VLOOKUP(C40,'Autres hypothèses'!$B$18:$H$86,7,FALSE)</f>
        <v>0.98397165791092345</v>
      </c>
      <c r="AE40" s="126">
        <f>AE39/(1+VLOOKUP(C40-1,'Autres hypothèses'!B50:H118,5,FALSE))</f>
        <v>0.26314430607709066</v>
      </c>
      <c r="AF40" s="135">
        <f t="shared" ca="1" si="9"/>
        <v>6.6836669242395078E-2</v>
      </c>
      <c r="AG40" s="80"/>
    </row>
    <row r="41" spans="2:33" x14ac:dyDescent="0.2">
      <c r="B41" s="96">
        <f t="shared" si="10"/>
        <v>34</v>
      </c>
      <c r="C41" s="13">
        <f t="shared" si="11"/>
        <v>2056</v>
      </c>
      <c r="D41" s="13">
        <f t="shared" si="12"/>
        <v>99</v>
      </c>
      <c r="E41" s="126">
        <f ca="1">IF(E40=1,1,'Probabilités de décès'!D48)</f>
        <v>0.3021402578829156</v>
      </c>
      <c r="F41" s="126">
        <f t="shared" ca="1" si="0"/>
        <v>0.69785974211708446</v>
      </c>
      <c r="G41" s="126">
        <f t="shared" ca="1" si="15"/>
        <v>6.6859034734083042E-2</v>
      </c>
      <c r="H41" s="13"/>
      <c r="I41" s="13">
        <f t="shared" si="13"/>
        <v>96</v>
      </c>
      <c r="J41" s="126">
        <f ca="1">IF(J40=1,1,'Probabilités de décès'!H48)</f>
        <v>0.17426594907872048</v>
      </c>
      <c r="K41" s="126">
        <f t="shared" ca="1" si="1"/>
        <v>0.82573405092127949</v>
      </c>
      <c r="L41" s="127">
        <f t="shared" ca="1" si="16"/>
        <v>0.25859173165889521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6.6859034734083042E-2</v>
      </c>
      <c r="Q41" s="126">
        <f>(1-(1+VLOOKUP(C41,'Autres hypothèses'!$B$18:$H$86,5,FALSE))^-1)/VLOOKUP(C41,'Autres hypothèses'!$B$18:$H$86,7,FALSE)</f>
        <v>0.98397165791092345</v>
      </c>
      <c r="R41" s="126">
        <f>R40/(1+VLOOKUP(C41-1,'Autres hypothèses'!$B$18:$H$86,5,FALSE))</f>
        <v>0.25400029544120717</v>
      </c>
      <c r="S41" s="135">
        <f t="shared" ca="1" si="3"/>
        <v>1.6710017830726877E-2</v>
      </c>
      <c r="U41" s="143">
        <f t="shared" ca="1" si="4"/>
        <v>1.7289193568928756E-2</v>
      </c>
      <c r="V41" s="126">
        <f t="shared" ca="1" si="5"/>
        <v>4.9569841165154283E-2</v>
      </c>
      <c r="W41" s="126">
        <f t="shared" ca="1" si="6"/>
        <v>0.24130253808996643</v>
      </c>
      <c r="X41" s="126">
        <f t="shared" ca="1" si="7"/>
        <v>0.69183842717595045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14"/>
        <v>0.21164055758806288</v>
      </c>
      <c r="AD41" s="134">
        <f>(1-(1+VLOOKUP(C41,'Autres hypothèses'!$B$18:$H$86,5,FALSE))^-1)/VLOOKUP(C41,'Autres hypothèses'!$B$18:$H$86,7,FALSE)</f>
        <v>0.98397165791092345</v>
      </c>
      <c r="AE41" s="126">
        <f>AE40/(1+VLOOKUP(C41-1,'Autres hypothèses'!B51:H119,5,FALSE))</f>
        <v>0.25400029544120717</v>
      </c>
      <c r="AF41" s="135">
        <f t="shared" ca="1" si="9"/>
        <v>5.2895132349236297E-2</v>
      </c>
      <c r="AG41" s="80"/>
    </row>
    <row r="42" spans="2:33" x14ac:dyDescent="0.2">
      <c r="B42" s="96">
        <f t="shared" si="10"/>
        <v>35</v>
      </c>
      <c r="C42" s="13">
        <f t="shared" si="11"/>
        <v>2057</v>
      </c>
      <c r="D42" s="13">
        <f t="shared" si="12"/>
        <v>100</v>
      </c>
      <c r="E42" s="126">
        <f ca="1">IF(E41=1,1,'Probabilités de décès'!D49)</f>
        <v>0.33203809073065127</v>
      </c>
      <c r="F42" s="126">
        <f t="shared" ca="1" si="0"/>
        <v>0.66796190926934873</v>
      </c>
      <c r="G42" s="126">
        <f t="shared" ca="1" si="15"/>
        <v>4.6658228737724385E-2</v>
      </c>
      <c r="H42" s="13"/>
      <c r="I42" s="13">
        <f t="shared" si="13"/>
        <v>97</v>
      </c>
      <c r="J42" s="126">
        <f ca="1">IF(J41=1,1,'Probabilités de décès'!H49)</f>
        <v>0.20012164616035807</v>
      </c>
      <c r="K42" s="126">
        <f t="shared" ca="1" si="1"/>
        <v>0.7998783538396419</v>
      </c>
      <c r="L42" s="127">
        <f t="shared" ca="1" si="16"/>
        <v>0.21352799811744802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4.6658228737724385E-2</v>
      </c>
      <c r="Q42" s="126">
        <f>(1-(1+VLOOKUP(C42,'Autres hypothèses'!$B$18:$H$86,5,FALSE))^-1)/VLOOKUP(C42,'Autres hypothèses'!$B$18:$H$86,7,FALSE)</f>
        <v>0.98397165791092345</v>
      </c>
      <c r="R42" s="126">
        <f>R41/(1+VLOOKUP(C42-1,'Autres hypothèses'!$B$18:$H$86,5,FALSE))</f>
        <v>0.24517403034865556</v>
      </c>
      <c r="S42" s="135">
        <f t="shared" ca="1" si="3"/>
        <v>1.1256031596643765E-2</v>
      </c>
      <c r="U42" s="143">
        <f t="shared" ca="1" si="4"/>
        <v>9.9628381780722721E-3</v>
      </c>
      <c r="V42" s="126">
        <f t="shared" ca="1" si="5"/>
        <v>3.6695390559652111E-2</v>
      </c>
      <c r="W42" s="126">
        <f t="shared" ca="1" si="6"/>
        <v>0.20356515993937574</v>
      </c>
      <c r="X42" s="126">
        <f t="shared" ca="1" si="7"/>
        <v>0.74977661132289986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14"/>
        <v>0.16879732470134981</v>
      </c>
      <c r="AD42" s="134">
        <f>(1-(1+VLOOKUP(C42,'Autres hypothèses'!$B$18:$H$86,5,FALSE))^-1)/VLOOKUP(C42,'Autres hypothèses'!$B$18:$H$86,7,FALSE)</f>
        <v>0.98397165791092345</v>
      </c>
      <c r="AE42" s="126">
        <f>AE41/(1+VLOOKUP(C42-1,'Autres hypothèses'!B52:H120,5,FALSE))</f>
        <v>0.24517403034865556</v>
      </c>
      <c r="AF42" s="135">
        <f t="shared" ca="1" si="9"/>
        <v>4.0721391953122757E-2</v>
      </c>
      <c r="AG42" s="80"/>
    </row>
    <row r="43" spans="2:33" x14ac:dyDescent="0.2">
      <c r="B43" s="96">
        <f t="shared" si="10"/>
        <v>36</v>
      </c>
      <c r="C43" s="13">
        <f t="shared" si="11"/>
        <v>2058</v>
      </c>
      <c r="D43" s="13">
        <f t="shared" si="12"/>
        <v>101</v>
      </c>
      <c r="E43" s="126">
        <f ca="1">IF(E42=1,1,'Probabilités de décès'!D50)</f>
        <v>0.35854739428972787</v>
      </c>
      <c r="F43" s="126">
        <f t="shared" ca="1" si="0"/>
        <v>0.64145260571027207</v>
      </c>
      <c r="G43" s="126">
        <f t="shared" ca="1" si="15"/>
        <v>3.1165919550776376E-2</v>
      </c>
      <c r="H43" s="13"/>
      <c r="I43" s="13">
        <f t="shared" si="13"/>
        <v>98</v>
      </c>
      <c r="J43" s="126">
        <f ca="1">IF(J42=1,1,'Probabilités de décès'!H50)</f>
        <v>0.22812142639549582</v>
      </c>
      <c r="K43" s="126">
        <f t="shared" ca="1" si="1"/>
        <v>0.77187857360450418</v>
      </c>
      <c r="L43" s="127">
        <f t="shared" ca="1" si="16"/>
        <v>0.17079642363285846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3.1165919550776376E-2</v>
      </c>
      <c r="Q43" s="126">
        <f>(1-(1+VLOOKUP(C43,'Autres hypothèses'!$B$18:$H$86,5,FALSE))^-1)/VLOOKUP(C43,'Autres hypothèses'!$B$18:$H$86,7,FALSE)</f>
        <v>0.98397165791092345</v>
      </c>
      <c r="R43" s="126">
        <f>R42/(1+VLOOKUP(C43-1,'Autres hypothèses'!$B$18:$H$86,5,FALSE))</f>
        <v>0.23665446944850924</v>
      </c>
      <c r="S43" s="135">
        <f t="shared" ca="1" si="3"/>
        <v>7.257336251052399E-3</v>
      </c>
      <c r="U43" s="143">
        <f t="shared" ca="1" si="4"/>
        <v>5.3230275985019877E-3</v>
      </c>
      <c r="V43" s="126">
        <f t="shared" ca="1" si="5"/>
        <v>2.5842891952274388E-2</v>
      </c>
      <c r="W43" s="126">
        <f t="shared" ca="1" si="6"/>
        <v>0.16547339603435646</v>
      </c>
      <c r="X43" s="126">
        <f t="shared" ca="1" si="7"/>
        <v>0.80336068441486708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14"/>
        <v>0.13044995717139024</v>
      </c>
      <c r="AD43" s="134">
        <f>(1-(1+VLOOKUP(C43,'Autres hypothèses'!$B$18:$H$86,5,FALSE))^-1)/VLOOKUP(C43,'Autres hypothèses'!$B$18:$H$86,7,FALSE)</f>
        <v>0.98397165791092345</v>
      </c>
      <c r="AE43" s="126">
        <f>AE42/(1+VLOOKUP(C43-1,'Autres hypothèses'!B53:H121,5,FALSE))</f>
        <v>0.23665446944850924</v>
      </c>
      <c r="AF43" s="135">
        <f t="shared" ca="1" si="9"/>
        <v>3.037674539285588E-2</v>
      </c>
      <c r="AG43" s="80"/>
    </row>
    <row r="44" spans="2:33" x14ac:dyDescent="0.2">
      <c r="B44" s="96">
        <f t="shared" si="10"/>
        <v>37</v>
      </c>
      <c r="C44" s="13">
        <f t="shared" si="11"/>
        <v>2059</v>
      </c>
      <c r="D44" s="13">
        <f t="shared" si="12"/>
        <v>102</v>
      </c>
      <c r="E44" s="126">
        <f ca="1">IF(E43=1,1,'Probabilités de décès'!D51)</f>
        <v>0.38627744284969595</v>
      </c>
      <c r="F44" s="126">
        <f t="shared" ca="1" si="0"/>
        <v>0.61372255715030399</v>
      </c>
      <c r="G44" s="126">
        <f t="shared" ca="1" si="15"/>
        <v>1.999146030520222E-2</v>
      </c>
      <c r="H44" s="13"/>
      <c r="I44" s="13">
        <f t="shared" si="13"/>
        <v>99</v>
      </c>
      <c r="J44" s="126">
        <f ca="1">IF(J43=1,1,'Probabilités de décès'!H51)</f>
        <v>0.25718110547743234</v>
      </c>
      <c r="K44" s="126">
        <f t="shared" ca="1" si="1"/>
        <v>0.74281889452256766</v>
      </c>
      <c r="L44" s="127">
        <f t="shared" ca="1" si="16"/>
        <v>0.13183409985048142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1.999146030520222E-2</v>
      </c>
      <c r="Q44" s="126">
        <f>(1-(1+VLOOKUP(C44,'Autres hypothèses'!$B$18:$H$86,5,FALSE))^-1)/VLOOKUP(C44,'Autres hypothèses'!$B$18:$H$86,7,FALSE)</f>
        <v>0.98397165791092345</v>
      </c>
      <c r="R44" s="126">
        <f>R43/(1+VLOOKUP(C44-1,'Autres hypothèses'!$B$18:$H$86,5,FALSE))</f>
        <v>0.22843095506612859</v>
      </c>
      <c r="S44" s="135">
        <f t="shared" ca="1" si="3"/>
        <v>4.4934722478312539E-3</v>
      </c>
      <c r="U44" s="143">
        <f t="shared" ca="1" si="4"/>
        <v>2.6355561740329654E-3</v>
      </c>
      <c r="V44" s="126">
        <f t="shared" ca="1" si="5"/>
        <v>1.7355904131169254E-2</v>
      </c>
      <c r="W44" s="126">
        <f t="shared" ca="1" si="6"/>
        <v>0.12919854367644845</v>
      </c>
      <c r="X44" s="126">
        <f t="shared" ca="1" si="7"/>
        <v>0.85080999601834928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14"/>
        <v>9.7510586511071279E-2</v>
      </c>
      <c r="AD44" s="134">
        <f>(1-(1+VLOOKUP(C44,'Autres hypothèses'!$B$18:$H$86,5,FALSE))^-1)/VLOOKUP(C44,'Autres hypothèses'!$B$18:$H$86,7,FALSE)</f>
        <v>0.98397165791092345</v>
      </c>
      <c r="AE44" s="126">
        <f>AE43/(1+VLOOKUP(C44-1,'Autres hypothèses'!B54:H122,5,FALSE))</f>
        <v>0.22843095506612859</v>
      </c>
      <c r="AF44" s="135">
        <f t="shared" ca="1" si="9"/>
        <v>2.1917414119229109E-2</v>
      </c>
      <c r="AG44" s="80"/>
    </row>
    <row r="45" spans="2:33" x14ac:dyDescent="0.2">
      <c r="B45" s="96">
        <f t="shared" si="10"/>
        <v>38</v>
      </c>
      <c r="C45" s="13">
        <f t="shared" si="11"/>
        <v>2060</v>
      </c>
      <c r="D45" s="13">
        <f t="shared" si="12"/>
        <v>103</v>
      </c>
      <c r="E45" s="126">
        <f ca="1">IF(E44=1,1,'Probabilités de décès'!D52)</f>
        <v>0.41599193127988182</v>
      </c>
      <c r="F45" s="126">
        <f t="shared" ca="1" si="0"/>
        <v>0.58400806872011812</v>
      </c>
      <c r="G45" s="126">
        <f t="shared" ca="1" si="15"/>
        <v>1.2269210139677503E-2</v>
      </c>
      <c r="H45" s="13"/>
      <c r="I45" s="13">
        <f t="shared" si="13"/>
        <v>100</v>
      </c>
      <c r="J45" s="126">
        <f ca="1">IF(J44=1,1,'Probabilités de décès'!H52)</f>
        <v>0.28668128346590799</v>
      </c>
      <c r="K45" s="126">
        <f t="shared" ca="1" si="1"/>
        <v>0.71331871653409196</v>
      </c>
      <c r="L45" s="127">
        <f t="shared" ca="1" si="16"/>
        <v>9.7928860311312413E-2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1.2269210139677503E-2</v>
      </c>
      <c r="Q45" s="126">
        <f>(1-(1+VLOOKUP(C45,'Autres hypothèses'!$B$18:$H$86,5,FALSE))^-1)/VLOOKUP(C45,'Autres hypothèses'!$B$18:$H$86,7,FALSE)</f>
        <v>0.98397165791092345</v>
      </c>
      <c r="R45" s="126">
        <f>R44/(1+VLOOKUP(C45-1,'Autres hypothèses'!$B$18:$H$86,5,FALSE))</f>
        <v>0.22049319987078048</v>
      </c>
      <c r="S45" s="135">
        <f t="shared" ca="1" si="3"/>
        <v>2.6619162919140167E-3</v>
      </c>
      <c r="U45" s="143">
        <f t="shared" ca="1" si="4"/>
        <v>1.2015097658986161E-3</v>
      </c>
      <c r="V45" s="126">
        <f t="shared" ca="1" si="5"/>
        <v>1.1067700373778886E-2</v>
      </c>
      <c r="W45" s="126">
        <f t="shared" ca="1" si="6"/>
        <v>9.6727350545413801E-2</v>
      </c>
      <c r="X45" s="126">
        <f t="shared" ca="1" si="7"/>
        <v>0.89100343931490866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14"/>
        <v>7.0305620466925789E-2</v>
      </c>
      <c r="AD45" s="134">
        <f>(1-(1+VLOOKUP(C45,'Autres hypothèses'!$B$18:$H$86,5,FALSE))^-1)/VLOOKUP(C45,'Autres hypothèses'!$B$18:$H$86,7,FALSE)</f>
        <v>0.98397165791092345</v>
      </c>
      <c r="AE45" s="126">
        <f>AE44/(1+VLOOKUP(C45-1,'Autres hypothèses'!B55:H123,5,FALSE))</f>
        <v>0.22049319987078048</v>
      </c>
      <c r="AF45" s="135">
        <f t="shared" ca="1" si="9"/>
        <v>1.525344128949384E-2</v>
      </c>
      <c r="AG45" s="80"/>
    </row>
    <row r="46" spans="2:33" x14ac:dyDescent="0.2">
      <c r="B46" s="96">
        <f t="shared" si="10"/>
        <v>39</v>
      </c>
      <c r="C46" s="13">
        <f t="shared" si="11"/>
        <v>2061</v>
      </c>
      <c r="D46" s="13">
        <f t="shared" si="12"/>
        <v>104</v>
      </c>
      <c r="E46" s="126">
        <f ca="1">IF(E45=1,1,'Probabilités de décès'!D53)</f>
        <v>0.44871456234129481</v>
      </c>
      <c r="F46" s="126">
        <f t="shared" ca="1" si="0"/>
        <v>0.55128543765870519</v>
      </c>
      <c r="G46" s="126">
        <f t="shared" ca="1" si="15"/>
        <v>7.1653177183943493E-3</v>
      </c>
      <c r="H46" s="13"/>
      <c r="I46" s="13">
        <f t="shared" si="13"/>
        <v>101</v>
      </c>
      <c r="J46" s="126">
        <f ca="1">IF(J45=1,1,'Probabilités de décès'!H53)</f>
        <v>0.31328094506912951</v>
      </c>
      <c r="K46" s="126">
        <f t="shared" ca="1" si="1"/>
        <v>0.68671905493087049</v>
      </c>
      <c r="L46" s="127">
        <f t="shared" ca="1" si="16"/>
        <v>6.9854488948911747E-2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7.1653177183943493E-3</v>
      </c>
      <c r="Q46" s="126">
        <f>(1-(1+VLOOKUP(C46,'Autres hypothèses'!$B$18:$H$86,5,FALSE))^-1)/VLOOKUP(C46,'Autres hypothèses'!$B$18:$H$86,7,FALSE)</f>
        <v>0.98397165791092345</v>
      </c>
      <c r="R46" s="126">
        <f>R45/(1+VLOOKUP(C46-1,'Autres hypothèses'!$B$18:$H$86,5,FALSE))</f>
        <v>0.21283127400654486</v>
      </c>
      <c r="S46" s="135">
        <f t="shared" ca="1" si="3"/>
        <v>1.5005604176981883E-3</v>
      </c>
      <c r="U46" s="143">
        <f t="shared" ca="1" si="4"/>
        <v>5.0052960737501963E-4</v>
      </c>
      <c r="V46" s="126">
        <f t="shared" ca="1" si="5"/>
        <v>6.6647881110193296E-3</v>
      </c>
      <c r="W46" s="126">
        <f t="shared" ca="1" si="6"/>
        <v>6.9353959341536722E-2</v>
      </c>
      <c r="X46" s="126">
        <f t="shared" ca="1" si="7"/>
        <v>0.92348072294006889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14"/>
        <v>4.8777693323316378E-2</v>
      </c>
      <c r="AD46" s="134">
        <f>(1-(1+VLOOKUP(C46,'Autres hypothèses'!$B$18:$H$86,5,FALSE))^-1)/VLOOKUP(C46,'Autres hypothèses'!$B$18:$H$86,7,FALSE)</f>
        <v>0.98397165791092345</v>
      </c>
      <c r="AE46" s="126">
        <f>AE45/(1+VLOOKUP(C46-1,'Autres hypothèses'!B56:H124,5,FALSE))</f>
        <v>0.21283127400654486</v>
      </c>
      <c r="AF46" s="135">
        <f t="shared" ca="1" si="9"/>
        <v>1.0215021684201258E-2</v>
      </c>
      <c r="AG46" s="80"/>
    </row>
    <row r="47" spans="2:33" x14ac:dyDescent="0.2">
      <c r="B47" s="96">
        <f t="shared" si="10"/>
        <v>40</v>
      </c>
      <c r="C47" s="13">
        <f t="shared" si="11"/>
        <v>2062</v>
      </c>
      <c r="D47" s="13">
        <f t="shared" si="12"/>
        <v>105</v>
      </c>
      <c r="E47" s="126">
        <f ca="1">IF(E46=1,1,'Probabilités de décès'!D54)</f>
        <v>0.47904000000000002</v>
      </c>
      <c r="F47" s="126">
        <f t="shared" ca="1" si="0"/>
        <v>0.52095999999999998</v>
      </c>
      <c r="G47" s="126">
        <f t="shared" ca="1" si="15"/>
        <v>3.9501353143487038E-3</v>
      </c>
      <c r="H47" s="13"/>
      <c r="I47" s="13">
        <f t="shared" si="13"/>
        <v>102</v>
      </c>
      <c r="J47" s="126">
        <f ca="1">IF(J46=1,1,'Probabilités de décès'!H54)</f>
        <v>0.33907506532131182</v>
      </c>
      <c r="K47" s="126">
        <f t="shared" ca="1" si="1"/>
        <v>0.66092493467868818</v>
      </c>
      <c r="L47" s="127">
        <f t="shared" ca="1" si="16"/>
        <v>4.7970408633675611E-2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3.9501353143487038E-3</v>
      </c>
      <c r="Q47" s="126">
        <f>(1-(1+VLOOKUP(C47,'Autres hypothèses'!$B$18:$H$86,5,FALSE))^-1)/VLOOKUP(C47,'Autres hypothèses'!$B$18:$H$86,7,FALSE)</f>
        <v>0.98397165791092345</v>
      </c>
      <c r="R47" s="126">
        <f>R46/(1+VLOOKUP(C47-1,'Autres hypothèses'!$B$18:$H$86,5,FALSE))</f>
        <v>0.20543559267041009</v>
      </c>
      <c r="S47" s="135">
        <f t="shared" ca="1" si="3"/>
        <v>7.9849141564099918E-4</v>
      </c>
      <c r="U47" s="143">
        <f t="shared" ca="1" si="4"/>
        <v>1.8948960518761998E-4</v>
      </c>
      <c r="V47" s="126">
        <f t="shared" ca="1" si="5"/>
        <v>3.7606457091610835E-3</v>
      </c>
      <c r="W47" s="126">
        <f t="shared" ca="1" si="6"/>
        <v>4.7780919028487988E-2</v>
      </c>
      <c r="X47" s="126">
        <f t="shared" ca="1" si="7"/>
        <v>0.94826894565716324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14"/>
        <v>3.2618686731441499E-2</v>
      </c>
      <c r="AD47" s="134">
        <f>(1-(1+VLOOKUP(C47,'Autres hypothèses'!$B$18:$H$86,5,FALSE))^-1)/VLOOKUP(C47,'Autres hypothèses'!$B$18:$H$86,7,FALSE)</f>
        <v>0.98397165791092345</v>
      </c>
      <c r="AE47" s="126">
        <f>AE46/(1+VLOOKUP(C47-1,'Autres hypothèses'!B57:H125,5,FALSE))</f>
        <v>0.20543559267041009</v>
      </c>
      <c r="AF47" s="135">
        <f t="shared" ca="1" si="9"/>
        <v>6.5936326915001916E-3</v>
      </c>
      <c r="AG47" s="80"/>
    </row>
    <row r="48" spans="2:33" x14ac:dyDescent="0.2">
      <c r="B48" s="96">
        <f t="shared" si="10"/>
        <v>41</v>
      </c>
      <c r="C48" s="13">
        <f t="shared" si="11"/>
        <v>2063</v>
      </c>
      <c r="D48" s="13">
        <f t="shared" si="12"/>
        <v>106</v>
      </c>
      <c r="E48" s="126">
        <f ca="1">IF(E47=1,1,'Probabilités de décès'!D55)</f>
        <v>0.49928</v>
      </c>
      <c r="F48" s="126">
        <f t="shared" ca="1" si="0"/>
        <v>0.50072000000000005</v>
      </c>
      <c r="G48" s="126">
        <f t="shared" ca="1" si="15"/>
        <v>2.0578624933631005E-3</v>
      </c>
      <c r="H48" s="13"/>
      <c r="I48" s="13">
        <f t="shared" si="13"/>
        <v>103</v>
      </c>
      <c r="J48" s="126">
        <f ca="1">IF(J47=1,1,'Probabilités de décès'!H55)</f>
        <v>0.36443343642231263</v>
      </c>
      <c r="K48" s="126">
        <f t="shared" ca="1" si="1"/>
        <v>0.63556656357768737</v>
      </c>
      <c r="L48" s="127">
        <f t="shared" ca="1" si="16"/>
        <v>3.1704839192722031E-2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2.0578624933631005E-3</v>
      </c>
      <c r="Q48" s="126">
        <f>(1-(1+VLOOKUP(C48,'Autres hypothèses'!$B$18:$H$86,5,FALSE))^-1)/VLOOKUP(C48,'Autres hypothèses'!$B$18:$H$86,7,FALSE)</f>
        <v>0.98397165791092345</v>
      </c>
      <c r="R48" s="126">
        <f>R47/(1+VLOOKUP(C48-1,'Autres hypothèses'!$B$18:$H$86,5,FALSE))</f>
        <v>0.19829690412201745</v>
      </c>
      <c r="S48" s="135">
        <f t="shared" ca="1" si="3"/>
        <v>4.0152711186518811E-4</v>
      </c>
      <c r="U48" s="143">
        <f t="shared" ca="1" si="4"/>
        <v>6.5244199432811114E-5</v>
      </c>
      <c r="V48" s="126">
        <f t="shared" ca="1" si="5"/>
        <v>1.9926182939302892E-3</v>
      </c>
      <c r="W48" s="126">
        <f t="shared" ca="1" si="6"/>
        <v>3.1639594993289222E-2</v>
      </c>
      <c r="X48" s="126">
        <f t="shared" ca="1" si="7"/>
        <v>0.96630254251334757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14"/>
        <v>2.1041619489336635E-2</v>
      </c>
      <c r="AD48" s="134">
        <f>(1-(1+VLOOKUP(C48,'Autres hypothèses'!$B$18:$H$86,5,FALSE))^-1)/VLOOKUP(C48,'Autres hypothèses'!$B$18:$H$86,7,FALSE)</f>
        <v>0.98397165791092345</v>
      </c>
      <c r="AE48" s="126">
        <f>AE47/(1+VLOOKUP(C48-1,'Autres hypothèses'!B58:H126,5,FALSE))</f>
        <v>0.19829690412201745</v>
      </c>
      <c r="AF48" s="135">
        <f t="shared" ca="1" si="9"/>
        <v>4.1056099373831412E-3</v>
      </c>
      <c r="AG48" s="80"/>
    </row>
    <row r="49" spans="2:33" x14ac:dyDescent="0.2">
      <c r="B49" s="96">
        <f t="shared" si="10"/>
        <v>42</v>
      </c>
      <c r="C49" s="13">
        <f>C48+1</f>
        <v>2064</v>
      </c>
      <c r="D49" s="13">
        <f t="shared" si="12"/>
        <v>107</v>
      </c>
      <c r="E49" s="126">
        <f ca="1">IF(E48=1,1,'Probabilités de décès'!D56)</f>
        <v>0.51949999999999996</v>
      </c>
      <c r="F49" s="126">
        <f t="shared" ca="1" si="0"/>
        <v>0.48050000000000004</v>
      </c>
      <c r="G49" s="126">
        <f t="shared" ca="1" si="15"/>
        <v>1.0304129076767717E-3</v>
      </c>
      <c r="H49" s="13"/>
      <c r="I49" s="13">
        <f t="shared" si="13"/>
        <v>104</v>
      </c>
      <c r="J49" s="126">
        <f ca="1">IF(J48=1,1,'Probabilités de décès'!H56)</f>
        <v>0.39017911697788094</v>
      </c>
      <c r="K49" s="126">
        <f t="shared" ca="1" si="1"/>
        <v>0.60982088302211901</v>
      </c>
      <c r="L49" s="127">
        <f t="shared" ca="1" si="16"/>
        <v>2.0150535694501523E-2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1.0304129076767717E-3</v>
      </c>
      <c r="Q49" s="126">
        <f>(1-(1+VLOOKUP(C49,'Autres hypothèses'!$B$18:$H$86,5,FALSE))^-1)/VLOOKUP(C49,'Autres hypothèses'!$B$18:$H$86,7,FALSE)</f>
        <v>0.98397165791092345</v>
      </c>
      <c r="R49" s="126">
        <f>R48/(1+VLOOKUP(C49-1,'Autres hypothèses'!$B$18:$H$86,5,FALSE))</f>
        <v>0.19140627811005545</v>
      </c>
      <c r="S49" s="135">
        <f t="shared" ca="1" si="3"/>
        <v>1.9406626974241025E-4</v>
      </c>
      <c r="U49" s="143">
        <f t="shared" ca="1" si="4"/>
        <v>2.0763372076215891E-5</v>
      </c>
      <c r="V49" s="126">
        <f t="shared" ca="1" si="5"/>
        <v>1.0096495356005557E-3</v>
      </c>
      <c r="W49" s="126">
        <f t="shared" ca="1" si="6"/>
        <v>2.0129772322425306E-2</v>
      </c>
      <c r="X49" s="126">
        <f t="shared" ca="1" si="7"/>
        <v>0.9788398147698979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14"/>
        <v>1.3108276301131955E-2</v>
      </c>
      <c r="AD49" s="134">
        <f>(1-(1+VLOOKUP(C49,'Autres hypothèses'!$B$18:$H$86,5,FALSE))^-1)/VLOOKUP(C49,'Autres hypothèses'!$B$18:$H$86,7,FALSE)</f>
        <v>0.98397165791092345</v>
      </c>
      <c r="AE49" s="126">
        <f>AE48/(1+VLOOKUP(C49-1,'Autres hypothèses'!B59:H127,5,FALSE))</f>
        <v>0.19140627811005545</v>
      </c>
      <c r="AF49" s="135">
        <f t="shared" ca="1" si="9"/>
        <v>2.4687911666878113E-3</v>
      </c>
      <c r="AG49" s="80"/>
    </row>
    <row r="50" spans="2:33" x14ac:dyDescent="0.2">
      <c r="B50" s="96">
        <f t="shared" si="10"/>
        <v>43</v>
      </c>
      <c r="C50" s="13">
        <f t="shared" si="11"/>
        <v>2065</v>
      </c>
      <c r="D50" s="13">
        <f t="shared" si="12"/>
        <v>108</v>
      </c>
      <c r="E50" s="126">
        <f ca="1">IF(E49=1,1,'Probabilités de décès'!D57)</f>
        <v>0.53969999999999996</v>
      </c>
      <c r="F50" s="126">
        <f t="shared" ca="1" si="0"/>
        <v>0.46030000000000004</v>
      </c>
      <c r="G50" s="126">
        <f t="shared" ca="1" si="15"/>
        <v>4.9511340213868882E-4</v>
      </c>
      <c r="H50" s="13"/>
      <c r="I50" s="13">
        <f t="shared" si="13"/>
        <v>105</v>
      </c>
      <c r="J50" s="126">
        <f ca="1">IF(J49=1,1,'Probabilités de décès'!H57)</f>
        <v>0.41915999999999998</v>
      </c>
      <c r="K50" s="126">
        <f t="shared" ca="1" si="1"/>
        <v>0.58084000000000002</v>
      </c>
      <c r="L50" s="127">
        <f t="shared" ca="1" si="16"/>
        <v>1.2288217470589648E-2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4.9511340213868882E-4</v>
      </c>
      <c r="Q50" s="126">
        <f>(1-(1+VLOOKUP(C50,'Autres hypothèses'!$B$18:$H$86,5,FALSE))^-1)/VLOOKUP(C50,'Autres hypothèses'!$B$18:$H$86,7,FALSE)</f>
        <v>0.98397165791092345</v>
      </c>
      <c r="R50" s="126">
        <f>R49/(1+VLOOKUP(C50-1,'Autres hypothèses'!$B$18:$H$86,5,FALSE))</f>
        <v>0.18475509470082571</v>
      </c>
      <c r="S50" s="135">
        <f t="shared" ca="1" si="3"/>
        <v>9.000853533902327E-5</v>
      </c>
      <c r="U50" s="143">
        <f t="shared" ca="1" si="4"/>
        <v>6.0840611580837138E-6</v>
      </c>
      <c r="V50" s="126">
        <f t="shared" ca="1" si="5"/>
        <v>4.8902934098060517E-4</v>
      </c>
      <c r="W50" s="126">
        <f t="shared" ca="1" si="6"/>
        <v>1.2282133409431564E-2</v>
      </c>
      <c r="X50" s="126">
        <f t="shared" ca="1" si="7"/>
        <v>0.98722275318842978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14"/>
        <v>7.8643934477976279E-3</v>
      </c>
      <c r="AD50" s="134">
        <f>(1-(1+VLOOKUP(C50,'Autres hypothèses'!$B$18:$H$86,5,FALSE))^-1)/VLOOKUP(C50,'Autres hypothèses'!$B$18:$H$86,7,FALSE)</f>
        <v>0.98397165791092345</v>
      </c>
      <c r="AE50" s="126">
        <f>AE49/(1+VLOOKUP(C50-1,'Autres hypothèses'!B60:H128,5,FALSE))</f>
        <v>0.18475509470082571</v>
      </c>
      <c r="AF50" s="135">
        <f t="shared" ca="1" si="9"/>
        <v>1.4296977874329339E-3</v>
      </c>
      <c r="AG50" s="80"/>
    </row>
    <row r="51" spans="2:33" x14ac:dyDescent="0.2">
      <c r="B51" s="96">
        <f t="shared" si="10"/>
        <v>44</v>
      </c>
      <c r="C51" s="13">
        <f t="shared" si="11"/>
        <v>2066</v>
      </c>
      <c r="D51" s="13">
        <f t="shared" si="12"/>
        <v>109</v>
      </c>
      <c r="E51" s="126">
        <f ca="1">IF(E50=1,1,'Probabilités de décès'!D58)</f>
        <v>0.55986999999999998</v>
      </c>
      <c r="F51" s="126">
        <f t="shared" ca="1" si="0"/>
        <v>0.44013000000000002</v>
      </c>
      <c r="G51" s="126">
        <f t="shared" ca="1" si="15"/>
        <v>2.2790069900443849E-4</v>
      </c>
      <c r="H51" s="13"/>
      <c r="I51" s="13">
        <f t="shared" si="13"/>
        <v>106</v>
      </c>
      <c r="J51" s="126">
        <f ca="1">IF(J50=1,1,'Probabilités de décès'!H58)</f>
        <v>0.43936999999999998</v>
      </c>
      <c r="K51" s="126">
        <f t="shared" ca="1" si="1"/>
        <v>0.56062999999999996</v>
      </c>
      <c r="L51" s="127">
        <f t="shared" ca="1" si="16"/>
        <v>7.1374882356172913E-3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2.2790069900443849E-4</v>
      </c>
      <c r="Q51" s="126">
        <f>(1-(1+VLOOKUP(C51,'Autres hypothèses'!$B$18:$H$86,5,FALSE))^-1)/VLOOKUP(C51,'Autres hypothèses'!$B$18:$H$86,7,FALSE)</f>
        <v>0.98397165791092345</v>
      </c>
      <c r="R51" s="126">
        <f>R50/(1+VLOOKUP(C51-1,'Autres hypothèses'!$B$18:$H$86,5,FALSE))</f>
        <v>0.17833503349500551</v>
      </c>
      <c r="S51" s="135">
        <f t="shared" ca="1" si="3"/>
        <v>3.9991244031421254E-5</v>
      </c>
      <c r="U51" s="143">
        <f t="shared" ca="1" si="4"/>
        <v>1.6266385580331371E-6</v>
      </c>
      <c r="V51" s="126">
        <f t="shared" ca="1" si="5"/>
        <v>2.2627406044640534E-4</v>
      </c>
      <c r="W51" s="126">
        <f t="shared" ca="1" si="6"/>
        <v>7.1358615970592582E-3</v>
      </c>
      <c r="X51" s="126">
        <f t="shared" ca="1" si="7"/>
        <v>0.99263623770393627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14"/>
        <v>4.5094176572399933E-3</v>
      </c>
      <c r="AD51" s="134">
        <f>(1-(1+VLOOKUP(C51,'Autres hypothèses'!$B$18:$H$86,5,FALSE))^-1)/VLOOKUP(C51,'Autres hypothèses'!$B$18:$H$86,7,FALSE)</f>
        <v>0.98397165791092345</v>
      </c>
      <c r="AE51" s="126">
        <f>AE50/(1+VLOOKUP(C51-1,'Autres hypothèses'!B61:H129,5,FALSE))</f>
        <v>0.17833503349500551</v>
      </c>
      <c r="AF51" s="135">
        <f t="shared" ca="1" si="9"/>
        <v>7.9129736221990408E-4</v>
      </c>
      <c r="AG51" s="80"/>
    </row>
    <row r="52" spans="2:33" x14ac:dyDescent="0.2">
      <c r="B52" s="96">
        <f t="shared" si="10"/>
        <v>45</v>
      </c>
      <c r="C52" s="13">
        <f t="shared" si="11"/>
        <v>2067</v>
      </c>
      <c r="D52" s="13">
        <f t="shared" si="12"/>
        <v>110</v>
      </c>
      <c r="E52" s="126">
        <f ca="1">IF(E51=1,1,'Probabilités de décès'!D59)</f>
        <v>0.57999999999999996</v>
      </c>
      <c r="F52" s="126">
        <f t="shared" ca="1" si="0"/>
        <v>0.42000000000000004</v>
      </c>
      <c r="G52" s="126">
        <f t="shared" ca="1" si="15"/>
        <v>1.0030593465282352E-4</v>
      </c>
      <c r="H52" s="13"/>
      <c r="I52" s="13">
        <f t="shared" si="13"/>
        <v>107</v>
      </c>
      <c r="J52" s="126">
        <f ca="1">IF(J51=1,1,'Probabilités de décès'!H59)</f>
        <v>0.45956000000000002</v>
      </c>
      <c r="K52" s="126">
        <f t="shared" ca="1" si="1"/>
        <v>0.54044000000000003</v>
      </c>
      <c r="L52" s="127">
        <f t="shared" ca="1" si="16"/>
        <v>4.0014900295341216E-3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1.0030593465282352E-4</v>
      </c>
      <c r="Q52" s="126">
        <f>(1-(1+VLOOKUP(C52,'Autres hypothèses'!$B$18:$H$86,5,FALSE))^-1)/VLOOKUP(C52,'Autres hypothèses'!$B$18:$H$86,7,FALSE)</f>
        <v>0.98397165791092345</v>
      </c>
      <c r="R52" s="126">
        <f>R51/(1+VLOOKUP(C52-1,'Autres hypothèses'!$B$18:$H$86,5,FALSE))</f>
        <v>0.17213806321911729</v>
      </c>
      <c r="S52" s="135">
        <f t="shared" ca="1" si="3"/>
        <v>1.6989716443580538E-5</v>
      </c>
      <c r="U52" s="143">
        <f t="shared" ca="1" si="4"/>
        <v>4.0137319741637445E-7</v>
      </c>
      <c r="V52" s="126">
        <f t="shared" ca="1" si="5"/>
        <v>9.9904561455407148E-5</v>
      </c>
      <c r="W52" s="126">
        <f t="shared" ca="1" si="6"/>
        <v>4.0010886563367053E-3</v>
      </c>
      <c r="X52" s="126">
        <f t="shared" ca="1" si="7"/>
        <v>0.99589860540901054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14"/>
        <v>2.5009591284548467E-3</v>
      </c>
      <c r="AD52" s="134">
        <f>(1-(1+VLOOKUP(C52,'Autres hypothèses'!$B$18:$H$86,5,FALSE))^-1)/VLOOKUP(C52,'Autres hypothèses'!$B$18:$H$86,7,FALSE)</f>
        <v>0.98397165791092345</v>
      </c>
      <c r="AE52" s="126">
        <f>AE51/(1+VLOOKUP(C52-1,'Autres hypothèses'!B62:H130,5,FALSE))</f>
        <v>0.17213806321911729</v>
      </c>
      <c r="AF52" s="135">
        <f t="shared" ca="1" si="9"/>
        <v>4.2360989483323738E-4</v>
      </c>
      <c r="AG52" s="80"/>
    </row>
    <row r="53" spans="2:33" x14ac:dyDescent="0.2">
      <c r="B53" s="96">
        <f t="shared" si="10"/>
        <v>46</v>
      </c>
      <c r="C53" s="13">
        <f t="shared" si="11"/>
        <v>2068</v>
      </c>
      <c r="D53" s="13">
        <f t="shared" si="12"/>
        <v>111</v>
      </c>
      <c r="E53" s="126">
        <f ca="1">IF(E52=1,1,'Probabilités de décès'!D60)</f>
        <v>0.6</v>
      </c>
      <c r="F53" s="126">
        <f t="shared" ca="1" si="0"/>
        <v>0.4</v>
      </c>
      <c r="G53" s="126">
        <f t="shared" ca="1" si="15"/>
        <v>4.2128492554185881E-5</v>
      </c>
      <c r="H53" s="13"/>
      <c r="I53" s="13">
        <f t="shared" si="13"/>
        <v>108</v>
      </c>
      <c r="J53" s="126">
        <f ca="1">IF(J52=1,1,'Probabilités de décès'!H60)</f>
        <v>0.47972999999999999</v>
      </c>
      <c r="K53" s="126">
        <f t="shared" ca="1" si="1"/>
        <v>0.52027000000000001</v>
      </c>
      <c r="L53" s="127">
        <f t="shared" ca="1" si="16"/>
        <v>2.1625652715614209E-3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4.2128492554185881E-5</v>
      </c>
      <c r="Q53" s="126">
        <f>(1-(1+VLOOKUP(C53,'Autres hypothèses'!$B$18:$H$86,5,FALSE))^-1)/VLOOKUP(C53,'Autres hypothèses'!$B$18:$H$86,7,FALSE)</f>
        <v>0.98397165791092345</v>
      </c>
      <c r="R53" s="126">
        <f>R52/(1+VLOOKUP(C53-1,'Autres hypothèses'!$B$18:$H$86,5,FALSE))</f>
        <v>0.16615643167868463</v>
      </c>
      <c r="S53" s="135">
        <f t="shared" ca="1" si="3"/>
        <v>6.8877228825326507E-6</v>
      </c>
      <c r="U53" s="143">
        <f t="shared" ca="1" si="4"/>
        <v>9.110561494091629E-8</v>
      </c>
      <c r="V53" s="126">
        <f t="shared" ca="1" si="5"/>
        <v>4.2037386939244966E-5</v>
      </c>
      <c r="W53" s="126">
        <f t="shared" ca="1" si="6"/>
        <v>2.1624741659464802E-3</v>
      </c>
      <c r="X53" s="126">
        <f t="shared" ca="1" si="7"/>
        <v>0.99779539734149936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14"/>
        <v>1.339612992122074E-3</v>
      </c>
      <c r="AD53" s="134">
        <f>(1-(1+VLOOKUP(C53,'Autres hypothèses'!$B$18:$H$86,5,FALSE))^-1)/VLOOKUP(C53,'Autres hypothèses'!$B$18:$H$86,7,FALSE)</f>
        <v>0.98397165791092345</v>
      </c>
      <c r="AE53" s="126">
        <f>AE52/(1+VLOOKUP(C53-1,'Autres hypothèses'!B63:H131,5,FALSE))</f>
        <v>0.16615643167868463</v>
      </c>
      <c r="AF53" s="135">
        <f t="shared" ca="1" si="9"/>
        <v>2.1901764103497356E-4</v>
      </c>
      <c r="AG53" s="80"/>
    </row>
    <row r="54" spans="2:33" x14ac:dyDescent="0.2">
      <c r="B54" s="96">
        <f t="shared" si="10"/>
        <v>47</v>
      </c>
      <c r="C54" s="13">
        <f t="shared" si="11"/>
        <v>2069</v>
      </c>
      <c r="D54" s="13">
        <f t="shared" si="12"/>
        <v>112</v>
      </c>
      <c r="E54" s="126">
        <f ca="1">IF(E53=1,1,'Probabilités de décès'!D61)</f>
        <v>0.62</v>
      </c>
      <c r="F54" s="126">
        <f t="shared" ca="1" si="0"/>
        <v>0.38</v>
      </c>
      <c r="G54" s="126">
        <f t="shared" ca="1" si="15"/>
        <v>1.6851397021674355E-5</v>
      </c>
      <c r="H54" s="13"/>
      <c r="I54" s="13">
        <f t="shared" si="13"/>
        <v>109</v>
      </c>
      <c r="J54" s="126">
        <f ca="1">IF(J53=1,1,'Probabilités de décès'!H61)</f>
        <v>0.50988</v>
      </c>
      <c r="K54" s="126">
        <f t="shared" ca="1" si="1"/>
        <v>0.49012</v>
      </c>
      <c r="L54" s="127">
        <f t="shared" ca="1" si="16"/>
        <v>1.1251178338352605E-3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1.6851397021674355E-5</v>
      </c>
      <c r="Q54" s="126">
        <f>(1-(1+VLOOKUP(C54,'Autres hypothèses'!$B$18:$H$86,5,FALSE))^-1)/VLOOKUP(C54,'Autres hypothèses'!$B$18:$H$86,7,FALSE)</f>
        <v>0.98397165791092345</v>
      </c>
      <c r="R54" s="126">
        <f>R53/(1+VLOOKUP(C54-1,'Autres hypothèses'!$B$18:$H$86,5,FALSE))</f>
        <v>0.16038265606050639</v>
      </c>
      <c r="S54" s="135">
        <f t="shared" ca="1" si="3"/>
        <v>2.6593524642983206E-6</v>
      </c>
      <c r="U54" s="143">
        <f t="shared" ca="1" si="4"/>
        <v>1.895980731412421E-8</v>
      </c>
      <c r="V54" s="126">
        <f t="shared" ca="1" si="5"/>
        <v>1.683243721436023E-5</v>
      </c>
      <c r="W54" s="126">
        <f t="shared" ca="1" si="6"/>
        <v>1.1250988740279463E-3</v>
      </c>
      <c r="X54" s="126">
        <f t="shared" ca="1" si="7"/>
        <v>0.99885804972895031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14"/>
        <v>6.9191072143844209E-4</v>
      </c>
      <c r="AD54" s="134">
        <f>(1-(1+VLOOKUP(C54,'Autres hypothèses'!$B$18:$H$86,5,FALSE))^-1)/VLOOKUP(C54,'Autres hypothèses'!$B$18:$H$86,7,FALSE)</f>
        <v>0.98397165791092345</v>
      </c>
      <c r="AE54" s="126">
        <f>AE53/(1+VLOOKUP(C54-1,'Autres hypothèses'!B64:H132,5,FALSE))</f>
        <v>0.16038265606050639</v>
      </c>
      <c r="AF54" s="135">
        <f t="shared" ca="1" si="9"/>
        <v>1.0919180645765381E-4</v>
      </c>
      <c r="AG54" s="80"/>
    </row>
    <row r="55" spans="2:33" x14ac:dyDescent="0.2">
      <c r="B55" s="96">
        <f t="shared" si="10"/>
        <v>48</v>
      </c>
      <c r="C55" s="13">
        <f t="shared" si="11"/>
        <v>2070</v>
      </c>
      <c r="D55" s="13">
        <f t="shared" si="12"/>
        <v>113</v>
      </c>
      <c r="E55" s="126">
        <f ca="1">IF(E54=1,1,'Probabilités de décès'!D62)</f>
        <v>0.64</v>
      </c>
      <c r="F55" s="126">
        <f t="shared" ca="1" si="0"/>
        <v>0.36</v>
      </c>
      <c r="G55" s="126">
        <f t="shared" ca="1" si="15"/>
        <v>6.4035308682362548E-6</v>
      </c>
      <c r="H55" s="13"/>
      <c r="I55" s="13">
        <f t="shared" si="13"/>
        <v>110</v>
      </c>
      <c r="J55" s="126">
        <f ca="1">IF(J54=1,1,'Probabilités de décès'!H62)</f>
        <v>0.53</v>
      </c>
      <c r="K55" s="126">
        <f t="shared" ca="1" si="1"/>
        <v>0.47</v>
      </c>
      <c r="L55" s="127">
        <f t="shared" ca="1" si="16"/>
        <v>5.5144275271933789E-4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6.4035308682362548E-6</v>
      </c>
      <c r="Q55" s="126">
        <f>(1-(1+VLOOKUP(C55,'Autres hypothèses'!$B$18:$H$86,5,FALSE))^-1)/VLOOKUP(C55,'Autres hypothèses'!$B$18:$H$86,7,FALSE)</f>
        <v>0.98397165791092345</v>
      </c>
      <c r="R55" s="126">
        <f>R54/(1+VLOOKUP(C55-1,'Autres hypothèses'!$B$18:$H$86,5,FALSE))</f>
        <v>0.15480951357191736</v>
      </c>
      <c r="S55" s="135">
        <f t="shared" ca="1" si="3"/>
        <v>9.7543816258046507E-7</v>
      </c>
      <c r="U55" s="143">
        <f t="shared" ca="1" si="4"/>
        <v>3.5311806891034522E-9</v>
      </c>
      <c r="V55" s="126">
        <f t="shared" ca="1" si="5"/>
        <v>6.399999687547151E-6</v>
      </c>
      <c r="W55" s="126">
        <f t="shared" ca="1" si="6"/>
        <v>5.5143922153864878E-4</v>
      </c>
      <c r="X55" s="126">
        <f t="shared" ca="1" si="7"/>
        <v>0.99944215724759311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14"/>
        <v>3.3726706379142552E-4</v>
      </c>
      <c r="AD55" s="134">
        <f>(1-(1+VLOOKUP(C55,'Autres hypothèses'!$B$18:$H$86,5,FALSE))^-1)/VLOOKUP(C55,'Autres hypothèses'!$B$18:$H$86,7,FALSE)</f>
        <v>0.98397165791092345</v>
      </c>
      <c r="AE55" s="126">
        <f>AE54/(1+VLOOKUP(C55-1,'Autres hypothèses'!B65:H133,5,FALSE))</f>
        <v>0.15480951357191736</v>
      </c>
      <c r="AF55" s="135">
        <f t="shared" ca="1" si="9"/>
        <v>5.1375275886540625E-5</v>
      </c>
      <c r="AG55" s="80"/>
    </row>
    <row r="56" spans="2:33" x14ac:dyDescent="0.2">
      <c r="B56" s="96">
        <f t="shared" si="10"/>
        <v>49</v>
      </c>
      <c r="C56" s="13">
        <f t="shared" si="11"/>
        <v>2071</v>
      </c>
      <c r="D56" s="13">
        <f t="shared" si="12"/>
        <v>114</v>
      </c>
      <c r="E56" s="126">
        <f ca="1">IF(E55=1,1,'Probabilités de décès'!D63)</f>
        <v>0.66</v>
      </c>
      <c r="F56" s="126">
        <f t="shared" ca="1" si="0"/>
        <v>0.33999999999999997</v>
      </c>
      <c r="G56" s="126">
        <f t="shared" ca="1" si="15"/>
        <v>2.3052711125650514E-6</v>
      </c>
      <c r="H56" s="13"/>
      <c r="I56" s="13">
        <f t="shared" si="13"/>
        <v>111</v>
      </c>
      <c r="J56" s="126">
        <f ca="1">IF(J55=1,1,'Probabilités de décès'!H63)</f>
        <v>0.55000000000000004</v>
      </c>
      <c r="K56" s="126">
        <f t="shared" ca="1" si="1"/>
        <v>0.44999999999999996</v>
      </c>
      <c r="L56" s="127">
        <f t="shared" ca="1" si="16"/>
        <v>2.591780937780888E-4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2.3052711125650514E-6</v>
      </c>
      <c r="Q56" s="126">
        <f>(1-(1+VLOOKUP(C56,'Autres hypothèses'!$B$18:$H$86,5,FALSE))^-1)/VLOOKUP(C56,'Autres hypothèses'!$B$18:$H$86,7,FALSE)</f>
        <v>0.98397165791092345</v>
      </c>
      <c r="R56" s="126">
        <f>R55/(1+VLOOKUP(C56-1,'Autres hypothèses'!$B$18:$H$86,5,FALSE))</f>
        <v>0.14943003240532562</v>
      </c>
      <c r="S56" s="135">
        <f t="shared" ca="1" si="3"/>
        <v>3.3895534607043181E-7</v>
      </c>
      <c r="U56" s="143">
        <f t="shared" ca="1" si="4"/>
        <v>5.9747577259630401E-10</v>
      </c>
      <c r="V56" s="126">
        <f t="shared" ca="1" si="5"/>
        <v>2.304673636792455E-6</v>
      </c>
      <c r="W56" s="126">
        <f t="shared" ca="1" si="6"/>
        <v>2.5917749630231622E-4</v>
      </c>
      <c r="X56" s="126">
        <f t="shared" ca="1" si="7"/>
        <v>0.99973851723258511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14"/>
        <v>1.5781176889395477E-4</v>
      </c>
      <c r="AD56" s="134">
        <f>(1-(1+VLOOKUP(C56,'Autres hypothèses'!$B$18:$H$86,5,FALSE))^-1)/VLOOKUP(C56,'Autres hypothèses'!$B$18:$H$86,7,FALSE)</f>
        <v>0.98397165791092345</v>
      </c>
      <c r="AE56" s="126">
        <f>AE55/(1+VLOOKUP(C56-1,'Autres hypothèses'!B66:H134,5,FALSE))</f>
        <v>0.14943003240532562</v>
      </c>
      <c r="AF56" s="135">
        <f t="shared" ca="1" si="9"/>
        <v>2.3203840297950208E-5</v>
      </c>
      <c r="AG56" s="80"/>
    </row>
    <row r="57" spans="2:33" x14ac:dyDescent="0.2">
      <c r="B57" s="96">
        <f t="shared" si="10"/>
        <v>50</v>
      </c>
      <c r="C57" s="13">
        <f t="shared" si="11"/>
        <v>2072</v>
      </c>
      <c r="D57" s="13">
        <f t="shared" si="12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7.837921782721174E-7</v>
      </c>
      <c r="H57" s="13"/>
      <c r="I57" s="13">
        <f t="shared" si="13"/>
        <v>112</v>
      </c>
      <c r="J57" s="126">
        <f ca="1">IF(J56=1,1,'Probabilités de décès'!H64)</f>
        <v>0.56999999999999995</v>
      </c>
      <c r="K57" s="126">
        <f t="shared" ca="1" si="1"/>
        <v>0.43000000000000005</v>
      </c>
      <c r="L57" s="127">
        <f t="shared" ca="1" si="16"/>
        <v>1.1663014220013995E-4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7.837921782721174E-7</v>
      </c>
      <c r="Q57" s="126">
        <f>(1-(1+VLOOKUP(C57,'Autres hypothèses'!$B$18:$H$86,5,FALSE))^-1)/VLOOKUP(C57,'Autres hypothèses'!$B$18:$H$86,7,FALSE)</f>
        <v>0.98397165791092345</v>
      </c>
      <c r="R57" s="126">
        <f>R56/(1+VLOOKUP(C57-1,'Autres hypothèses'!$B$18:$H$86,5,FALSE))</f>
        <v>0.14423748301672357</v>
      </c>
      <c r="S57" s="135">
        <f t="shared" ca="1" si="3"/>
        <v>1.1124017149029613E-7</v>
      </c>
      <c r="U57" s="143">
        <f t="shared" ca="1" si="4"/>
        <v>9.1413793207234499E-11</v>
      </c>
      <c r="V57" s="126">
        <f t="shared" ca="1" si="5"/>
        <v>7.8370076447891023E-7</v>
      </c>
      <c r="W57" s="126">
        <f t="shared" ca="1" si="6"/>
        <v>1.1663005078634675E-4</v>
      </c>
      <c r="X57" s="126">
        <f t="shared" ca="1" si="7"/>
        <v>0.9998825861570354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14"/>
        <v>7.0761822650080159E-5</v>
      </c>
      <c r="AD57" s="134">
        <f>(1-(1+VLOOKUP(C57,'Autres hypothèses'!$B$18:$H$86,5,FALSE))^-1)/VLOOKUP(C57,'Autres hypothèses'!$B$18:$H$86,7,FALSE)</f>
        <v>0.98397165791092345</v>
      </c>
      <c r="AE57" s="126">
        <f>AE56/(1+VLOOKUP(C57-1,'Autres hypothèses'!B67:H135,5,FALSE))</f>
        <v>0.14423748301672357</v>
      </c>
      <c r="AF57" s="135">
        <f t="shared" ca="1" si="9"/>
        <v>1.0042913803903751E-5</v>
      </c>
      <c r="AG57" s="80"/>
    </row>
    <row r="58" spans="2:33" x14ac:dyDescent="0.2">
      <c r="B58" s="96">
        <f t="shared" si="10"/>
        <v>51</v>
      </c>
      <c r="C58" s="13">
        <f t="shared" si="11"/>
        <v>2073</v>
      </c>
      <c r="D58" s="13">
        <f t="shared" si="12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3"/>
        <v>113</v>
      </c>
      <c r="J58" s="126">
        <f ca="1">IF(J57=1,1,'Probabilités de décès'!H65)</f>
        <v>0.59</v>
      </c>
      <c r="K58" s="126">
        <f t="shared" ca="1" si="1"/>
        <v>0.41000000000000003</v>
      </c>
      <c r="L58" s="127">
        <f t="shared" ca="1" si="16"/>
        <v>5.0150961146060188E-5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0.98397165791092345</v>
      </c>
      <c r="R58" s="126">
        <f>R57/(1+VLOOKUP(C58-1,'Autres hypothèses'!$B$18:$H$86,5,FALSE))</f>
        <v>0.13922536970726213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5.0150961146060188E-5</v>
      </c>
      <c r="X58" s="126">
        <f t="shared" ca="1" si="7"/>
        <v>0.99994984903885398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14"/>
        <v>3.0090576687636113E-5</v>
      </c>
      <c r="AD58" s="134">
        <f>(1-(1+VLOOKUP(C58,'Autres hypothèses'!$B$18:$H$86,5,FALSE))^-1)/VLOOKUP(C58,'Autres hypothèses'!$B$18:$H$86,7,FALSE)</f>
        <v>0.98397165791092345</v>
      </c>
      <c r="AE58" s="126">
        <f>AE57/(1+VLOOKUP(C58-1,'Autres hypothèses'!B68:H136,5,FALSE))</f>
        <v>0.13922536970726213</v>
      </c>
      <c r="AF58" s="135">
        <f t="shared" ca="1" si="9"/>
        <v>4.1222229818713304E-6</v>
      </c>
      <c r="AG58" s="80"/>
    </row>
    <row r="59" spans="2:33" x14ac:dyDescent="0.2">
      <c r="B59" s="96">
        <f t="shared" si="10"/>
        <v>52</v>
      </c>
      <c r="C59" s="13">
        <f t="shared" si="11"/>
        <v>2074</v>
      </c>
      <c r="D59" s="13">
        <f t="shared" si="12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3"/>
        <v>114</v>
      </c>
      <c r="J59" s="126">
        <f ca="1">IF(J58=1,1,'Probabilités de décès'!H66)</f>
        <v>0.61</v>
      </c>
      <c r="K59" s="126">
        <f t="shared" ca="1" si="1"/>
        <v>0.39</v>
      </c>
      <c r="L59" s="127">
        <f t="shared" ca="1" si="16"/>
        <v>2.0561894069884678E-5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0.98397165791092345</v>
      </c>
      <c r="R59" s="126">
        <f>R58/(1+VLOOKUP(C59-1,'Autres hypothèses'!$B$18:$H$86,5,FALSE))</f>
        <v>0.13438742249735727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2.0561894069884678E-5</v>
      </c>
      <c r="X59" s="126">
        <f t="shared" ca="1" si="7"/>
        <v>0.99997943810593015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14"/>
        <v>1.2337136441930807E-5</v>
      </c>
      <c r="AD59" s="134">
        <f>(1-(1+VLOOKUP(C59,'Autres hypothèses'!$B$18:$H$86,5,FALSE))^-1)/VLOOKUP(C59,'Autres hypothèses'!$B$18:$H$86,7,FALSE)</f>
        <v>0.98397165791092345</v>
      </c>
      <c r="AE59" s="126">
        <f>AE58/(1+VLOOKUP(C59-1,'Autres hypothèses'!B69:H137,5,FALSE))</f>
        <v>0.13438742249735727</v>
      </c>
      <c r="AF59" s="135">
        <f t="shared" ca="1" si="9"/>
        <v>1.6313816820147157E-6</v>
      </c>
      <c r="AG59" s="80"/>
    </row>
    <row r="60" spans="2:33" x14ac:dyDescent="0.2">
      <c r="B60" s="96">
        <f t="shared" si="10"/>
        <v>53</v>
      </c>
      <c r="C60" s="13">
        <f t="shared" si="11"/>
        <v>2075</v>
      </c>
      <c r="D60" s="13">
        <f t="shared" si="12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3"/>
        <v>115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8.019138687255025E-6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0.98397165791092345</v>
      </c>
      <c r="R60" s="126">
        <f>R59/(1+VLOOKUP(C60-1,'Autres hypothèses'!$B$18:$H$86,5,FALSE))</f>
        <v>0.12971758928316338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8.019138687255025E-6</v>
      </c>
      <c r="X60" s="126">
        <f t="shared" ca="1" si="7"/>
        <v>0.99999198086131269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14"/>
        <v>4.8114832123530146E-6</v>
      </c>
      <c r="AD60" s="134">
        <f>(1-(1+VLOOKUP(C60,'Autres hypothèses'!$B$18:$H$86,5,FALSE))^-1)/VLOOKUP(C60,'Autres hypothèses'!$B$18:$H$86,7,FALSE)</f>
        <v>0.98397165791092345</v>
      </c>
      <c r="AE60" s="126">
        <f>AE59/(1+VLOOKUP(C60-1,'Autres hypothèses'!B70:H138,5,FALSE))</f>
        <v>0.12971758928316338</v>
      </c>
      <c r="AF60" s="135">
        <f t="shared" ca="1" si="9"/>
        <v>6.1413016987040453E-7</v>
      </c>
      <c r="AG60" s="80"/>
    </row>
    <row r="61" spans="2:33" x14ac:dyDescent="0.2">
      <c r="B61" s="96">
        <f t="shared" si="10"/>
        <v>54</v>
      </c>
      <c r="C61" s="13">
        <f t="shared" si="11"/>
        <v>2076</v>
      </c>
      <c r="D61" s="13">
        <f t="shared" si="12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3"/>
        <v>116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0.98397165791092345</v>
      </c>
      <c r="R61" s="126">
        <f>R60/(1+VLOOKUP(C61-1,'Autres hypothèses'!$B$18:$H$86,5,FALSE))</f>
        <v>0.12521002826560171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14"/>
        <v>0</v>
      </c>
      <c r="AD61" s="134">
        <f>(1-(1+VLOOKUP(C61,'Autres hypothèses'!$B$18:$H$86,5,FALSE))^-1)/VLOOKUP(C61,'Autres hypothèses'!$B$18:$H$86,7,FALSE)</f>
        <v>0.98397165791092345</v>
      </c>
      <c r="AE61" s="126">
        <f>AE60/(1+VLOOKUP(C61-1,'Autres hypothèses'!B71:H139,5,FALSE))</f>
        <v>0.12521002826560171</v>
      </c>
      <c r="AF61" s="135">
        <f t="shared" ca="1" si="9"/>
        <v>0</v>
      </c>
      <c r="AG61" s="80"/>
    </row>
    <row r="62" spans="2:33" x14ac:dyDescent="0.2">
      <c r="B62" s="96">
        <f t="shared" si="10"/>
        <v>55</v>
      </c>
      <c r="C62" s="13">
        <f t="shared" si="11"/>
        <v>2077</v>
      </c>
      <c r="D62" s="13">
        <f t="shared" si="12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3"/>
        <v>117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0.98397165791092345</v>
      </c>
      <c r="R62" s="126">
        <f>R61/(1+VLOOKUP(C62-1,'Autres hypothèses'!$B$18:$H$86,5,FALSE))</f>
        <v>0.12085910064247268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0.98397165791092345</v>
      </c>
      <c r="AE62" s="126">
        <f>AE61/(1+VLOOKUP(C62-1,'Autres hypothèses'!B72:H140,5,FALSE))</f>
        <v>0.12085910064247268</v>
      </c>
      <c r="AF62" s="135">
        <f t="shared" ca="1" si="9"/>
        <v>0</v>
      </c>
      <c r="AG62" s="80"/>
    </row>
    <row r="63" spans="2:33" x14ac:dyDescent="0.2">
      <c r="B63" s="96">
        <f t="shared" si="10"/>
        <v>56</v>
      </c>
      <c r="C63" s="13">
        <f t="shared" si="11"/>
        <v>2078</v>
      </c>
      <c r="D63" s="13">
        <f t="shared" si="12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3"/>
        <v>118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0.98397165791092345</v>
      </c>
      <c r="R63" s="126">
        <f>R62/(1+VLOOKUP(C63-1,'Autres hypothèses'!$B$18:$H$86,5,FALSE))</f>
        <v>0.11665936355451031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0.98397165791092345</v>
      </c>
      <c r="AE63" s="126">
        <f>AE62/(1+VLOOKUP(C63-1,'Autres hypothèses'!B73:H141,5,FALSE))</f>
        <v>0.11665936355451031</v>
      </c>
      <c r="AF63" s="135">
        <f t="shared" ca="1" si="9"/>
        <v>0</v>
      </c>
    </row>
    <row r="64" spans="2:33" x14ac:dyDescent="0.2">
      <c r="B64" s="96">
        <f t="shared" si="10"/>
        <v>57</v>
      </c>
      <c r="C64" s="13">
        <f t="shared" si="11"/>
        <v>2079</v>
      </c>
      <c r="D64" s="13">
        <f t="shared" si="12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3"/>
        <v>119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0.98397165791092345</v>
      </c>
      <c r="R64" s="126">
        <f>R63/(1+VLOOKUP(C64-1,'Autres hypothèses'!$B$18:$H$86,5,FALSE))</f>
        <v>0.11260556327655435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0.98397165791092345</v>
      </c>
      <c r="AE64" s="126">
        <f>AE63/(1+VLOOKUP(C64-1,'Autres hypothèses'!B74:H142,5,FALSE))</f>
        <v>0.11260556327655435</v>
      </c>
      <c r="AF64" s="135">
        <f t="shared" ca="1" si="9"/>
        <v>0</v>
      </c>
    </row>
    <row r="65" spans="2:32" x14ac:dyDescent="0.2">
      <c r="B65" s="96">
        <f t="shared" si="10"/>
        <v>58</v>
      </c>
      <c r="C65" s="13">
        <f t="shared" si="11"/>
        <v>2080</v>
      </c>
      <c r="D65" s="13">
        <f t="shared" si="12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3"/>
        <v>120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0.98397165791092345</v>
      </c>
      <c r="R65" s="126">
        <f>R64/(1+VLOOKUP(C65-1,'Autres hypothèses'!$B$18:$H$86,5,FALSE))</f>
        <v>0.10869262864532274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0.98397165791092345</v>
      </c>
      <c r="AE65" s="126">
        <f>AE64/(1+VLOOKUP(C65-1,'Autres hypothèses'!B75:H143,5,FALSE))</f>
        <v>0.10869262864532274</v>
      </c>
      <c r="AF65" s="135">
        <f t="shared" ca="1" si="9"/>
        <v>0</v>
      </c>
    </row>
    <row r="66" spans="2:32" x14ac:dyDescent="0.2">
      <c r="B66" s="96">
        <f t="shared" si="10"/>
        <v>59</v>
      </c>
      <c r="C66" s="13">
        <f t="shared" si="11"/>
        <v>2081</v>
      </c>
      <c r="D66" s="13">
        <f t="shared" si="12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3"/>
        <v>121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0.98397165791092345</v>
      </c>
      <c r="R66" s="126">
        <f>R65/(1+VLOOKUP(C66-1,'Autres hypothèses'!$B$18:$H$86,5,FALSE))</f>
        <v>0.10491566471556249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0.98397165791092345</v>
      </c>
      <c r="AE66" s="126">
        <f>AE65/(1+VLOOKUP(C66-1,'Autres hypothèses'!B76:H144,5,FALSE))</f>
        <v>0.10491566471556249</v>
      </c>
      <c r="AF66" s="135">
        <f t="shared" ca="1" si="9"/>
        <v>0</v>
      </c>
    </row>
    <row r="67" spans="2:32" x14ac:dyDescent="0.2">
      <c r="B67" s="96">
        <f t="shared" si="10"/>
        <v>60</v>
      </c>
      <c r="C67" s="13">
        <f t="shared" si="11"/>
        <v>2082</v>
      </c>
      <c r="D67" s="13">
        <f t="shared" si="12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3"/>
        <v>122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0.98397165791092345</v>
      </c>
      <c r="R67" s="126">
        <f>R66/(1+VLOOKUP(C67-1,'Autres hypothèses'!$B$18:$H$86,5,FALSE))</f>
        <v>0.10126994663664332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0.98397165791092345</v>
      </c>
      <c r="AE67" s="126">
        <f>AE66/(1+VLOOKUP(C67-1,'Autres hypothèses'!B77:H145,5,FALSE))</f>
        <v>0.10126994663664332</v>
      </c>
      <c r="AF67" s="135">
        <f t="shared" ca="1" si="9"/>
        <v>0</v>
      </c>
    </row>
    <row r="68" spans="2:32" x14ac:dyDescent="0.2">
      <c r="B68" s="96">
        <f t="shared" si="10"/>
        <v>61</v>
      </c>
      <c r="C68" s="13">
        <f t="shared" si="11"/>
        <v>2083</v>
      </c>
      <c r="D68" s="13">
        <f t="shared" si="12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3"/>
        <v>123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0.98397165791092345</v>
      </c>
      <c r="R68" s="126">
        <f>R67/(1+VLOOKUP(C68-1,'Autres hypothèses'!$B$18:$H$86,5,FALSE))</f>
        <v>9.7750913741933704E-2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0.98397165791092345</v>
      </c>
      <c r="AE68" s="126">
        <f>AE67/(1+VLOOKUP(C68-1,'Autres hypothèses'!B78:H146,5,FALSE))</f>
        <v>9.7750913741933704E-2</v>
      </c>
      <c r="AF68" s="135">
        <f t="shared" ca="1" si="9"/>
        <v>0</v>
      </c>
    </row>
    <row r="69" spans="2:32" x14ac:dyDescent="0.2">
      <c r="B69" s="96">
        <f t="shared" si="10"/>
        <v>62</v>
      </c>
      <c r="C69" s="13">
        <f t="shared" si="11"/>
        <v>2084</v>
      </c>
      <c r="D69" s="13">
        <f t="shared" si="12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3"/>
        <v>124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0.98397165791092345</v>
      </c>
      <c r="R69" s="126">
        <f>R68/(1+VLOOKUP(C69-1,'Autres hypothèses'!$B$18:$H$86,5,FALSE))</f>
        <v>9.4354163843565347E-2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0.98397165791092345</v>
      </c>
      <c r="AE69" s="126">
        <f>AE68/(1+VLOOKUP(C69-1,'Autres hypothèses'!B79:H147,5,FALSE))</f>
        <v>9.4354163843565347E-2</v>
      </c>
      <c r="AF69" s="135">
        <f t="shared" ca="1" si="9"/>
        <v>0</v>
      </c>
    </row>
    <row r="70" spans="2:32" x14ac:dyDescent="0.2">
      <c r="B70" s="96">
        <f t="shared" si="10"/>
        <v>63</v>
      </c>
      <c r="C70" s="13">
        <f t="shared" si="11"/>
        <v>2085</v>
      </c>
      <c r="D70" s="13">
        <f t="shared" si="12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3"/>
        <v>125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0.98397165791092345</v>
      </c>
      <c r="R70" s="126">
        <f>R69/(1+VLOOKUP(C70-1,'Autres hypothèses'!$B$18:$H$86,5,FALSE))</f>
        <v>9.1075447725449177E-2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0.98397165791092345</v>
      </c>
      <c r="AE70" s="126">
        <f>AE69/(1+VLOOKUP(C70-1,'Autres hypothèses'!B80:H148,5,FALSE))</f>
        <v>9.1075447725449177E-2</v>
      </c>
      <c r="AF70" s="135">
        <f t="shared" ca="1" si="9"/>
        <v>0</v>
      </c>
    </row>
    <row r="71" spans="2:32" x14ac:dyDescent="0.2">
      <c r="B71" s="96">
        <f t="shared" si="10"/>
        <v>64</v>
      </c>
      <c r="C71" s="13">
        <f t="shared" si="11"/>
        <v>2086</v>
      </c>
      <c r="D71" s="13">
        <f t="shared" si="12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3"/>
        <v>126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0.98397165791092345</v>
      </c>
      <c r="R71" s="126">
        <f>R70/(1+VLOOKUP(C71-1,'Autres hypothèses'!$B$18:$H$86,5,FALSE))</f>
        <v>8.791066382765364E-2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0.98397165791092345</v>
      </c>
      <c r="AE71" s="126">
        <f>AE70/(1+VLOOKUP(C71-1,'Autres hypothèses'!B81:H149,5,FALSE))</f>
        <v>8.791066382765364E-2</v>
      </c>
      <c r="AF71" s="135">
        <f t="shared" ca="1" si="9"/>
        <v>0</v>
      </c>
    </row>
    <row r="72" spans="2:32" x14ac:dyDescent="0.2">
      <c r="B72" s="96">
        <f t="shared" si="10"/>
        <v>65</v>
      </c>
      <c r="C72" s="13">
        <f t="shared" si="11"/>
        <v>2087</v>
      </c>
      <c r="D72" s="13">
        <f t="shared" si="12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3"/>
        <v>127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0.98397165791092345</v>
      </c>
      <c r="R72" s="126">
        <f>R71/(1+VLOOKUP(C72-1,'Autres hypothèses'!$B$18:$H$86,5,FALSE))</f>
        <v>8.4855853115495788E-2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0.98397165791092345</v>
      </c>
      <c r="AE72" s="126">
        <f>AE71/(1+VLOOKUP(C72-1,'Autres hypothèses'!B82:H150,5,FALSE))</f>
        <v>8.4855853115495788E-2</v>
      </c>
      <c r="AF72" s="135">
        <f t="shared" ref="AF72:AF75" ca="1" si="29">AC72*AD72*AE72</f>
        <v>0</v>
      </c>
    </row>
    <row r="73" spans="2:32" x14ac:dyDescent="0.2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128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0.98397165791092345</v>
      </c>
      <c r="R73" s="126">
        <f>R72/(1+VLOOKUP(C73-1,'Autres hypothèses'!$B$18:$H$86,5,FALSE))</f>
        <v>8.190719412692643E-2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0.98397165791092345</v>
      </c>
      <c r="AE73" s="126">
        <f>AE72/(1+VLOOKUP(C73-1,'Autres hypothèses'!B83:H151,5,FALSE))</f>
        <v>8.190719412692643E-2</v>
      </c>
      <c r="AF73" s="135">
        <f t="shared" ca="1" si="29"/>
        <v>0</v>
      </c>
    </row>
    <row r="74" spans="2:32" x14ac:dyDescent="0.2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129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0.98397165791092345</v>
      </c>
      <c r="R74" s="126">
        <f>R73/(1+VLOOKUP(C74-1,'Autres hypothèses'!$B$18:$H$86,5,FALSE))</f>
        <v>7.9060998192013926E-2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0.98397165791092345</v>
      </c>
      <c r="AE74" s="126">
        <f>AE73/(1+VLOOKUP(C74-1,'Autres hypothèses'!B84:H152,5,FALSE))</f>
        <v>7.9060998192013926E-2</v>
      </c>
      <c r="AF74" s="135">
        <f t="shared" ca="1" si="29"/>
        <v>0</v>
      </c>
    </row>
    <row r="75" spans="2:32" ht="16" thickBot="1" x14ac:dyDescent="0.25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130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0.98397165791092345</v>
      </c>
      <c r="R75" s="128">
        <f>R74/(1+VLOOKUP(C75-1,'Autres hypothèses'!$B$18:$H$86,5,FALSE))</f>
        <v>7.6313704818546255E-2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0.98397165791092345</v>
      </c>
      <c r="AE75" s="128">
        <f>AE74/(1+VLOOKUP(C75-1,'Autres hypothèses'!B85:H153,5,FALSE))</f>
        <v>7.6313704818546255E-2</v>
      </c>
      <c r="AF75" s="137">
        <f t="shared" ca="1" si="29"/>
        <v>0</v>
      </c>
    </row>
    <row r="76" spans="2:32" x14ac:dyDescent="0.2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41</vt:i4>
      </vt:variant>
    </vt:vector>
  </HeadingPairs>
  <TitlesOfParts>
    <vt:vector size="41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Tristan Métivier-Dionne</cp:lastModifiedBy>
  <cp:lastPrinted>2021-11-07T23:10:42Z</cp:lastPrinted>
  <dcterms:created xsi:type="dcterms:W3CDTF">2021-10-27T23:50:58Z</dcterms:created>
  <dcterms:modified xsi:type="dcterms:W3CDTF">2021-11-16T23:35:21Z</dcterms:modified>
</cp:coreProperties>
</file>