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Pile Cap Excel\"/>
    </mc:Choice>
  </mc:AlternateContent>
  <bookViews>
    <workbookView xWindow="0" yWindow="0" windowWidth="20490" windowHeight="7455"/>
  </bookViews>
  <sheets>
    <sheet name="DOUBLE PILE" sheetId="1" r:id="rId1"/>
  </sheets>
  <externalReferences>
    <externalReference r:id="rId2"/>
  </externalReferences>
  <definedNames>
    <definedName name="_xlnm.Print_Area" localSheetId="0">'DOUBLE PILE'!$B$41:$K$83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8" i="1" l="1"/>
  <c r="E75" i="1"/>
  <c r="L71" i="1"/>
  <c r="O69" i="1"/>
  <c r="O70" i="1" s="1"/>
  <c r="O63" i="1"/>
  <c r="J63" i="1"/>
  <c r="J62" i="1"/>
  <c r="E54" i="1"/>
  <c r="D54" i="1"/>
  <c r="C54" i="1"/>
  <c r="E49" i="1"/>
  <c r="J47" i="1"/>
  <c r="C47" i="1"/>
  <c r="C46" i="1"/>
  <c r="G45" i="1"/>
  <c r="I43" i="1"/>
  <c r="L40" i="1"/>
  <c r="L33" i="1"/>
  <c r="L32" i="1"/>
  <c r="L31" i="1"/>
  <c r="L30" i="1"/>
  <c r="H27" i="1"/>
  <c r="F27" i="1"/>
  <c r="E20" i="1"/>
  <c r="J59" i="1" s="1"/>
  <c r="E19" i="1"/>
  <c r="I55" i="1" l="1"/>
  <c r="L20" i="1"/>
  <c r="H55" i="1"/>
  <c r="C49" i="1"/>
  <c r="P63" i="1"/>
  <c r="C81" i="1"/>
  <c r="I54" i="1"/>
  <c r="O68" i="1"/>
  <c r="C78" i="1"/>
  <c r="L21" i="1"/>
  <c r="H54" i="1"/>
  <c r="J58" i="1"/>
  <c r="E58" i="1" l="1"/>
  <c r="I53" i="1"/>
  <c r="C50" i="1"/>
  <c r="H53" i="1"/>
  <c r="I51" i="1"/>
  <c r="H51" i="1"/>
  <c r="E80" i="1"/>
  <c r="E59" i="1"/>
  <c r="E77" i="1"/>
  <c r="C77" i="1" l="1"/>
  <c r="O74" i="1"/>
  <c r="O75" i="1" s="1"/>
  <c r="C58" i="1"/>
  <c r="G80" i="1"/>
  <c r="G59" i="1"/>
  <c r="G77" i="1"/>
  <c r="H52" i="1"/>
  <c r="I32" i="1" s="1"/>
  <c r="J51" i="1"/>
  <c r="I31" i="1"/>
  <c r="P74" i="1"/>
  <c r="P75" i="1" s="1"/>
  <c r="C59" i="1"/>
  <c r="C80" i="1"/>
  <c r="J31" i="1"/>
  <c r="I52" i="1"/>
  <c r="J32" i="1" s="1"/>
  <c r="G58" i="1"/>
  <c r="C62" i="1" l="1"/>
  <c r="G62" i="1"/>
  <c r="J52" i="1"/>
  <c r="J54" i="1"/>
  <c r="P64" i="1" l="1"/>
  <c r="P65" i="1" s="1"/>
  <c r="P66" i="1" s="1"/>
  <c r="C33" i="1"/>
  <c r="C30" i="1"/>
  <c r="O66" i="1"/>
  <c r="O64" i="1"/>
  <c r="O65" i="1" s="1"/>
  <c r="P69" i="1" l="1"/>
  <c r="P70" i="1" s="1"/>
  <c r="P68" i="1" s="1"/>
  <c r="P67" i="1"/>
  <c r="Q70" i="1"/>
  <c r="O67" i="1"/>
  <c r="P76" i="1" l="1"/>
  <c r="O76" i="1"/>
  <c r="R68" i="1"/>
  <c r="H62" i="1"/>
  <c r="Q68" i="1"/>
  <c r="D62" i="1"/>
  <c r="C72" i="1" l="1"/>
  <c r="S77" i="1"/>
  <c r="O77" i="1"/>
  <c r="O78" i="1" s="1"/>
  <c r="G72" i="1"/>
  <c r="S78" i="1"/>
  <c r="T78" i="1" s="1"/>
  <c r="T77" i="1"/>
  <c r="Q77" i="1" l="1"/>
  <c r="Q78" i="1" s="1"/>
  <c r="C84" i="1" s="1"/>
  <c r="O79" i="1" l="1"/>
  <c r="E83" i="1" s="1"/>
  <c r="G63" i="1" l="1"/>
  <c r="C63" i="1"/>
  <c r="G64" i="1" l="1"/>
  <c r="G65" i="1" s="1"/>
  <c r="G66" i="1" s="1"/>
  <c r="F81" i="1"/>
  <c r="F78" i="1"/>
  <c r="E81" i="1"/>
  <c r="C64" i="1"/>
  <c r="C65" i="1" s="1"/>
  <c r="C66" i="1" s="1"/>
  <c r="C67" i="1" l="1"/>
  <c r="C68" i="1" s="1"/>
  <c r="C31" i="1"/>
  <c r="G70" i="1"/>
  <c r="G71" i="1" s="1"/>
  <c r="G67" i="1"/>
  <c r="D73" i="1" l="1"/>
  <c r="D32" i="1" s="1"/>
  <c r="I38" i="1"/>
  <c r="C69" i="1"/>
  <c r="C73" i="1"/>
  <c r="G68" i="1"/>
  <c r="C34" i="1"/>
  <c r="H75" i="1" l="1"/>
  <c r="E32" i="1"/>
  <c r="C70" i="1"/>
  <c r="C71" i="1" s="1"/>
  <c r="H35" i="1"/>
  <c r="H73" i="1"/>
  <c r="D35" i="1" s="1"/>
  <c r="G69" i="1"/>
  <c r="E35" i="1" s="1"/>
  <c r="G73" i="1"/>
  <c r="G81" i="1" l="1"/>
  <c r="G78" i="1"/>
  <c r="M81" i="1" l="1"/>
  <c r="M78" i="1"/>
  <c r="M77" i="1"/>
  <c r="M79" i="1"/>
  <c r="M80" i="1"/>
  <c r="C83" i="1"/>
  <c r="C37" i="1" l="1"/>
  <c r="C39" i="1"/>
  <c r="F84" i="1"/>
  <c r="C38" i="1"/>
  <c r="G84" i="1" l="1"/>
  <c r="D40" i="1" s="1"/>
  <c r="I39" i="1"/>
  <c r="M82" i="1"/>
  <c r="E40" i="1" s="1"/>
</calcChain>
</file>

<file path=xl/sharedStrings.xml><?xml version="1.0" encoding="utf-8"?>
<sst xmlns="http://schemas.openxmlformats.org/spreadsheetml/2006/main" count="198" uniqueCount="136">
  <si>
    <t xml:space="preserve"> </t>
  </si>
  <si>
    <t>OPERATING INSTRUCTIONS</t>
  </si>
  <si>
    <t xml:space="preserve"> T</t>
  </si>
  <si>
    <t xml:space="preserve"> Project</t>
  </si>
  <si>
    <t>UNREGISTERED COPY</t>
  </si>
  <si>
    <r>
      <t xml:space="preserve">ENTER DATA IN </t>
    </r>
    <r>
      <rPr>
        <b/>
        <sz val="12"/>
        <color indexed="12"/>
        <rFont val="Tekton"/>
        <family val="2"/>
      </rPr>
      <t>BLUE/</t>
    </r>
    <r>
      <rPr>
        <b/>
        <sz val="12"/>
        <color indexed="14"/>
        <rFont val="Tekton"/>
        <family val="2"/>
      </rPr>
      <t>MAGENTA</t>
    </r>
    <r>
      <rPr>
        <b/>
        <sz val="12"/>
        <color indexed="12"/>
        <rFont val="Tekton"/>
        <family val="2"/>
      </rPr>
      <t xml:space="preserve"> </t>
    </r>
    <r>
      <rPr>
        <b/>
        <sz val="12"/>
        <color indexed="17"/>
        <rFont val="Tekton"/>
        <family val="2"/>
      </rPr>
      <t>CELLS ONLY.</t>
    </r>
  </si>
  <si>
    <t>fbu =</t>
  </si>
  <si>
    <t xml:space="preserve"> Client</t>
  </si>
  <si>
    <t xml:space="preserve"> Made by</t>
  </si>
  <si>
    <t xml:space="preserve"> Date</t>
  </si>
  <si>
    <t xml:space="preserve"> Page</t>
  </si>
  <si>
    <r>
      <t>RED MESSAGES</t>
    </r>
    <r>
      <rPr>
        <b/>
        <sz val="12"/>
        <color indexed="17"/>
        <rFont val="Tekton"/>
        <family val="2"/>
      </rPr>
      <t xml:space="preserve"> INDICATE ENTRY ERRORS.</t>
    </r>
  </si>
  <si>
    <t>Fs =</t>
  </si>
  <si>
    <t xml:space="preserve"> Location</t>
  </si>
  <si>
    <t>Double Pilecap</t>
  </si>
  <si>
    <r>
      <t xml:space="preserve">THIS PAGE for </t>
    </r>
    <r>
      <rPr>
        <b/>
        <sz val="12"/>
        <color indexed="60"/>
        <rFont val="Tekton"/>
        <family val="2"/>
      </rPr>
      <t>DOUBLE</t>
    </r>
    <r>
      <rPr>
        <b/>
        <sz val="12"/>
        <color indexed="17"/>
        <rFont val="Tekton"/>
        <family val="2"/>
      </rPr>
      <t xml:space="preserve"> PILECAPS ONLY.</t>
    </r>
  </si>
  <si>
    <t>bond L =</t>
  </si>
  <si>
    <t xml:space="preserve"> Checked</t>
  </si>
  <si>
    <t>Revision</t>
  </si>
  <si>
    <t xml:space="preserve"> Job No</t>
  </si>
  <si>
    <t>v max =</t>
  </si>
  <si>
    <t>-</t>
  </si>
  <si>
    <t xml:space="preserve"> MATERIALS</t>
  </si>
  <si>
    <t>fcu</t>
  </si>
  <si>
    <t>N/mm²</t>
  </si>
  <si>
    <t>h agg</t>
  </si>
  <si>
    <t>mm</t>
  </si>
  <si>
    <r>
      <t>g</t>
    </r>
    <r>
      <rPr>
        <sz val="10"/>
        <rFont val="Technical"/>
        <family val="4"/>
      </rPr>
      <t>c</t>
    </r>
  </si>
  <si>
    <t>concrete</t>
  </si>
  <si>
    <t>fy</t>
  </si>
  <si>
    <t>T&amp;S cover</t>
  </si>
  <si>
    <r>
      <t>g</t>
    </r>
    <r>
      <rPr>
        <sz val="10"/>
        <rFont val="Technical"/>
        <family val="4"/>
      </rPr>
      <t>s</t>
    </r>
  </si>
  <si>
    <t>steel</t>
  </si>
  <si>
    <t>Pile capacity</t>
  </si>
  <si>
    <t>kN</t>
  </si>
  <si>
    <t>Btm cover</t>
  </si>
  <si>
    <t>Conc density</t>
  </si>
  <si>
    <t>kN/m³</t>
  </si>
  <si>
    <r>
      <t xml:space="preserve"> </t>
    </r>
    <r>
      <rPr>
        <sz val="12"/>
        <rFont val="Marker"/>
        <family val="2"/>
      </rPr>
      <t>DIMENSIONS</t>
    </r>
    <r>
      <rPr>
        <sz val="14"/>
        <rFont val="BlacklightD"/>
        <family val="4"/>
      </rPr>
      <t xml:space="preserve"> </t>
    </r>
    <r>
      <rPr>
        <sz val="14"/>
        <rFont val="Tekton"/>
        <family val="2"/>
      </rPr>
      <t>mm</t>
    </r>
  </si>
  <si>
    <t>PILECAP</t>
  </si>
  <si>
    <t xml:space="preserve">           COLUMN</t>
  </si>
  <si>
    <t>A =</t>
  </si>
  <si>
    <r>
      <t>®</t>
    </r>
    <r>
      <rPr>
        <sz val="14"/>
        <rFont val="Tekton"/>
        <family val="2"/>
      </rPr>
      <t xml:space="preserve"> =</t>
    </r>
  </si>
  <si>
    <t>B =</t>
  </si>
  <si>
    <r>
      <t>­</t>
    </r>
    <r>
      <rPr>
        <sz val="14"/>
        <rFont val="Tekton"/>
        <family val="2"/>
      </rPr>
      <t xml:space="preserve"> =</t>
    </r>
  </si>
  <si>
    <t>C =</t>
  </si>
  <si>
    <t>E =</t>
  </si>
  <si>
    <t>Pile Ø =</t>
  </si>
  <si>
    <r>
      <t>depth</t>
    </r>
    <r>
      <rPr>
        <sz val="14"/>
        <rFont val="Tekton"/>
        <family val="2"/>
      </rPr>
      <t xml:space="preserve"> H =</t>
    </r>
  </si>
  <si>
    <r>
      <t xml:space="preserve"> COLUMN ACTIONS</t>
    </r>
    <r>
      <rPr>
        <b/>
        <sz val="12"/>
        <rFont val="Marker"/>
        <family val="2"/>
      </rPr>
      <t xml:space="preserve"> </t>
    </r>
    <r>
      <rPr>
        <sz val="14"/>
        <rFont val="Tekton"/>
        <family val="2"/>
      </rPr>
      <t>kN, kNm</t>
    </r>
    <r>
      <rPr>
        <sz val="12"/>
        <rFont val="Tekton"/>
        <family val="2"/>
      </rPr>
      <t xml:space="preserve">  </t>
    </r>
    <r>
      <rPr>
        <sz val="10"/>
        <rFont val="Tekton"/>
        <family val="2"/>
      </rPr>
      <t>characteristic</t>
    </r>
  </si>
  <si>
    <t xml:space="preserve">  SIGN CONVENTION</t>
  </si>
  <si>
    <t>DEAD</t>
  </si>
  <si>
    <t>IMPOSED</t>
  </si>
  <si>
    <t>WIND</t>
  </si>
  <si>
    <r>
      <t xml:space="preserve">Axial </t>
    </r>
    <r>
      <rPr>
        <sz val="12"/>
        <rFont val="Tekton"/>
        <family val="2"/>
      </rPr>
      <t xml:space="preserve">(kN) </t>
    </r>
  </si>
  <si>
    <r>
      <t>PLOT</t>
    </r>
    <r>
      <rPr>
        <sz val="12"/>
        <rFont val="Marker"/>
        <family val="2"/>
      </rPr>
      <t xml:space="preserve">  </t>
    </r>
    <r>
      <rPr>
        <i/>
        <sz val="12"/>
        <rFont val="Tekton"/>
        <family val="2"/>
      </rPr>
      <t>(to scale)</t>
    </r>
  </si>
  <si>
    <t>KEY</t>
  </si>
  <si>
    <r>
      <t>M</t>
    </r>
    <r>
      <rPr>
        <sz val="12"/>
        <rFont val="Tekton"/>
        <family val="2"/>
      </rPr>
      <t xml:space="preserve"> (kNm) </t>
    </r>
  </si>
  <si>
    <r>
      <t xml:space="preserve">H </t>
    </r>
    <r>
      <rPr>
        <sz val="12"/>
        <rFont val="Tekton"/>
        <family val="2"/>
      </rPr>
      <t xml:space="preserve">(kN) </t>
    </r>
  </si>
  <si>
    <t xml:space="preserve">       M           H</t>
  </si>
  <si>
    <t xml:space="preserve"> REINFORCEMENT</t>
  </si>
  <si>
    <r>
      <t>PILE REACTIONS</t>
    </r>
    <r>
      <rPr>
        <sz val="14"/>
        <rFont val="BlacklightD"/>
        <family val="4"/>
      </rPr>
      <t xml:space="preserve"> </t>
    </r>
    <r>
      <rPr>
        <sz val="14"/>
        <rFont val="Tekton"/>
        <family val="2"/>
      </rPr>
      <t>kN</t>
    </r>
  </si>
  <si>
    <t xml:space="preserve">BOTTOM </t>
  </si>
  <si>
    <t>PILE 1</t>
  </si>
  <si>
    <t>PILE 2</t>
  </si>
  <si>
    <t/>
  </si>
  <si>
    <t>Gk + Qk</t>
  </si>
  <si>
    <t>Gk + Qk +Wk</t>
  </si>
  <si>
    <t xml:space="preserve">TOP </t>
  </si>
  <si>
    <t xml:space="preserve">LINKS </t>
  </si>
  <si>
    <t xml:space="preserve"> + 2x11 T8 04.200</t>
  </si>
  <si>
    <t>ELEVATION</t>
  </si>
  <si>
    <t>Cap load (kN) =</t>
  </si>
  <si>
    <t>Piles @ (m)</t>
  </si>
  <si>
    <t>or (kN/m) =</t>
  </si>
  <si>
    <t xml:space="preserve">Gk + Qk </t>
  </si>
  <si>
    <r>
      <t xml:space="preserve"> OVERTURNING MOMENTS</t>
    </r>
    <r>
      <rPr>
        <sz val="12"/>
        <rFont val="Tekton"/>
        <family val="2"/>
      </rPr>
      <t xml:space="preserve"> - kNm </t>
    </r>
    <r>
      <rPr>
        <sz val="10"/>
        <rFont val="Tekton"/>
        <family val="2"/>
      </rPr>
      <t>characteristic</t>
    </r>
  </si>
  <si>
    <t xml:space="preserve">Gk + Qk +Wk </t>
  </si>
  <si>
    <t xml:space="preserve">1.4Gk + 1.6Qk </t>
  </si>
  <si>
    <t xml:space="preserve">Gk + 1.4Wk </t>
  </si>
  <si>
    <t xml:space="preserve">1.2(Gk+Qk+Wk) </t>
  </si>
  <si>
    <r>
      <t xml:space="preserve"> </t>
    </r>
    <r>
      <rPr>
        <sz val="12"/>
        <rFont val="Marker"/>
        <family val="2"/>
      </rPr>
      <t>BENDING MOMENTS</t>
    </r>
    <r>
      <rPr>
        <sz val="12"/>
        <rFont val="BlacklightD"/>
        <family val="4"/>
      </rPr>
      <t xml:space="preserve"> </t>
    </r>
    <r>
      <rPr>
        <sz val="12"/>
        <rFont val="Tekton"/>
        <family val="2"/>
      </rPr>
      <t>- kNm</t>
    </r>
  </si>
  <si>
    <t xml:space="preserve">M v of col </t>
  </si>
  <si>
    <t>arm (m)</t>
  </si>
  <si>
    <t xml:space="preserve">M ^ of col </t>
  </si>
  <si>
    <t xml:space="preserve"> BOTTOM STEEL</t>
  </si>
  <si>
    <t>TOP STEEL</t>
  </si>
  <si>
    <t>SELECT MAIN Øs</t>
  </si>
  <si>
    <t>Bottom M =</t>
  </si>
  <si>
    <t>Top M =</t>
  </si>
  <si>
    <t>K' =</t>
  </si>
  <si>
    <t>BTM</t>
  </si>
  <si>
    <t>TOP</t>
  </si>
  <si>
    <t>d =</t>
  </si>
  <si>
    <t xml:space="preserve">min As = </t>
  </si>
  <si>
    <t>K =</t>
  </si>
  <si>
    <t>z =</t>
  </si>
  <si>
    <t xml:space="preserve">As = </t>
  </si>
  <si>
    <t>Provide</t>
  </si>
  <si>
    <t xml:space="preserve">No = </t>
  </si>
  <si>
    <t xml:space="preserve">As prov = </t>
  </si>
  <si>
    <t xml:space="preserve">fs = </t>
  </si>
  <si>
    <t>S =</t>
  </si>
  <si>
    <t>%</t>
  </si>
  <si>
    <t>Max clear S =</t>
  </si>
  <si>
    <t>Min clear S =</t>
  </si>
  <si>
    <t>SELECT LINK Ø</t>
  </si>
  <si>
    <t>Clear S =</t>
  </si>
  <si>
    <t>V =</t>
  </si>
  <si>
    <t xml:space="preserve"> SHEAR</t>
  </si>
  <si>
    <t>Crit section is</t>
  </si>
  <si>
    <t>from pile centres</t>
  </si>
  <si>
    <t>v =</t>
  </si>
  <si>
    <t xml:space="preserve">PILE 1 </t>
  </si>
  <si>
    <t>vc 2d/av =</t>
  </si>
  <si>
    <t xml:space="preserve">V </t>
  </si>
  <si>
    <t>Max (v - vc)b =</t>
  </si>
  <si>
    <t>Min legs =</t>
  </si>
  <si>
    <t>Btm S =</t>
  </si>
  <si>
    <t>Av =</t>
  </si>
  <si>
    <t>Asv/Sv =</t>
  </si>
  <si>
    <t>Legs =</t>
  </si>
  <si>
    <t>Top S =</t>
  </si>
  <si>
    <t xml:space="preserve">PILE 2 </t>
  </si>
  <si>
    <t>Asv =</t>
  </si>
  <si>
    <t>for one leg</t>
  </si>
  <si>
    <t>links</t>
  </si>
  <si>
    <t>No of legs =</t>
  </si>
  <si>
    <t>Link spacing =</t>
  </si>
  <si>
    <t>DESIGN INTEGRITY</t>
  </si>
  <si>
    <t>CIVIL ENGINEERING LEARNING CENTER</t>
  </si>
  <si>
    <t>Email: engr.towhid.ce@gmail.com</t>
  </si>
  <si>
    <r>
      <rPr>
        <sz val="11"/>
        <color rgb="FF00B050"/>
        <rFont val="Calibri"/>
        <family val="2"/>
        <scheme val="minor"/>
      </rPr>
      <t xml:space="preserve">Email : dilbd016@gmail.com              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Call:01633905761</t>
    </r>
  </si>
  <si>
    <t>THANKING YOU</t>
  </si>
  <si>
    <t>ENGR.TOWHID</t>
  </si>
  <si>
    <t>CO-FOUNDER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</si>
</sst>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"/>
    <numFmt numFmtId="166" formatCode="\Ø#,##0;\-\Ø#,##0"/>
    <numFmt numFmtId="167" formatCode="0.0000"/>
  </numFmts>
  <fonts count="8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indexed="17"/>
      <name val="Tekton"/>
      <family val="2"/>
    </font>
    <font>
      <sz val="12"/>
      <name val="Courier New"/>
    </font>
    <font>
      <sz val="14"/>
      <name val="Courier New"/>
    </font>
    <font>
      <b/>
      <sz val="16"/>
      <color indexed="60"/>
      <name val="Tekton"/>
      <family val="2"/>
    </font>
    <font>
      <sz val="10"/>
      <name val="Tekton"/>
      <family val="2"/>
    </font>
    <font>
      <sz val="24"/>
      <name val="Courier New"/>
    </font>
    <font>
      <sz val="12"/>
      <name val="Tekton"/>
      <family val="2"/>
    </font>
    <font>
      <sz val="16"/>
      <color indexed="12"/>
      <name val="Marker"/>
      <family val="2"/>
    </font>
    <font>
      <sz val="14"/>
      <name val="BlacklightD"/>
      <family val="4"/>
    </font>
    <font>
      <sz val="12"/>
      <name val="BlacklightD"/>
      <family val="4"/>
    </font>
    <font>
      <i/>
      <sz val="10"/>
      <color indexed="10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indexed="17"/>
      <name val="Tekton"/>
      <family val="2"/>
    </font>
    <font>
      <b/>
      <sz val="12"/>
      <color indexed="12"/>
      <name val="Tekton"/>
      <family val="2"/>
    </font>
    <font>
      <b/>
      <sz val="12"/>
      <color indexed="14"/>
      <name val="Tekton"/>
      <family val="2"/>
    </font>
    <font>
      <sz val="14"/>
      <color indexed="12"/>
      <name val="Marker"/>
      <family val="2"/>
    </font>
    <font>
      <sz val="10"/>
      <name val="BlacklightD"/>
      <family val="4"/>
    </font>
    <font>
      <sz val="14"/>
      <color indexed="17"/>
      <name val="BlacklightD"/>
      <family val="4"/>
    </font>
    <font>
      <b/>
      <sz val="12"/>
      <color indexed="10"/>
      <name val="Tekton"/>
      <family val="2"/>
    </font>
    <font>
      <sz val="13"/>
      <color indexed="17"/>
      <name val="Marker"/>
      <family val="2"/>
    </font>
    <font>
      <sz val="12"/>
      <color indexed="12"/>
      <name val="Marker"/>
      <family val="2"/>
    </font>
    <font>
      <b/>
      <sz val="12"/>
      <color indexed="60"/>
      <name val="Tekton"/>
      <family val="2"/>
    </font>
    <font>
      <sz val="8"/>
      <name val="Tekton"/>
      <family val="2"/>
    </font>
    <font>
      <sz val="12"/>
      <color indexed="10"/>
      <name val="BlacklightD"/>
      <family val="4"/>
    </font>
    <font>
      <sz val="12"/>
      <color indexed="17"/>
      <name val="BlacklightD"/>
      <family val="4"/>
    </font>
    <font>
      <sz val="10"/>
      <name val="Arial"/>
    </font>
    <font>
      <sz val="12"/>
      <name val="Marker"/>
      <family val="2"/>
    </font>
    <font>
      <sz val="14"/>
      <name val="Tekton"/>
      <family val="2"/>
    </font>
    <font>
      <u/>
      <sz val="14"/>
      <color indexed="12"/>
      <name val="Tekton"/>
      <family val="2"/>
    </font>
    <font>
      <sz val="12"/>
      <name val="Symbol"/>
      <family val="1"/>
      <charset val="2"/>
    </font>
    <font>
      <sz val="10"/>
      <name val="Technical"/>
      <family val="4"/>
    </font>
    <font>
      <sz val="14"/>
      <color indexed="60"/>
      <name val="BlacklightD"/>
      <family val="4"/>
    </font>
    <font>
      <sz val="14"/>
      <name val="Marker"/>
      <family val="2"/>
    </font>
    <font>
      <i/>
      <sz val="12"/>
      <color indexed="17"/>
      <name val="Tekton"/>
      <family val="2"/>
    </font>
    <font>
      <sz val="11"/>
      <name val="Marker"/>
      <family val="2"/>
    </font>
    <font>
      <sz val="14"/>
      <name val="Symbol"/>
      <family val="1"/>
      <charset val="2"/>
    </font>
    <font>
      <sz val="10"/>
      <name val="Marker"/>
      <family val="2"/>
    </font>
    <font>
      <sz val="14"/>
      <name val="Arial"/>
    </font>
    <font>
      <sz val="12"/>
      <color indexed="20"/>
      <name val="BlacklightD"/>
      <family val="4"/>
    </font>
    <font>
      <b/>
      <sz val="14"/>
      <color indexed="10"/>
      <name val="Tekton"/>
      <family val="2"/>
    </font>
    <font>
      <b/>
      <sz val="12"/>
      <name val="Marker"/>
      <family val="2"/>
    </font>
    <font>
      <b/>
      <i/>
      <sz val="12"/>
      <color indexed="60"/>
      <name val="Tekton"/>
      <family val="2"/>
    </font>
    <font>
      <sz val="10"/>
      <name val="Arial"/>
      <family val="2"/>
    </font>
    <font>
      <sz val="13"/>
      <name val="Marker"/>
      <family val="2"/>
    </font>
    <font>
      <i/>
      <sz val="12"/>
      <name val="Tekton"/>
      <family val="2"/>
    </font>
    <font>
      <sz val="13"/>
      <color indexed="10"/>
      <name val="Marker"/>
      <family val="2"/>
    </font>
    <font>
      <sz val="14"/>
      <name val="Tekton"/>
    </font>
    <font>
      <b/>
      <sz val="14"/>
      <color indexed="60"/>
      <name val="BlacklightD"/>
      <family val="4"/>
    </font>
    <font>
      <sz val="12"/>
      <color indexed="10"/>
      <name val="Tekton"/>
      <family val="2"/>
    </font>
    <font>
      <u/>
      <sz val="13"/>
      <color indexed="60"/>
      <name val="Marker"/>
      <family val="2"/>
    </font>
    <font>
      <sz val="13"/>
      <color indexed="12"/>
      <name val="Tekton"/>
      <family val="2"/>
    </font>
    <font>
      <sz val="13"/>
      <name val="Tekton"/>
      <family val="2"/>
    </font>
    <font>
      <sz val="13"/>
      <color indexed="10"/>
      <name val="Tekton"/>
      <family val="2"/>
    </font>
    <font>
      <sz val="13"/>
      <color indexed="17"/>
      <name val="Tekton"/>
      <family val="2"/>
    </font>
    <font>
      <b/>
      <sz val="14"/>
      <color indexed="17"/>
      <name val="Tekton"/>
      <family val="2"/>
    </font>
    <font>
      <sz val="8"/>
      <name val="Arial"/>
    </font>
    <font>
      <sz val="8"/>
      <name val="Tekton"/>
    </font>
    <font>
      <sz val="8"/>
      <color indexed="10"/>
      <name val="BlacklightD"/>
      <family val="4"/>
    </font>
    <font>
      <sz val="8"/>
      <color indexed="60"/>
      <name val="BlacklightD"/>
      <family val="4"/>
    </font>
    <font>
      <u/>
      <sz val="12"/>
      <color indexed="12"/>
      <name val="Tekton"/>
    </font>
    <font>
      <sz val="12"/>
      <color indexed="60"/>
      <name val="Tekton"/>
      <family val="2"/>
    </font>
    <font>
      <sz val="16"/>
      <name val="Marker"/>
      <family val="2"/>
    </font>
    <font>
      <sz val="12"/>
      <name val="Tekton"/>
    </font>
    <font>
      <sz val="12"/>
      <color indexed="60"/>
      <name val="BlacklightD"/>
      <family val="4"/>
    </font>
    <font>
      <b/>
      <sz val="12"/>
      <color indexed="10"/>
      <name val="BlacklightD"/>
      <family val="4"/>
    </font>
    <font>
      <u/>
      <sz val="12"/>
      <name val="Tekton"/>
      <family val="2"/>
    </font>
    <font>
      <b/>
      <u/>
      <sz val="8"/>
      <color indexed="60"/>
      <name val="BlacklightD"/>
      <family val="4"/>
    </font>
    <font>
      <u/>
      <sz val="8"/>
      <name val="Tekton"/>
      <family val="2"/>
    </font>
    <font>
      <sz val="8"/>
      <name val="BlacklightD"/>
      <family val="4"/>
    </font>
    <font>
      <sz val="11"/>
      <color rgb="FF00B050"/>
      <name val="Calibri"/>
      <family val="2"/>
      <scheme val="minor"/>
    </font>
    <font>
      <b/>
      <i/>
      <sz val="24"/>
      <color rgb="FFFF0000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12"/>
      <color indexed="10"/>
      <name val="BlacklightD"/>
    </font>
    <font>
      <b/>
      <sz val="16"/>
      <color indexed="60"/>
      <name val="BlacklightD"/>
    </font>
    <font>
      <sz val="12"/>
      <color rgb="FFC00000"/>
      <name val="Tekton"/>
      <family val="2"/>
    </font>
    <font>
      <sz val="12"/>
      <color rgb="FFC00000"/>
      <name val="BlacklightD"/>
      <family val="4"/>
    </font>
    <font>
      <b/>
      <sz val="12"/>
      <color rgb="FFC00000"/>
      <name val="BlacklightD"/>
    </font>
    <font>
      <b/>
      <sz val="16"/>
      <color rgb="FFC00000"/>
      <name val="BlacklightD"/>
    </font>
    <font>
      <sz val="12"/>
      <color rgb="FF008000"/>
      <name val="Tekton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9"/>
      </patternFill>
    </fill>
    <fill>
      <patternFill patternType="solid">
        <fgColor indexed="4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9"/>
      </patternFill>
    </fill>
  </fills>
  <borders count="38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ck">
        <color indexed="55"/>
      </left>
      <right/>
      <top style="double">
        <color indexed="64"/>
      </top>
      <bottom/>
      <diagonal/>
    </border>
    <border>
      <left/>
      <right style="thick">
        <color indexed="55"/>
      </right>
      <top style="double">
        <color indexed="64"/>
      </top>
      <bottom/>
      <diagonal/>
    </border>
    <border>
      <left style="thick">
        <color indexed="55"/>
      </left>
      <right/>
      <top/>
      <bottom/>
      <diagonal/>
    </border>
    <border>
      <left/>
      <right style="thick">
        <color indexed="55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55"/>
      </left>
      <right/>
      <top/>
      <bottom style="thick">
        <color indexed="55"/>
      </bottom>
      <diagonal/>
    </border>
    <border>
      <left/>
      <right/>
      <top/>
      <bottom style="thick">
        <color indexed="55"/>
      </bottom>
      <diagonal/>
    </border>
    <border>
      <left/>
      <right style="thick">
        <color indexed="55"/>
      </right>
      <top/>
      <bottom style="thick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62" fillId="0" borderId="0" applyNumberFormat="0" applyFill="0" applyBorder="0" applyAlignment="0" applyProtection="0">
      <alignment vertical="top"/>
      <protection locked="0"/>
    </xf>
  </cellStyleXfs>
  <cellXfs count="271">
    <xf numFmtId="0" fontId="0" fillId="0" borderId="0" xfId="0"/>
    <xf numFmtId="1" fontId="9" fillId="0" borderId="2" xfId="0" applyNumberFormat="1" applyFont="1" applyFill="1" applyBorder="1" applyAlignment="1" applyProtection="1">
      <alignment horizontal="left" vertical="center"/>
      <protection locked="0"/>
    </xf>
    <xf numFmtId="1" fontId="18" fillId="0" borderId="0" xfId="0" applyNumberFormat="1" applyFont="1" applyFill="1" applyBorder="1" applyAlignment="1" applyProtection="1">
      <alignment horizontal="left"/>
      <protection locked="0"/>
    </xf>
    <xf numFmtId="1" fontId="18" fillId="0" borderId="0" xfId="0" applyNumberFormat="1" applyFont="1" applyFill="1" applyAlignment="1" applyProtection="1">
      <alignment horizontal="left"/>
      <protection locked="0"/>
    </xf>
    <xf numFmtId="1" fontId="23" fillId="0" borderId="10" xfId="0" applyNumberFormat="1" applyFont="1" applyFill="1" applyBorder="1" applyAlignment="1" applyProtection="1">
      <alignment horizontal="centerContinuous"/>
      <protection locked="0"/>
    </xf>
    <xf numFmtId="15" fontId="23" fillId="0" borderId="11" xfId="0" applyNumberFormat="1" applyFont="1" applyFill="1" applyBorder="1" applyAlignment="1" applyProtection="1">
      <alignment horizontal="center" shrinkToFit="1"/>
      <protection locked="0"/>
    </xf>
    <xf numFmtId="1" fontId="23" fillId="0" borderId="12" xfId="0" applyNumberFormat="1" applyFont="1" applyFill="1" applyBorder="1" applyAlignment="1" applyProtection="1">
      <alignment horizontal="centerContinuous"/>
      <protection locked="0"/>
    </xf>
    <xf numFmtId="1" fontId="23" fillId="0" borderId="15" xfId="0" applyNumberFormat="1" applyFont="1" applyFill="1" applyBorder="1" applyAlignment="1" applyProtection="1">
      <alignment horizontal="centerContinuous"/>
      <protection locked="0"/>
    </xf>
    <xf numFmtId="1" fontId="23" fillId="0" borderId="17" xfId="0" applyNumberFormat="1" applyFont="1" applyFill="1" applyBorder="1" applyAlignment="1" applyProtection="1">
      <alignment horizontal="centerContinuous"/>
      <protection locked="0"/>
    </xf>
    <xf numFmtId="1" fontId="23" fillId="0" borderId="18" xfId="0" applyNumberFormat="1" applyFont="1" applyFill="1" applyBorder="1" applyAlignment="1" applyProtection="1">
      <alignment horizontal="centerContinuous"/>
      <protection locked="0"/>
    </xf>
    <xf numFmtId="0" fontId="31" fillId="0" borderId="0" xfId="0" applyFont="1" applyFill="1" applyBorder="1" applyAlignment="1" applyProtection="1">
      <alignment horizontal="center"/>
      <protection locked="0"/>
    </xf>
    <xf numFmtId="0" fontId="31" fillId="0" borderId="0" xfId="0" applyFont="1" applyFill="1" applyBorder="1" applyAlignment="1" applyProtection="1">
      <alignment horizontal="left"/>
      <protection locked="0"/>
    </xf>
    <xf numFmtId="0" fontId="31" fillId="0" borderId="24" xfId="0" applyNumberFormat="1" applyFont="1" applyFill="1" applyBorder="1" applyAlignment="1" applyProtection="1">
      <alignment horizontal="center"/>
      <protection locked="0"/>
    </xf>
    <xf numFmtId="0" fontId="31" fillId="0" borderId="25" xfId="0" applyNumberFormat="1" applyFont="1" applyFill="1" applyBorder="1" applyAlignment="1" applyProtection="1">
      <alignment horizontal="center"/>
      <protection locked="0"/>
    </xf>
    <xf numFmtId="0" fontId="31" fillId="0" borderId="26" xfId="0" applyNumberFormat="1" applyFont="1" applyBorder="1" applyAlignment="1" applyProtection="1">
      <alignment horizontal="center"/>
      <protection locked="0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8" fillId="0" borderId="0" xfId="0" applyFont="1" applyAlignment="1" applyProtection="1">
      <alignment horizontal="center"/>
    </xf>
    <xf numFmtId="0" fontId="26" fillId="2" borderId="0" xfId="0" applyFont="1" applyFill="1" applyAlignment="1" applyProtection="1">
      <alignment horizontal="center"/>
    </xf>
    <xf numFmtId="0" fontId="26" fillId="3" borderId="0" xfId="0" applyFont="1" applyFill="1" applyAlignment="1" applyProtection="1">
      <alignment horizontal="center"/>
    </xf>
    <xf numFmtId="0" fontId="74" fillId="6" borderId="0" xfId="0" applyFont="1" applyFill="1" applyAlignment="1" applyProtection="1">
      <alignment horizontal="center"/>
    </xf>
    <xf numFmtId="0" fontId="75" fillId="3" borderId="0" xfId="0" applyFont="1" applyFill="1" applyAlignment="1" applyProtection="1">
      <alignment horizontal="center"/>
    </xf>
    <xf numFmtId="0" fontId="76" fillId="3" borderId="0" xfId="0" applyFont="1" applyFill="1" applyAlignment="1" applyProtection="1">
      <alignment horizontal="center" vertical="top"/>
    </xf>
    <xf numFmtId="0" fontId="3" fillId="2" borderId="0" xfId="0" applyFont="1" applyFill="1" applyProtection="1">
      <protection locked="0"/>
    </xf>
    <xf numFmtId="0" fontId="4" fillId="2" borderId="0" xfId="0" applyFont="1" applyFill="1" applyProtection="1">
      <protection locked="0"/>
    </xf>
    <xf numFmtId="0" fontId="5" fillId="2" borderId="0" xfId="0" applyFont="1" applyFill="1" applyAlignment="1" applyProtection="1">
      <alignment horizontal="left" indent="1"/>
      <protection locked="0"/>
    </xf>
    <xf numFmtId="0" fontId="6" fillId="0" borderId="0" xfId="0" applyFont="1" applyAlignment="1" applyProtection="1">
      <alignment horizontal="center"/>
      <protection locked="0" hidden="1"/>
    </xf>
    <xf numFmtId="0" fontId="0" fillId="0" borderId="0" xfId="0" applyAlignment="1" applyProtection="1">
      <alignment horizontal="center"/>
      <protection locked="0" hidden="1"/>
    </xf>
    <xf numFmtId="1" fontId="0" fillId="0" borderId="0" xfId="0" applyNumberFormat="1" applyAlignment="1" applyProtection="1">
      <alignment horizontal="right"/>
      <protection locked="0" hidden="1"/>
    </xf>
    <xf numFmtId="0" fontId="0" fillId="0" borderId="0" xfId="0" applyAlignment="1" applyProtection="1">
      <alignment horizontal="left"/>
      <protection locked="0" hidden="1"/>
    </xf>
    <xf numFmtId="0" fontId="0" fillId="0" borderId="0" xfId="0" applyProtection="1">
      <protection locked="0"/>
    </xf>
    <xf numFmtId="0" fontId="7" fillId="2" borderId="0" xfId="0" applyFont="1" applyFill="1" applyProtection="1">
      <protection locked="0"/>
    </xf>
    <xf numFmtId="1" fontId="8" fillId="0" borderId="1" xfId="0" applyNumberFormat="1" applyFont="1" applyFill="1" applyBorder="1" applyAlignment="1" applyProtection="1">
      <alignment vertical="center"/>
      <protection locked="0"/>
    </xf>
    <xf numFmtId="1" fontId="10" fillId="0" borderId="2" xfId="0" applyNumberFormat="1" applyFont="1" applyFill="1" applyBorder="1" applyAlignment="1" applyProtection="1">
      <alignment vertical="center"/>
      <protection locked="0"/>
    </xf>
    <xf numFmtId="0" fontId="11" fillId="0" borderId="2" xfId="0" applyFont="1" applyFill="1" applyBorder="1" applyProtection="1">
      <protection locked="0"/>
    </xf>
    <xf numFmtId="0" fontId="15" fillId="2" borderId="0" xfId="0" applyFont="1" applyFill="1" applyAlignment="1" applyProtection="1">
      <alignment horizontal="left"/>
      <protection locked="0"/>
    </xf>
    <xf numFmtId="0" fontId="0" fillId="0" borderId="0" xfId="0" applyAlignment="1" applyProtection="1">
      <alignment horizontal="right"/>
      <protection locked="0" hidden="1"/>
    </xf>
    <xf numFmtId="164" fontId="0" fillId="0" borderId="0" xfId="0" applyNumberFormat="1" applyAlignment="1" applyProtection="1">
      <alignment horizontal="left"/>
      <protection locked="0" hidden="1"/>
    </xf>
    <xf numFmtId="1" fontId="8" fillId="0" borderId="6" xfId="0" applyNumberFormat="1" applyFont="1" applyFill="1" applyBorder="1" applyProtection="1">
      <protection locked="0"/>
    </xf>
    <xf numFmtId="1" fontId="19" fillId="0" borderId="0" xfId="0" applyNumberFormat="1" applyFont="1" applyFill="1" applyBorder="1" applyProtection="1">
      <protection locked="0"/>
    </xf>
    <xf numFmtId="0" fontId="19" fillId="0" borderId="0" xfId="0" applyFont="1" applyFill="1" applyBorder="1" applyProtection="1">
      <protection locked="0"/>
    </xf>
    <xf numFmtId="1" fontId="20" fillId="0" borderId="0" xfId="0" applyNumberFormat="1" applyFont="1" applyFill="1" applyBorder="1" applyAlignment="1" applyProtection="1">
      <alignment horizontal="center" vertical="center"/>
      <protection locked="0"/>
    </xf>
    <xf numFmtId="1" fontId="6" fillId="0" borderId="0" xfId="0" applyNumberFormat="1" applyFont="1" applyFill="1" applyBorder="1" applyProtection="1">
      <protection locked="0"/>
    </xf>
    <xf numFmtId="1" fontId="6" fillId="0" borderId="8" xfId="0" applyNumberFormat="1" applyFont="1" applyFill="1" applyBorder="1" applyProtection="1">
      <protection locked="0"/>
    </xf>
    <xf numFmtId="1" fontId="6" fillId="0" borderId="9" xfId="0" applyNumberFormat="1" applyFont="1" applyFill="1" applyBorder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1" fontId="0" fillId="0" borderId="0" xfId="0" applyNumberFormat="1" applyAlignment="1" applyProtection="1">
      <alignment horizontal="left"/>
      <protection locked="0" hidden="1"/>
    </xf>
    <xf numFmtId="1" fontId="25" fillId="0" borderId="6" xfId="0" applyNumberFormat="1" applyFont="1" applyFill="1" applyBorder="1" applyProtection="1">
      <protection locked="0"/>
    </xf>
    <xf numFmtId="1" fontId="25" fillId="0" borderId="0" xfId="0" applyNumberFormat="1" applyFont="1" applyFill="1" applyBorder="1" applyProtection="1">
      <protection locked="0"/>
    </xf>
    <xf numFmtId="1" fontId="10" fillId="0" borderId="0" xfId="0" applyNumberFormat="1" applyFont="1" applyFill="1" applyBorder="1" applyAlignment="1" applyProtection="1">
      <alignment horizontal="right"/>
      <protection locked="0"/>
    </xf>
    <xf numFmtId="1" fontId="10" fillId="0" borderId="0" xfId="0" applyNumberFormat="1" applyFont="1" applyFill="1" applyBorder="1" applyProtection="1">
      <protection locked="0"/>
    </xf>
    <xf numFmtId="1" fontId="6" fillId="0" borderId="13" xfId="0" applyNumberFormat="1" applyFont="1" applyFill="1" applyBorder="1" applyProtection="1">
      <protection locked="0"/>
    </xf>
    <xf numFmtId="0" fontId="26" fillId="2" borderId="0" xfId="0" applyFont="1" applyFill="1" applyProtection="1">
      <protection locked="0"/>
    </xf>
    <xf numFmtId="1" fontId="25" fillId="0" borderId="14" xfId="0" applyNumberFormat="1" applyFont="1" applyFill="1" applyBorder="1" applyAlignment="1" applyProtection="1">
      <alignment horizontal="left"/>
      <protection locked="0"/>
    </xf>
    <xf numFmtId="1" fontId="25" fillId="0" borderId="15" xfId="0" applyNumberFormat="1" applyFont="1" applyFill="1" applyBorder="1" applyAlignment="1" applyProtection="1">
      <alignment horizontal="left"/>
      <protection locked="0"/>
    </xf>
    <xf numFmtId="1" fontId="10" fillId="0" borderId="15" xfId="0" applyNumberFormat="1" applyFont="1" applyFill="1" applyBorder="1" applyAlignment="1" applyProtection="1">
      <alignment horizontal="right"/>
      <protection locked="0"/>
    </xf>
    <xf numFmtId="1" fontId="10" fillId="0" borderId="15" xfId="0" applyNumberFormat="1" applyFont="1" applyFill="1" applyBorder="1" applyProtection="1">
      <protection locked="0"/>
    </xf>
    <xf numFmtId="0" fontId="19" fillId="0" borderId="16" xfId="0" applyFont="1" applyFill="1" applyBorder="1" applyProtection="1">
      <protection locked="0"/>
    </xf>
    <xf numFmtId="0" fontId="27" fillId="3" borderId="0" xfId="0" applyFont="1" applyFill="1" applyProtection="1">
      <protection locked="0"/>
    </xf>
    <xf numFmtId="0" fontId="28" fillId="2" borderId="0" xfId="0" applyFont="1" applyFill="1" applyProtection="1">
      <protection locked="0"/>
    </xf>
    <xf numFmtId="0" fontId="28" fillId="0" borderId="19" xfId="0" applyFont="1" applyFill="1" applyBorder="1" applyProtection="1">
      <protection locked="0"/>
    </xf>
    <xf numFmtId="0" fontId="28" fillId="0" borderId="2" xfId="0" applyFont="1" applyFill="1" applyBorder="1" applyProtection="1">
      <protection locked="0"/>
    </xf>
    <xf numFmtId="0" fontId="28" fillId="0" borderId="20" xfId="0" applyFont="1" applyFill="1" applyBorder="1" applyProtection="1">
      <protection locked="0"/>
    </xf>
    <xf numFmtId="0" fontId="29" fillId="0" borderId="21" xfId="0" applyFont="1" applyFill="1" applyBorder="1" applyAlignment="1" applyProtection="1">
      <alignment horizontal="left"/>
      <protection locked="0"/>
    </xf>
    <xf numFmtId="0" fontId="30" fillId="0" borderId="0" xfId="0" applyFont="1" applyFill="1" applyBorder="1" applyAlignment="1" applyProtection="1">
      <alignment horizontal="right"/>
      <protection locked="0"/>
    </xf>
    <xf numFmtId="0" fontId="8" fillId="0" borderId="0" xfId="0" applyFont="1" applyFill="1" applyBorder="1" applyAlignment="1" applyProtection="1">
      <alignment horizontal="left"/>
      <protection locked="0"/>
    </xf>
    <xf numFmtId="0" fontId="32" fillId="0" borderId="0" xfId="0" applyFont="1" applyFill="1" applyBorder="1" applyAlignment="1" applyProtection="1">
      <alignment horizontal="right"/>
      <protection locked="0"/>
    </xf>
    <xf numFmtId="0" fontId="8" fillId="0" borderId="22" xfId="0" applyFont="1" applyFill="1" applyBorder="1" applyAlignment="1" applyProtection="1">
      <alignment horizontal="left"/>
      <protection locked="0"/>
    </xf>
    <xf numFmtId="0" fontId="28" fillId="0" borderId="21" xfId="0" applyFont="1" applyFill="1" applyBorder="1" applyProtection="1">
      <protection locked="0"/>
    </xf>
    <xf numFmtId="0" fontId="30" fillId="0" borderId="0" xfId="0" applyFont="1" applyAlignment="1" applyProtection="1">
      <alignment horizontal="right"/>
      <protection locked="0"/>
    </xf>
    <xf numFmtId="0" fontId="0" fillId="0" borderId="0" xfId="0" applyProtection="1">
      <protection locked="0" hidden="1"/>
    </xf>
    <xf numFmtId="0" fontId="30" fillId="0" borderId="0" xfId="0" applyFont="1" applyFill="1" applyBorder="1" applyAlignment="1" applyProtection="1">
      <alignment horizontal="right" vertical="top"/>
      <protection locked="0"/>
    </xf>
    <xf numFmtId="0" fontId="8" fillId="0" borderId="0" xfId="0" applyFont="1" applyBorder="1" applyAlignment="1" applyProtection="1">
      <alignment horizontal="left"/>
      <protection locked="0"/>
    </xf>
    <xf numFmtId="0" fontId="8" fillId="0" borderId="0" xfId="0" applyFont="1" applyFill="1" applyBorder="1" applyAlignment="1" applyProtection="1">
      <alignment horizontal="right"/>
      <protection locked="0"/>
    </xf>
    <xf numFmtId="0" fontId="30" fillId="0" borderId="21" xfId="0" applyFont="1" applyFill="1" applyBorder="1" applyAlignment="1" applyProtection="1">
      <alignment horizontal="right" vertical="top"/>
      <protection locked="0"/>
    </xf>
    <xf numFmtId="0" fontId="28" fillId="0" borderId="0" xfId="0" applyFont="1" applyFill="1" applyBorder="1" applyProtection="1">
      <protection locked="0"/>
    </xf>
    <xf numFmtId="0" fontId="28" fillId="0" borderId="22" xfId="0" applyFont="1" applyFill="1" applyBorder="1" applyProtection="1">
      <protection locked="0"/>
    </xf>
    <xf numFmtId="0" fontId="35" fillId="0" borderId="21" xfId="0" applyFont="1" applyFill="1" applyBorder="1" applyAlignment="1" applyProtection="1">
      <alignment horizontal="left"/>
      <protection locked="0"/>
    </xf>
    <xf numFmtId="0" fontId="30" fillId="0" borderId="0" xfId="0" applyFont="1" applyFill="1" applyBorder="1" applyAlignment="1" applyProtection="1">
      <alignment horizontal="left"/>
      <protection locked="0"/>
    </xf>
    <xf numFmtId="0" fontId="37" fillId="0" borderId="0" xfId="0" applyFont="1" applyFill="1" applyBorder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 hidden="1"/>
    </xf>
    <xf numFmtId="49" fontId="38" fillId="0" borderId="21" xfId="0" applyNumberFormat="1" applyFont="1" applyFill="1" applyBorder="1" applyAlignment="1" applyProtection="1">
      <alignment horizontal="right"/>
      <protection locked="0"/>
    </xf>
    <xf numFmtId="0" fontId="39" fillId="0" borderId="22" xfId="0" applyFont="1" applyFill="1" applyBorder="1" applyAlignment="1" applyProtection="1">
      <alignment horizontal="left"/>
      <protection locked="0"/>
    </xf>
    <xf numFmtId="0" fontId="38" fillId="0" borderId="21" xfId="0" applyFont="1" applyFill="1" applyBorder="1" applyAlignment="1" applyProtection="1">
      <alignment horizontal="right"/>
      <protection locked="0"/>
    </xf>
    <xf numFmtId="0" fontId="40" fillId="0" borderId="0" xfId="0" applyFont="1" applyFill="1" applyBorder="1" applyProtection="1">
      <protection locked="0"/>
    </xf>
    <xf numFmtId="0" fontId="29" fillId="0" borderId="0" xfId="0" applyFont="1" applyFill="1" applyBorder="1" applyAlignment="1" applyProtection="1">
      <alignment horizontal="left"/>
      <protection locked="0"/>
    </xf>
    <xf numFmtId="0" fontId="29" fillId="0" borderId="21" xfId="0" applyFont="1" applyFill="1" applyBorder="1" applyAlignment="1" applyProtection="1">
      <alignment horizontal="right"/>
      <protection locked="0"/>
    </xf>
    <xf numFmtId="0" fontId="41" fillId="2" borderId="0" xfId="0" applyFont="1" applyFill="1" applyAlignment="1" applyProtection="1">
      <alignment horizontal="left" indent="1"/>
      <protection locked="0"/>
    </xf>
    <xf numFmtId="0" fontId="30" fillId="0" borderId="21" xfId="0" applyFont="1" applyFill="1" applyBorder="1" applyAlignment="1" applyProtection="1">
      <alignment horizontal="right"/>
      <protection locked="0"/>
    </xf>
    <xf numFmtId="0" fontId="8" fillId="0" borderId="0" xfId="0" applyFont="1" applyBorder="1" applyAlignment="1" applyProtection="1">
      <alignment horizontal="right"/>
      <protection locked="0"/>
    </xf>
    <xf numFmtId="0" fontId="42" fillId="2" borderId="0" xfId="0" applyFont="1" applyFill="1" applyProtection="1">
      <protection locked="0"/>
    </xf>
    <xf numFmtId="0" fontId="27" fillId="2" borderId="0" xfId="0" applyFont="1" applyFill="1" applyProtection="1">
      <protection locked="0"/>
    </xf>
    <xf numFmtId="0" fontId="0" fillId="0" borderId="0" xfId="0" applyFill="1" applyProtection="1">
      <protection locked="0"/>
    </xf>
    <xf numFmtId="0" fontId="44" fillId="2" borderId="0" xfId="0" applyFont="1" applyFill="1" applyAlignment="1" applyProtection="1">
      <alignment horizontal="left"/>
      <protection locked="0"/>
    </xf>
    <xf numFmtId="0" fontId="40" fillId="0" borderId="21" xfId="0" applyFont="1" applyFill="1" applyBorder="1" applyProtection="1">
      <protection locked="0"/>
    </xf>
    <xf numFmtId="0" fontId="36" fillId="0" borderId="23" xfId="0" applyFont="1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0" fontId="45" fillId="0" borderId="0" xfId="0" applyFont="1" applyFill="1" applyBorder="1" applyProtection="1">
      <protection locked="0"/>
    </xf>
    <xf numFmtId="0" fontId="46" fillId="0" borderId="0" xfId="0" applyFont="1" applyFill="1" applyBorder="1" applyAlignment="1" applyProtection="1">
      <alignment horizontal="center"/>
      <protection locked="0"/>
    </xf>
    <xf numFmtId="0" fontId="30" fillId="0" borderId="21" xfId="0" applyFont="1" applyBorder="1" applyAlignment="1" applyProtection="1">
      <alignment horizontal="right"/>
      <protection locked="0"/>
    </xf>
    <xf numFmtId="165" fontId="31" fillId="0" borderId="0" xfId="0" applyNumberFormat="1" applyFont="1" applyFill="1" applyBorder="1" applyAlignment="1" applyProtection="1">
      <alignment horizontal="center"/>
      <protection locked="0"/>
    </xf>
    <xf numFmtId="0" fontId="39" fillId="0" borderId="0" xfId="0" applyFont="1" applyFill="1" applyBorder="1" applyAlignment="1" applyProtection="1">
      <alignment horizontal="left"/>
      <protection locked="0"/>
    </xf>
    <xf numFmtId="0" fontId="8" fillId="0" borderId="0" xfId="0" applyFont="1" applyAlignment="1" applyProtection="1">
      <alignment horizontal="left"/>
      <protection locked="0" hidden="1"/>
    </xf>
    <xf numFmtId="0" fontId="2" fillId="0" borderId="21" xfId="0" applyFont="1" applyBorder="1" applyAlignment="1" applyProtection="1">
      <alignment horizontal="right"/>
      <protection locked="0"/>
    </xf>
    <xf numFmtId="0" fontId="49" fillId="0" borderId="0" xfId="0" applyFont="1" applyAlignment="1" applyProtection="1">
      <alignment horizontal="left"/>
      <protection locked="0"/>
    </xf>
    <xf numFmtId="0" fontId="50" fillId="0" borderId="0" xfId="0" applyFont="1" applyFill="1" applyBorder="1" applyAlignment="1" applyProtection="1">
      <alignment horizontal="left"/>
      <protection locked="0"/>
    </xf>
    <xf numFmtId="0" fontId="51" fillId="4" borderId="0" xfId="0" applyFont="1" applyFill="1" applyAlignment="1" applyProtection="1">
      <alignment horizontal="left"/>
      <protection locked="0" hidden="1"/>
    </xf>
    <xf numFmtId="0" fontId="8" fillId="0" borderId="0" xfId="0" applyFont="1" applyProtection="1">
      <protection locked="0" hidden="1"/>
    </xf>
    <xf numFmtId="0" fontId="30" fillId="0" borderId="0" xfId="0" applyFont="1" applyFill="1" applyBorder="1" applyAlignment="1" applyProtection="1">
      <alignment horizontal="center"/>
      <protection locked="0"/>
    </xf>
    <xf numFmtId="165" fontId="30" fillId="0" borderId="13" xfId="0" applyNumberFormat="1" applyFont="1" applyFill="1" applyBorder="1" applyAlignment="1" applyProtection="1">
      <alignment horizontal="center"/>
      <protection locked="0"/>
    </xf>
    <xf numFmtId="165" fontId="30" fillId="0" borderId="24" xfId="0" applyNumberFormat="1" applyFont="1" applyFill="1" applyBorder="1" applyAlignment="1" applyProtection="1">
      <alignment horizontal="center"/>
      <protection locked="0"/>
    </xf>
    <xf numFmtId="0" fontId="49" fillId="0" borderId="0" xfId="0" applyFont="1" applyProtection="1">
      <protection locked="0"/>
    </xf>
    <xf numFmtId="165" fontId="52" fillId="0" borderId="0" xfId="0" applyNumberFormat="1" applyFont="1" applyBorder="1" applyAlignment="1" applyProtection="1">
      <alignment horizontal="right"/>
      <protection locked="0"/>
    </xf>
    <xf numFmtId="1" fontId="30" fillId="0" borderId="0" xfId="0" applyNumberFormat="1" applyFont="1" applyFill="1" applyBorder="1" applyAlignment="1" applyProtection="1">
      <alignment horizontal="left"/>
      <protection locked="0"/>
    </xf>
    <xf numFmtId="165" fontId="30" fillId="0" borderId="27" xfId="0" applyNumberFormat="1" applyFont="1" applyFill="1" applyBorder="1" applyAlignment="1" applyProtection="1">
      <alignment horizontal="center"/>
      <protection locked="0"/>
    </xf>
    <xf numFmtId="165" fontId="30" fillId="0" borderId="26" xfId="0" applyNumberFormat="1" applyFont="1" applyFill="1" applyBorder="1" applyAlignment="1" applyProtection="1">
      <alignment horizontal="center"/>
      <protection locked="0"/>
    </xf>
    <xf numFmtId="0" fontId="27" fillId="0" borderId="21" xfId="0" applyFont="1" applyBorder="1" applyAlignment="1" applyProtection="1">
      <alignment horizontal="right"/>
      <protection locked="0"/>
    </xf>
    <xf numFmtId="0" fontId="30" fillId="0" borderId="0" xfId="0" applyFont="1" applyAlignment="1" applyProtection="1">
      <alignment horizontal="left"/>
      <protection locked="0"/>
    </xf>
    <xf numFmtId="0" fontId="34" fillId="2" borderId="0" xfId="0" applyFont="1" applyFill="1" applyProtection="1">
      <protection locked="0"/>
    </xf>
    <xf numFmtId="165" fontId="53" fillId="0" borderId="0" xfId="0" applyNumberFormat="1" applyFont="1" applyFill="1" applyBorder="1" applyAlignment="1" applyProtection="1">
      <alignment horizontal="left" vertical="top"/>
      <protection locked="0"/>
    </xf>
    <xf numFmtId="0" fontId="54" fillId="0" borderId="0" xfId="0" applyFont="1" applyFill="1" applyBorder="1" applyAlignment="1" applyProtection="1">
      <alignment horizontal="center"/>
      <protection locked="0"/>
    </xf>
    <xf numFmtId="0" fontId="51" fillId="0" borderId="0" xfId="0" applyFont="1" applyAlignment="1" applyProtection="1">
      <alignment horizontal="left"/>
      <protection locked="0" hidden="1"/>
    </xf>
    <xf numFmtId="0" fontId="54" fillId="0" borderId="0" xfId="0" applyFont="1" applyFill="1" applyBorder="1" applyAlignment="1" applyProtection="1">
      <alignment horizontal="center" vertical="center"/>
      <protection locked="0"/>
    </xf>
    <xf numFmtId="0" fontId="50" fillId="0" borderId="21" xfId="0" applyFont="1" applyFill="1" applyBorder="1" applyAlignment="1" applyProtection="1">
      <alignment horizontal="left"/>
      <protection locked="0"/>
    </xf>
    <xf numFmtId="0" fontId="54" fillId="0" borderId="0" xfId="0" applyFont="1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165" fontId="56" fillId="0" borderId="0" xfId="0" applyNumberFormat="1" applyFont="1" applyFill="1" applyBorder="1" applyAlignment="1" applyProtection="1">
      <alignment horizontal="center" vertical="top"/>
      <protection locked="0"/>
    </xf>
    <xf numFmtId="0" fontId="54" fillId="0" borderId="0" xfId="0" applyFont="1" applyFill="1" applyBorder="1" applyProtection="1">
      <protection locked="0"/>
    </xf>
    <xf numFmtId="0" fontId="57" fillId="2" borderId="0" xfId="0" applyFont="1" applyFill="1" applyProtection="1">
      <protection locked="0"/>
    </xf>
    <xf numFmtId="0" fontId="0" fillId="0" borderId="0" xfId="0" applyAlignment="1" applyProtection="1">
      <alignment horizontal="right"/>
      <protection locked="0"/>
    </xf>
    <xf numFmtId="0" fontId="58" fillId="2" borderId="0" xfId="0" applyFont="1" applyFill="1" applyProtection="1">
      <protection locked="0"/>
    </xf>
    <xf numFmtId="0" fontId="25" fillId="0" borderId="28" xfId="0" applyFont="1" applyFill="1" applyBorder="1" applyAlignment="1" applyProtection="1">
      <alignment horizontal="right"/>
      <protection locked="0"/>
    </xf>
    <xf numFmtId="164" fontId="25" fillId="0" borderId="29" xfId="0" applyNumberFormat="1" applyFont="1" applyFill="1" applyBorder="1" applyAlignment="1" applyProtection="1">
      <alignment horizontal="center"/>
      <protection locked="0"/>
    </xf>
    <xf numFmtId="0" fontId="25" fillId="0" borderId="29" xfId="0" applyFont="1" applyFill="1" applyBorder="1" applyAlignment="1" applyProtection="1">
      <alignment horizontal="left"/>
      <protection locked="0"/>
    </xf>
    <xf numFmtId="0" fontId="59" fillId="0" borderId="29" xfId="0" applyFont="1" applyFill="1" applyBorder="1" applyProtection="1">
      <protection locked="0"/>
    </xf>
    <xf numFmtId="0" fontId="25" fillId="0" borderId="29" xfId="0" applyFont="1" applyFill="1" applyBorder="1" applyAlignment="1" applyProtection="1">
      <alignment horizontal="right"/>
      <protection locked="0"/>
    </xf>
    <xf numFmtId="0" fontId="59" fillId="0" borderId="30" xfId="0" applyFont="1" applyFill="1" applyBorder="1" applyProtection="1">
      <protection locked="0"/>
    </xf>
    <xf numFmtId="0" fontId="60" fillId="2" borderId="0" xfId="0" applyFont="1" applyFill="1" applyProtection="1">
      <protection locked="0"/>
    </xf>
    <xf numFmtId="0" fontId="59" fillId="0" borderId="0" xfId="0" applyFont="1" applyAlignment="1" applyProtection="1">
      <alignment horizontal="right"/>
      <protection locked="0"/>
    </xf>
    <xf numFmtId="0" fontId="59" fillId="0" borderId="0" xfId="0" applyFont="1" applyAlignment="1" applyProtection="1">
      <alignment horizontal="center"/>
      <protection locked="0"/>
    </xf>
    <xf numFmtId="0" fontId="59" fillId="0" borderId="0" xfId="0" applyFont="1" applyProtection="1">
      <protection locked="0"/>
    </xf>
    <xf numFmtId="0" fontId="61" fillId="2" borderId="0" xfId="0" applyFont="1" applyFill="1" applyAlignment="1" applyProtection="1">
      <alignment horizontal="left"/>
      <protection locked="0"/>
    </xf>
    <xf numFmtId="0" fontId="63" fillId="2" borderId="0" xfId="1" applyFont="1" applyFill="1" applyAlignment="1" applyProtection="1">
      <alignment horizontal="right"/>
      <protection locked="0"/>
    </xf>
    <xf numFmtId="0" fontId="11" fillId="2" borderId="0" xfId="0" applyFont="1" applyFill="1" applyProtection="1">
      <protection locked="0"/>
    </xf>
    <xf numFmtId="1" fontId="64" fillId="0" borderId="2" xfId="0" applyNumberFormat="1" applyFont="1" applyFill="1" applyBorder="1" applyAlignment="1" applyProtection="1">
      <alignment horizontal="left" vertical="center"/>
      <protection locked="0"/>
    </xf>
    <xf numFmtId="1" fontId="35" fillId="0" borderId="0" xfId="0" applyNumberFormat="1" applyFont="1" applyFill="1" applyBorder="1" applyAlignment="1" applyProtection="1">
      <alignment horizontal="left"/>
      <protection locked="0"/>
    </xf>
    <xf numFmtId="1" fontId="35" fillId="0" borderId="0" xfId="0" applyNumberFormat="1" applyFont="1" applyFill="1" applyAlignment="1" applyProtection="1">
      <alignment horizontal="left"/>
      <protection locked="0"/>
    </xf>
    <xf numFmtId="1" fontId="29" fillId="0" borderId="10" xfId="0" applyNumberFormat="1" applyFont="1" applyFill="1" applyBorder="1" applyAlignment="1" applyProtection="1">
      <alignment horizontal="centerContinuous"/>
      <protection locked="0"/>
    </xf>
    <xf numFmtId="15" fontId="37" fillId="0" borderId="11" xfId="0" applyNumberFormat="1" applyFont="1" applyFill="1" applyBorder="1" applyAlignment="1" applyProtection="1">
      <alignment horizontal="center"/>
      <protection locked="0"/>
    </xf>
    <xf numFmtId="1" fontId="29" fillId="0" borderId="12" xfId="0" applyNumberFormat="1" applyFont="1" applyFill="1" applyBorder="1" applyAlignment="1" applyProtection="1">
      <alignment horizontal="centerContinuous"/>
      <protection locked="0"/>
    </xf>
    <xf numFmtId="1" fontId="29" fillId="0" borderId="15" xfId="0" applyNumberFormat="1" applyFont="1" applyFill="1" applyBorder="1" applyAlignment="1" applyProtection="1">
      <alignment horizontal="centerContinuous"/>
      <protection locked="0"/>
    </xf>
    <xf numFmtId="1" fontId="29" fillId="0" borderId="17" xfId="0" applyNumberFormat="1" applyFont="1" applyFill="1" applyBorder="1" applyAlignment="1" applyProtection="1">
      <alignment horizontal="centerContinuous"/>
      <protection locked="0"/>
    </xf>
    <xf numFmtId="1" fontId="29" fillId="0" borderId="18" xfId="0" applyNumberFormat="1" applyFont="1" applyFill="1" applyBorder="1" applyAlignment="1" applyProtection="1">
      <alignment horizontal="centerContinuous"/>
      <protection locked="0"/>
    </xf>
    <xf numFmtId="0" fontId="8" fillId="0" borderId="21" xfId="0" applyFont="1" applyFill="1" applyBorder="1" applyAlignment="1" applyProtection="1">
      <alignment horizontal="right" vertical="top"/>
      <protection locked="0"/>
    </xf>
    <xf numFmtId="0" fontId="8" fillId="0" borderId="0" xfId="0" applyFont="1" applyFill="1" applyBorder="1" applyAlignment="1" applyProtection="1">
      <alignment horizontal="right" vertical="top"/>
      <protection locked="0"/>
    </xf>
    <xf numFmtId="0" fontId="65" fillId="0" borderId="0" xfId="0" applyFont="1" applyProtection="1">
      <protection locked="0"/>
    </xf>
    <xf numFmtId="0" fontId="8" fillId="0" borderId="0" xfId="0" applyFont="1" applyFill="1" applyBorder="1" applyProtection="1">
      <protection locked="0"/>
    </xf>
    <xf numFmtId="0" fontId="8" fillId="0" borderId="22" xfId="0" applyFont="1" applyFill="1" applyBorder="1" applyProtection="1">
      <protection locked="0"/>
    </xf>
    <xf numFmtId="0" fontId="8" fillId="0" borderId="21" xfId="0" applyFont="1" applyFill="1" applyBorder="1" applyAlignment="1" applyProtection="1">
      <alignment horizontal="right"/>
      <protection locked="0"/>
    </xf>
    <xf numFmtId="165" fontId="8" fillId="0" borderId="0" xfId="0" applyNumberFormat="1" applyFont="1" applyAlignment="1" applyProtection="1">
      <alignment horizontal="left"/>
      <protection locked="0"/>
    </xf>
    <xf numFmtId="0" fontId="8" fillId="0" borderId="0" xfId="0" applyFont="1" applyAlignment="1" applyProtection="1">
      <alignment horizontal="right"/>
      <protection locked="0"/>
    </xf>
    <xf numFmtId="164" fontId="8" fillId="0" borderId="0" xfId="0" applyNumberFormat="1" applyFont="1" applyAlignment="1" applyProtection="1">
      <alignment horizontal="left"/>
      <protection locked="0"/>
    </xf>
    <xf numFmtId="0" fontId="8" fillId="0" borderId="0" xfId="0" applyFont="1" applyAlignment="1" applyProtection="1">
      <alignment horizontal="left"/>
      <protection locked="0"/>
    </xf>
    <xf numFmtId="0" fontId="8" fillId="0" borderId="0" xfId="0" applyFont="1" applyBorder="1" applyAlignment="1" applyProtection="1">
      <alignment horizontal="center"/>
      <protection locked="0"/>
    </xf>
    <xf numFmtId="0" fontId="8" fillId="0" borderId="22" xfId="0" applyFont="1" applyBorder="1" applyProtection="1">
      <protection locked="0"/>
    </xf>
    <xf numFmtId="0" fontId="8" fillId="0" borderId="21" xfId="0" applyFont="1" applyBorder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0" fontId="36" fillId="0" borderId="31" xfId="0" applyFont="1" applyBorder="1" applyAlignment="1" applyProtection="1">
      <alignment horizontal="center"/>
      <protection locked="0"/>
    </xf>
    <xf numFmtId="0" fontId="36" fillId="0" borderId="32" xfId="0" applyFont="1" applyBorder="1" applyAlignment="1" applyProtection="1">
      <alignment horizontal="center"/>
      <protection locked="0"/>
    </xf>
    <xf numFmtId="0" fontId="8" fillId="0" borderId="21" xfId="0" applyFont="1" applyBorder="1" applyAlignment="1" applyProtection="1">
      <alignment horizontal="center"/>
      <protection locked="0"/>
    </xf>
    <xf numFmtId="165" fontId="8" fillId="0" borderId="13" xfId="0" applyNumberFormat="1" applyFont="1" applyBorder="1" applyAlignment="1" applyProtection="1">
      <alignment horizontal="center"/>
      <protection locked="0"/>
    </xf>
    <xf numFmtId="165" fontId="8" fillId="0" borderId="33" xfId="0" applyNumberFormat="1" applyFont="1" applyBorder="1" applyAlignment="1" applyProtection="1">
      <alignment horizontal="center"/>
      <protection locked="0"/>
    </xf>
    <xf numFmtId="0" fontId="51" fillId="0" borderId="0" xfId="0" applyFont="1" applyFill="1" applyBorder="1" applyAlignment="1" applyProtection="1">
      <alignment horizontal="left"/>
      <protection locked="0"/>
    </xf>
    <xf numFmtId="0" fontId="29" fillId="0" borderId="21" xfId="0" applyFont="1" applyBorder="1" applyAlignment="1" applyProtection="1">
      <alignment horizontal="left"/>
      <protection locked="0"/>
    </xf>
    <xf numFmtId="0" fontId="8" fillId="0" borderId="0" xfId="0" applyFont="1" applyAlignment="1" applyProtection="1">
      <alignment horizontal="center"/>
      <protection locked="0"/>
    </xf>
    <xf numFmtId="165" fontId="8" fillId="0" borderId="11" xfId="0" applyNumberFormat="1" applyFont="1" applyBorder="1" applyAlignment="1" applyProtection="1">
      <alignment horizontal="center"/>
      <protection locked="0"/>
    </xf>
    <xf numFmtId="165" fontId="8" fillId="0" borderId="34" xfId="0" applyNumberFormat="1" applyFont="1" applyBorder="1" applyAlignment="1" applyProtection="1">
      <alignment horizontal="center"/>
      <protection locked="0"/>
    </xf>
    <xf numFmtId="0" fontId="36" fillId="0" borderId="35" xfId="0" applyFont="1" applyBorder="1" applyAlignment="1" applyProtection="1">
      <alignment horizontal="center"/>
      <protection locked="0"/>
    </xf>
    <xf numFmtId="0" fontId="8" fillId="0" borderId="0" xfId="0" applyFont="1" applyFill="1" applyBorder="1" applyAlignment="1" applyProtection="1">
      <alignment horizontal="center"/>
      <protection locked="0"/>
    </xf>
    <xf numFmtId="165" fontId="8" fillId="0" borderId="27" xfId="0" applyNumberFormat="1" applyFont="1" applyBorder="1" applyAlignment="1" applyProtection="1">
      <alignment horizontal="center"/>
      <protection locked="0"/>
    </xf>
    <xf numFmtId="165" fontId="8" fillId="0" borderId="10" xfId="0" applyNumberFormat="1" applyFont="1" applyBorder="1" applyAlignment="1" applyProtection="1">
      <alignment horizontal="center"/>
      <protection locked="0"/>
    </xf>
    <xf numFmtId="165" fontId="8" fillId="0" borderId="36" xfId="0" applyNumberFormat="1" applyFont="1" applyBorder="1" applyAlignment="1" applyProtection="1">
      <alignment horizontal="center"/>
      <protection locked="0"/>
    </xf>
    <xf numFmtId="0" fontId="37" fillId="0" borderId="21" xfId="0" applyFont="1" applyBorder="1" applyAlignment="1" applyProtection="1">
      <alignment horizontal="left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166" fontId="2" fillId="0" borderId="0" xfId="0" applyNumberFormat="1" applyFont="1" applyBorder="1" applyAlignment="1" applyProtection="1">
      <alignment horizontal="left"/>
      <protection locked="0"/>
    </xf>
    <xf numFmtId="167" fontId="8" fillId="0" borderId="0" xfId="0" applyNumberFormat="1" applyFont="1" applyAlignment="1" applyProtection="1">
      <alignment horizontal="left"/>
      <protection locked="0"/>
    </xf>
    <xf numFmtId="0" fontId="8" fillId="0" borderId="27" xfId="0" applyFont="1" applyBorder="1" applyAlignment="1" applyProtection="1">
      <alignment horizontal="center"/>
      <protection locked="0"/>
    </xf>
    <xf numFmtId="0" fontId="8" fillId="0" borderId="36" xfId="0" applyFont="1" applyBorder="1" applyAlignment="1" applyProtection="1">
      <alignment horizontal="center"/>
      <protection locked="0"/>
    </xf>
    <xf numFmtId="10" fontId="8" fillId="0" borderId="0" xfId="0" applyNumberFormat="1" applyFont="1" applyAlignment="1" applyProtection="1">
      <alignment horizontal="left"/>
      <protection locked="0"/>
    </xf>
    <xf numFmtId="167" fontId="8" fillId="0" borderId="0" xfId="0" applyNumberFormat="1" applyFont="1" applyAlignment="1" applyProtection="1">
      <alignment horizontal="center"/>
      <protection locked="0"/>
    </xf>
    <xf numFmtId="167" fontId="8" fillId="0" borderId="11" xfId="0" applyNumberFormat="1" applyFont="1" applyBorder="1" applyAlignment="1" applyProtection="1">
      <alignment horizontal="center"/>
      <protection locked="0"/>
    </xf>
    <xf numFmtId="167" fontId="8" fillId="0" borderId="34" xfId="0" applyNumberFormat="1" applyFont="1" applyBorder="1" applyAlignment="1" applyProtection="1">
      <alignment horizontal="center"/>
      <protection locked="0"/>
    </xf>
    <xf numFmtId="165" fontId="8" fillId="0" borderId="0" xfId="0" applyNumberFormat="1" applyFont="1" applyAlignment="1" applyProtection="1">
      <alignment horizontal="center"/>
      <protection locked="0"/>
    </xf>
    <xf numFmtId="1" fontId="8" fillId="0" borderId="0" xfId="0" applyNumberFormat="1" applyFont="1" applyAlignment="1" applyProtection="1">
      <alignment horizontal="center"/>
      <protection locked="0"/>
    </xf>
    <xf numFmtId="1" fontId="8" fillId="0" borderId="11" xfId="0" applyNumberFormat="1" applyFont="1" applyBorder="1" applyAlignment="1" applyProtection="1">
      <alignment horizontal="center"/>
      <protection locked="0"/>
    </xf>
    <xf numFmtId="1" fontId="8" fillId="0" borderId="34" xfId="0" applyNumberFormat="1" applyFont="1" applyBorder="1" applyAlignment="1" applyProtection="1">
      <alignment horizontal="center"/>
      <protection locked="0"/>
    </xf>
    <xf numFmtId="0" fontId="8" fillId="0" borderId="11" xfId="0" applyNumberFormat="1" applyFont="1" applyBorder="1" applyAlignment="1" applyProtection="1">
      <alignment horizontal="center"/>
      <protection locked="0"/>
    </xf>
    <xf numFmtId="0" fontId="8" fillId="0" borderId="34" xfId="0" applyNumberFormat="1" applyFont="1" applyBorder="1" applyAlignment="1" applyProtection="1">
      <alignment horizontal="center"/>
      <protection locked="0"/>
    </xf>
    <xf numFmtId="164" fontId="8" fillId="0" borderId="0" xfId="0" applyNumberFormat="1" applyFont="1" applyAlignment="1" applyProtection="1">
      <alignment horizontal="right"/>
      <protection locked="0"/>
    </xf>
    <xf numFmtId="0" fontId="67" fillId="2" borderId="0" xfId="0" applyFont="1" applyFill="1" applyAlignment="1" applyProtection="1">
      <alignment horizontal="left"/>
      <protection locked="0"/>
    </xf>
    <xf numFmtId="165" fontId="52" fillId="0" borderId="0" xfId="0" applyNumberFormat="1" applyFont="1" applyBorder="1" applyAlignment="1" applyProtection="1">
      <alignment horizontal="left"/>
      <protection locked="0"/>
    </xf>
    <xf numFmtId="164" fontId="8" fillId="0" borderId="0" xfId="0" applyNumberFormat="1" applyFont="1" applyProtection="1">
      <protection locked="0"/>
    </xf>
    <xf numFmtId="0" fontId="27" fillId="0" borderId="21" xfId="0" applyFont="1" applyBorder="1" applyAlignment="1" applyProtection="1">
      <alignment horizontal="center"/>
      <protection locked="0"/>
    </xf>
    <xf numFmtId="167" fontId="8" fillId="0" borderId="27" xfId="0" applyNumberFormat="1" applyFont="1" applyBorder="1" applyAlignment="1" applyProtection="1">
      <alignment horizontal="center"/>
      <protection locked="0"/>
    </xf>
    <xf numFmtId="167" fontId="8" fillId="0" borderId="36" xfId="0" applyNumberFormat="1" applyFont="1" applyBorder="1" applyAlignment="1" applyProtection="1">
      <alignment horizontal="center"/>
      <protection locked="0"/>
    </xf>
    <xf numFmtId="0" fontId="8" fillId="0" borderId="0" xfId="0" applyNumberFormat="1" applyFont="1" applyAlignment="1" applyProtection="1">
      <alignment horizontal="left"/>
      <protection locked="0"/>
    </xf>
    <xf numFmtId="165" fontId="8" fillId="0" borderId="0" xfId="0" applyNumberFormat="1" applyFont="1" applyBorder="1" applyAlignment="1" applyProtection="1">
      <alignment horizontal="left"/>
      <protection locked="0"/>
    </xf>
    <xf numFmtId="0" fontId="8" fillId="0" borderId="37" xfId="0" applyFont="1" applyBorder="1" applyAlignment="1" applyProtection="1">
      <alignment horizontal="right"/>
      <protection locked="0"/>
    </xf>
    <xf numFmtId="167" fontId="0" fillId="0" borderId="0" xfId="0" applyNumberFormat="1" applyBorder="1" applyAlignment="1" applyProtection="1">
      <alignment horizontal="left"/>
      <protection locked="0"/>
    </xf>
    <xf numFmtId="167" fontId="0" fillId="0" borderId="0" xfId="0" applyNumberFormat="1" applyBorder="1" applyAlignment="1" applyProtection="1">
      <alignment horizontal="right"/>
      <protection locked="0"/>
    </xf>
    <xf numFmtId="167" fontId="8" fillId="0" borderId="0" xfId="0" applyNumberFormat="1" applyFont="1" applyBorder="1" applyAlignment="1" applyProtection="1">
      <alignment horizontal="left"/>
      <protection locked="0"/>
    </xf>
    <xf numFmtId="0" fontId="0" fillId="0" borderId="0" xfId="0" applyNumberFormat="1" applyBorder="1" applyAlignment="1" applyProtection="1">
      <alignment horizontal="left"/>
      <protection locked="0"/>
    </xf>
    <xf numFmtId="166" fontId="63" fillId="0" borderId="0" xfId="0" applyNumberFormat="1" applyFont="1" applyBorder="1" applyAlignment="1" applyProtection="1">
      <alignment horizontal="right"/>
      <protection locked="0"/>
    </xf>
    <xf numFmtId="165" fontId="8" fillId="0" borderId="0" xfId="0" applyNumberFormat="1" applyFont="1" applyBorder="1" applyAlignment="1" applyProtection="1">
      <alignment horizontal="center"/>
      <protection locked="0"/>
    </xf>
    <xf numFmtId="0" fontId="68" fillId="0" borderId="0" xfId="0" applyFont="1" applyProtection="1">
      <protection locked="0"/>
    </xf>
    <xf numFmtId="0" fontId="25" fillId="0" borderId="28" xfId="0" applyFont="1" applyBorder="1" applyAlignment="1" applyProtection="1">
      <alignment horizontal="right"/>
      <protection locked="0"/>
    </xf>
    <xf numFmtId="0" fontId="25" fillId="0" borderId="29" xfId="0" applyFont="1" applyBorder="1" applyAlignment="1" applyProtection="1">
      <alignment horizontal="left"/>
      <protection locked="0"/>
    </xf>
    <xf numFmtId="0" fontId="25" fillId="0" borderId="29" xfId="0" applyFont="1" applyBorder="1" applyProtection="1">
      <protection locked="0"/>
    </xf>
    <xf numFmtId="0" fontId="25" fillId="0" borderId="29" xfId="0" applyFont="1" applyBorder="1" applyAlignment="1" applyProtection="1">
      <alignment horizontal="right"/>
      <protection locked="0"/>
    </xf>
    <xf numFmtId="165" fontId="69" fillId="0" borderId="29" xfId="0" applyNumberFormat="1" applyFont="1" applyBorder="1" applyAlignment="1" applyProtection="1">
      <alignment horizontal="left"/>
      <protection locked="0"/>
    </xf>
    <xf numFmtId="0" fontId="70" fillId="0" borderId="29" xfId="0" applyFont="1" applyBorder="1" applyProtection="1">
      <protection locked="0"/>
    </xf>
    <xf numFmtId="0" fontId="25" fillId="0" borderId="30" xfId="0" applyFont="1" applyBorder="1" applyProtection="1">
      <protection locked="0"/>
    </xf>
    <xf numFmtId="0" fontId="71" fillId="2" borderId="0" xfId="0" applyFont="1" applyFill="1" applyProtection="1">
      <protection locked="0"/>
    </xf>
    <xf numFmtId="0" fontId="25" fillId="0" borderId="0" xfId="0" applyFont="1" applyAlignment="1" applyProtection="1">
      <alignment horizontal="right"/>
      <protection locked="0"/>
    </xf>
    <xf numFmtId="0" fontId="25" fillId="0" borderId="0" xfId="0" applyFont="1" applyAlignment="1" applyProtection="1">
      <alignment horizontal="center"/>
      <protection locked="0"/>
    </xf>
    <xf numFmtId="0" fontId="25" fillId="0" borderId="0" xfId="0" applyFont="1" applyProtection="1">
      <protection locked="0"/>
    </xf>
    <xf numFmtId="0" fontId="8" fillId="5" borderId="0" xfId="0" applyFont="1" applyFill="1" applyProtection="1">
      <protection locked="0"/>
    </xf>
    <xf numFmtId="0" fontId="77" fillId="7" borderId="0" xfId="0" applyFont="1" applyFill="1" applyProtection="1">
      <protection locked="0"/>
    </xf>
    <xf numFmtId="0" fontId="77" fillId="7" borderId="0" xfId="0" applyFont="1" applyFill="1" applyProtection="1"/>
    <xf numFmtId="0" fontId="78" fillId="8" borderId="0" xfId="0" applyFont="1" applyFill="1" applyAlignment="1" applyProtection="1">
      <alignment horizontal="center"/>
    </xf>
    <xf numFmtId="0" fontId="79" fillId="8" borderId="0" xfId="0" applyFont="1" applyFill="1" applyAlignment="1" applyProtection="1">
      <alignment horizontal="center"/>
    </xf>
    <xf numFmtId="0" fontId="74" fillId="7" borderId="0" xfId="0" applyFont="1" applyFill="1" applyAlignment="1" applyProtection="1">
      <alignment horizontal="center"/>
    </xf>
    <xf numFmtId="0" fontId="80" fillId="8" borderId="0" xfId="0" applyFont="1" applyFill="1" applyAlignment="1" applyProtection="1">
      <alignment horizontal="center" vertical="top"/>
    </xf>
    <xf numFmtId="0" fontId="66" fillId="0" borderId="0" xfId="0" applyFont="1" applyBorder="1" applyAlignment="1" applyProtection="1">
      <alignment horizontal="center"/>
      <protection locked="0"/>
    </xf>
    <xf numFmtId="0" fontId="73" fillId="0" borderId="0" xfId="0" applyFont="1" applyAlignment="1" applyProtection="1">
      <alignment horizontal="left" vertical="top"/>
    </xf>
    <xf numFmtId="0" fontId="0" fillId="0" borderId="0" xfId="0" applyAlignment="1" applyProtection="1">
      <alignment horizontal="left" vertical="top"/>
    </xf>
    <xf numFmtId="0" fontId="0" fillId="0" borderId="0" xfId="0" applyAlignment="1" applyProtection="1">
      <alignment horizontal="left"/>
    </xf>
    <xf numFmtId="165" fontId="0" fillId="0" borderId="31" xfId="0" applyNumberFormat="1" applyBorder="1" applyAlignment="1" applyProtection="1">
      <alignment horizontal="center"/>
      <protection locked="0"/>
    </xf>
    <xf numFmtId="165" fontId="0" fillId="0" borderId="32" xfId="0" applyNumberFormat="1" applyBorder="1" applyAlignment="1" applyProtection="1">
      <alignment horizontal="center"/>
      <protection locked="0"/>
    </xf>
    <xf numFmtId="165" fontId="0" fillId="0" borderId="27" xfId="0" applyNumberFormat="1" applyBorder="1" applyAlignment="1" applyProtection="1">
      <alignment horizontal="center"/>
      <protection locked="0"/>
    </xf>
    <xf numFmtId="165" fontId="0" fillId="0" borderId="36" xfId="0" applyNumberFormat="1" applyBorder="1" applyAlignment="1" applyProtection="1">
      <alignment horizontal="center"/>
      <protection locked="0"/>
    </xf>
    <xf numFmtId="165" fontId="0" fillId="0" borderId="23" xfId="0" applyNumberFormat="1" applyBorder="1" applyAlignment="1" applyProtection="1">
      <alignment horizontal="center"/>
      <protection locked="0"/>
    </xf>
    <xf numFmtId="0" fontId="66" fillId="0" borderId="13" xfId="0" applyFont="1" applyBorder="1" applyAlignment="1" applyProtection="1">
      <alignment horizontal="center"/>
      <protection locked="0"/>
    </xf>
    <xf numFmtId="0" fontId="66" fillId="0" borderId="33" xfId="0" applyFont="1" applyBorder="1" applyAlignment="1" applyProtection="1">
      <alignment horizontal="center"/>
      <protection locked="0"/>
    </xf>
    <xf numFmtId="0" fontId="36" fillId="0" borderId="23" xfId="0" applyFont="1" applyBorder="1" applyAlignment="1" applyProtection="1">
      <alignment horizontal="center"/>
      <protection locked="0"/>
    </xf>
    <xf numFmtId="0" fontId="57" fillId="0" borderId="0" xfId="0" applyFont="1" applyFill="1" applyBorder="1" applyAlignment="1" applyProtection="1">
      <alignment horizontal="right" vertical="center" wrapText="1"/>
      <protection locked="0"/>
    </xf>
    <xf numFmtId="0" fontId="15" fillId="0" borderId="7" xfId="0" applyFont="1" applyBorder="1" applyAlignment="1" applyProtection="1">
      <alignment vertical="center" wrapText="1"/>
      <protection locked="0"/>
    </xf>
    <xf numFmtId="0" fontId="15" fillId="0" borderId="0" xfId="0" applyFont="1" applyBorder="1" applyAlignment="1" applyProtection="1">
      <alignment vertical="center" wrapText="1"/>
      <protection locked="0"/>
    </xf>
    <xf numFmtId="165" fontId="0" fillId="0" borderId="13" xfId="0" applyNumberFormat="1" applyBorder="1" applyAlignment="1" applyProtection="1">
      <alignment horizontal="center"/>
      <protection locked="0"/>
    </xf>
    <xf numFmtId="165" fontId="0" fillId="0" borderId="33" xfId="0" applyNumberFormat="1" applyBorder="1" applyAlignment="1" applyProtection="1">
      <alignment horizontal="center"/>
      <protection locked="0"/>
    </xf>
    <xf numFmtId="0" fontId="46" fillId="0" borderId="11" xfId="0" applyFont="1" applyFill="1" applyBorder="1" applyAlignment="1" applyProtection="1">
      <alignment horizontal="right" vertical="top"/>
      <protection locked="0"/>
    </xf>
    <xf numFmtId="0" fontId="46" fillId="0" borderId="0" xfId="0" applyFont="1" applyFill="1" applyBorder="1" applyAlignment="1" applyProtection="1">
      <alignment horizontal="right" vertical="top"/>
      <protection locked="0"/>
    </xf>
    <xf numFmtId="0" fontId="48" fillId="0" borderId="0" xfId="0" applyFont="1" applyFill="1" applyBorder="1" applyAlignment="1" applyProtection="1">
      <alignment horizontal="left" vertical="top" wrapText="1"/>
      <protection locked="0"/>
    </xf>
    <xf numFmtId="0" fontId="48" fillId="0" borderId="22" xfId="0" applyFont="1" applyFill="1" applyBorder="1" applyAlignment="1" applyProtection="1">
      <alignment horizontal="left" vertical="top" wrapText="1"/>
      <protection locked="0"/>
    </xf>
    <xf numFmtId="165" fontId="55" fillId="0" borderId="0" xfId="0" applyNumberFormat="1" applyFont="1" applyFill="1" applyBorder="1" applyAlignment="1" applyProtection="1">
      <alignment horizontal="left"/>
      <protection locked="0"/>
    </xf>
    <xf numFmtId="0" fontId="46" fillId="0" borderId="0" xfId="0" applyFont="1" applyFill="1" applyBorder="1" applyAlignment="1" applyProtection="1">
      <alignment horizontal="center"/>
      <protection locked="0"/>
    </xf>
    <xf numFmtId="1" fontId="1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3" xfId="0" applyFont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 wrapText="1"/>
      <protection locked="0"/>
    </xf>
    <xf numFmtId="0" fontId="12" fillId="0" borderId="7" xfId="0" applyFont="1" applyBorder="1" applyAlignment="1" applyProtection="1">
      <alignment horizontal="center" vertical="center" wrapText="1"/>
      <protection locked="0"/>
    </xf>
    <xf numFmtId="1" fontId="13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4" xfId="0" applyFont="1" applyFill="1" applyBorder="1" applyAlignment="1" applyProtection="1">
      <alignment horizontal="center" vertical="center" wrapText="1"/>
      <protection locked="0"/>
    </xf>
    <xf numFmtId="0" fontId="14" fillId="0" borderId="5" xfId="0" applyFont="1" applyFill="1" applyBorder="1" applyAlignment="1" applyProtection="1">
      <alignment horizontal="center" vertical="center" wrapText="1"/>
      <protection locked="0"/>
    </xf>
    <xf numFmtId="0" fontId="22" fillId="0" borderId="0" xfId="0" applyFont="1" applyFill="1" applyBorder="1" applyAlignment="1" applyProtection="1">
      <alignment horizontal="center" vertical="center" wrapText="1"/>
      <protection locked="0"/>
    </xf>
    <xf numFmtId="0" fontId="22" fillId="0" borderId="7" xfId="0" applyFont="1" applyFill="1" applyBorder="1" applyAlignment="1" applyProtection="1">
      <alignment horizontal="center" vertical="center" wrapText="1"/>
      <protection locked="0"/>
    </xf>
    <xf numFmtId="0" fontId="36" fillId="0" borderId="0" xfId="0" applyFont="1" applyFill="1" applyBorder="1" applyAlignment="1" applyProtection="1">
      <alignment horizontal="center"/>
      <protection locked="0"/>
    </xf>
    <xf numFmtId="0" fontId="36" fillId="0" borderId="21" xfId="0" applyFont="1" applyFill="1" applyBorder="1" applyAlignment="1" applyProtection="1">
      <alignment horizontal="center"/>
      <protection locked="0"/>
    </xf>
    <xf numFmtId="0" fontId="46" fillId="0" borderId="0" xfId="0" applyFont="1" applyFill="1" applyBorder="1" applyAlignment="1" applyProtection="1">
      <alignment horizontal="left" vertical="top" indent="2"/>
      <protection locked="0"/>
    </xf>
    <xf numFmtId="0" fontId="46" fillId="0" borderId="22" xfId="0" applyFont="1" applyFill="1" applyBorder="1" applyAlignment="1" applyProtection="1">
      <alignment horizontal="left" vertical="top" indent="2"/>
      <protection locked="0"/>
    </xf>
  </cellXfs>
  <cellStyles count="2">
    <cellStyle name="Hyperlink" xfId="1" builtinId="8"/>
    <cellStyle name="Normal" xfId="0" builtinId="0"/>
  </cellStyles>
  <dxfs count="16">
    <dxf>
      <font>
        <condense val="0"/>
        <extend val="0"/>
        <color indexed="14"/>
      </font>
    </dxf>
    <dxf>
      <font>
        <b val="0"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u val="none"/>
        <color indexed="14"/>
      </font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6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6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u val="none"/>
        <color indexed="1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9127283717236843E-2"/>
          <c:y val="2.3474969918396395E-2"/>
          <c:w val="0.95634581538260965"/>
          <c:h val="0.96247376665425222"/>
        </c:manualLayout>
      </c:layout>
      <c:scatterChart>
        <c:scatterStyle val="lineMarker"/>
        <c:varyColors val="0"/>
        <c:ser>
          <c:idx val="2"/>
          <c:order val="0"/>
          <c:tx>
            <c:v>Control</c:v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none"/>
          </c:marker>
          <c:xVal>
            <c:numRef>
              <c:f>[1]Graf!$G$4:$H$4</c:f>
              <c:numCache>
                <c:formatCode>General</c:formatCode>
                <c:ptCount val="2"/>
                <c:pt idx="0">
                  <c:v>0</c:v>
                </c:pt>
                <c:pt idx="1">
                  <c:v>2300</c:v>
                </c:pt>
              </c:numCache>
            </c:numRef>
          </c:xVal>
          <c:yVal>
            <c:numRef>
              <c:f>[1]Graf!$G$5:$H$5</c:f>
              <c:numCache>
                <c:formatCode>General</c:formatCode>
                <c:ptCount val="2"/>
                <c:pt idx="0">
                  <c:v>0</c:v>
                </c:pt>
                <c:pt idx="1">
                  <c:v>800</c:v>
                </c:pt>
              </c:numCache>
            </c:numRef>
          </c:yVal>
          <c:smooth val="0"/>
        </c:ser>
        <c:ser>
          <c:idx val="0"/>
          <c:order val="1"/>
          <c:tx>
            <c:v>Cap</c:v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xVal>
            <c:numRef>
              <c:f>[1]Graf!$C$4:$G$4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800</c:v>
                </c:pt>
                <c:pt idx="3">
                  <c:v>800</c:v>
                </c:pt>
                <c:pt idx="4">
                  <c:v>0</c:v>
                </c:pt>
              </c:numCache>
            </c:numRef>
          </c:xVal>
          <c:yVal>
            <c:numRef>
              <c:f>[1]Graf!$C$5:$G$5</c:f>
              <c:numCache>
                <c:formatCode>General</c:formatCode>
                <c:ptCount val="5"/>
                <c:pt idx="0">
                  <c:v>0</c:v>
                </c:pt>
                <c:pt idx="1">
                  <c:v>2300</c:v>
                </c:pt>
                <c:pt idx="2">
                  <c:v>2300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3"/>
          <c:order val="2"/>
          <c:tx>
            <c:v>Pile 1</c:v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[1]Graf!$C$11:$AM$11</c:f>
              <c:numCache>
                <c:formatCode>General</c:formatCode>
                <c:ptCount val="37"/>
                <c:pt idx="0">
                  <c:v>400</c:v>
                </c:pt>
                <c:pt idx="1">
                  <c:v>367.44096668745055</c:v>
                </c:pt>
                <c:pt idx="2">
                  <c:v>335.87122312643714</c:v>
                </c:pt>
                <c:pt idx="3">
                  <c:v>306.25</c:v>
                </c:pt>
                <c:pt idx="4">
                  <c:v>279.47732318377388</c:v>
                </c:pt>
                <c:pt idx="5">
                  <c:v>256.36666691519162</c:v>
                </c:pt>
                <c:pt idx="6">
                  <c:v>237.62023679041775</c:v>
                </c:pt>
                <c:pt idx="7">
                  <c:v>223.8076336026422</c:v>
                </c:pt>
                <c:pt idx="8">
                  <c:v>215.34854631021099</c:v>
                </c:pt>
                <c:pt idx="9">
                  <c:v>212.5</c:v>
                </c:pt>
                <c:pt idx="10">
                  <c:v>215.34854631021099</c:v>
                </c:pt>
                <c:pt idx="11">
                  <c:v>223.80763360264217</c:v>
                </c:pt>
                <c:pt idx="12">
                  <c:v>237.62023679041775</c:v>
                </c:pt>
                <c:pt idx="13">
                  <c:v>256.36666691519162</c:v>
                </c:pt>
                <c:pt idx="14">
                  <c:v>279.47732318377388</c:v>
                </c:pt>
                <c:pt idx="15">
                  <c:v>306.25</c:v>
                </c:pt>
                <c:pt idx="16">
                  <c:v>335.87122312643709</c:v>
                </c:pt>
                <c:pt idx="17">
                  <c:v>367.44096668745055</c:v>
                </c:pt>
                <c:pt idx="18">
                  <c:v>400</c:v>
                </c:pt>
                <c:pt idx="19">
                  <c:v>432.55903331254945</c:v>
                </c:pt>
                <c:pt idx="20">
                  <c:v>464.12877687356291</c:v>
                </c:pt>
                <c:pt idx="21">
                  <c:v>493.75</c:v>
                </c:pt>
                <c:pt idx="22">
                  <c:v>520.52267681622607</c:v>
                </c:pt>
                <c:pt idx="23">
                  <c:v>543.63333308480833</c:v>
                </c:pt>
                <c:pt idx="24">
                  <c:v>562.37976320958228</c:v>
                </c:pt>
                <c:pt idx="25">
                  <c:v>576.19236639735777</c:v>
                </c:pt>
                <c:pt idx="26">
                  <c:v>584.65145368978904</c:v>
                </c:pt>
                <c:pt idx="27">
                  <c:v>587.5</c:v>
                </c:pt>
                <c:pt idx="28">
                  <c:v>584.65145368978904</c:v>
                </c:pt>
                <c:pt idx="29">
                  <c:v>576.19236639735777</c:v>
                </c:pt>
                <c:pt idx="30">
                  <c:v>562.37976320958228</c:v>
                </c:pt>
                <c:pt idx="31">
                  <c:v>543.63333308480833</c:v>
                </c:pt>
                <c:pt idx="32">
                  <c:v>520.52267681622607</c:v>
                </c:pt>
                <c:pt idx="33">
                  <c:v>493.75</c:v>
                </c:pt>
                <c:pt idx="34">
                  <c:v>464.12877687356291</c:v>
                </c:pt>
                <c:pt idx="35">
                  <c:v>432.55903331254945</c:v>
                </c:pt>
                <c:pt idx="36">
                  <c:v>400</c:v>
                </c:pt>
              </c:numCache>
            </c:numRef>
          </c:xVal>
          <c:yVal>
            <c:numRef>
              <c:f>[1]Graf!$C$12:$AM$12</c:f>
              <c:numCache>
                <c:formatCode>General</c:formatCode>
                <c:ptCount val="37"/>
                <c:pt idx="0">
                  <c:v>212.5</c:v>
                </c:pt>
                <c:pt idx="1">
                  <c:v>215.34854631021099</c:v>
                </c:pt>
                <c:pt idx="2">
                  <c:v>223.80763360264217</c:v>
                </c:pt>
                <c:pt idx="3">
                  <c:v>237.62023679041775</c:v>
                </c:pt>
                <c:pt idx="4">
                  <c:v>256.36666691519156</c:v>
                </c:pt>
                <c:pt idx="5">
                  <c:v>279.47732318377388</c:v>
                </c:pt>
                <c:pt idx="6">
                  <c:v>306.25</c:v>
                </c:pt>
                <c:pt idx="7">
                  <c:v>335.87122312643703</c:v>
                </c:pt>
                <c:pt idx="8">
                  <c:v>367.4409666874505</c:v>
                </c:pt>
                <c:pt idx="9">
                  <c:v>400</c:v>
                </c:pt>
                <c:pt idx="10">
                  <c:v>432.5590333125495</c:v>
                </c:pt>
                <c:pt idx="11">
                  <c:v>464.12877687356286</c:v>
                </c:pt>
                <c:pt idx="12">
                  <c:v>493.75</c:v>
                </c:pt>
                <c:pt idx="13">
                  <c:v>520.52267681622607</c:v>
                </c:pt>
                <c:pt idx="14">
                  <c:v>543.63333308480833</c:v>
                </c:pt>
                <c:pt idx="15">
                  <c:v>562.37976320958228</c:v>
                </c:pt>
                <c:pt idx="16">
                  <c:v>576.19236639735777</c:v>
                </c:pt>
                <c:pt idx="17">
                  <c:v>584.65145368978904</c:v>
                </c:pt>
                <c:pt idx="18">
                  <c:v>587.5</c:v>
                </c:pt>
                <c:pt idx="19">
                  <c:v>584.65145368978904</c:v>
                </c:pt>
                <c:pt idx="20">
                  <c:v>576.19236639735777</c:v>
                </c:pt>
                <c:pt idx="21">
                  <c:v>562.37976320958228</c:v>
                </c:pt>
                <c:pt idx="22">
                  <c:v>543.63333308480833</c:v>
                </c:pt>
                <c:pt idx="23">
                  <c:v>520.52267681622607</c:v>
                </c:pt>
                <c:pt idx="24">
                  <c:v>493.75</c:v>
                </c:pt>
                <c:pt idx="25">
                  <c:v>464.12877687356286</c:v>
                </c:pt>
                <c:pt idx="26">
                  <c:v>432.5590333125495</c:v>
                </c:pt>
                <c:pt idx="27">
                  <c:v>400</c:v>
                </c:pt>
                <c:pt idx="28">
                  <c:v>367.4409666874505</c:v>
                </c:pt>
                <c:pt idx="29">
                  <c:v>335.87122312643714</c:v>
                </c:pt>
                <c:pt idx="30">
                  <c:v>306.25</c:v>
                </c:pt>
                <c:pt idx="31">
                  <c:v>279.47732318377388</c:v>
                </c:pt>
                <c:pt idx="32">
                  <c:v>256.36666691519162</c:v>
                </c:pt>
                <c:pt idx="33">
                  <c:v>237.62023679041775</c:v>
                </c:pt>
                <c:pt idx="34">
                  <c:v>223.8076336026422</c:v>
                </c:pt>
                <c:pt idx="35">
                  <c:v>215.34854631021099</c:v>
                </c:pt>
                <c:pt idx="36">
                  <c:v>212.5</c:v>
                </c:pt>
              </c:numCache>
            </c:numRef>
          </c:yVal>
          <c:smooth val="1"/>
        </c:ser>
        <c:ser>
          <c:idx val="4"/>
          <c:order val="3"/>
          <c:tx>
            <c:v>Pile 2</c:v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[1]Graf!$C$11:$AM$11</c:f>
              <c:numCache>
                <c:formatCode>General</c:formatCode>
                <c:ptCount val="37"/>
                <c:pt idx="0">
                  <c:v>400</c:v>
                </c:pt>
                <c:pt idx="1">
                  <c:v>367.44096668745055</c:v>
                </c:pt>
                <c:pt idx="2">
                  <c:v>335.87122312643714</c:v>
                </c:pt>
                <c:pt idx="3">
                  <c:v>306.25</c:v>
                </c:pt>
                <c:pt idx="4">
                  <c:v>279.47732318377388</c:v>
                </c:pt>
                <c:pt idx="5">
                  <c:v>256.36666691519162</c:v>
                </c:pt>
                <c:pt idx="6">
                  <c:v>237.62023679041775</c:v>
                </c:pt>
                <c:pt idx="7">
                  <c:v>223.8076336026422</c:v>
                </c:pt>
                <c:pt idx="8">
                  <c:v>215.34854631021099</c:v>
                </c:pt>
                <c:pt idx="9">
                  <c:v>212.5</c:v>
                </c:pt>
                <c:pt idx="10">
                  <c:v>215.34854631021099</c:v>
                </c:pt>
                <c:pt idx="11">
                  <c:v>223.80763360264217</c:v>
                </c:pt>
                <c:pt idx="12">
                  <c:v>237.62023679041775</c:v>
                </c:pt>
                <c:pt idx="13">
                  <c:v>256.36666691519162</c:v>
                </c:pt>
                <c:pt idx="14">
                  <c:v>279.47732318377388</c:v>
                </c:pt>
                <c:pt idx="15">
                  <c:v>306.25</c:v>
                </c:pt>
                <c:pt idx="16">
                  <c:v>335.87122312643709</c:v>
                </c:pt>
                <c:pt idx="17">
                  <c:v>367.44096668745055</c:v>
                </c:pt>
                <c:pt idx="18">
                  <c:v>400</c:v>
                </c:pt>
                <c:pt idx="19">
                  <c:v>432.55903331254945</c:v>
                </c:pt>
                <c:pt idx="20">
                  <c:v>464.12877687356291</c:v>
                </c:pt>
                <c:pt idx="21">
                  <c:v>493.75</c:v>
                </c:pt>
                <c:pt idx="22">
                  <c:v>520.52267681622607</c:v>
                </c:pt>
                <c:pt idx="23">
                  <c:v>543.63333308480833</c:v>
                </c:pt>
                <c:pt idx="24">
                  <c:v>562.37976320958228</c:v>
                </c:pt>
                <c:pt idx="25">
                  <c:v>576.19236639735777</c:v>
                </c:pt>
                <c:pt idx="26">
                  <c:v>584.65145368978904</c:v>
                </c:pt>
                <c:pt idx="27">
                  <c:v>587.5</c:v>
                </c:pt>
                <c:pt idx="28">
                  <c:v>584.65145368978904</c:v>
                </c:pt>
                <c:pt idx="29">
                  <c:v>576.19236639735777</c:v>
                </c:pt>
                <c:pt idx="30">
                  <c:v>562.37976320958228</c:v>
                </c:pt>
                <c:pt idx="31">
                  <c:v>543.63333308480833</c:v>
                </c:pt>
                <c:pt idx="32">
                  <c:v>520.52267681622607</c:v>
                </c:pt>
                <c:pt idx="33">
                  <c:v>493.75</c:v>
                </c:pt>
                <c:pt idx="34">
                  <c:v>464.12877687356291</c:v>
                </c:pt>
                <c:pt idx="35">
                  <c:v>432.55903331254945</c:v>
                </c:pt>
                <c:pt idx="36">
                  <c:v>400</c:v>
                </c:pt>
              </c:numCache>
            </c:numRef>
          </c:xVal>
          <c:yVal>
            <c:numRef>
              <c:f>[1]Graf!$C$13:$AM$13</c:f>
              <c:numCache>
                <c:formatCode>General</c:formatCode>
                <c:ptCount val="37"/>
                <c:pt idx="0">
                  <c:v>1712.5</c:v>
                </c:pt>
                <c:pt idx="1">
                  <c:v>1715.3485463102111</c:v>
                </c:pt>
                <c:pt idx="2">
                  <c:v>1723.8076336026422</c:v>
                </c:pt>
                <c:pt idx="3">
                  <c:v>1737.6202367904177</c:v>
                </c:pt>
                <c:pt idx="4">
                  <c:v>1756.3666669151917</c:v>
                </c:pt>
                <c:pt idx="5">
                  <c:v>1779.4773231837739</c:v>
                </c:pt>
                <c:pt idx="6">
                  <c:v>1806.25</c:v>
                </c:pt>
                <c:pt idx="7">
                  <c:v>1835.8712231264371</c:v>
                </c:pt>
                <c:pt idx="8">
                  <c:v>1867.4409666874506</c:v>
                </c:pt>
                <c:pt idx="9">
                  <c:v>1900</c:v>
                </c:pt>
                <c:pt idx="10">
                  <c:v>1932.5590333125494</c:v>
                </c:pt>
                <c:pt idx="11">
                  <c:v>1964.1287768735629</c:v>
                </c:pt>
                <c:pt idx="12">
                  <c:v>1993.75</c:v>
                </c:pt>
                <c:pt idx="13">
                  <c:v>2020.5226768162261</c:v>
                </c:pt>
                <c:pt idx="14">
                  <c:v>2043.6333330848083</c:v>
                </c:pt>
                <c:pt idx="15">
                  <c:v>2062.3797632095821</c:v>
                </c:pt>
                <c:pt idx="16">
                  <c:v>2076.1923663973575</c:v>
                </c:pt>
                <c:pt idx="17">
                  <c:v>2084.6514536897889</c:v>
                </c:pt>
                <c:pt idx="18">
                  <c:v>2087.5</c:v>
                </c:pt>
                <c:pt idx="19">
                  <c:v>2084.6514536897889</c:v>
                </c:pt>
                <c:pt idx="20">
                  <c:v>2076.1923663973575</c:v>
                </c:pt>
                <c:pt idx="21">
                  <c:v>2062.3797632095821</c:v>
                </c:pt>
                <c:pt idx="22">
                  <c:v>2043.6333330848083</c:v>
                </c:pt>
                <c:pt idx="23">
                  <c:v>2020.5226768162261</c:v>
                </c:pt>
                <c:pt idx="24">
                  <c:v>1993.75</c:v>
                </c:pt>
                <c:pt idx="25">
                  <c:v>1964.1287768735629</c:v>
                </c:pt>
                <c:pt idx="26">
                  <c:v>1932.5590333125494</c:v>
                </c:pt>
                <c:pt idx="27">
                  <c:v>1900</c:v>
                </c:pt>
                <c:pt idx="28">
                  <c:v>1867.4409666874506</c:v>
                </c:pt>
                <c:pt idx="29">
                  <c:v>1835.8712231264371</c:v>
                </c:pt>
                <c:pt idx="30">
                  <c:v>1806.25</c:v>
                </c:pt>
                <c:pt idx="31">
                  <c:v>1779.4773231837739</c:v>
                </c:pt>
                <c:pt idx="32">
                  <c:v>1756.3666669151917</c:v>
                </c:pt>
                <c:pt idx="33">
                  <c:v>1737.6202367904177</c:v>
                </c:pt>
                <c:pt idx="34">
                  <c:v>1723.8076336026422</c:v>
                </c:pt>
                <c:pt idx="35">
                  <c:v>1715.3485463102111</c:v>
                </c:pt>
                <c:pt idx="36">
                  <c:v>1712.5</c:v>
                </c:pt>
              </c:numCache>
            </c:numRef>
          </c:yVal>
          <c:smooth val="1"/>
        </c:ser>
        <c:ser>
          <c:idx val="5"/>
          <c:order val="4"/>
          <c:tx>
            <c:v>Fill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xVal>
            <c:numRef>
              <c:f>[1]Graf!$I$6:$AH$6</c:f>
              <c:numCache>
                <c:formatCode>General</c:formatCode>
                <c:ptCount val="26"/>
                <c:pt idx="0">
                  <c:v>260</c:v>
                </c:pt>
                <c:pt idx="1">
                  <c:v>260</c:v>
                </c:pt>
                <c:pt idx="3">
                  <c:v>295</c:v>
                </c:pt>
                <c:pt idx="4">
                  <c:v>295</c:v>
                </c:pt>
                <c:pt idx="6">
                  <c:v>330</c:v>
                </c:pt>
                <c:pt idx="7">
                  <c:v>330</c:v>
                </c:pt>
                <c:pt idx="9">
                  <c:v>365</c:v>
                </c:pt>
                <c:pt idx="10">
                  <c:v>365</c:v>
                </c:pt>
                <c:pt idx="12">
                  <c:v>400</c:v>
                </c:pt>
                <c:pt idx="13">
                  <c:v>400</c:v>
                </c:pt>
                <c:pt idx="15">
                  <c:v>435</c:v>
                </c:pt>
                <c:pt idx="16">
                  <c:v>435</c:v>
                </c:pt>
                <c:pt idx="18">
                  <c:v>470</c:v>
                </c:pt>
                <c:pt idx="19">
                  <c:v>470</c:v>
                </c:pt>
                <c:pt idx="21">
                  <c:v>505</c:v>
                </c:pt>
                <c:pt idx="22">
                  <c:v>505</c:v>
                </c:pt>
                <c:pt idx="24">
                  <c:v>540</c:v>
                </c:pt>
                <c:pt idx="25">
                  <c:v>540</c:v>
                </c:pt>
              </c:numCache>
            </c:numRef>
          </c:xVal>
          <c:yVal>
            <c:numRef>
              <c:f>[1]Graf!$I$7:$AH$7</c:f>
              <c:numCache>
                <c:formatCode>General</c:formatCode>
                <c:ptCount val="26"/>
                <c:pt idx="0">
                  <c:v>975</c:v>
                </c:pt>
                <c:pt idx="1">
                  <c:v>1325</c:v>
                </c:pt>
                <c:pt idx="3">
                  <c:v>975</c:v>
                </c:pt>
                <c:pt idx="4">
                  <c:v>1325</c:v>
                </c:pt>
                <c:pt idx="6">
                  <c:v>975</c:v>
                </c:pt>
                <c:pt idx="7">
                  <c:v>1325</c:v>
                </c:pt>
                <c:pt idx="9">
                  <c:v>975</c:v>
                </c:pt>
                <c:pt idx="10">
                  <c:v>1325</c:v>
                </c:pt>
                <c:pt idx="12">
                  <c:v>975</c:v>
                </c:pt>
                <c:pt idx="13">
                  <c:v>1325</c:v>
                </c:pt>
                <c:pt idx="15">
                  <c:v>975</c:v>
                </c:pt>
                <c:pt idx="16">
                  <c:v>1325</c:v>
                </c:pt>
                <c:pt idx="18">
                  <c:v>975</c:v>
                </c:pt>
                <c:pt idx="19">
                  <c:v>1325</c:v>
                </c:pt>
                <c:pt idx="21">
                  <c:v>975</c:v>
                </c:pt>
                <c:pt idx="22">
                  <c:v>1325</c:v>
                </c:pt>
                <c:pt idx="24">
                  <c:v>975</c:v>
                </c:pt>
                <c:pt idx="25">
                  <c:v>1325</c:v>
                </c:pt>
              </c:numCache>
            </c:numRef>
          </c:yVal>
          <c:smooth val="0"/>
        </c:ser>
        <c:ser>
          <c:idx val="1"/>
          <c:order val="5"/>
          <c:tx>
            <c:v>Column</c:v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[1]Graf!$C$6:$G$6</c:f>
              <c:numCache>
                <c:formatCode>General</c:formatCode>
                <c:ptCount val="5"/>
                <c:pt idx="0">
                  <c:v>225</c:v>
                </c:pt>
                <c:pt idx="1">
                  <c:v>225</c:v>
                </c:pt>
                <c:pt idx="2">
                  <c:v>575</c:v>
                </c:pt>
                <c:pt idx="3">
                  <c:v>575</c:v>
                </c:pt>
                <c:pt idx="4">
                  <c:v>225</c:v>
                </c:pt>
              </c:numCache>
            </c:numRef>
          </c:xVal>
          <c:yVal>
            <c:numRef>
              <c:f>[1]Graf!$C$7:$G$7</c:f>
              <c:numCache>
                <c:formatCode>General</c:formatCode>
                <c:ptCount val="5"/>
                <c:pt idx="0">
                  <c:v>975</c:v>
                </c:pt>
                <c:pt idx="1">
                  <c:v>1325</c:v>
                </c:pt>
                <c:pt idx="2">
                  <c:v>1325</c:v>
                </c:pt>
                <c:pt idx="3">
                  <c:v>975</c:v>
                </c:pt>
                <c:pt idx="4">
                  <c:v>975</c:v>
                </c:pt>
              </c:numCache>
            </c:numRef>
          </c:yVal>
          <c:smooth val="0"/>
        </c:ser>
        <c:ser>
          <c:idx val="6"/>
          <c:order val="6"/>
          <c:tx>
            <c:v>Centre</c:v>
          </c:tx>
          <c:spPr>
            <a:ln w="3175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[1]Graf!$K$4:$O$4</c:f>
              <c:numCache>
                <c:formatCode>General</c:formatCode>
                <c:ptCount val="5"/>
                <c:pt idx="0">
                  <c:v>-50</c:v>
                </c:pt>
                <c:pt idx="1">
                  <c:v>850</c:v>
                </c:pt>
                <c:pt idx="3">
                  <c:v>400</c:v>
                </c:pt>
                <c:pt idx="4">
                  <c:v>400</c:v>
                </c:pt>
              </c:numCache>
            </c:numRef>
          </c:xVal>
          <c:yVal>
            <c:numRef>
              <c:f>[1]Graf!$K$5:$O$5</c:f>
              <c:numCache>
                <c:formatCode>General</c:formatCode>
                <c:ptCount val="5"/>
                <c:pt idx="0">
                  <c:v>1150</c:v>
                </c:pt>
                <c:pt idx="1">
                  <c:v>1150</c:v>
                </c:pt>
                <c:pt idx="3">
                  <c:v>-50</c:v>
                </c:pt>
                <c:pt idx="4">
                  <c:v>2350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010064"/>
        <c:axId val="1280022576"/>
      </c:scatterChart>
      <c:valAx>
        <c:axId val="1280010064"/>
        <c:scaling>
          <c:orientation val="minMax"/>
          <c:min val="-40"/>
        </c:scaling>
        <c:delete val="1"/>
        <c:axPos val="b"/>
        <c:numFmt formatCode="General" sourceLinked="1"/>
        <c:majorTickMark val="out"/>
        <c:minorTickMark val="none"/>
        <c:tickLblPos val="nextTo"/>
        <c:crossAx val="1280022576"/>
        <c:crosses val="autoZero"/>
        <c:crossBetween val="midCat"/>
        <c:majorUnit val="100"/>
      </c:valAx>
      <c:valAx>
        <c:axId val="1280022576"/>
        <c:scaling>
          <c:orientation val="minMax"/>
          <c:min val="-40"/>
        </c:scaling>
        <c:delete val="1"/>
        <c:axPos val="l"/>
        <c:numFmt formatCode="General" sourceLinked="1"/>
        <c:majorTickMark val="out"/>
        <c:minorTickMark val="none"/>
        <c:tickLblPos val="nextTo"/>
        <c:crossAx val="1280010064"/>
        <c:crosses val="autoZero"/>
        <c:crossBetween val="midCat"/>
        <c:majorUnit val="1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Technical"/>
          <a:ea typeface="Technical"/>
          <a:cs typeface="Technic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9048235416533853E-2"/>
          <c:y val="3.3113840954933325E-2"/>
          <c:w val="0.97146000624322659"/>
          <c:h val="0.94705585131109304"/>
        </c:manualLayout>
      </c:layout>
      <c:scatterChart>
        <c:scatterStyle val="lineMarker"/>
        <c:varyColors val="0"/>
        <c:ser>
          <c:idx val="0"/>
          <c:order val="0"/>
          <c:tx>
            <c:v>Cap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[1]Graf!$C$15:$G$15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2300</c:v>
                </c:pt>
                <c:pt idx="3">
                  <c:v>2300</c:v>
                </c:pt>
                <c:pt idx="4">
                  <c:v>0</c:v>
                </c:pt>
              </c:numCache>
            </c:numRef>
          </c:xVal>
          <c:yVal>
            <c:numRef>
              <c:f>[1]Graf!$C$16:$G$16</c:f>
              <c:numCache>
                <c:formatCode>General</c:formatCode>
                <c:ptCount val="5"/>
                <c:pt idx="0">
                  <c:v>240</c:v>
                </c:pt>
                <c:pt idx="1">
                  <c:v>640</c:v>
                </c:pt>
                <c:pt idx="2">
                  <c:v>640</c:v>
                </c:pt>
                <c:pt idx="3">
                  <c:v>240</c:v>
                </c:pt>
                <c:pt idx="4">
                  <c:v>240</c:v>
                </c:pt>
              </c:numCache>
            </c:numRef>
          </c:yVal>
          <c:smooth val="0"/>
        </c:ser>
        <c:ser>
          <c:idx val="3"/>
          <c:order val="1"/>
          <c:tx>
            <c:v>Btm bar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[1]Graf!$C$21:$F$21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2250</c:v>
                </c:pt>
                <c:pt idx="3">
                  <c:v>2250</c:v>
                </c:pt>
              </c:numCache>
            </c:numRef>
          </c:xVal>
          <c:yVal>
            <c:numRef>
              <c:f>[1]Graf!$C$23:$F$23</c:f>
              <c:numCache>
                <c:formatCode>General</c:formatCode>
                <c:ptCount val="4"/>
                <c:pt idx="0">
                  <c:v>455</c:v>
                </c:pt>
                <c:pt idx="1">
                  <c:v>325</c:v>
                </c:pt>
                <c:pt idx="2">
                  <c:v>325</c:v>
                </c:pt>
                <c:pt idx="3">
                  <c:v>455</c:v>
                </c:pt>
              </c:numCache>
            </c:numRef>
          </c:yVal>
          <c:smooth val="0"/>
        </c:ser>
        <c:ser>
          <c:idx val="4"/>
          <c:order val="2"/>
          <c:tx>
            <c:v>Top bar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[1]Graf!$C$21:$F$21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2250</c:v>
                </c:pt>
                <c:pt idx="3">
                  <c:v>2250</c:v>
                </c:pt>
              </c:numCache>
            </c:numRef>
          </c:xVal>
          <c:yVal>
            <c:numRef>
              <c:f>[1]Graf!$C$22:$F$22</c:f>
              <c:numCache>
                <c:formatCode>General</c:formatCode>
                <c:ptCount val="4"/>
                <c:pt idx="0">
                  <c:v>580</c:v>
                </c:pt>
                <c:pt idx="1">
                  <c:v>580</c:v>
                </c:pt>
                <c:pt idx="2">
                  <c:v>580</c:v>
                </c:pt>
                <c:pt idx="3">
                  <c:v>580</c:v>
                </c:pt>
              </c:numCache>
            </c:numRef>
          </c:yVal>
          <c:smooth val="0"/>
        </c:ser>
        <c:ser>
          <c:idx val="1"/>
          <c:order val="3"/>
          <c:tx>
            <c:v>Piles</c:v>
          </c:tx>
          <c:spPr>
            <a:ln w="12700">
              <a:solidFill>
                <a:srgbClr val="808080"/>
              </a:solidFill>
              <a:prstDash val="solid"/>
            </a:ln>
          </c:spPr>
          <c:marker>
            <c:symbol val="none"/>
          </c:marker>
          <c:xVal>
            <c:numRef>
              <c:f>[1]Graf!$C$17:$M$17</c:f>
              <c:numCache>
                <c:formatCode>General</c:formatCode>
                <c:ptCount val="11"/>
                <c:pt idx="0">
                  <c:v>212.5</c:v>
                </c:pt>
                <c:pt idx="1">
                  <c:v>212.5</c:v>
                </c:pt>
                <c:pt idx="3">
                  <c:v>587.5</c:v>
                </c:pt>
                <c:pt idx="4">
                  <c:v>587.5</c:v>
                </c:pt>
                <c:pt idx="6">
                  <c:v>1712.5</c:v>
                </c:pt>
                <c:pt idx="7">
                  <c:v>1712.5</c:v>
                </c:pt>
                <c:pt idx="9">
                  <c:v>2087.5</c:v>
                </c:pt>
                <c:pt idx="10">
                  <c:v>2087.5</c:v>
                </c:pt>
              </c:numCache>
            </c:numRef>
          </c:xVal>
          <c:yVal>
            <c:numRef>
              <c:f>[1]Graf!$C$18:$M$18</c:f>
              <c:numCache>
                <c:formatCode>General</c:formatCode>
                <c:ptCount val="11"/>
                <c:pt idx="0">
                  <c:v>0</c:v>
                </c:pt>
                <c:pt idx="1">
                  <c:v>240</c:v>
                </c:pt>
                <c:pt idx="3">
                  <c:v>0</c:v>
                </c:pt>
                <c:pt idx="4">
                  <c:v>240</c:v>
                </c:pt>
                <c:pt idx="6">
                  <c:v>0</c:v>
                </c:pt>
                <c:pt idx="7">
                  <c:v>240</c:v>
                </c:pt>
                <c:pt idx="9">
                  <c:v>0</c:v>
                </c:pt>
                <c:pt idx="10">
                  <c:v>240</c:v>
                </c:pt>
              </c:numCache>
            </c:numRef>
          </c:yVal>
          <c:smooth val="0"/>
        </c:ser>
        <c:ser>
          <c:idx val="2"/>
          <c:order val="4"/>
          <c:tx>
            <c:v>Column</c:v>
          </c:tx>
          <c:spPr>
            <a:ln w="12700">
              <a:solidFill>
                <a:srgbClr val="808080"/>
              </a:solidFill>
              <a:prstDash val="solid"/>
            </a:ln>
          </c:spPr>
          <c:marker>
            <c:symbol val="none"/>
          </c:marker>
          <c:xVal>
            <c:numRef>
              <c:f>[1]Graf!$O$17:$S$17</c:f>
              <c:numCache>
                <c:formatCode>General</c:formatCode>
                <c:ptCount val="5"/>
                <c:pt idx="0">
                  <c:v>975</c:v>
                </c:pt>
                <c:pt idx="1">
                  <c:v>975</c:v>
                </c:pt>
                <c:pt idx="3">
                  <c:v>1325</c:v>
                </c:pt>
                <c:pt idx="4">
                  <c:v>1325</c:v>
                </c:pt>
              </c:numCache>
            </c:numRef>
          </c:xVal>
          <c:yVal>
            <c:numRef>
              <c:f>[1]Graf!$O$18:$S$18</c:f>
              <c:numCache>
                <c:formatCode>General</c:formatCode>
                <c:ptCount val="5"/>
                <c:pt idx="0">
                  <c:v>640</c:v>
                </c:pt>
                <c:pt idx="1">
                  <c:v>940</c:v>
                </c:pt>
                <c:pt idx="3">
                  <c:v>640</c:v>
                </c:pt>
                <c:pt idx="4">
                  <c:v>940</c:v>
                </c:pt>
              </c:numCache>
            </c:numRef>
          </c:yVal>
          <c:smooth val="0"/>
        </c:ser>
        <c:ser>
          <c:idx val="5"/>
          <c:order val="5"/>
          <c:tx>
            <c:v>End links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[1]Graf!$C$24:$S$24</c:f>
              <c:numCache>
                <c:formatCode>General</c:formatCode>
                <c:ptCount val="17"/>
                <c:pt idx="0">
                  <c:v>65</c:v>
                </c:pt>
                <c:pt idx="1">
                  <c:v>65</c:v>
                </c:pt>
                <c:pt idx="3">
                  <c:v>65</c:v>
                </c:pt>
                <c:pt idx="4">
                  <c:v>65</c:v>
                </c:pt>
                <c:pt idx="6">
                  <c:v>265</c:v>
                </c:pt>
                <c:pt idx="7">
                  <c:v>265</c:v>
                </c:pt>
                <c:pt idx="9">
                  <c:v>2235</c:v>
                </c:pt>
                <c:pt idx="10">
                  <c:v>2235</c:v>
                </c:pt>
                <c:pt idx="12">
                  <c:v>2235</c:v>
                </c:pt>
                <c:pt idx="13">
                  <c:v>2235</c:v>
                </c:pt>
                <c:pt idx="15">
                  <c:v>2035</c:v>
                </c:pt>
                <c:pt idx="16">
                  <c:v>2035</c:v>
                </c:pt>
              </c:numCache>
            </c:numRef>
          </c:xVal>
          <c:yVal>
            <c:numRef>
              <c:f>[1]Graf!$C$25:$S$25</c:f>
              <c:numCache>
                <c:formatCode>General</c:formatCode>
                <c:ptCount val="17"/>
                <c:pt idx="0">
                  <c:v>315</c:v>
                </c:pt>
                <c:pt idx="1">
                  <c:v>590</c:v>
                </c:pt>
                <c:pt idx="3">
                  <c:v>315</c:v>
                </c:pt>
                <c:pt idx="4">
                  <c:v>590</c:v>
                </c:pt>
                <c:pt idx="6">
                  <c:v>315</c:v>
                </c:pt>
                <c:pt idx="7">
                  <c:v>590</c:v>
                </c:pt>
                <c:pt idx="9">
                  <c:v>315</c:v>
                </c:pt>
                <c:pt idx="10">
                  <c:v>590</c:v>
                </c:pt>
                <c:pt idx="12">
                  <c:v>315</c:v>
                </c:pt>
                <c:pt idx="13">
                  <c:v>590</c:v>
                </c:pt>
                <c:pt idx="15">
                  <c:v>315</c:v>
                </c:pt>
                <c:pt idx="16">
                  <c:v>590</c:v>
                </c:pt>
              </c:numCache>
            </c:numRef>
          </c:yVal>
          <c:smooth val="0"/>
        </c:ser>
        <c:ser>
          <c:idx val="6"/>
          <c:order val="6"/>
          <c:tx>
            <c:v>Centre Links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[1]Graf!$C$26:$BI$26</c:f>
              <c:numCache>
                <c:formatCode>General</c:formatCode>
                <c:ptCount val="59"/>
                <c:pt idx="0">
                  <c:v>550</c:v>
                </c:pt>
                <c:pt idx="1">
                  <c:v>550</c:v>
                </c:pt>
                <c:pt idx="3">
                  <c:v>750</c:v>
                </c:pt>
                <c:pt idx="4">
                  <c:v>750</c:v>
                </c:pt>
                <c:pt idx="6">
                  <c:v>950</c:v>
                </c:pt>
                <c:pt idx="7">
                  <c:v>950</c:v>
                </c:pt>
                <c:pt idx="9">
                  <c:v>1150</c:v>
                </c:pt>
                <c:pt idx="10">
                  <c:v>1150</c:v>
                </c:pt>
                <c:pt idx="12">
                  <c:v>1350</c:v>
                </c:pt>
                <c:pt idx="13">
                  <c:v>1350</c:v>
                </c:pt>
                <c:pt idx="15">
                  <c:v>1550</c:v>
                </c:pt>
                <c:pt idx="16">
                  <c:v>1550</c:v>
                </c:pt>
                <c:pt idx="18">
                  <c:v>1750</c:v>
                </c:pt>
                <c:pt idx="19">
                  <c:v>1750</c:v>
                </c:pt>
                <c:pt idx="21">
                  <c:v>1750</c:v>
                </c:pt>
                <c:pt idx="22">
                  <c:v>1750</c:v>
                </c:pt>
                <c:pt idx="24">
                  <c:v>1750</c:v>
                </c:pt>
                <c:pt idx="25">
                  <c:v>1750</c:v>
                </c:pt>
                <c:pt idx="27">
                  <c:v>1750</c:v>
                </c:pt>
                <c:pt idx="28">
                  <c:v>1750</c:v>
                </c:pt>
                <c:pt idx="30">
                  <c:v>1750</c:v>
                </c:pt>
                <c:pt idx="31">
                  <c:v>1750</c:v>
                </c:pt>
                <c:pt idx="33">
                  <c:v>1750</c:v>
                </c:pt>
                <c:pt idx="34">
                  <c:v>1750</c:v>
                </c:pt>
                <c:pt idx="36">
                  <c:v>1750</c:v>
                </c:pt>
                <c:pt idx="37">
                  <c:v>1750</c:v>
                </c:pt>
                <c:pt idx="39">
                  <c:v>1750</c:v>
                </c:pt>
                <c:pt idx="40">
                  <c:v>1750</c:v>
                </c:pt>
                <c:pt idx="42">
                  <c:v>1750</c:v>
                </c:pt>
                <c:pt idx="43">
                  <c:v>1750</c:v>
                </c:pt>
                <c:pt idx="45">
                  <c:v>1750</c:v>
                </c:pt>
                <c:pt idx="46">
                  <c:v>1750</c:v>
                </c:pt>
                <c:pt idx="48">
                  <c:v>1750</c:v>
                </c:pt>
                <c:pt idx="49">
                  <c:v>1750</c:v>
                </c:pt>
                <c:pt idx="51">
                  <c:v>1750</c:v>
                </c:pt>
                <c:pt idx="52">
                  <c:v>1750</c:v>
                </c:pt>
                <c:pt idx="54">
                  <c:v>1750</c:v>
                </c:pt>
                <c:pt idx="55">
                  <c:v>1750</c:v>
                </c:pt>
                <c:pt idx="57">
                  <c:v>1750</c:v>
                </c:pt>
                <c:pt idx="58">
                  <c:v>1750</c:v>
                </c:pt>
              </c:numCache>
            </c:numRef>
          </c:xVal>
          <c:yVal>
            <c:numRef>
              <c:f>[1]Graf!$C$27:$BI$27</c:f>
              <c:numCache>
                <c:formatCode>General</c:formatCode>
                <c:ptCount val="59"/>
                <c:pt idx="0">
                  <c:v>315</c:v>
                </c:pt>
                <c:pt idx="1">
                  <c:v>590</c:v>
                </c:pt>
                <c:pt idx="3">
                  <c:v>315</c:v>
                </c:pt>
                <c:pt idx="4">
                  <c:v>590</c:v>
                </c:pt>
                <c:pt idx="6">
                  <c:v>315</c:v>
                </c:pt>
                <c:pt idx="7">
                  <c:v>590</c:v>
                </c:pt>
                <c:pt idx="9">
                  <c:v>315</c:v>
                </c:pt>
                <c:pt idx="10">
                  <c:v>590</c:v>
                </c:pt>
                <c:pt idx="12">
                  <c:v>315</c:v>
                </c:pt>
                <c:pt idx="13">
                  <c:v>590</c:v>
                </c:pt>
                <c:pt idx="15">
                  <c:v>315</c:v>
                </c:pt>
                <c:pt idx="16">
                  <c:v>590</c:v>
                </c:pt>
                <c:pt idx="18">
                  <c:v>315</c:v>
                </c:pt>
                <c:pt idx="19">
                  <c:v>590</c:v>
                </c:pt>
                <c:pt idx="21">
                  <c:v>315</c:v>
                </c:pt>
                <c:pt idx="22">
                  <c:v>590</c:v>
                </c:pt>
                <c:pt idx="24">
                  <c:v>315</c:v>
                </c:pt>
                <c:pt idx="25">
                  <c:v>590</c:v>
                </c:pt>
                <c:pt idx="27">
                  <c:v>315</c:v>
                </c:pt>
                <c:pt idx="28">
                  <c:v>590</c:v>
                </c:pt>
                <c:pt idx="30">
                  <c:v>315</c:v>
                </c:pt>
                <c:pt idx="31">
                  <c:v>590</c:v>
                </c:pt>
                <c:pt idx="33">
                  <c:v>315</c:v>
                </c:pt>
                <c:pt idx="34">
                  <c:v>590</c:v>
                </c:pt>
                <c:pt idx="36">
                  <c:v>315</c:v>
                </c:pt>
                <c:pt idx="37">
                  <c:v>590</c:v>
                </c:pt>
                <c:pt idx="39">
                  <c:v>315</c:v>
                </c:pt>
                <c:pt idx="40">
                  <c:v>590</c:v>
                </c:pt>
                <c:pt idx="42">
                  <c:v>315</c:v>
                </c:pt>
                <c:pt idx="43">
                  <c:v>590</c:v>
                </c:pt>
                <c:pt idx="45">
                  <c:v>315</c:v>
                </c:pt>
                <c:pt idx="46">
                  <c:v>590</c:v>
                </c:pt>
                <c:pt idx="48">
                  <c:v>315</c:v>
                </c:pt>
                <c:pt idx="49">
                  <c:v>590</c:v>
                </c:pt>
                <c:pt idx="51">
                  <c:v>315</c:v>
                </c:pt>
                <c:pt idx="52">
                  <c:v>590</c:v>
                </c:pt>
                <c:pt idx="54">
                  <c:v>315</c:v>
                </c:pt>
                <c:pt idx="55">
                  <c:v>590</c:v>
                </c:pt>
                <c:pt idx="57">
                  <c:v>315</c:v>
                </c:pt>
                <c:pt idx="58">
                  <c:v>590</c:v>
                </c:pt>
              </c:numCache>
            </c:numRef>
          </c:yVal>
          <c:smooth val="0"/>
        </c:ser>
        <c:ser>
          <c:idx val="7"/>
          <c:order val="7"/>
          <c:tx>
            <c:v>Cutoffs</c:v>
          </c:tx>
          <c:spPr>
            <a:ln w="12700">
              <a:solidFill>
                <a:srgbClr val="808080"/>
              </a:solidFill>
              <a:prstDash val="sysDash"/>
            </a:ln>
          </c:spPr>
          <c:marker>
            <c:symbol val="none"/>
          </c:marker>
          <c:xVal>
            <c:numRef>
              <c:f>[1]Graf!$C$19:$K$19</c:f>
              <c:numCache>
                <c:formatCode>General</c:formatCode>
                <c:ptCount val="9"/>
                <c:pt idx="0">
                  <c:v>212.5</c:v>
                </c:pt>
                <c:pt idx="1">
                  <c:v>212.5</c:v>
                </c:pt>
                <c:pt idx="2">
                  <c:v>587.5</c:v>
                </c:pt>
                <c:pt idx="3">
                  <c:v>587.5</c:v>
                </c:pt>
                <c:pt idx="5">
                  <c:v>1712.5</c:v>
                </c:pt>
                <c:pt idx="6">
                  <c:v>1712.5</c:v>
                </c:pt>
                <c:pt idx="7">
                  <c:v>2087.5</c:v>
                </c:pt>
                <c:pt idx="8">
                  <c:v>2087.5</c:v>
                </c:pt>
              </c:numCache>
            </c:numRef>
          </c:xVal>
          <c:yVal>
            <c:numRef>
              <c:f>[1]Graf!$C$20:$K$20</c:f>
              <c:numCache>
                <c:formatCode>General</c:formatCode>
                <c:ptCount val="9"/>
                <c:pt idx="0">
                  <c:v>240</c:v>
                </c:pt>
                <c:pt idx="1">
                  <c:v>290</c:v>
                </c:pt>
                <c:pt idx="2">
                  <c:v>290</c:v>
                </c:pt>
                <c:pt idx="3">
                  <c:v>240</c:v>
                </c:pt>
                <c:pt idx="5">
                  <c:v>240</c:v>
                </c:pt>
                <c:pt idx="6">
                  <c:v>290</c:v>
                </c:pt>
                <c:pt idx="7">
                  <c:v>290</c:v>
                </c:pt>
                <c:pt idx="8">
                  <c:v>240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010608"/>
        <c:axId val="1280022032"/>
      </c:scatterChart>
      <c:valAx>
        <c:axId val="1280010608"/>
        <c:scaling>
          <c:orientation val="minMax"/>
          <c:min val="-40"/>
        </c:scaling>
        <c:delete val="1"/>
        <c:axPos val="b"/>
        <c:numFmt formatCode="General" sourceLinked="1"/>
        <c:majorTickMark val="out"/>
        <c:minorTickMark val="none"/>
        <c:tickLblPos val="nextTo"/>
        <c:crossAx val="1280022032"/>
        <c:crosses val="autoZero"/>
        <c:crossBetween val="midCat"/>
        <c:majorUnit val="20"/>
      </c:valAx>
      <c:valAx>
        <c:axId val="1280022032"/>
        <c:scaling>
          <c:orientation val="minMax"/>
          <c:min val="-40"/>
        </c:scaling>
        <c:delete val="1"/>
        <c:axPos val="l"/>
        <c:numFmt formatCode="General" sourceLinked="1"/>
        <c:majorTickMark val="out"/>
        <c:minorTickMark val="none"/>
        <c:tickLblPos val="nextTo"/>
        <c:crossAx val="12800106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Technical"/>
          <a:ea typeface="Technical"/>
          <a:cs typeface="Technic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14</xdr:row>
      <xdr:rowOff>180975</xdr:rowOff>
    </xdr:from>
    <xdr:to>
      <xdr:col>8</xdr:col>
      <xdr:colOff>400050</xdr:colOff>
      <xdr:row>23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295275</xdr:colOff>
          <xdr:row>23</xdr:row>
          <xdr:rowOff>66675</xdr:rowOff>
        </xdr:from>
        <xdr:to>
          <xdr:col>11</xdr:col>
          <xdr:colOff>1524000</xdr:colOff>
          <xdr:row>26</xdr:row>
          <xdr:rowOff>200025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99" mc:Ignorable="a14" a14:legacySpreadsheetColorIndex="47"/>
            </a:solidFill>
            <a:ln w="9525">
              <a:solidFill>
                <a:srgbClr val="FFCC99" mc:Ignorable="a14" a14:legacySpreadsheetColorIndex="47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495300</xdr:colOff>
          <xdr:row>14</xdr:row>
          <xdr:rowOff>200025</xdr:rowOff>
        </xdr:from>
        <xdr:to>
          <xdr:col>10</xdr:col>
          <xdr:colOff>647700</xdr:colOff>
          <xdr:row>23</xdr:row>
          <xdr:rowOff>200025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390525</xdr:colOff>
      <xdr:row>32</xdr:row>
      <xdr:rowOff>152400</xdr:rowOff>
    </xdr:from>
    <xdr:to>
      <xdr:col>11</xdr:col>
      <xdr:colOff>342900</xdr:colOff>
      <xdr:row>40</xdr:row>
      <xdr:rowOff>66675</xdr:rowOff>
    </xdr:to>
    <xdr:graphicFrame macro="">
      <xdr:nvGraphicFramePr>
        <xdr:cNvPr id="6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600075</xdr:colOff>
          <xdr:row>16</xdr:row>
          <xdr:rowOff>123825</xdr:rowOff>
        </xdr:from>
        <xdr:to>
          <xdr:col>11</xdr:col>
          <xdr:colOff>1581150</xdr:colOff>
          <xdr:row>18</xdr:row>
          <xdr:rowOff>38100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8000"/>
                  </a:solidFill>
                  <a:latin typeface="Tekton"/>
                </a:rPr>
                <a:t>SUMMARY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1581150</xdr:colOff>
          <xdr:row>16</xdr:row>
          <xdr:rowOff>114300</xdr:rowOff>
        </xdr:from>
        <xdr:to>
          <xdr:col>11</xdr:col>
          <xdr:colOff>2419350</xdr:colOff>
          <xdr:row>18</xdr:row>
          <xdr:rowOff>28575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8000"/>
                  </a:solidFill>
                  <a:latin typeface="Tekton"/>
                </a:rPr>
                <a:t>PRINT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esktop/New%20folder%20(3)/Design%20of%20Pilecap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UBLE"/>
      <sheetName val="3CAP"/>
      <sheetName val="4CAP"/>
      <sheetName val="5CAP"/>
      <sheetName val="6CAP"/>
      <sheetName val="SCHEDULE"/>
      <sheetName val="DRAWING"/>
      <sheetName val="Graf"/>
      <sheetName val="NOTES"/>
      <sheetName val="Design of Pilecap(1)"/>
    </sheetNames>
    <definedNames>
      <definedName name="Details2"/>
      <definedName name="Summary2"/>
    </definedNames>
    <sheetDataSet>
      <sheetData sheetId="0"/>
      <sheetData sheetId="1"/>
      <sheetData sheetId="2"/>
      <sheetData sheetId="3"/>
      <sheetData sheetId="4"/>
      <sheetData sheetId="5">
        <row r="13">
          <cell r="W13">
            <v>47.632458676591654</v>
          </cell>
        </row>
      </sheetData>
      <sheetData sheetId="6"/>
      <sheetData sheetId="7">
        <row r="4">
          <cell r="C4">
            <v>0</v>
          </cell>
          <cell r="D4">
            <v>0</v>
          </cell>
          <cell r="E4">
            <v>800</v>
          </cell>
          <cell r="F4">
            <v>800</v>
          </cell>
          <cell r="G4">
            <v>0</v>
          </cell>
          <cell r="H4">
            <v>2300</v>
          </cell>
          <cell r="K4">
            <v>-50</v>
          </cell>
          <cell r="L4">
            <v>850</v>
          </cell>
          <cell r="N4">
            <v>400</v>
          </cell>
          <cell r="O4">
            <v>400</v>
          </cell>
        </row>
        <row r="5">
          <cell r="C5">
            <v>0</v>
          </cell>
          <cell r="D5">
            <v>2300</v>
          </cell>
          <cell r="E5">
            <v>2300</v>
          </cell>
          <cell r="F5">
            <v>0</v>
          </cell>
          <cell r="G5">
            <v>0</v>
          </cell>
          <cell r="H5">
            <v>800</v>
          </cell>
          <cell r="K5">
            <v>1150</v>
          </cell>
          <cell r="L5">
            <v>1150</v>
          </cell>
          <cell r="N5">
            <v>-50</v>
          </cell>
          <cell r="O5">
            <v>2350</v>
          </cell>
        </row>
        <row r="6">
          <cell r="C6">
            <v>225</v>
          </cell>
          <cell r="D6">
            <v>225</v>
          </cell>
          <cell r="E6">
            <v>575</v>
          </cell>
          <cell r="F6">
            <v>575</v>
          </cell>
          <cell r="G6">
            <v>225</v>
          </cell>
          <cell r="I6">
            <v>260</v>
          </cell>
          <cell r="J6">
            <v>260</v>
          </cell>
          <cell r="L6">
            <v>295</v>
          </cell>
          <cell r="M6">
            <v>295</v>
          </cell>
          <cell r="O6">
            <v>330</v>
          </cell>
          <cell r="P6">
            <v>330</v>
          </cell>
          <cell r="R6">
            <v>365</v>
          </cell>
          <cell r="S6">
            <v>365</v>
          </cell>
          <cell r="U6">
            <v>400</v>
          </cell>
          <cell r="V6">
            <v>400</v>
          </cell>
          <cell r="X6">
            <v>435</v>
          </cell>
          <cell r="Y6">
            <v>435</v>
          </cell>
          <cell r="AA6">
            <v>470</v>
          </cell>
          <cell r="AB6">
            <v>470</v>
          </cell>
          <cell r="AD6">
            <v>505</v>
          </cell>
          <cell r="AE6">
            <v>505</v>
          </cell>
          <cell r="AG6">
            <v>540</v>
          </cell>
          <cell r="AH6">
            <v>540</v>
          </cell>
        </row>
        <row r="7">
          <cell r="C7">
            <v>975</v>
          </cell>
          <cell r="D7">
            <v>1325</v>
          </cell>
          <cell r="E7">
            <v>1325</v>
          </cell>
          <cell r="F7">
            <v>975</v>
          </cell>
          <cell r="G7">
            <v>975</v>
          </cell>
          <cell r="I7">
            <v>975</v>
          </cell>
          <cell r="J7">
            <v>1325</v>
          </cell>
          <cell r="L7">
            <v>975</v>
          </cell>
          <cell r="M7">
            <v>1325</v>
          </cell>
          <cell r="O7">
            <v>975</v>
          </cell>
          <cell r="P7">
            <v>1325</v>
          </cell>
          <cell r="R7">
            <v>975</v>
          </cell>
          <cell r="S7">
            <v>1325</v>
          </cell>
          <cell r="U7">
            <v>975</v>
          </cell>
          <cell r="V7">
            <v>1325</v>
          </cell>
          <cell r="X7">
            <v>975</v>
          </cell>
          <cell r="Y7">
            <v>1325</v>
          </cell>
          <cell r="AA7">
            <v>975</v>
          </cell>
          <cell r="AB7">
            <v>1325</v>
          </cell>
          <cell r="AD7">
            <v>975</v>
          </cell>
          <cell r="AE7">
            <v>1325</v>
          </cell>
          <cell r="AG7">
            <v>975</v>
          </cell>
          <cell r="AH7">
            <v>1325</v>
          </cell>
        </row>
        <row r="11">
          <cell r="C11">
            <v>400</v>
          </cell>
          <cell r="D11">
            <v>367.44096668745055</v>
          </cell>
          <cell r="E11">
            <v>335.87122312643714</v>
          </cell>
          <cell r="F11">
            <v>306.25</v>
          </cell>
          <cell r="G11">
            <v>279.47732318377388</v>
          </cell>
          <cell r="H11">
            <v>256.36666691519162</v>
          </cell>
          <cell r="I11">
            <v>237.62023679041775</v>
          </cell>
          <cell r="J11">
            <v>223.8076336026422</v>
          </cell>
          <cell r="K11">
            <v>215.34854631021099</v>
          </cell>
          <cell r="L11">
            <v>212.5</v>
          </cell>
          <cell r="M11">
            <v>215.34854631021099</v>
          </cell>
          <cell r="N11">
            <v>223.80763360264217</v>
          </cell>
          <cell r="O11">
            <v>237.62023679041775</v>
          </cell>
          <cell r="P11">
            <v>256.36666691519162</v>
          </cell>
          <cell r="Q11">
            <v>279.47732318377388</v>
          </cell>
          <cell r="R11">
            <v>306.25</v>
          </cell>
          <cell r="S11">
            <v>335.87122312643709</v>
          </cell>
          <cell r="T11">
            <v>367.44096668745055</v>
          </cell>
          <cell r="U11">
            <v>400</v>
          </cell>
          <cell r="V11">
            <v>432.55903331254945</v>
          </cell>
          <cell r="W11">
            <v>464.12877687356291</v>
          </cell>
          <cell r="X11">
            <v>493.75</v>
          </cell>
          <cell r="Y11">
            <v>520.52267681622607</v>
          </cell>
          <cell r="Z11">
            <v>543.63333308480833</v>
          </cell>
          <cell r="AA11">
            <v>562.37976320958228</v>
          </cell>
          <cell r="AB11">
            <v>576.19236639735777</v>
          </cell>
          <cell r="AC11">
            <v>584.65145368978904</v>
          </cell>
          <cell r="AD11">
            <v>587.5</v>
          </cell>
          <cell r="AE11">
            <v>584.65145368978904</v>
          </cell>
          <cell r="AF11">
            <v>576.19236639735777</v>
          </cell>
          <cell r="AG11">
            <v>562.37976320958228</v>
          </cell>
          <cell r="AH11">
            <v>543.63333308480833</v>
          </cell>
          <cell r="AI11">
            <v>520.52267681622607</v>
          </cell>
          <cell r="AJ11">
            <v>493.75</v>
          </cell>
          <cell r="AK11">
            <v>464.12877687356291</v>
          </cell>
          <cell r="AL11">
            <v>432.55903331254945</v>
          </cell>
          <cell r="AM11">
            <v>400</v>
          </cell>
        </row>
        <row r="12">
          <cell r="C12">
            <v>212.5</v>
          </cell>
          <cell r="D12">
            <v>215.34854631021099</v>
          </cell>
          <cell r="E12">
            <v>223.80763360264217</v>
          </cell>
          <cell r="F12">
            <v>237.62023679041775</v>
          </cell>
          <cell r="G12">
            <v>256.36666691519156</v>
          </cell>
          <cell r="H12">
            <v>279.47732318377388</v>
          </cell>
          <cell r="I12">
            <v>306.25</v>
          </cell>
          <cell r="J12">
            <v>335.87122312643703</v>
          </cell>
          <cell r="K12">
            <v>367.4409666874505</v>
          </cell>
          <cell r="L12">
            <v>400</v>
          </cell>
          <cell r="M12">
            <v>432.5590333125495</v>
          </cell>
          <cell r="N12">
            <v>464.12877687356286</v>
          </cell>
          <cell r="O12">
            <v>493.75</v>
          </cell>
          <cell r="P12">
            <v>520.52267681622607</v>
          </cell>
          <cell r="Q12">
            <v>543.63333308480833</v>
          </cell>
          <cell r="R12">
            <v>562.37976320958228</v>
          </cell>
          <cell r="S12">
            <v>576.19236639735777</v>
          </cell>
          <cell r="T12">
            <v>584.65145368978904</v>
          </cell>
          <cell r="U12">
            <v>587.5</v>
          </cell>
          <cell r="V12">
            <v>584.65145368978904</v>
          </cell>
          <cell r="W12">
            <v>576.19236639735777</v>
          </cell>
          <cell r="X12">
            <v>562.37976320958228</v>
          </cell>
          <cell r="Y12">
            <v>543.63333308480833</v>
          </cell>
          <cell r="Z12">
            <v>520.52267681622607</v>
          </cell>
          <cell r="AA12">
            <v>493.75</v>
          </cell>
          <cell r="AB12">
            <v>464.12877687356286</v>
          </cell>
          <cell r="AC12">
            <v>432.5590333125495</v>
          </cell>
          <cell r="AD12">
            <v>400</v>
          </cell>
          <cell r="AE12">
            <v>367.4409666874505</v>
          </cell>
          <cell r="AF12">
            <v>335.87122312643714</v>
          </cell>
          <cell r="AG12">
            <v>306.25</v>
          </cell>
          <cell r="AH12">
            <v>279.47732318377388</v>
          </cell>
          <cell r="AI12">
            <v>256.36666691519162</v>
          </cell>
          <cell r="AJ12">
            <v>237.62023679041775</v>
          </cell>
          <cell r="AK12">
            <v>223.8076336026422</v>
          </cell>
          <cell r="AL12">
            <v>215.34854631021099</v>
          </cell>
          <cell r="AM12">
            <v>212.5</v>
          </cell>
        </row>
        <row r="13">
          <cell r="C13">
            <v>1712.5</v>
          </cell>
          <cell r="D13">
            <v>1715.3485463102111</v>
          </cell>
          <cell r="E13">
            <v>1723.8076336026422</v>
          </cell>
          <cell r="F13">
            <v>1737.6202367904177</v>
          </cell>
          <cell r="G13">
            <v>1756.3666669151917</v>
          </cell>
          <cell r="H13">
            <v>1779.4773231837739</v>
          </cell>
          <cell r="I13">
            <v>1806.25</v>
          </cell>
          <cell r="J13">
            <v>1835.8712231264371</v>
          </cell>
          <cell r="K13">
            <v>1867.4409666874506</v>
          </cell>
          <cell r="L13">
            <v>1900</v>
          </cell>
          <cell r="M13">
            <v>1932.5590333125494</v>
          </cell>
          <cell r="N13">
            <v>1964.1287768735629</v>
          </cell>
          <cell r="O13">
            <v>1993.75</v>
          </cell>
          <cell r="P13">
            <v>2020.5226768162261</v>
          </cell>
          <cell r="Q13">
            <v>2043.6333330848083</v>
          </cell>
          <cell r="R13">
            <v>2062.3797632095821</v>
          </cell>
          <cell r="S13">
            <v>2076.1923663973575</v>
          </cell>
          <cell r="T13">
            <v>2084.6514536897889</v>
          </cell>
          <cell r="U13">
            <v>2087.5</v>
          </cell>
          <cell r="V13">
            <v>2084.6514536897889</v>
          </cell>
          <cell r="W13">
            <v>2076.1923663973575</v>
          </cell>
          <cell r="X13">
            <v>2062.3797632095821</v>
          </cell>
          <cell r="Y13">
            <v>2043.6333330848083</v>
          </cell>
          <cell r="Z13">
            <v>2020.5226768162261</v>
          </cell>
          <cell r="AA13">
            <v>1993.75</v>
          </cell>
          <cell r="AB13">
            <v>1964.1287768735629</v>
          </cell>
          <cell r="AC13">
            <v>1932.5590333125494</v>
          </cell>
          <cell r="AD13">
            <v>1900</v>
          </cell>
          <cell r="AE13">
            <v>1867.4409666874506</v>
          </cell>
          <cell r="AF13">
            <v>1835.8712231264371</v>
          </cell>
          <cell r="AG13">
            <v>1806.25</v>
          </cell>
          <cell r="AH13">
            <v>1779.4773231837739</v>
          </cell>
          <cell r="AI13">
            <v>1756.3666669151917</v>
          </cell>
          <cell r="AJ13">
            <v>1737.6202367904177</v>
          </cell>
          <cell r="AK13">
            <v>1723.8076336026422</v>
          </cell>
          <cell r="AL13">
            <v>1715.3485463102111</v>
          </cell>
          <cell r="AM13">
            <v>1712.5</v>
          </cell>
        </row>
        <row r="15">
          <cell r="C15">
            <v>0</v>
          </cell>
          <cell r="D15">
            <v>0</v>
          </cell>
          <cell r="E15">
            <v>2300</v>
          </cell>
          <cell r="F15">
            <v>2300</v>
          </cell>
          <cell r="G15">
            <v>0</v>
          </cell>
        </row>
        <row r="16">
          <cell r="C16">
            <v>240</v>
          </cell>
          <cell r="D16">
            <v>640</v>
          </cell>
          <cell r="E16">
            <v>640</v>
          </cell>
          <cell r="F16">
            <v>240</v>
          </cell>
          <cell r="G16">
            <v>240</v>
          </cell>
        </row>
        <row r="17">
          <cell r="C17">
            <v>212.5</v>
          </cell>
          <cell r="D17">
            <v>212.5</v>
          </cell>
          <cell r="F17">
            <v>587.5</v>
          </cell>
          <cell r="G17">
            <v>587.5</v>
          </cell>
          <cell r="I17">
            <v>1712.5</v>
          </cell>
          <cell r="J17">
            <v>1712.5</v>
          </cell>
          <cell r="L17">
            <v>2087.5</v>
          </cell>
          <cell r="M17">
            <v>2087.5</v>
          </cell>
          <cell r="O17">
            <v>975</v>
          </cell>
          <cell r="P17">
            <v>975</v>
          </cell>
          <cell r="R17">
            <v>1325</v>
          </cell>
          <cell r="S17">
            <v>1325</v>
          </cell>
        </row>
        <row r="18">
          <cell r="C18">
            <v>0</v>
          </cell>
          <cell r="D18">
            <v>240</v>
          </cell>
          <cell r="F18">
            <v>0</v>
          </cell>
          <cell r="G18">
            <v>240</v>
          </cell>
          <cell r="I18">
            <v>0</v>
          </cell>
          <cell r="J18">
            <v>240</v>
          </cell>
          <cell r="L18">
            <v>0</v>
          </cell>
          <cell r="M18">
            <v>240</v>
          </cell>
          <cell r="O18">
            <v>640</v>
          </cell>
          <cell r="P18">
            <v>940</v>
          </cell>
          <cell r="R18">
            <v>640</v>
          </cell>
          <cell r="S18">
            <v>940</v>
          </cell>
        </row>
        <row r="19">
          <cell r="C19">
            <v>212.5</v>
          </cell>
          <cell r="D19">
            <v>212.5</v>
          </cell>
          <cell r="E19">
            <v>587.5</v>
          </cell>
          <cell r="F19">
            <v>587.5</v>
          </cell>
          <cell r="H19">
            <v>1712.5</v>
          </cell>
          <cell r="I19">
            <v>1712.5</v>
          </cell>
          <cell r="J19">
            <v>2087.5</v>
          </cell>
          <cell r="K19">
            <v>2087.5</v>
          </cell>
        </row>
        <row r="20">
          <cell r="C20">
            <v>240</v>
          </cell>
          <cell r="D20">
            <v>290</v>
          </cell>
          <cell r="E20">
            <v>290</v>
          </cell>
          <cell r="F20">
            <v>240</v>
          </cell>
          <cell r="H20">
            <v>240</v>
          </cell>
          <cell r="I20">
            <v>290</v>
          </cell>
          <cell r="J20">
            <v>290</v>
          </cell>
          <cell r="K20">
            <v>240</v>
          </cell>
        </row>
        <row r="21">
          <cell r="C21">
            <v>50</v>
          </cell>
          <cell r="D21">
            <v>50</v>
          </cell>
          <cell r="E21">
            <v>2250</v>
          </cell>
          <cell r="F21">
            <v>2250</v>
          </cell>
        </row>
        <row r="22">
          <cell r="C22">
            <v>580</v>
          </cell>
          <cell r="D22">
            <v>580</v>
          </cell>
          <cell r="E22">
            <v>580</v>
          </cell>
          <cell r="F22">
            <v>580</v>
          </cell>
          <cell r="J22">
            <v>7</v>
          </cell>
        </row>
        <row r="23">
          <cell r="C23">
            <v>455</v>
          </cell>
          <cell r="D23">
            <v>325</v>
          </cell>
          <cell r="E23">
            <v>325</v>
          </cell>
          <cell r="F23">
            <v>455</v>
          </cell>
          <cell r="J23">
            <v>2</v>
          </cell>
        </row>
        <row r="24">
          <cell r="C24">
            <v>65</v>
          </cell>
          <cell r="D24">
            <v>65</v>
          </cell>
          <cell r="F24">
            <v>65</v>
          </cell>
          <cell r="G24">
            <v>65</v>
          </cell>
          <cell r="I24">
            <v>265</v>
          </cell>
          <cell r="J24">
            <v>265</v>
          </cell>
          <cell r="L24">
            <v>2235</v>
          </cell>
          <cell r="M24">
            <v>2235</v>
          </cell>
          <cell r="O24">
            <v>2235</v>
          </cell>
          <cell r="P24">
            <v>2235</v>
          </cell>
          <cell r="R24">
            <v>2035</v>
          </cell>
          <cell r="S24">
            <v>2035</v>
          </cell>
        </row>
        <row r="25">
          <cell r="C25">
            <v>315</v>
          </cell>
          <cell r="D25">
            <v>590</v>
          </cell>
          <cell r="F25">
            <v>315</v>
          </cell>
          <cell r="G25">
            <v>590</v>
          </cell>
          <cell r="I25">
            <v>315</v>
          </cell>
          <cell r="J25">
            <v>590</v>
          </cell>
          <cell r="L25">
            <v>315</v>
          </cell>
          <cell r="M25">
            <v>590</v>
          </cell>
          <cell r="O25">
            <v>315</v>
          </cell>
          <cell r="P25">
            <v>590</v>
          </cell>
          <cell r="R25">
            <v>315</v>
          </cell>
          <cell r="S25">
            <v>590</v>
          </cell>
        </row>
        <row r="26">
          <cell r="C26">
            <v>550</v>
          </cell>
          <cell r="D26">
            <v>550</v>
          </cell>
          <cell r="F26">
            <v>750</v>
          </cell>
          <cell r="G26">
            <v>750</v>
          </cell>
          <cell r="I26">
            <v>950</v>
          </cell>
          <cell r="J26">
            <v>950</v>
          </cell>
          <cell r="L26">
            <v>1150</v>
          </cell>
          <cell r="M26">
            <v>1150</v>
          </cell>
          <cell r="O26">
            <v>1350</v>
          </cell>
          <cell r="P26">
            <v>1350</v>
          </cell>
          <cell r="R26">
            <v>1550</v>
          </cell>
          <cell r="S26">
            <v>1550</v>
          </cell>
          <cell r="U26">
            <v>1750</v>
          </cell>
          <cell r="V26">
            <v>1750</v>
          </cell>
          <cell r="X26">
            <v>1750</v>
          </cell>
          <cell r="Y26">
            <v>1750</v>
          </cell>
          <cell r="AA26">
            <v>1750</v>
          </cell>
          <cell r="AB26">
            <v>1750</v>
          </cell>
          <cell r="AD26">
            <v>1750</v>
          </cell>
          <cell r="AE26">
            <v>1750</v>
          </cell>
          <cell r="AG26">
            <v>1750</v>
          </cell>
          <cell r="AH26">
            <v>1750</v>
          </cell>
          <cell r="AJ26">
            <v>1750</v>
          </cell>
          <cell r="AK26">
            <v>1750</v>
          </cell>
          <cell r="AM26">
            <v>1750</v>
          </cell>
          <cell r="AN26">
            <v>1750</v>
          </cell>
          <cell r="AP26">
            <v>1750</v>
          </cell>
          <cell r="AQ26">
            <v>1750</v>
          </cell>
          <cell r="AS26">
            <v>1750</v>
          </cell>
          <cell r="AT26">
            <v>1750</v>
          </cell>
          <cell r="AV26">
            <v>1750</v>
          </cell>
          <cell r="AW26">
            <v>1750</v>
          </cell>
          <cell r="AY26">
            <v>1750</v>
          </cell>
          <cell r="AZ26">
            <v>1750</v>
          </cell>
          <cell r="BB26">
            <v>1750</v>
          </cell>
          <cell r="BC26">
            <v>1750</v>
          </cell>
          <cell r="BE26">
            <v>1750</v>
          </cell>
          <cell r="BF26">
            <v>1750</v>
          </cell>
          <cell r="BH26">
            <v>1750</v>
          </cell>
          <cell r="BI26">
            <v>1750</v>
          </cell>
        </row>
        <row r="27">
          <cell r="C27">
            <v>315</v>
          </cell>
          <cell r="D27">
            <v>590</v>
          </cell>
          <cell r="F27">
            <v>315</v>
          </cell>
          <cell r="G27">
            <v>590</v>
          </cell>
          <cell r="I27">
            <v>315</v>
          </cell>
          <cell r="J27">
            <v>590</v>
          </cell>
          <cell r="L27">
            <v>315</v>
          </cell>
          <cell r="M27">
            <v>590</v>
          </cell>
          <cell r="O27">
            <v>315</v>
          </cell>
          <cell r="P27">
            <v>590</v>
          </cell>
          <cell r="R27">
            <v>315</v>
          </cell>
          <cell r="S27">
            <v>590</v>
          </cell>
          <cell r="U27">
            <v>315</v>
          </cell>
          <cell r="V27">
            <v>590</v>
          </cell>
          <cell r="X27">
            <v>315</v>
          </cell>
          <cell r="Y27">
            <v>590</v>
          </cell>
          <cell r="AA27">
            <v>315</v>
          </cell>
          <cell r="AB27">
            <v>590</v>
          </cell>
          <cell r="AD27">
            <v>315</v>
          </cell>
          <cell r="AE27">
            <v>590</v>
          </cell>
          <cell r="AG27">
            <v>315</v>
          </cell>
          <cell r="AH27">
            <v>590</v>
          </cell>
          <cell r="AJ27">
            <v>315</v>
          </cell>
          <cell r="AK27">
            <v>590</v>
          </cell>
          <cell r="AM27">
            <v>315</v>
          </cell>
          <cell r="AN27">
            <v>590</v>
          </cell>
          <cell r="AP27">
            <v>315</v>
          </cell>
          <cell r="AQ27">
            <v>590</v>
          </cell>
          <cell r="AS27">
            <v>315</v>
          </cell>
          <cell r="AT27">
            <v>590</v>
          </cell>
          <cell r="AV27">
            <v>315</v>
          </cell>
          <cell r="AW27">
            <v>590</v>
          </cell>
          <cell r="AY27">
            <v>315</v>
          </cell>
          <cell r="AZ27">
            <v>590</v>
          </cell>
          <cell r="BB27">
            <v>315</v>
          </cell>
          <cell r="BC27">
            <v>590</v>
          </cell>
          <cell r="BE27">
            <v>315</v>
          </cell>
          <cell r="BF27">
            <v>590</v>
          </cell>
          <cell r="BH27">
            <v>315</v>
          </cell>
          <cell r="BI27">
            <v>590</v>
          </cell>
        </row>
      </sheetData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drawing" Target="../drawings/drawing1.xml"/><Relationship Id="rId7" Type="http://schemas.openxmlformats.org/officeDocument/2006/relationships/oleObject" Target="../embeddings/oleObject2.bin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_m.webster@which.net" TargetMode="External"/><Relationship Id="rId6" Type="http://schemas.openxmlformats.org/officeDocument/2006/relationships/image" Target="../media/image1.emf"/><Relationship Id="rId5" Type="http://schemas.openxmlformats.org/officeDocument/2006/relationships/oleObject" Target="../embeddings/oleObject1.bin"/><Relationship Id="rId10" Type="http://schemas.openxmlformats.org/officeDocument/2006/relationships/ctrlProp" Target="../ctrlProps/ctrlProp2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04"/>
  <sheetViews>
    <sheetView tabSelected="1" topLeftCell="A85" workbookViewId="0">
      <selection activeCell="G92" sqref="G92"/>
    </sheetView>
  </sheetViews>
  <sheetFormatPr defaultColWidth="11.140625" defaultRowHeight="15"/>
  <cols>
    <col min="1" max="1" width="3.85546875" style="30" customWidth="1"/>
    <col min="2" max="2" width="16.7109375" style="30" customWidth="1"/>
    <col min="3" max="8" width="10.7109375" style="30" customWidth="1"/>
    <col min="9" max="9" width="12" style="30" customWidth="1"/>
    <col min="10" max="10" width="13.140625" style="30" customWidth="1"/>
    <col min="11" max="11" width="10.7109375" style="30" customWidth="1"/>
    <col min="12" max="12" width="50.42578125" style="30" bestFit="1" customWidth="1"/>
    <col min="13" max="13" width="14.140625" style="130" customWidth="1"/>
    <col min="14" max="14" width="13.42578125" style="126" bestFit="1" customWidth="1"/>
    <col min="15" max="256" width="11.140625" style="30"/>
    <col min="257" max="257" width="3.85546875" style="30" customWidth="1"/>
    <col min="258" max="258" width="16.7109375" style="30" customWidth="1"/>
    <col min="259" max="264" width="10.7109375" style="30" customWidth="1"/>
    <col min="265" max="265" width="12" style="30" customWidth="1"/>
    <col min="266" max="266" width="13.140625" style="30" customWidth="1"/>
    <col min="267" max="267" width="10.7109375" style="30" customWidth="1"/>
    <col min="268" max="268" width="50.42578125" style="30" bestFit="1" customWidth="1"/>
    <col min="269" max="269" width="14.140625" style="30" customWidth="1"/>
    <col min="270" max="270" width="13.42578125" style="30" bestFit="1" customWidth="1"/>
    <col min="271" max="512" width="11.140625" style="30"/>
    <col min="513" max="513" width="3.85546875" style="30" customWidth="1"/>
    <col min="514" max="514" width="16.7109375" style="30" customWidth="1"/>
    <col min="515" max="520" width="10.7109375" style="30" customWidth="1"/>
    <col min="521" max="521" width="12" style="30" customWidth="1"/>
    <col min="522" max="522" width="13.140625" style="30" customWidth="1"/>
    <col min="523" max="523" width="10.7109375" style="30" customWidth="1"/>
    <col min="524" max="524" width="50.42578125" style="30" bestFit="1" customWidth="1"/>
    <col min="525" max="525" width="14.140625" style="30" customWidth="1"/>
    <col min="526" max="526" width="13.42578125" style="30" bestFit="1" customWidth="1"/>
    <col min="527" max="768" width="11.140625" style="30"/>
    <col min="769" max="769" width="3.85546875" style="30" customWidth="1"/>
    <col min="770" max="770" width="16.7109375" style="30" customWidth="1"/>
    <col min="771" max="776" width="10.7109375" style="30" customWidth="1"/>
    <col min="777" max="777" width="12" style="30" customWidth="1"/>
    <col min="778" max="778" width="13.140625" style="30" customWidth="1"/>
    <col min="779" max="779" width="10.7109375" style="30" customWidth="1"/>
    <col min="780" max="780" width="50.42578125" style="30" bestFit="1" customWidth="1"/>
    <col min="781" max="781" width="14.140625" style="30" customWidth="1"/>
    <col min="782" max="782" width="13.42578125" style="30" bestFit="1" customWidth="1"/>
    <col min="783" max="1024" width="11.140625" style="30"/>
    <col min="1025" max="1025" width="3.85546875" style="30" customWidth="1"/>
    <col min="1026" max="1026" width="16.7109375" style="30" customWidth="1"/>
    <col min="1027" max="1032" width="10.7109375" style="30" customWidth="1"/>
    <col min="1033" max="1033" width="12" style="30" customWidth="1"/>
    <col min="1034" max="1034" width="13.140625" style="30" customWidth="1"/>
    <col min="1035" max="1035" width="10.7109375" style="30" customWidth="1"/>
    <col min="1036" max="1036" width="50.42578125" style="30" bestFit="1" customWidth="1"/>
    <col min="1037" max="1037" width="14.140625" style="30" customWidth="1"/>
    <col min="1038" max="1038" width="13.42578125" style="30" bestFit="1" customWidth="1"/>
    <col min="1039" max="1280" width="11.140625" style="30"/>
    <col min="1281" max="1281" width="3.85546875" style="30" customWidth="1"/>
    <col min="1282" max="1282" width="16.7109375" style="30" customWidth="1"/>
    <col min="1283" max="1288" width="10.7109375" style="30" customWidth="1"/>
    <col min="1289" max="1289" width="12" style="30" customWidth="1"/>
    <col min="1290" max="1290" width="13.140625" style="30" customWidth="1"/>
    <col min="1291" max="1291" width="10.7109375" style="30" customWidth="1"/>
    <col min="1292" max="1292" width="50.42578125" style="30" bestFit="1" customWidth="1"/>
    <col min="1293" max="1293" width="14.140625" style="30" customWidth="1"/>
    <col min="1294" max="1294" width="13.42578125" style="30" bestFit="1" customWidth="1"/>
    <col min="1295" max="1536" width="11.140625" style="30"/>
    <col min="1537" max="1537" width="3.85546875" style="30" customWidth="1"/>
    <col min="1538" max="1538" width="16.7109375" style="30" customWidth="1"/>
    <col min="1539" max="1544" width="10.7109375" style="30" customWidth="1"/>
    <col min="1545" max="1545" width="12" style="30" customWidth="1"/>
    <col min="1546" max="1546" width="13.140625" style="30" customWidth="1"/>
    <col min="1547" max="1547" width="10.7109375" style="30" customWidth="1"/>
    <col min="1548" max="1548" width="50.42578125" style="30" bestFit="1" customWidth="1"/>
    <col min="1549" max="1549" width="14.140625" style="30" customWidth="1"/>
    <col min="1550" max="1550" width="13.42578125" style="30" bestFit="1" customWidth="1"/>
    <col min="1551" max="1792" width="11.140625" style="30"/>
    <col min="1793" max="1793" width="3.85546875" style="30" customWidth="1"/>
    <col min="1794" max="1794" width="16.7109375" style="30" customWidth="1"/>
    <col min="1795" max="1800" width="10.7109375" style="30" customWidth="1"/>
    <col min="1801" max="1801" width="12" style="30" customWidth="1"/>
    <col min="1802" max="1802" width="13.140625" style="30" customWidth="1"/>
    <col min="1803" max="1803" width="10.7109375" style="30" customWidth="1"/>
    <col min="1804" max="1804" width="50.42578125" style="30" bestFit="1" customWidth="1"/>
    <col min="1805" max="1805" width="14.140625" style="30" customWidth="1"/>
    <col min="1806" max="1806" width="13.42578125" style="30" bestFit="1" customWidth="1"/>
    <col min="1807" max="2048" width="11.140625" style="30"/>
    <col min="2049" max="2049" width="3.85546875" style="30" customWidth="1"/>
    <col min="2050" max="2050" width="16.7109375" style="30" customWidth="1"/>
    <col min="2051" max="2056" width="10.7109375" style="30" customWidth="1"/>
    <col min="2057" max="2057" width="12" style="30" customWidth="1"/>
    <col min="2058" max="2058" width="13.140625" style="30" customWidth="1"/>
    <col min="2059" max="2059" width="10.7109375" style="30" customWidth="1"/>
    <col min="2060" max="2060" width="50.42578125" style="30" bestFit="1" customWidth="1"/>
    <col min="2061" max="2061" width="14.140625" style="30" customWidth="1"/>
    <col min="2062" max="2062" width="13.42578125" style="30" bestFit="1" customWidth="1"/>
    <col min="2063" max="2304" width="11.140625" style="30"/>
    <col min="2305" max="2305" width="3.85546875" style="30" customWidth="1"/>
    <col min="2306" max="2306" width="16.7109375" style="30" customWidth="1"/>
    <col min="2307" max="2312" width="10.7109375" style="30" customWidth="1"/>
    <col min="2313" max="2313" width="12" style="30" customWidth="1"/>
    <col min="2314" max="2314" width="13.140625" style="30" customWidth="1"/>
    <col min="2315" max="2315" width="10.7109375" style="30" customWidth="1"/>
    <col min="2316" max="2316" width="50.42578125" style="30" bestFit="1" customWidth="1"/>
    <col min="2317" max="2317" width="14.140625" style="30" customWidth="1"/>
    <col min="2318" max="2318" width="13.42578125" style="30" bestFit="1" customWidth="1"/>
    <col min="2319" max="2560" width="11.140625" style="30"/>
    <col min="2561" max="2561" width="3.85546875" style="30" customWidth="1"/>
    <col min="2562" max="2562" width="16.7109375" style="30" customWidth="1"/>
    <col min="2563" max="2568" width="10.7109375" style="30" customWidth="1"/>
    <col min="2569" max="2569" width="12" style="30" customWidth="1"/>
    <col min="2570" max="2570" width="13.140625" style="30" customWidth="1"/>
    <col min="2571" max="2571" width="10.7109375" style="30" customWidth="1"/>
    <col min="2572" max="2572" width="50.42578125" style="30" bestFit="1" customWidth="1"/>
    <col min="2573" max="2573" width="14.140625" style="30" customWidth="1"/>
    <col min="2574" max="2574" width="13.42578125" style="30" bestFit="1" customWidth="1"/>
    <col min="2575" max="2816" width="11.140625" style="30"/>
    <col min="2817" max="2817" width="3.85546875" style="30" customWidth="1"/>
    <col min="2818" max="2818" width="16.7109375" style="30" customWidth="1"/>
    <col min="2819" max="2824" width="10.7109375" style="30" customWidth="1"/>
    <col min="2825" max="2825" width="12" style="30" customWidth="1"/>
    <col min="2826" max="2826" width="13.140625" style="30" customWidth="1"/>
    <col min="2827" max="2827" width="10.7109375" style="30" customWidth="1"/>
    <col min="2828" max="2828" width="50.42578125" style="30" bestFit="1" customWidth="1"/>
    <col min="2829" max="2829" width="14.140625" style="30" customWidth="1"/>
    <col min="2830" max="2830" width="13.42578125" style="30" bestFit="1" customWidth="1"/>
    <col min="2831" max="3072" width="11.140625" style="30"/>
    <col min="3073" max="3073" width="3.85546875" style="30" customWidth="1"/>
    <col min="3074" max="3074" width="16.7109375" style="30" customWidth="1"/>
    <col min="3075" max="3080" width="10.7109375" style="30" customWidth="1"/>
    <col min="3081" max="3081" width="12" style="30" customWidth="1"/>
    <col min="3082" max="3082" width="13.140625" style="30" customWidth="1"/>
    <col min="3083" max="3083" width="10.7109375" style="30" customWidth="1"/>
    <col min="3084" max="3084" width="50.42578125" style="30" bestFit="1" customWidth="1"/>
    <col min="3085" max="3085" width="14.140625" style="30" customWidth="1"/>
    <col min="3086" max="3086" width="13.42578125" style="30" bestFit="1" customWidth="1"/>
    <col min="3087" max="3328" width="11.140625" style="30"/>
    <col min="3329" max="3329" width="3.85546875" style="30" customWidth="1"/>
    <col min="3330" max="3330" width="16.7109375" style="30" customWidth="1"/>
    <col min="3331" max="3336" width="10.7109375" style="30" customWidth="1"/>
    <col min="3337" max="3337" width="12" style="30" customWidth="1"/>
    <col min="3338" max="3338" width="13.140625" style="30" customWidth="1"/>
    <col min="3339" max="3339" width="10.7109375" style="30" customWidth="1"/>
    <col min="3340" max="3340" width="50.42578125" style="30" bestFit="1" customWidth="1"/>
    <col min="3341" max="3341" width="14.140625" style="30" customWidth="1"/>
    <col min="3342" max="3342" width="13.42578125" style="30" bestFit="1" customWidth="1"/>
    <col min="3343" max="3584" width="11.140625" style="30"/>
    <col min="3585" max="3585" width="3.85546875" style="30" customWidth="1"/>
    <col min="3586" max="3586" width="16.7109375" style="30" customWidth="1"/>
    <col min="3587" max="3592" width="10.7109375" style="30" customWidth="1"/>
    <col min="3593" max="3593" width="12" style="30" customWidth="1"/>
    <col min="3594" max="3594" width="13.140625" style="30" customWidth="1"/>
    <col min="3595" max="3595" width="10.7109375" style="30" customWidth="1"/>
    <col min="3596" max="3596" width="50.42578125" style="30" bestFit="1" customWidth="1"/>
    <col min="3597" max="3597" width="14.140625" style="30" customWidth="1"/>
    <col min="3598" max="3598" width="13.42578125" style="30" bestFit="1" customWidth="1"/>
    <col min="3599" max="3840" width="11.140625" style="30"/>
    <col min="3841" max="3841" width="3.85546875" style="30" customWidth="1"/>
    <col min="3842" max="3842" width="16.7109375" style="30" customWidth="1"/>
    <col min="3843" max="3848" width="10.7109375" style="30" customWidth="1"/>
    <col min="3849" max="3849" width="12" style="30" customWidth="1"/>
    <col min="3850" max="3850" width="13.140625" style="30" customWidth="1"/>
    <col min="3851" max="3851" width="10.7109375" style="30" customWidth="1"/>
    <col min="3852" max="3852" width="50.42578125" style="30" bestFit="1" customWidth="1"/>
    <col min="3853" max="3853" width="14.140625" style="30" customWidth="1"/>
    <col min="3854" max="3854" width="13.42578125" style="30" bestFit="1" customWidth="1"/>
    <col min="3855" max="4096" width="11.140625" style="30"/>
    <col min="4097" max="4097" width="3.85546875" style="30" customWidth="1"/>
    <col min="4098" max="4098" width="16.7109375" style="30" customWidth="1"/>
    <col min="4099" max="4104" width="10.7109375" style="30" customWidth="1"/>
    <col min="4105" max="4105" width="12" style="30" customWidth="1"/>
    <col min="4106" max="4106" width="13.140625" style="30" customWidth="1"/>
    <col min="4107" max="4107" width="10.7109375" style="30" customWidth="1"/>
    <col min="4108" max="4108" width="50.42578125" style="30" bestFit="1" customWidth="1"/>
    <col min="4109" max="4109" width="14.140625" style="30" customWidth="1"/>
    <col min="4110" max="4110" width="13.42578125" style="30" bestFit="1" customWidth="1"/>
    <col min="4111" max="4352" width="11.140625" style="30"/>
    <col min="4353" max="4353" width="3.85546875" style="30" customWidth="1"/>
    <col min="4354" max="4354" width="16.7109375" style="30" customWidth="1"/>
    <col min="4355" max="4360" width="10.7109375" style="30" customWidth="1"/>
    <col min="4361" max="4361" width="12" style="30" customWidth="1"/>
    <col min="4362" max="4362" width="13.140625" style="30" customWidth="1"/>
    <col min="4363" max="4363" width="10.7109375" style="30" customWidth="1"/>
    <col min="4364" max="4364" width="50.42578125" style="30" bestFit="1" customWidth="1"/>
    <col min="4365" max="4365" width="14.140625" style="30" customWidth="1"/>
    <col min="4366" max="4366" width="13.42578125" style="30" bestFit="1" customWidth="1"/>
    <col min="4367" max="4608" width="11.140625" style="30"/>
    <col min="4609" max="4609" width="3.85546875" style="30" customWidth="1"/>
    <col min="4610" max="4610" width="16.7109375" style="30" customWidth="1"/>
    <col min="4611" max="4616" width="10.7109375" style="30" customWidth="1"/>
    <col min="4617" max="4617" width="12" style="30" customWidth="1"/>
    <col min="4618" max="4618" width="13.140625" style="30" customWidth="1"/>
    <col min="4619" max="4619" width="10.7109375" style="30" customWidth="1"/>
    <col min="4620" max="4620" width="50.42578125" style="30" bestFit="1" customWidth="1"/>
    <col min="4621" max="4621" width="14.140625" style="30" customWidth="1"/>
    <col min="4622" max="4622" width="13.42578125" style="30" bestFit="1" customWidth="1"/>
    <col min="4623" max="4864" width="11.140625" style="30"/>
    <col min="4865" max="4865" width="3.85546875" style="30" customWidth="1"/>
    <col min="4866" max="4866" width="16.7109375" style="30" customWidth="1"/>
    <col min="4867" max="4872" width="10.7109375" style="30" customWidth="1"/>
    <col min="4873" max="4873" width="12" style="30" customWidth="1"/>
    <col min="4874" max="4874" width="13.140625" style="30" customWidth="1"/>
    <col min="4875" max="4875" width="10.7109375" style="30" customWidth="1"/>
    <col min="4876" max="4876" width="50.42578125" style="30" bestFit="1" customWidth="1"/>
    <col min="4877" max="4877" width="14.140625" style="30" customWidth="1"/>
    <col min="4878" max="4878" width="13.42578125" style="30" bestFit="1" customWidth="1"/>
    <col min="4879" max="5120" width="11.140625" style="30"/>
    <col min="5121" max="5121" width="3.85546875" style="30" customWidth="1"/>
    <col min="5122" max="5122" width="16.7109375" style="30" customWidth="1"/>
    <col min="5123" max="5128" width="10.7109375" style="30" customWidth="1"/>
    <col min="5129" max="5129" width="12" style="30" customWidth="1"/>
    <col min="5130" max="5130" width="13.140625" style="30" customWidth="1"/>
    <col min="5131" max="5131" width="10.7109375" style="30" customWidth="1"/>
    <col min="5132" max="5132" width="50.42578125" style="30" bestFit="1" customWidth="1"/>
    <col min="5133" max="5133" width="14.140625" style="30" customWidth="1"/>
    <col min="5134" max="5134" width="13.42578125" style="30" bestFit="1" customWidth="1"/>
    <col min="5135" max="5376" width="11.140625" style="30"/>
    <col min="5377" max="5377" width="3.85546875" style="30" customWidth="1"/>
    <col min="5378" max="5378" width="16.7109375" style="30" customWidth="1"/>
    <col min="5379" max="5384" width="10.7109375" style="30" customWidth="1"/>
    <col min="5385" max="5385" width="12" style="30" customWidth="1"/>
    <col min="5386" max="5386" width="13.140625" style="30" customWidth="1"/>
    <col min="5387" max="5387" width="10.7109375" style="30" customWidth="1"/>
    <col min="5388" max="5388" width="50.42578125" style="30" bestFit="1" customWidth="1"/>
    <col min="5389" max="5389" width="14.140625" style="30" customWidth="1"/>
    <col min="5390" max="5390" width="13.42578125" style="30" bestFit="1" customWidth="1"/>
    <col min="5391" max="5632" width="11.140625" style="30"/>
    <col min="5633" max="5633" width="3.85546875" style="30" customWidth="1"/>
    <col min="5634" max="5634" width="16.7109375" style="30" customWidth="1"/>
    <col min="5635" max="5640" width="10.7109375" style="30" customWidth="1"/>
    <col min="5641" max="5641" width="12" style="30" customWidth="1"/>
    <col min="5642" max="5642" width="13.140625" style="30" customWidth="1"/>
    <col min="5643" max="5643" width="10.7109375" style="30" customWidth="1"/>
    <col min="5644" max="5644" width="50.42578125" style="30" bestFit="1" customWidth="1"/>
    <col min="5645" max="5645" width="14.140625" style="30" customWidth="1"/>
    <col min="5646" max="5646" width="13.42578125" style="30" bestFit="1" customWidth="1"/>
    <col min="5647" max="5888" width="11.140625" style="30"/>
    <col min="5889" max="5889" width="3.85546875" style="30" customWidth="1"/>
    <col min="5890" max="5890" width="16.7109375" style="30" customWidth="1"/>
    <col min="5891" max="5896" width="10.7109375" style="30" customWidth="1"/>
    <col min="5897" max="5897" width="12" style="30" customWidth="1"/>
    <col min="5898" max="5898" width="13.140625" style="30" customWidth="1"/>
    <col min="5899" max="5899" width="10.7109375" style="30" customWidth="1"/>
    <col min="5900" max="5900" width="50.42578125" style="30" bestFit="1" customWidth="1"/>
    <col min="5901" max="5901" width="14.140625" style="30" customWidth="1"/>
    <col min="5902" max="5902" width="13.42578125" style="30" bestFit="1" customWidth="1"/>
    <col min="5903" max="6144" width="11.140625" style="30"/>
    <col min="6145" max="6145" width="3.85546875" style="30" customWidth="1"/>
    <col min="6146" max="6146" width="16.7109375" style="30" customWidth="1"/>
    <col min="6147" max="6152" width="10.7109375" style="30" customWidth="1"/>
    <col min="6153" max="6153" width="12" style="30" customWidth="1"/>
    <col min="6154" max="6154" width="13.140625" style="30" customWidth="1"/>
    <col min="6155" max="6155" width="10.7109375" style="30" customWidth="1"/>
    <col min="6156" max="6156" width="50.42578125" style="30" bestFit="1" customWidth="1"/>
    <col min="6157" max="6157" width="14.140625" style="30" customWidth="1"/>
    <col min="6158" max="6158" width="13.42578125" style="30" bestFit="1" customWidth="1"/>
    <col min="6159" max="6400" width="11.140625" style="30"/>
    <col min="6401" max="6401" width="3.85546875" style="30" customWidth="1"/>
    <col min="6402" max="6402" width="16.7109375" style="30" customWidth="1"/>
    <col min="6403" max="6408" width="10.7109375" style="30" customWidth="1"/>
    <col min="6409" max="6409" width="12" style="30" customWidth="1"/>
    <col min="6410" max="6410" width="13.140625" style="30" customWidth="1"/>
    <col min="6411" max="6411" width="10.7109375" style="30" customWidth="1"/>
    <col min="6412" max="6412" width="50.42578125" style="30" bestFit="1" customWidth="1"/>
    <col min="6413" max="6413" width="14.140625" style="30" customWidth="1"/>
    <col min="6414" max="6414" width="13.42578125" style="30" bestFit="1" customWidth="1"/>
    <col min="6415" max="6656" width="11.140625" style="30"/>
    <col min="6657" max="6657" width="3.85546875" style="30" customWidth="1"/>
    <col min="6658" max="6658" width="16.7109375" style="30" customWidth="1"/>
    <col min="6659" max="6664" width="10.7109375" style="30" customWidth="1"/>
    <col min="6665" max="6665" width="12" style="30" customWidth="1"/>
    <col min="6666" max="6666" width="13.140625" style="30" customWidth="1"/>
    <col min="6667" max="6667" width="10.7109375" style="30" customWidth="1"/>
    <col min="6668" max="6668" width="50.42578125" style="30" bestFit="1" customWidth="1"/>
    <col min="6669" max="6669" width="14.140625" style="30" customWidth="1"/>
    <col min="6670" max="6670" width="13.42578125" style="30" bestFit="1" customWidth="1"/>
    <col min="6671" max="6912" width="11.140625" style="30"/>
    <col min="6913" max="6913" width="3.85546875" style="30" customWidth="1"/>
    <col min="6914" max="6914" width="16.7109375" style="30" customWidth="1"/>
    <col min="6915" max="6920" width="10.7109375" style="30" customWidth="1"/>
    <col min="6921" max="6921" width="12" style="30" customWidth="1"/>
    <col min="6922" max="6922" width="13.140625" style="30" customWidth="1"/>
    <col min="6923" max="6923" width="10.7109375" style="30" customWidth="1"/>
    <col min="6924" max="6924" width="50.42578125" style="30" bestFit="1" customWidth="1"/>
    <col min="6925" max="6925" width="14.140625" style="30" customWidth="1"/>
    <col min="6926" max="6926" width="13.42578125" style="30" bestFit="1" customWidth="1"/>
    <col min="6927" max="7168" width="11.140625" style="30"/>
    <col min="7169" max="7169" width="3.85546875" style="30" customWidth="1"/>
    <col min="7170" max="7170" width="16.7109375" style="30" customWidth="1"/>
    <col min="7171" max="7176" width="10.7109375" style="30" customWidth="1"/>
    <col min="7177" max="7177" width="12" style="30" customWidth="1"/>
    <col min="7178" max="7178" width="13.140625" style="30" customWidth="1"/>
    <col min="7179" max="7179" width="10.7109375" style="30" customWidth="1"/>
    <col min="7180" max="7180" width="50.42578125" style="30" bestFit="1" customWidth="1"/>
    <col min="7181" max="7181" width="14.140625" style="30" customWidth="1"/>
    <col min="7182" max="7182" width="13.42578125" style="30" bestFit="1" customWidth="1"/>
    <col min="7183" max="7424" width="11.140625" style="30"/>
    <col min="7425" max="7425" width="3.85546875" style="30" customWidth="1"/>
    <col min="7426" max="7426" width="16.7109375" style="30" customWidth="1"/>
    <col min="7427" max="7432" width="10.7109375" style="30" customWidth="1"/>
    <col min="7433" max="7433" width="12" style="30" customWidth="1"/>
    <col min="7434" max="7434" width="13.140625" style="30" customWidth="1"/>
    <col min="7435" max="7435" width="10.7109375" style="30" customWidth="1"/>
    <col min="7436" max="7436" width="50.42578125" style="30" bestFit="1" customWidth="1"/>
    <col min="7437" max="7437" width="14.140625" style="30" customWidth="1"/>
    <col min="7438" max="7438" width="13.42578125" style="30" bestFit="1" customWidth="1"/>
    <col min="7439" max="7680" width="11.140625" style="30"/>
    <col min="7681" max="7681" width="3.85546875" style="30" customWidth="1"/>
    <col min="7682" max="7682" width="16.7109375" style="30" customWidth="1"/>
    <col min="7683" max="7688" width="10.7109375" style="30" customWidth="1"/>
    <col min="7689" max="7689" width="12" style="30" customWidth="1"/>
    <col min="7690" max="7690" width="13.140625" style="30" customWidth="1"/>
    <col min="7691" max="7691" width="10.7109375" style="30" customWidth="1"/>
    <col min="7692" max="7692" width="50.42578125" style="30" bestFit="1" customWidth="1"/>
    <col min="7693" max="7693" width="14.140625" style="30" customWidth="1"/>
    <col min="7694" max="7694" width="13.42578125" style="30" bestFit="1" customWidth="1"/>
    <col min="7695" max="7936" width="11.140625" style="30"/>
    <col min="7937" max="7937" width="3.85546875" style="30" customWidth="1"/>
    <col min="7938" max="7938" width="16.7109375" style="30" customWidth="1"/>
    <col min="7939" max="7944" width="10.7109375" style="30" customWidth="1"/>
    <col min="7945" max="7945" width="12" style="30" customWidth="1"/>
    <col min="7946" max="7946" width="13.140625" style="30" customWidth="1"/>
    <col min="7947" max="7947" width="10.7109375" style="30" customWidth="1"/>
    <col min="7948" max="7948" width="50.42578125" style="30" bestFit="1" customWidth="1"/>
    <col min="7949" max="7949" width="14.140625" style="30" customWidth="1"/>
    <col min="7950" max="7950" width="13.42578125" style="30" bestFit="1" customWidth="1"/>
    <col min="7951" max="8192" width="11.140625" style="30"/>
    <col min="8193" max="8193" width="3.85546875" style="30" customWidth="1"/>
    <col min="8194" max="8194" width="16.7109375" style="30" customWidth="1"/>
    <col min="8195" max="8200" width="10.7109375" style="30" customWidth="1"/>
    <col min="8201" max="8201" width="12" style="30" customWidth="1"/>
    <col min="8202" max="8202" width="13.140625" style="30" customWidth="1"/>
    <col min="8203" max="8203" width="10.7109375" style="30" customWidth="1"/>
    <col min="8204" max="8204" width="50.42578125" style="30" bestFit="1" customWidth="1"/>
    <col min="8205" max="8205" width="14.140625" style="30" customWidth="1"/>
    <col min="8206" max="8206" width="13.42578125" style="30" bestFit="1" customWidth="1"/>
    <col min="8207" max="8448" width="11.140625" style="30"/>
    <col min="8449" max="8449" width="3.85546875" style="30" customWidth="1"/>
    <col min="8450" max="8450" width="16.7109375" style="30" customWidth="1"/>
    <col min="8451" max="8456" width="10.7109375" style="30" customWidth="1"/>
    <col min="8457" max="8457" width="12" style="30" customWidth="1"/>
    <col min="8458" max="8458" width="13.140625" style="30" customWidth="1"/>
    <col min="8459" max="8459" width="10.7109375" style="30" customWidth="1"/>
    <col min="8460" max="8460" width="50.42578125" style="30" bestFit="1" customWidth="1"/>
    <col min="8461" max="8461" width="14.140625" style="30" customWidth="1"/>
    <col min="8462" max="8462" width="13.42578125" style="30" bestFit="1" customWidth="1"/>
    <col min="8463" max="8704" width="11.140625" style="30"/>
    <col min="8705" max="8705" width="3.85546875" style="30" customWidth="1"/>
    <col min="8706" max="8706" width="16.7109375" style="30" customWidth="1"/>
    <col min="8707" max="8712" width="10.7109375" style="30" customWidth="1"/>
    <col min="8713" max="8713" width="12" style="30" customWidth="1"/>
    <col min="8714" max="8714" width="13.140625" style="30" customWidth="1"/>
    <col min="8715" max="8715" width="10.7109375" style="30" customWidth="1"/>
    <col min="8716" max="8716" width="50.42578125" style="30" bestFit="1" customWidth="1"/>
    <col min="8717" max="8717" width="14.140625" style="30" customWidth="1"/>
    <col min="8718" max="8718" width="13.42578125" style="30" bestFit="1" customWidth="1"/>
    <col min="8719" max="8960" width="11.140625" style="30"/>
    <col min="8961" max="8961" width="3.85546875" style="30" customWidth="1"/>
    <col min="8962" max="8962" width="16.7109375" style="30" customWidth="1"/>
    <col min="8963" max="8968" width="10.7109375" style="30" customWidth="1"/>
    <col min="8969" max="8969" width="12" style="30" customWidth="1"/>
    <col min="8970" max="8970" width="13.140625" style="30" customWidth="1"/>
    <col min="8971" max="8971" width="10.7109375" style="30" customWidth="1"/>
    <col min="8972" max="8972" width="50.42578125" style="30" bestFit="1" customWidth="1"/>
    <col min="8973" max="8973" width="14.140625" style="30" customWidth="1"/>
    <col min="8974" max="8974" width="13.42578125" style="30" bestFit="1" customWidth="1"/>
    <col min="8975" max="9216" width="11.140625" style="30"/>
    <col min="9217" max="9217" width="3.85546875" style="30" customWidth="1"/>
    <col min="9218" max="9218" width="16.7109375" style="30" customWidth="1"/>
    <col min="9219" max="9224" width="10.7109375" style="30" customWidth="1"/>
    <col min="9225" max="9225" width="12" style="30" customWidth="1"/>
    <col min="9226" max="9226" width="13.140625" style="30" customWidth="1"/>
    <col min="9227" max="9227" width="10.7109375" style="30" customWidth="1"/>
    <col min="9228" max="9228" width="50.42578125" style="30" bestFit="1" customWidth="1"/>
    <col min="9229" max="9229" width="14.140625" style="30" customWidth="1"/>
    <col min="9230" max="9230" width="13.42578125" style="30" bestFit="1" customWidth="1"/>
    <col min="9231" max="9472" width="11.140625" style="30"/>
    <col min="9473" max="9473" width="3.85546875" style="30" customWidth="1"/>
    <col min="9474" max="9474" width="16.7109375" style="30" customWidth="1"/>
    <col min="9475" max="9480" width="10.7109375" style="30" customWidth="1"/>
    <col min="9481" max="9481" width="12" style="30" customWidth="1"/>
    <col min="9482" max="9482" width="13.140625" style="30" customWidth="1"/>
    <col min="9483" max="9483" width="10.7109375" style="30" customWidth="1"/>
    <col min="9484" max="9484" width="50.42578125" style="30" bestFit="1" customWidth="1"/>
    <col min="9485" max="9485" width="14.140625" style="30" customWidth="1"/>
    <col min="9486" max="9486" width="13.42578125" style="30" bestFit="1" customWidth="1"/>
    <col min="9487" max="9728" width="11.140625" style="30"/>
    <col min="9729" max="9729" width="3.85546875" style="30" customWidth="1"/>
    <col min="9730" max="9730" width="16.7109375" style="30" customWidth="1"/>
    <col min="9731" max="9736" width="10.7109375" style="30" customWidth="1"/>
    <col min="9737" max="9737" width="12" style="30" customWidth="1"/>
    <col min="9738" max="9738" width="13.140625" style="30" customWidth="1"/>
    <col min="9739" max="9739" width="10.7109375" style="30" customWidth="1"/>
    <col min="9740" max="9740" width="50.42578125" style="30" bestFit="1" customWidth="1"/>
    <col min="9741" max="9741" width="14.140625" style="30" customWidth="1"/>
    <col min="9742" max="9742" width="13.42578125" style="30" bestFit="1" customWidth="1"/>
    <col min="9743" max="9984" width="11.140625" style="30"/>
    <col min="9985" max="9985" width="3.85546875" style="30" customWidth="1"/>
    <col min="9986" max="9986" width="16.7109375" style="30" customWidth="1"/>
    <col min="9987" max="9992" width="10.7109375" style="30" customWidth="1"/>
    <col min="9993" max="9993" width="12" style="30" customWidth="1"/>
    <col min="9994" max="9994" width="13.140625" style="30" customWidth="1"/>
    <col min="9995" max="9995" width="10.7109375" style="30" customWidth="1"/>
    <col min="9996" max="9996" width="50.42578125" style="30" bestFit="1" customWidth="1"/>
    <col min="9997" max="9997" width="14.140625" style="30" customWidth="1"/>
    <col min="9998" max="9998" width="13.42578125" style="30" bestFit="1" customWidth="1"/>
    <col min="9999" max="10240" width="11.140625" style="30"/>
    <col min="10241" max="10241" width="3.85546875" style="30" customWidth="1"/>
    <col min="10242" max="10242" width="16.7109375" style="30" customWidth="1"/>
    <col min="10243" max="10248" width="10.7109375" style="30" customWidth="1"/>
    <col min="10249" max="10249" width="12" style="30" customWidth="1"/>
    <col min="10250" max="10250" width="13.140625" style="30" customWidth="1"/>
    <col min="10251" max="10251" width="10.7109375" style="30" customWidth="1"/>
    <col min="10252" max="10252" width="50.42578125" style="30" bestFit="1" customWidth="1"/>
    <col min="10253" max="10253" width="14.140625" style="30" customWidth="1"/>
    <col min="10254" max="10254" width="13.42578125" style="30" bestFit="1" customWidth="1"/>
    <col min="10255" max="10496" width="11.140625" style="30"/>
    <col min="10497" max="10497" width="3.85546875" style="30" customWidth="1"/>
    <col min="10498" max="10498" width="16.7109375" style="30" customWidth="1"/>
    <col min="10499" max="10504" width="10.7109375" style="30" customWidth="1"/>
    <col min="10505" max="10505" width="12" style="30" customWidth="1"/>
    <col min="10506" max="10506" width="13.140625" style="30" customWidth="1"/>
    <col min="10507" max="10507" width="10.7109375" style="30" customWidth="1"/>
    <col min="10508" max="10508" width="50.42578125" style="30" bestFit="1" customWidth="1"/>
    <col min="10509" max="10509" width="14.140625" style="30" customWidth="1"/>
    <col min="10510" max="10510" width="13.42578125" style="30" bestFit="1" customWidth="1"/>
    <col min="10511" max="10752" width="11.140625" style="30"/>
    <col min="10753" max="10753" width="3.85546875" style="30" customWidth="1"/>
    <col min="10754" max="10754" width="16.7109375" style="30" customWidth="1"/>
    <col min="10755" max="10760" width="10.7109375" style="30" customWidth="1"/>
    <col min="10761" max="10761" width="12" style="30" customWidth="1"/>
    <col min="10762" max="10762" width="13.140625" style="30" customWidth="1"/>
    <col min="10763" max="10763" width="10.7109375" style="30" customWidth="1"/>
    <col min="10764" max="10764" width="50.42578125" style="30" bestFit="1" customWidth="1"/>
    <col min="10765" max="10765" width="14.140625" style="30" customWidth="1"/>
    <col min="10766" max="10766" width="13.42578125" style="30" bestFit="1" customWidth="1"/>
    <col min="10767" max="11008" width="11.140625" style="30"/>
    <col min="11009" max="11009" width="3.85546875" style="30" customWidth="1"/>
    <col min="11010" max="11010" width="16.7109375" style="30" customWidth="1"/>
    <col min="11011" max="11016" width="10.7109375" style="30" customWidth="1"/>
    <col min="11017" max="11017" width="12" style="30" customWidth="1"/>
    <col min="11018" max="11018" width="13.140625" style="30" customWidth="1"/>
    <col min="11019" max="11019" width="10.7109375" style="30" customWidth="1"/>
    <col min="11020" max="11020" width="50.42578125" style="30" bestFit="1" customWidth="1"/>
    <col min="11021" max="11021" width="14.140625" style="30" customWidth="1"/>
    <col min="11022" max="11022" width="13.42578125" style="30" bestFit="1" customWidth="1"/>
    <col min="11023" max="11264" width="11.140625" style="30"/>
    <col min="11265" max="11265" width="3.85546875" style="30" customWidth="1"/>
    <col min="11266" max="11266" width="16.7109375" style="30" customWidth="1"/>
    <col min="11267" max="11272" width="10.7109375" style="30" customWidth="1"/>
    <col min="11273" max="11273" width="12" style="30" customWidth="1"/>
    <col min="11274" max="11274" width="13.140625" style="30" customWidth="1"/>
    <col min="11275" max="11275" width="10.7109375" style="30" customWidth="1"/>
    <col min="11276" max="11276" width="50.42578125" style="30" bestFit="1" customWidth="1"/>
    <col min="11277" max="11277" width="14.140625" style="30" customWidth="1"/>
    <col min="11278" max="11278" width="13.42578125" style="30" bestFit="1" customWidth="1"/>
    <col min="11279" max="11520" width="11.140625" style="30"/>
    <col min="11521" max="11521" width="3.85546875" style="30" customWidth="1"/>
    <col min="11522" max="11522" width="16.7109375" style="30" customWidth="1"/>
    <col min="11523" max="11528" width="10.7109375" style="30" customWidth="1"/>
    <col min="11529" max="11529" width="12" style="30" customWidth="1"/>
    <col min="11530" max="11530" width="13.140625" style="30" customWidth="1"/>
    <col min="11531" max="11531" width="10.7109375" style="30" customWidth="1"/>
    <col min="11532" max="11532" width="50.42578125" style="30" bestFit="1" customWidth="1"/>
    <col min="11533" max="11533" width="14.140625" style="30" customWidth="1"/>
    <col min="11534" max="11534" width="13.42578125" style="30" bestFit="1" customWidth="1"/>
    <col min="11535" max="11776" width="11.140625" style="30"/>
    <col min="11777" max="11777" width="3.85546875" style="30" customWidth="1"/>
    <col min="11778" max="11778" width="16.7109375" style="30" customWidth="1"/>
    <col min="11779" max="11784" width="10.7109375" style="30" customWidth="1"/>
    <col min="11785" max="11785" width="12" style="30" customWidth="1"/>
    <col min="11786" max="11786" width="13.140625" style="30" customWidth="1"/>
    <col min="11787" max="11787" width="10.7109375" style="30" customWidth="1"/>
    <col min="11788" max="11788" width="50.42578125" style="30" bestFit="1" customWidth="1"/>
    <col min="11789" max="11789" width="14.140625" style="30" customWidth="1"/>
    <col min="11790" max="11790" width="13.42578125" style="30" bestFit="1" customWidth="1"/>
    <col min="11791" max="12032" width="11.140625" style="30"/>
    <col min="12033" max="12033" width="3.85546875" style="30" customWidth="1"/>
    <col min="12034" max="12034" width="16.7109375" style="30" customWidth="1"/>
    <col min="12035" max="12040" width="10.7109375" style="30" customWidth="1"/>
    <col min="12041" max="12041" width="12" style="30" customWidth="1"/>
    <col min="12042" max="12042" width="13.140625" style="30" customWidth="1"/>
    <col min="12043" max="12043" width="10.7109375" style="30" customWidth="1"/>
    <col min="12044" max="12044" width="50.42578125" style="30" bestFit="1" customWidth="1"/>
    <col min="12045" max="12045" width="14.140625" style="30" customWidth="1"/>
    <col min="12046" max="12046" width="13.42578125" style="30" bestFit="1" customWidth="1"/>
    <col min="12047" max="12288" width="11.140625" style="30"/>
    <col min="12289" max="12289" width="3.85546875" style="30" customWidth="1"/>
    <col min="12290" max="12290" width="16.7109375" style="30" customWidth="1"/>
    <col min="12291" max="12296" width="10.7109375" style="30" customWidth="1"/>
    <col min="12297" max="12297" width="12" style="30" customWidth="1"/>
    <col min="12298" max="12298" width="13.140625" style="30" customWidth="1"/>
    <col min="12299" max="12299" width="10.7109375" style="30" customWidth="1"/>
    <col min="12300" max="12300" width="50.42578125" style="30" bestFit="1" customWidth="1"/>
    <col min="12301" max="12301" width="14.140625" style="30" customWidth="1"/>
    <col min="12302" max="12302" width="13.42578125" style="30" bestFit="1" customWidth="1"/>
    <col min="12303" max="12544" width="11.140625" style="30"/>
    <col min="12545" max="12545" width="3.85546875" style="30" customWidth="1"/>
    <col min="12546" max="12546" width="16.7109375" style="30" customWidth="1"/>
    <col min="12547" max="12552" width="10.7109375" style="30" customWidth="1"/>
    <col min="12553" max="12553" width="12" style="30" customWidth="1"/>
    <col min="12554" max="12554" width="13.140625" style="30" customWidth="1"/>
    <col min="12555" max="12555" width="10.7109375" style="30" customWidth="1"/>
    <col min="12556" max="12556" width="50.42578125" style="30" bestFit="1" customWidth="1"/>
    <col min="12557" max="12557" width="14.140625" style="30" customWidth="1"/>
    <col min="12558" max="12558" width="13.42578125" style="30" bestFit="1" customWidth="1"/>
    <col min="12559" max="12800" width="11.140625" style="30"/>
    <col min="12801" max="12801" width="3.85546875" style="30" customWidth="1"/>
    <col min="12802" max="12802" width="16.7109375" style="30" customWidth="1"/>
    <col min="12803" max="12808" width="10.7109375" style="30" customWidth="1"/>
    <col min="12809" max="12809" width="12" style="30" customWidth="1"/>
    <col min="12810" max="12810" width="13.140625" style="30" customWidth="1"/>
    <col min="12811" max="12811" width="10.7109375" style="30" customWidth="1"/>
    <col min="12812" max="12812" width="50.42578125" style="30" bestFit="1" customWidth="1"/>
    <col min="12813" max="12813" width="14.140625" style="30" customWidth="1"/>
    <col min="12814" max="12814" width="13.42578125" style="30" bestFit="1" customWidth="1"/>
    <col min="12815" max="13056" width="11.140625" style="30"/>
    <col min="13057" max="13057" width="3.85546875" style="30" customWidth="1"/>
    <col min="13058" max="13058" width="16.7109375" style="30" customWidth="1"/>
    <col min="13059" max="13064" width="10.7109375" style="30" customWidth="1"/>
    <col min="13065" max="13065" width="12" style="30" customWidth="1"/>
    <col min="13066" max="13066" width="13.140625" style="30" customWidth="1"/>
    <col min="13067" max="13067" width="10.7109375" style="30" customWidth="1"/>
    <col min="13068" max="13068" width="50.42578125" style="30" bestFit="1" customWidth="1"/>
    <col min="13069" max="13069" width="14.140625" style="30" customWidth="1"/>
    <col min="13070" max="13070" width="13.42578125" style="30" bestFit="1" customWidth="1"/>
    <col min="13071" max="13312" width="11.140625" style="30"/>
    <col min="13313" max="13313" width="3.85546875" style="30" customWidth="1"/>
    <col min="13314" max="13314" width="16.7109375" style="30" customWidth="1"/>
    <col min="13315" max="13320" width="10.7109375" style="30" customWidth="1"/>
    <col min="13321" max="13321" width="12" style="30" customWidth="1"/>
    <col min="13322" max="13322" width="13.140625" style="30" customWidth="1"/>
    <col min="13323" max="13323" width="10.7109375" style="30" customWidth="1"/>
    <col min="13324" max="13324" width="50.42578125" style="30" bestFit="1" customWidth="1"/>
    <col min="13325" max="13325" width="14.140625" style="30" customWidth="1"/>
    <col min="13326" max="13326" width="13.42578125" style="30" bestFit="1" customWidth="1"/>
    <col min="13327" max="13568" width="11.140625" style="30"/>
    <col min="13569" max="13569" width="3.85546875" style="30" customWidth="1"/>
    <col min="13570" max="13570" width="16.7109375" style="30" customWidth="1"/>
    <col min="13571" max="13576" width="10.7109375" style="30" customWidth="1"/>
    <col min="13577" max="13577" width="12" style="30" customWidth="1"/>
    <col min="13578" max="13578" width="13.140625" style="30" customWidth="1"/>
    <col min="13579" max="13579" width="10.7109375" style="30" customWidth="1"/>
    <col min="13580" max="13580" width="50.42578125" style="30" bestFit="1" customWidth="1"/>
    <col min="13581" max="13581" width="14.140625" style="30" customWidth="1"/>
    <col min="13582" max="13582" width="13.42578125" style="30" bestFit="1" customWidth="1"/>
    <col min="13583" max="13824" width="11.140625" style="30"/>
    <col min="13825" max="13825" width="3.85546875" style="30" customWidth="1"/>
    <col min="13826" max="13826" width="16.7109375" style="30" customWidth="1"/>
    <col min="13827" max="13832" width="10.7109375" style="30" customWidth="1"/>
    <col min="13833" max="13833" width="12" style="30" customWidth="1"/>
    <col min="13834" max="13834" width="13.140625" style="30" customWidth="1"/>
    <col min="13835" max="13835" width="10.7109375" style="30" customWidth="1"/>
    <col min="13836" max="13836" width="50.42578125" style="30" bestFit="1" customWidth="1"/>
    <col min="13837" max="13837" width="14.140625" style="30" customWidth="1"/>
    <col min="13838" max="13838" width="13.42578125" style="30" bestFit="1" customWidth="1"/>
    <col min="13839" max="14080" width="11.140625" style="30"/>
    <col min="14081" max="14081" width="3.85546875" style="30" customWidth="1"/>
    <col min="14082" max="14082" width="16.7109375" style="30" customWidth="1"/>
    <col min="14083" max="14088" width="10.7109375" style="30" customWidth="1"/>
    <col min="14089" max="14089" width="12" style="30" customWidth="1"/>
    <col min="14090" max="14090" width="13.140625" style="30" customWidth="1"/>
    <col min="14091" max="14091" width="10.7109375" style="30" customWidth="1"/>
    <col min="14092" max="14092" width="50.42578125" style="30" bestFit="1" customWidth="1"/>
    <col min="14093" max="14093" width="14.140625" style="30" customWidth="1"/>
    <col min="14094" max="14094" width="13.42578125" style="30" bestFit="1" customWidth="1"/>
    <col min="14095" max="14336" width="11.140625" style="30"/>
    <col min="14337" max="14337" width="3.85546875" style="30" customWidth="1"/>
    <col min="14338" max="14338" width="16.7109375" style="30" customWidth="1"/>
    <col min="14339" max="14344" width="10.7109375" style="30" customWidth="1"/>
    <col min="14345" max="14345" width="12" style="30" customWidth="1"/>
    <col min="14346" max="14346" width="13.140625" style="30" customWidth="1"/>
    <col min="14347" max="14347" width="10.7109375" style="30" customWidth="1"/>
    <col min="14348" max="14348" width="50.42578125" style="30" bestFit="1" customWidth="1"/>
    <col min="14349" max="14349" width="14.140625" style="30" customWidth="1"/>
    <col min="14350" max="14350" width="13.42578125" style="30" bestFit="1" customWidth="1"/>
    <col min="14351" max="14592" width="11.140625" style="30"/>
    <col min="14593" max="14593" width="3.85546875" style="30" customWidth="1"/>
    <col min="14594" max="14594" width="16.7109375" style="30" customWidth="1"/>
    <col min="14595" max="14600" width="10.7109375" style="30" customWidth="1"/>
    <col min="14601" max="14601" width="12" style="30" customWidth="1"/>
    <col min="14602" max="14602" width="13.140625" style="30" customWidth="1"/>
    <col min="14603" max="14603" width="10.7109375" style="30" customWidth="1"/>
    <col min="14604" max="14604" width="50.42578125" style="30" bestFit="1" customWidth="1"/>
    <col min="14605" max="14605" width="14.140625" style="30" customWidth="1"/>
    <col min="14606" max="14606" width="13.42578125" style="30" bestFit="1" customWidth="1"/>
    <col min="14607" max="14848" width="11.140625" style="30"/>
    <col min="14849" max="14849" width="3.85546875" style="30" customWidth="1"/>
    <col min="14850" max="14850" width="16.7109375" style="30" customWidth="1"/>
    <col min="14851" max="14856" width="10.7109375" style="30" customWidth="1"/>
    <col min="14857" max="14857" width="12" style="30" customWidth="1"/>
    <col min="14858" max="14858" width="13.140625" style="30" customWidth="1"/>
    <col min="14859" max="14859" width="10.7109375" style="30" customWidth="1"/>
    <col min="14860" max="14860" width="50.42578125" style="30" bestFit="1" customWidth="1"/>
    <col min="14861" max="14861" width="14.140625" style="30" customWidth="1"/>
    <col min="14862" max="14862" width="13.42578125" style="30" bestFit="1" customWidth="1"/>
    <col min="14863" max="15104" width="11.140625" style="30"/>
    <col min="15105" max="15105" width="3.85546875" style="30" customWidth="1"/>
    <col min="15106" max="15106" width="16.7109375" style="30" customWidth="1"/>
    <col min="15107" max="15112" width="10.7109375" style="30" customWidth="1"/>
    <col min="15113" max="15113" width="12" style="30" customWidth="1"/>
    <col min="15114" max="15114" width="13.140625" style="30" customWidth="1"/>
    <col min="15115" max="15115" width="10.7109375" style="30" customWidth="1"/>
    <col min="15116" max="15116" width="50.42578125" style="30" bestFit="1" customWidth="1"/>
    <col min="15117" max="15117" width="14.140625" style="30" customWidth="1"/>
    <col min="15118" max="15118" width="13.42578125" style="30" bestFit="1" customWidth="1"/>
    <col min="15119" max="15360" width="11.140625" style="30"/>
    <col min="15361" max="15361" width="3.85546875" style="30" customWidth="1"/>
    <col min="15362" max="15362" width="16.7109375" style="30" customWidth="1"/>
    <col min="15363" max="15368" width="10.7109375" style="30" customWidth="1"/>
    <col min="15369" max="15369" width="12" style="30" customWidth="1"/>
    <col min="15370" max="15370" width="13.140625" style="30" customWidth="1"/>
    <col min="15371" max="15371" width="10.7109375" style="30" customWidth="1"/>
    <col min="15372" max="15372" width="50.42578125" style="30" bestFit="1" customWidth="1"/>
    <col min="15373" max="15373" width="14.140625" style="30" customWidth="1"/>
    <col min="15374" max="15374" width="13.42578125" style="30" bestFit="1" customWidth="1"/>
    <col min="15375" max="15616" width="11.140625" style="30"/>
    <col min="15617" max="15617" width="3.85546875" style="30" customWidth="1"/>
    <col min="15618" max="15618" width="16.7109375" style="30" customWidth="1"/>
    <col min="15619" max="15624" width="10.7109375" style="30" customWidth="1"/>
    <col min="15625" max="15625" width="12" style="30" customWidth="1"/>
    <col min="15626" max="15626" width="13.140625" style="30" customWidth="1"/>
    <col min="15627" max="15627" width="10.7109375" style="30" customWidth="1"/>
    <col min="15628" max="15628" width="50.42578125" style="30" bestFit="1" customWidth="1"/>
    <col min="15629" max="15629" width="14.140625" style="30" customWidth="1"/>
    <col min="15630" max="15630" width="13.42578125" style="30" bestFit="1" customWidth="1"/>
    <col min="15631" max="15872" width="11.140625" style="30"/>
    <col min="15873" max="15873" width="3.85546875" style="30" customWidth="1"/>
    <col min="15874" max="15874" width="16.7109375" style="30" customWidth="1"/>
    <col min="15875" max="15880" width="10.7109375" style="30" customWidth="1"/>
    <col min="15881" max="15881" width="12" style="30" customWidth="1"/>
    <col min="15882" max="15882" width="13.140625" style="30" customWidth="1"/>
    <col min="15883" max="15883" width="10.7109375" style="30" customWidth="1"/>
    <col min="15884" max="15884" width="50.42578125" style="30" bestFit="1" customWidth="1"/>
    <col min="15885" max="15885" width="14.140625" style="30" customWidth="1"/>
    <col min="15886" max="15886" width="13.42578125" style="30" bestFit="1" customWidth="1"/>
    <col min="15887" max="16128" width="11.140625" style="30"/>
    <col min="16129" max="16129" width="3.85546875" style="30" customWidth="1"/>
    <col min="16130" max="16130" width="16.7109375" style="30" customWidth="1"/>
    <col min="16131" max="16136" width="10.7109375" style="30" customWidth="1"/>
    <col min="16137" max="16137" width="12" style="30" customWidth="1"/>
    <col min="16138" max="16138" width="13.140625" style="30" customWidth="1"/>
    <col min="16139" max="16139" width="10.7109375" style="30" customWidth="1"/>
    <col min="16140" max="16140" width="50.42578125" style="30" bestFit="1" customWidth="1"/>
    <col min="16141" max="16141" width="14.140625" style="30" customWidth="1"/>
    <col min="16142" max="16142" width="13.42578125" style="30" bestFit="1" customWidth="1"/>
    <col min="16143" max="16384" width="11.140625" style="30"/>
  </cols>
  <sheetData>
    <row r="1" spans="1:17" s="237" customFormat="1">
      <c r="A1" s="236" t="s">
        <v>129</v>
      </c>
    </row>
    <row r="2" spans="1:17" s="237" customFormat="1"/>
    <row r="3" spans="1:17" s="238" customFormat="1">
      <c r="A3" s="238" t="s">
        <v>130</v>
      </c>
    </row>
    <row r="4" spans="1:17" s="238" customFormat="1">
      <c r="A4" s="238" t="s">
        <v>132</v>
      </c>
    </row>
    <row r="5" spans="1:17" ht="21" thickBot="1">
      <c r="A5" s="23" t="s">
        <v>0</v>
      </c>
      <c r="B5" s="24"/>
      <c r="C5" s="23"/>
      <c r="D5" s="23"/>
      <c r="E5" s="23"/>
      <c r="F5" s="23"/>
      <c r="G5" s="23"/>
      <c r="H5" s="23"/>
      <c r="I5" s="23"/>
      <c r="J5" s="23"/>
      <c r="K5" s="23"/>
      <c r="L5" s="25" t="s">
        <v>1</v>
      </c>
      <c r="M5" s="26" t="s">
        <v>2</v>
      </c>
      <c r="N5" s="27"/>
      <c r="O5" s="28">
        <v>9.9999999999999995E-7</v>
      </c>
      <c r="P5" s="27">
        <v>8</v>
      </c>
      <c r="Q5" s="29">
        <v>10</v>
      </c>
    </row>
    <row r="6" spans="1:17" ht="30.75" customHeight="1" thickTop="1" thickBot="1">
      <c r="A6" s="31"/>
      <c r="B6" s="32" t="s">
        <v>3</v>
      </c>
      <c r="C6" s="1"/>
      <c r="D6" s="33"/>
      <c r="E6" s="33"/>
      <c r="F6" s="34"/>
      <c r="G6" s="258" t="s">
        <v>4</v>
      </c>
      <c r="H6" s="259"/>
      <c r="I6" s="262" t="s">
        <v>129</v>
      </c>
      <c r="J6" s="263"/>
      <c r="K6" s="264"/>
      <c r="L6" s="35" t="s">
        <v>5</v>
      </c>
      <c r="M6" s="36" t="s">
        <v>6</v>
      </c>
      <c r="N6" s="37">
        <v>2.9580398915498081</v>
      </c>
      <c r="O6" s="28">
        <v>78.539816339744831</v>
      </c>
      <c r="P6" s="27">
        <v>10</v>
      </c>
      <c r="Q6" s="29">
        <v>12</v>
      </c>
    </row>
    <row r="7" spans="1:17" ht="18.75" thickTop="1">
      <c r="A7" s="23"/>
      <c r="B7" s="38" t="s">
        <v>7</v>
      </c>
      <c r="C7" s="2"/>
      <c r="D7" s="39"/>
      <c r="E7" s="40"/>
      <c r="F7" s="41"/>
      <c r="G7" s="260"/>
      <c r="H7" s="261"/>
      <c r="I7" s="42" t="s">
        <v>8</v>
      </c>
      <c r="J7" s="43" t="s">
        <v>9</v>
      </c>
      <c r="K7" s="44" t="s">
        <v>10</v>
      </c>
      <c r="L7" s="45" t="s">
        <v>11</v>
      </c>
      <c r="M7" s="36" t="s">
        <v>12</v>
      </c>
      <c r="N7" s="46">
        <v>77778.620879041409</v>
      </c>
      <c r="O7" s="28">
        <v>113.09733552923255</v>
      </c>
      <c r="P7" s="27">
        <v>12</v>
      </c>
      <c r="Q7" s="29">
        <v>16</v>
      </c>
    </row>
    <row r="8" spans="1:17" ht="18">
      <c r="A8" s="23"/>
      <c r="B8" s="38" t="s">
        <v>13</v>
      </c>
      <c r="C8" s="3"/>
      <c r="D8" s="40"/>
      <c r="E8" s="40"/>
      <c r="F8" s="41"/>
      <c r="G8" s="265" t="s">
        <v>14</v>
      </c>
      <c r="H8" s="266"/>
      <c r="I8" s="4"/>
      <c r="J8" s="5"/>
      <c r="K8" s="6"/>
      <c r="L8" s="35" t="s">
        <v>15</v>
      </c>
      <c r="M8" s="36" t="s">
        <v>16</v>
      </c>
      <c r="N8" s="29">
        <v>524</v>
      </c>
      <c r="O8" s="28">
        <v>201.06192982974676</v>
      </c>
      <c r="P8" s="27">
        <v>16</v>
      </c>
      <c r="Q8" s="29">
        <v>20</v>
      </c>
    </row>
    <row r="9" spans="1:17" ht="18">
      <c r="A9" s="23"/>
      <c r="B9" s="47"/>
      <c r="C9" s="42"/>
      <c r="D9" s="48"/>
      <c r="E9" s="49"/>
      <c r="F9" s="50"/>
      <c r="G9" s="265"/>
      <c r="H9" s="266"/>
      <c r="I9" s="42" t="s">
        <v>17</v>
      </c>
      <c r="J9" s="51" t="s">
        <v>18</v>
      </c>
      <c r="K9" s="44" t="s">
        <v>19</v>
      </c>
      <c r="L9" s="52"/>
      <c r="M9" s="36" t="s">
        <v>20</v>
      </c>
      <c r="N9" s="37">
        <v>4.7328638264796927</v>
      </c>
      <c r="O9" s="28">
        <v>314.15926535897933</v>
      </c>
      <c r="P9" s="27">
        <v>20</v>
      </c>
      <c r="Q9" s="29">
        <v>25</v>
      </c>
    </row>
    <row r="10" spans="1:17" ht="18.75" thickBot="1">
      <c r="A10" s="23"/>
      <c r="B10" s="53"/>
      <c r="C10" s="54"/>
      <c r="D10" s="54"/>
      <c r="E10" s="55"/>
      <c r="F10" s="56"/>
      <c r="G10" s="56"/>
      <c r="H10" s="57"/>
      <c r="I10" s="7" t="s">
        <v>21</v>
      </c>
      <c r="J10" s="8" t="s">
        <v>21</v>
      </c>
      <c r="K10" s="9"/>
      <c r="L10" s="58"/>
      <c r="M10" s="36"/>
      <c r="N10" s="27"/>
      <c r="O10" s="28">
        <v>490.87385212340519</v>
      </c>
      <c r="P10" s="27">
        <v>25</v>
      </c>
      <c r="Q10" s="29">
        <v>32</v>
      </c>
    </row>
    <row r="11" spans="1:17" ht="16.5" thickTop="1">
      <c r="A11" s="59"/>
      <c r="B11" s="60"/>
      <c r="C11" s="61"/>
      <c r="D11" s="61"/>
      <c r="E11" s="61"/>
      <c r="F11" s="61"/>
      <c r="G11" s="61"/>
      <c r="H11" s="61"/>
      <c r="I11" s="61"/>
      <c r="J11" s="61"/>
      <c r="K11" s="62"/>
      <c r="L11" s="19" t="s">
        <v>133</v>
      </c>
      <c r="M11" s="36"/>
      <c r="N11" s="27"/>
      <c r="O11" s="28">
        <v>804.24771931898704</v>
      </c>
      <c r="P11" s="27">
        <v>32</v>
      </c>
      <c r="Q11" s="29">
        <v>40</v>
      </c>
    </row>
    <row r="12" spans="1:17" ht="18">
      <c r="A12" s="59"/>
      <c r="B12" s="63" t="s">
        <v>22</v>
      </c>
      <c r="C12" s="64" t="s">
        <v>23</v>
      </c>
      <c r="D12" s="10">
        <v>35</v>
      </c>
      <c r="E12" s="65" t="s">
        <v>24</v>
      </c>
      <c r="F12" s="64" t="s">
        <v>25</v>
      </c>
      <c r="G12" s="10">
        <v>20</v>
      </c>
      <c r="H12" s="65" t="s">
        <v>26</v>
      </c>
      <c r="I12" s="66" t="s">
        <v>27</v>
      </c>
      <c r="J12" s="10">
        <v>1.5</v>
      </c>
      <c r="K12" s="67" t="s">
        <v>28</v>
      </c>
      <c r="L12" s="21" t="s">
        <v>134</v>
      </c>
      <c r="M12" s="36"/>
      <c r="N12" s="27"/>
      <c r="O12" s="28">
        <v>1256.6370614359173</v>
      </c>
      <c r="P12" s="27">
        <v>40</v>
      </c>
      <c r="Q12" s="29">
        <v>40</v>
      </c>
    </row>
    <row r="13" spans="1:17" ht="18.75">
      <c r="A13" s="59"/>
      <c r="B13" s="68"/>
      <c r="C13" s="64" t="s">
        <v>29</v>
      </c>
      <c r="D13" s="10">
        <v>460</v>
      </c>
      <c r="E13" s="65" t="s">
        <v>24</v>
      </c>
      <c r="F13" s="69" t="s">
        <v>30</v>
      </c>
      <c r="G13" s="10">
        <v>50</v>
      </c>
      <c r="H13" s="65" t="s">
        <v>26</v>
      </c>
      <c r="I13" s="66" t="s">
        <v>31</v>
      </c>
      <c r="J13" s="10">
        <v>1.05</v>
      </c>
      <c r="K13" s="67" t="s">
        <v>32</v>
      </c>
      <c r="L13" s="20" t="s">
        <v>135</v>
      </c>
      <c r="M13" s="36"/>
      <c r="N13" s="27"/>
      <c r="O13" s="70"/>
      <c r="P13" s="70"/>
      <c r="Q13" s="70"/>
    </row>
    <row r="14" spans="1:17" ht="20.25">
      <c r="A14" s="59"/>
      <c r="B14" s="68"/>
      <c r="C14" s="71" t="s">
        <v>33</v>
      </c>
      <c r="D14" s="10">
        <v>200</v>
      </c>
      <c r="E14" s="72" t="s">
        <v>34</v>
      </c>
      <c r="F14" s="64" t="s">
        <v>35</v>
      </c>
      <c r="G14" s="10">
        <v>75</v>
      </c>
      <c r="H14" s="65" t="s">
        <v>26</v>
      </c>
      <c r="I14" s="73" t="s">
        <v>36</v>
      </c>
      <c r="J14" s="10">
        <v>23.6</v>
      </c>
      <c r="K14" s="67" t="s">
        <v>37</v>
      </c>
      <c r="L14" s="22" t="s">
        <v>129</v>
      </c>
      <c r="M14" s="36"/>
      <c r="N14" s="27"/>
      <c r="O14" s="70"/>
      <c r="P14" s="70"/>
      <c r="Q14" s="70"/>
    </row>
    <row r="15" spans="1:17" ht="18">
      <c r="A15" s="59"/>
      <c r="B15" s="74"/>
      <c r="C15" s="71"/>
      <c r="G15" s="75"/>
      <c r="H15" s="75"/>
      <c r="I15" s="75"/>
      <c r="J15" s="75"/>
      <c r="K15" s="76"/>
      <c r="L15" s="18" t="s">
        <v>130</v>
      </c>
      <c r="M15" s="36"/>
      <c r="N15" s="27"/>
      <c r="O15" s="70"/>
      <c r="P15" s="70"/>
      <c r="Q15" s="70"/>
    </row>
    <row r="16" spans="1:17" ht="18">
      <c r="A16" s="59"/>
      <c r="B16" s="77" t="s">
        <v>38</v>
      </c>
      <c r="C16" s="78"/>
      <c r="D16" s="267" t="s">
        <v>39</v>
      </c>
      <c r="E16" s="267"/>
      <c r="F16" s="75"/>
      <c r="G16" s="75"/>
      <c r="H16" s="75"/>
      <c r="I16" s="75"/>
      <c r="J16" s="79"/>
      <c r="K16" s="76"/>
      <c r="L16" s="52"/>
      <c r="M16" s="80"/>
      <c r="N16" s="80"/>
      <c r="O16" s="80"/>
      <c r="P16" s="80"/>
      <c r="Q16" s="70"/>
    </row>
    <row r="17" spans="1:17" ht="18">
      <c r="A17" s="59"/>
      <c r="B17" s="268" t="s">
        <v>40</v>
      </c>
      <c r="C17" s="267"/>
      <c r="D17" s="64" t="s">
        <v>41</v>
      </c>
      <c r="E17" s="11">
        <v>400</v>
      </c>
      <c r="F17" s="75"/>
      <c r="G17" s="75"/>
      <c r="H17" s="75"/>
      <c r="I17" s="75"/>
      <c r="J17" s="75"/>
      <c r="K17" s="76"/>
      <c r="L17" s="52"/>
      <c r="M17" s="80"/>
      <c r="N17" s="80"/>
      <c r="O17" s="80"/>
      <c r="P17" s="80"/>
      <c r="Q17" s="70"/>
    </row>
    <row r="18" spans="1:17" ht="18">
      <c r="A18" s="59"/>
      <c r="B18" s="81" t="s">
        <v>42</v>
      </c>
      <c r="C18" s="11">
        <v>350</v>
      </c>
      <c r="D18" s="64" t="s">
        <v>43</v>
      </c>
      <c r="E18" s="11">
        <v>1500</v>
      </c>
      <c r="F18" s="75"/>
      <c r="G18" s="75"/>
      <c r="H18" s="75"/>
      <c r="I18" s="75"/>
      <c r="J18" s="75"/>
      <c r="K18" s="82"/>
      <c r="L18" s="52"/>
      <c r="M18" s="80"/>
      <c r="N18" s="80"/>
      <c r="O18" s="80"/>
      <c r="P18" s="80"/>
      <c r="Q18" s="70"/>
    </row>
    <row r="19" spans="1:17" ht="18">
      <c r="A19" s="59"/>
      <c r="B19" s="83" t="s">
        <v>44</v>
      </c>
      <c r="C19" s="11">
        <v>350</v>
      </c>
      <c r="D19" s="64" t="s">
        <v>45</v>
      </c>
      <c r="E19" s="11">
        <f>E17</f>
        <v>400</v>
      </c>
      <c r="F19" s="84"/>
      <c r="G19" s="84"/>
      <c r="H19" s="85"/>
      <c r="I19" s="75"/>
      <c r="J19" s="75"/>
      <c r="K19" s="82"/>
      <c r="L19" s="52"/>
      <c r="M19" s="80"/>
      <c r="N19" s="80"/>
      <c r="O19" s="80"/>
      <c r="P19" s="80"/>
      <c r="Q19" s="70"/>
    </row>
    <row r="20" spans="1:17" ht="18">
      <c r="A20" s="59"/>
      <c r="B20" s="86"/>
      <c r="C20" s="75"/>
      <c r="D20" s="64" t="s">
        <v>46</v>
      </c>
      <c r="E20" s="11">
        <f>E18/2</f>
        <v>750</v>
      </c>
      <c r="F20" s="75"/>
      <c r="G20" s="75"/>
      <c r="H20" s="75"/>
      <c r="I20" s="75"/>
      <c r="J20" s="75"/>
      <c r="K20" s="76"/>
      <c r="L20" s="87" t="str">
        <f>"Recommended min H = "&amp;CEILING((MAX(E20,E18-E20)-C19/4)/2.5+G14+15,25)&amp;" mm"</f>
        <v>Recommended min H = 375 mm</v>
      </c>
      <c r="M20" s="80"/>
      <c r="N20" s="80"/>
      <c r="O20" s="80"/>
      <c r="P20" s="80"/>
      <c r="Q20" s="70"/>
    </row>
    <row r="21" spans="1:17" ht="18">
      <c r="A21" s="59"/>
      <c r="B21" s="88" t="s">
        <v>47</v>
      </c>
      <c r="C21" s="11">
        <v>375</v>
      </c>
      <c r="D21" s="89" t="s">
        <v>48</v>
      </c>
      <c r="E21" s="11">
        <v>400</v>
      </c>
      <c r="F21" s="75"/>
      <c r="G21" s="75"/>
      <c r="H21" s="75"/>
      <c r="I21" s="75"/>
      <c r="J21" s="75"/>
      <c r="K21" s="76"/>
      <c r="L21" s="90" t="str">
        <f>IF(MIN(E17,E19)&lt;150,"EDGE DISTANCE &lt; 150mm",".")</f>
        <v>.</v>
      </c>
      <c r="M21" s="80"/>
      <c r="N21" s="80"/>
      <c r="O21" s="80"/>
      <c r="P21" s="80"/>
      <c r="Q21" s="70"/>
    </row>
    <row r="22" spans="1:17" ht="15.75">
      <c r="A22" s="59"/>
      <c r="B22" s="86"/>
      <c r="C22" s="75"/>
      <c r="D22" s="75"/>
      <c r="E22" s="75"/>
      <c r="F22" s="75"/>
      <c r="G22" s="75"/>
      <c r="H22" s="75"/>
      <c r="I22" s="75"/>
      <c r="J22" s="75"/>
      <c r="K22" s="76"/>
      <c r="L22" s="91"/>
      <c r="M22" s="80"/>
      <c r="N22" s="80"/>
      <c r="O22" s="80"/>
      <c r="P22" s="80"/>
      <c r="Q22" s="70"/>
    </row>
    <row r="23" spans="1:17" ht="18.75" customHeight="1">
      <c r="A23" s="59"/>
      <c r="B23" s="63" t="s">
        <v>49</v>
      </c>
      <c r="C23" s="75"/>
      <c r="D23" s="78"/>
      <c r="E23" s="75"/>
      <c r="F23" s="92"/>
      <c r="K23" s="76"/>
      <c r="L23" s="93" t="s">
        <v>50</v>
      </c>
      <c r="M23" s="80"/>
      <c r="N23" s="80"/>
      <c r="O23" s="80"/>
      <c r="P23" s="80"/>
      <c r="Q23" s="70"/>
    </row>
    <row r="24" spans="1:17" ht="18.75" customHeight="1">
      <c r="A24" s="59"/>
      <c r="B24" s="94"/>
      <c r="C24" s="95" t="s">
        <v>51</v>
      </c>
      <c r="D24" s="95" t="s">
        <v>52</v>
      </c>
      <c r="E24" s="95" t="s">
        <v>53</v>
      </c>
      <c r="F24" s="92"/>
      <c r="G24" s="92"/>
      <c r="H24" s="75"/>
      <c r="I24" s="96"/>
      <c r="J24" s="92"/>
      <c r="K24" s="76"/>
      <c r="L24" s="52"/>
      <c r="M24" s="80"/>
      <c r="N24" s="80"/>
      <c r="O24" s="80"/>
      <c r="P24" s="80"/>
      <c r="Q24" s="70"/>
    </row>
    <row r="25" spans="1:17" ht="18">
      <c r="A25" s="59"/>
      <c r="B25" s="88" t="s">
        <v>54</v>
      </c>
      <c r="C25" s="12">
        <v>218</v>
      </c>
      <c r="D25" s="12">
        <v>104.2</v>
      </c>
      <c r="E25" s="12">
        <v>27.5</v>
      </c>
      <c r="F25" s="97"/>
      <c r="G25" s="98" t="s">
        <v>55</v>
      </c>
      <c r="H25" s="75"/>
      <c r="I25" s="92"/>
      <c r="J25" s="269" t="s">
        <v>56</v>
      </c>
      <c r="K25" s="270"/>
      <c r="L25" s="52"/>
      <c r="M25" s="80"/>
      <c r="N25" s="80"/>
      <c r="O25" s="80"/>
      <c r="P25" s="80"/>
      <c r="Q25" s="70"/>
    </row>
    <row r="26" spans="1:17" ht="18">
      <c r="A26" s="59"/>
      <c r="B26" s="88" t="s">
        <v>57</v>
      </c>
      <c r="C26" s="13">
        <v>23.2</v>
      </c>
      <c r="D26" s="13">
        <v>10.4</v>
      </c>
      <c r="E26" s="13">
        <v>2.7</v>
      </c>
      <c r="F26" s="75"/>
      <c r="K26" s="76"/>
      <c r="L26" s="91"/>
      <c r="M26" s="80"/>
      <c r="N26" s="80"/>
      <c r="O26" s="80"/>
      <c r="P26" s="80"/>
      <c r="Q26" s="70"/>
    </row>
    <row r="27" spans="1:17" ht="18">
      <c r="A27" s="59"/>
      <c r="B27" s="99" t="s">
        <v>58</v>
      </c>
      <c r="C27" s="14">
        <v>0</v>
      </c>
      <c r="D27" s="14">
        <v>0</v>
      </c>
      <c r="E27" s="14">
        <v>0</v>
      </c>
      <c r="F27" s="252" t="str">
        <f>IF(OR(M35=0,AND(M35=1,M31=1)),"STATUS","FAILS on")</f>
        <v>STATUS</v>
      </c>
      <c r="G27" s="253"/>
      <c r="H27" s="254" t="str">
        <f>IF(M35=0,"VALID DESIGN",N30&amp;N32&amp;N33&amp;N31)</f>
        <v>VALID DESIGN</v>
      </c>
      <c r="I27" s="254"/>
      <c r="J27" s="254"/>
      <c r="K27" s="255"/>
      <c r="L27" s="52"/>
      <c r="M27" s="80"/>
      <c r="N27" s="80"/>
      <c r="O27" s="80"/>
      <c r="P27" s="80"/>
      <c r="Q27" s="70"/>
    </row>
    <row r="28" spans="1:17" ht="18">
      <c r="A28" s="59"/>
      <c r="B28" s="88"/>
      <c r="C28" s="100"/>
      <c r="D28" s="100"/>
      <c r="E28" s="100"/>
      <c r="F28" s="101"/>
      <c r="G28" s="75"/>
      <c r="H28" s="254"/>
      <c r="I28" s="254"/>
      <c r="J28" s="254"/>
      <c r="K28" s="255"/>
      <c r="L28" s="93" t="s">
        <v>59</v>
      </c>
      <c r="M28" s="80"/>
      <c r="N28" s="80"/>
      <c r="O28" s="80"/>
      <c r="P28" s="80"/>
      <c r="Q28" s="70"/>
    </row>
    <row r="29" spans="1:17" ht="18">
      <c r="A29" s="59"/>
      <c r="B29" s="63" t="s">
        <v>60</v>
      </c>
      <c r="C29" s="75"/>
      <c r="D29" s="75"/>
      <c r="E29" s="75"/>
      <c r="F29" s="75"/>
      <c r="H29" s="85" t="s">
        <v>61</v>
      </c>
      <c r="I29" s="75"/>
      <c r="J29" s="75"/>
      <c r="K29" s="76"/>
      <c r="L29" s="52"/>
      <c r="M29" s="102">
        <v>0</v>
      </c>
      <c r="N29" s="102"/>
      <c r="O29" s="80"/>
      <c r="P29" s="80"/>
      <c r="Q29" s="70"/>
    </row>
    <row r="30" spans="1:17" ht="18">
      <c r="A30" s="59"/>
      <c r="B30" s="103" t="s">
        <v>62</v>
      </c>
      <c r="C30" s="104" t="str">
        <f>"M = "&amp;FIXED(C62,1)&amp;" kNm"</f>
        <v>M = 156.5 kNm</v>
      </c>
      <c r="F30" s="75"/>
      <c r="G30" s="75"/>
      <c r="H30" s="105"/>
      <c r="I30" s="95" t="s">
        <v>63</v>
      </c>
      <c r="J30" s="95" t="s">
        <v>64</v>
      </c>
      <c r="K30" s="76"/>
      <c r="L30" s="90" t="str">
        <f>IF(M29+M30&gt;0,"PILE CAPACITY EXCEEDED",".")</f>
        <v>.</v>
      </c>
      <c r="M30" s="102">
        <v>0</v>
      </c>
      <c r="N30" s="106" t="s">
        <v>65</v>
      </c>
      <c r="O30" s="107"/>
      <c r="P30" s="107"/>
      <c r="Q30" s="70"/>
    </row>
    <row r="31" spans="1:17" ht="18">
      <c r="A31" s="59"/>
      <c r="B31" s="88"/>
      <c r="C31" s="78" t="str">
        <f>"d = "&amp;FIXED(C63,1)&amp;" mm,    "&amp;B66&amp;FIXED(C66,0)&amp;" mm²"</f>
        <v>d = 309.0 mm,    As = 1,243 mm²</v>
      </c>
      <c r="D31" s="108"/>
      <c r="E31" s="108"/>
      <c r="H31" s="64" t="s">
        <v>66</v>
      </c>
      <c r="I31" s="109">
        <f>H51</f>
        <v>147.38479999999998</v>
      </c>
      <c r="J31" s="110">
        <f>I51</f>
        <v>192.1848</v>
      </c>
      <c r="K31" s="76"/>
      <c r="L31" s="90" t="str">
        <f>IF(M31&gt;0,"PILE IN TENSION",".")</f>
        <v>.</v>
      </c>
      <c r="M31" s="29">
        <v>0</v>
      </c>
      <c r="N31" s="106" t="s">
        <v>65</v>
      </c>
      <c r="O31" s="107"/>
      <c r="P31" s="107"/>
      <c r="Q31" s="70"/>
    </row>
    <row r="32" spans="1:17" ht="18">
      <c r="A32" s="59"/>
      <c r="B32" s="88"/>
      <c r="C32" s="111"/>
      <c r="D32" s="112" t="str">
        <f>D73</f>
        <v>7 T16 B</v>
      </c>
      <c r="E32" s="113" t="str">
        <f>" = "&amp;FIXED(C69,0)&amp;" mm²"</f>
        <v xml:space="preserve"> = 1,407 mm²</v>
      </c>
      <c r="F32" s="108"/>
      <c r="G32" s="108"/>
      <c r="H32" s="88" t="s">
        <v>67</v>
      </c>
      <c r="I32" s="114">
        <f>H52</f>
        <v>159.33479999999997</v>
      </c>
      <c r="J32" s="115">
        <f>I52</f>
        <v>207.73480000000001</v>
      </c>
      <c r="K32" s="76"/>
      <c r="L32" s="90" t="str">
        <f>IF(M32=0,".","v &gt; vmax")</f>
        <v>.</v>
      </c>
      <c r="M32" s="29">
        <v>0</v>
      </c>
      <c r="N32" s="106" t="s">
        <v>65</v>
      </c>
      <c r="O32" s="70"/>
      <c r="P32" s="70"/>
      <c r="Q32" s="70"/>
    </row>
    <row r="33" spans="1:17" ht="18">
      <c r="A33" s="59"/>
      <c r="B33" s="116" t="s">
        <v>68</v>
      </c>
      <c r="C33" s="117" t="str">
        <f>"M = "&amp;FIXED(G62,1)&amp;" kNm"</f>
        <v>M = 0.0 kNm</v>
      </c>
      <c r="D33" s="108"/>
      <c r="E33" s="108"/>
      <c r="F33" s="108"/>
      <c r="G33" s="108"/>
      <c r="H33" s="108"/>
      <c r="I33" s="108"/>
      <c r="J33" s="108"/>
      <c r="K33" s="76"/>
      <c r="L33" s="90" t="str">
        <f>L71</f>
        <v>.</v>
      </c>
      <c r="M33" s="102">
        <v>0</v>
      </c>
      <c r="N33" s="106" t="s">
        <v>65</v>
      </c>
      <c r="O33" s="70"/>
      <c r="P33" s="70"/>
      <c r="Q33" s="70"/>
    </row>
    <row r="34" spans="1:17" ht="18">
      <c r="A34" s="59"/>
      <c r="B34" s="88"/>
      <c r="C34" s="78" t="str">
        <f>"d = "&amp;FIXED(G63,1)&amp;" mm,    As "&amp;IF(G62=0,"min","")&amp;" = "&amp;FIXED(G67,0)&amp;" mm²"</f>
        <v>d = 337.0 mm,    As min = 416 mm²</v>
      </c>
      <c r="D34" s="108"/>
      <c r="E34" s="108"/>
      <c r="F34" s="108"/>
      <c r="G34" s="108"/>
      <c r="H34" s="108"/>
      <c r="I34" s="108"/>
      <c r="J34" s="108"/>
      <c r="K34" s="76"/>
      <c r="L34" s="118"/>
      <c r="M34" s="102">
        <v>0</v>
      </c>
      <c r="N34" s="29"/>
      <c r="O34" s="70"/>
      <c r="P34" s="70"/>
      <c r="Q34" s="70"/>
    </row>
    <row r="35" spans="1:17" ht="18">
      <c r="A35" s="59"/>
      <c r="B35" s="88"/>
      <c r="C35" s="108"/>
      <c r="D35" s="112" t="str">
        <f>H73</f>
        <v>6 T10 T</v>
      </c>
      <c r="E35" s="113" t="str">
        <f>" = "&amp;FIXED(G69,0)&amp;" mm²"</f>
        <v xml:space="preserve"> = 471 mm²</v>
      </c>
      <c r="F35" s="108"/>
      <c r="G35" s="108"/>
      <c r="H35" s="119" t="str">
        <f>G68&amp;$M5&amp;H62&amp;" 02 T"</f>
        <v>6 T10 02 T</v>
      </c>
      <c r="I35" s="120"/>
      <c r="J35" s="120"/>
      <c r="K35" s="76"/>
      <c r="L35" s="118"/>
      <c r="M35" s="121">
        <v>0</v>
      </c>
      <c r="N35" s="27"/>
      <c r="O35" s="70"/>
      <c r="P35" s="70"/>
      <c r="Q35" s="70"/>
    </row>
    <row r="36" spans="1:17" ht="18">
      <c r="A36" s="59"/>
      <c r="B36" s="116" t="s">
        <v>69</v>
      </c>
      <c r="C36" s="84"/>
      <c r="D36" s="75"/>
      <c r="E36" s="100"/>
      <c r="F36" s="101"/>
      <c r="G36" s="75"/>
      <c r="H36" s="122"/>
      <c r="I36" s="122"/>
      <c r="J36" s="122"/>
      <c r="K36" s="76"/>
      <c r="L36" s="118"/>
      <c r="M36" s="29"/>
      <c r="N36" s="27"/>
      <c r="O36" s="70"/>
      <c r="P36" s="70"/>
      <c r="Q36" s="70"/>
    </row>
    <row r="37" spans="1:17" ht="18">
      <c r="A37" s="59"/>
      <c r="B37" s="88"/>
      <c r="C37" s="104" t="str">
        <f>"V = "&amp;M77&amp;" kN,    v = "&amp;M79&amp;" N/mm²"</f>
        <v>V = 279.7 kN,    v = 1.131 N/mm²</v>
      </c>
      <c r="D37" s="75"/>
      <c r="E37" s="100"/>
      <c r="H37" s="122"/>
      <c r="I37" s="122"/>
      <c r="J37" s="122"/>
      <c r="K37" s="76"/>
      <c r="L37" s="118"/>
      <c r="M37" s="29" t="s">
        <v>70</v>
      </c>
      <c r="N37" s="27"/>
      <c r="O37" s="70"/>
      <c r="P37" s="70"/>
      <c r="Q37" s="70"/>
    </row>
    <row r="38" spans="1:17" ht="18">
      <c r="A38" s="59"/>
      <c r="B38" s="123"/>
      <c r="C38" s="117" t="str">
        <f>M81&amp;M80&amp;" N/mm²"</f>
        <v>vc = 0.625 N/mm²</v>
      </c>
      <c r="D38" s="75"/>
      <c r="E38" s="100"/>
      <c r="H38" s="124"/>
      <c r="I38" s="256" t="str">
        <f>C68&amp;$M5&amp;D62&amp;" 01 B"</f>
        <v>7 T16 01 B</v>
      </c>
      <c r="J38" s="256"/>
      <c r="K38" s="76"/>
      <c r="L38" s="118"/>
      <c r="M38" s="125"/>
    </row>
    <row r="39" spans="1:17" ht="18">
      <c r="A39" s="59"/>
      <c r="B39" s="123"/>
      <c r="C39" s="117" t="str">
        <f>"(v - vc)b = "&amp;FIXED(C83,1)&amp;" N/mm"</f>
        <v>(v - vc)b = 405.1 N/mm</v>
      </c>
      <c r="D39" s="75"/>
      <c r="E39" s="100"/>
      <c r="H39" s="124"/>
      <c r="I39" s="127" t="str">
        <f>"Links "&amp;2*[1]Graf!J23+[1]Graf!J22&amp;M5&amp;E83&amp;" 03."&amp;F84&amp;IF(C84&gt;2,M37,"")</f>
        <v>Links 11 T8 03.200 + 2x11 T8 04.200</v>
      </c>
      <c r="J39" s="128"/>
      <c r="K39" s="76"/>
      <c r="L39" s="118"/>
      <c r="M39" s="125"/>
    </row>
    <row r="40" spans="1:17" ht="18">
      <c r="A40" s="59"/>
      <c r="B40" s="123"/>
      <c r="C40" s="125"/>
      <c r="D40" s="112" t="str">
        <f>G84</f>
        <v>4 Legs T8 @ 200 LINKS</v>
      </c>
      <c r="E40" s="113" t="str">
        <f>" = "&amp;M82&amp;" N/mm"</f>
        <v xml:space="preserve"> = 440.4 N/mm</v>
      </c>
      <c r="H40" s="257" t="s">
        <v>71</v>
      </c>
      <c r="I40" s="257"/>
      <c r="J40" s="257"/>
      <c r="K40" s="76"/>
      <c r="L40" s="129" t="str">
        <f>CEILING([1]SCHEDULE!W13,1)&amp;" kg per cap"</f>
        <v>48 kg per cap</v>
      </c>
    </row>
    <row r="41" spans="1:17" s="141" customFormat="1" ht="12" thickBot="1">
      <c r="A41" s="131"/>
      <c r="B41" s="132"/>
      <c r="C41" s="133"/>
      <c r="D41" s="134"/>
      <c r="E41" s="135"/>
      <c r="F41" s="135"/>
      <c r="G41" s="136"/>
      <c r="H41" s="133"/>
      <c r="I41" s="134"/>
      <c r="J41" s="135"/>
      <c r="K41" s="137"/>
      <c r="L41" s="138"/>
      <c r="M41" s="139"/>
      <c r="N41" s="140"/>
    </row>
    <row r="42" spans="1:17" ht="17.25" thickTop="1" thickBot="1">
      <c r="A42" s="59"/>
      <c r="B42" s="142" t="s">
        <v>129</v>
      </c>
      <c r="C42" s="59"/>
      <c r="D42" s="59"/>
      <c r="E42" s="59"/>
      <c r="F42" s="59"/>
      <c r="G42" s="59"/>
      <c r="H42" s="59"/>
      <c r="I42" s="59"/>
      <c r="J42" s="59"/>
      <c r="K42" s="143" t="s">
        <v>131</v>
      </c>
      <c r="L42" s="144"/>
    </row>
    <row r="43" spans="1:17" ht="33" customHeight="1" thickTop="1" thickBot="1">
      <c r="A43" s="31"/>
      <c r="B43" s="32" t="s">
        <v>3</v>
      </c>
      <c r="C43" s="145"/>
      <c r="D43" s="33"/>
      <c r="E43" s="33"/>
      <c r="F43" s="34"/>
      <c r="G43" s="258"/>
      <c r="H43" s="259"/>
      <c r="I43" s="262" t="str">
        <f>I6</f>
        <v>DESIGN INTEGRITY</v>
      </c>
      <c r="J43" s="263"/>
      <c r="K43" s="264"/>
      <c r="L43" s="144"/>
    </row>
    <row r="44" spans="1:17" ht="18.75" thickTop="1">
      <c r="A44" s="23"/>
      <c r="B44" s="38" t="s">
        <v>7</v>
      </c>
      <c r="C44" s="146"/>
      <c r="D44" s="39"/>
      <c r="E44" s="40"/>
      <c r="F44" s="41"/>
      <c r="G44" s="260"/>
      <c r="H44" s="261"/>
      <c r="I44" s="42" t="s">
        <v>8</v>
      </c>
      <c r="J44" s="43" t="s">
        <v>9</v>
      </c>
      <c r="K44" s="44" t="s">
        <v>10</v>
      </c>
      <c r="L44" s="144"/>
    </row>
    <row r="45" spans="1:17" ht="19.5" customHeight="1">
      <c r="A45" s="23"/>
      <c r="B45" s="38" t="s">
        <v>13</v>
      </c>
      <c r="C45" s="147"/>
      <c r="D45" s="40"/>
      <c r="E45" s="40"/>
      <c r="F45" s="41"/>
      <c r="G45" s="247" t="str">
        <f>G8</f>
        <v>Double Pilecap</v>
      </c>
      <c r="H45" s="248"/>
      <c r="I45" s="148"/>
      <c r="J45" s="149"/>
      <c r="K45" s="150"/>
      <c r="L45" s="144"/>
    </row>
    <row r="46" spans="1:17" ht="18">
      <c r="A46" s="23"/>
      <c r="B46" s="47"/>
      <c r="C46" s="42">
        <f>C9</f>
        <v>0</v>
      </c>
      <c r="D46" s="48"/>
      <c r="E46" s="49"/>
      <c r="F46" s="50"/>
      <c r="G46" s="249"/>
      <c r="H46" s="248"/>
      <c r="I46" s="42" t="s">
        <v>17</v>
      </c>
      <c r="J46" s="51" t="s">
        <v>18</v>
      </c>
      <c r="K46" s="44" t="s">
        <v>19</v>
      </c>
      <c r="L46" s="144"/>
    </row>
    <row r="47" spans="1:17" ht="18.75" thickBot="1">
      <c r="A47" s="23"/>
      <c r="B47" s="53"/>
      <c r="C47" s="54">
        <f>C10</f>
        <v>0</v>
      </c>
      <c r="D47" s="54"/>
      <c r="E47" s="55"/>
      <c r="F47" s="56"/>
      <c r="G47" s="56"/>
      <c r="H47" s="57"/>
      <c r="I47" s="151"/>
      <c r="J47" s="152" t="str">
        <f>J10</f>
        <v>-</v>
      </c>
      <c r="K47" s="153"/>
      <c r="L47" s="144"/>
    </row>
    <row r="48" spans="1:17" ht="16.5" thickTop="1">
      <c r="A48" s="59"/>
      <c r="B48" s="154"/>
      <c r="C48" s="155"/>
      <c r="D48" s="156"/>
      <c r="E48" s="156"/>
      <c r="F48" s="157"/>
      <c r="G48" s="157"/>
      <c r="H48" s="157"/>
      <c r="I48" s="157"/>
      <c r="J48" s="157"/>
      <c r="K48" s="158"/>
      <c r="L48" s="144"/>
      <c r="O48" s="125"/>
    </row>
    <row r="49" spans="1:16" ht="18">
      <c r="A49" s="59"/>
      <c r="B49" s="159" t="s">
        <v>72</v>
      </c>
      <c r="C49" s="160">
        <f>J14*E21*(2*E17+E18)*2*E19/1000000000</f>
        <v>17.369599999999998</v>
      </c>
      <c r="D49" s="161" t="s">
        <v>73</v>
      </c>
      <c r="E49" s="162">
        <f>E18/1000</f>
        <v>1.5</v>
      </c>
      <c r="F49" s="163"/>
      <c r="G49" s="85" t="s">
        <v>61</v>
      </c>
      <c r="H49" s="164"/>
      <c r="I49" s="164"/>
      <c r="J49" s="164"/>
      <c r="K49" s="165"/>
      <c r="L49" s="144"/>
      <c r="O49" s="125"/>
    </row>
    <row r="50" spans="1:16" ht="15.75">
      <c r="A50" s="59"/>
      <c r="B50" s="166" t="s">
        <v>74</v>
      </c>
      <c r="C50" s="167">
        <f>1000*C49/(E18+2*E17)</f>
        <v>7.5519999999999996</v>
      </c>
      <c r="F50" s="168"/>
      <c r="G50" s="164"/>
      <c r="H50" s="169" t="s">
        <v>63</v>
      </c>
      <c r="I50" s="170" t="s">
        <v>64</v>
      </c>
      <c r="J50" s="164"/>
      <c r="K50" s="165"/>
      <c r="L50" s="144"/>
      <c r="O50" s="125"/>
    </row>
    <row r="51" spans="1:16" ht="15.75">
      <c r="A51" s="59"/>
      <c r="B51" s="171"/>
      <c r="F51" s="168"/>
      <c r="G51" s="89" t="s">
        <v>75</v>
      </c>
      <c r="H51" s="172">
        <f>(C25+D25+C49)/2-(C54+D54)/E49</f>
        <v>147.38479999999998</v>
      </c>
      <c r="I51" s="173">
        <f>(C25+D25+C49)/2+(C54+D54)/E49</f>
        <v>192.1848</v>
      </c>
      <c r="J51" s="174" t="str">
        <f>IF(MAX(H51:I51)&gt;D14,"PILE CAPACITY EXCEEDED",".")</f>
        <v>.</v>
      </c>
      <c r="K51" s="158"/>
      <c r="L51" s="144"/>
      <c r="O51" s="125"/>
    </row>
    <row r="52" spans="1:16" ht="15.75">
      <c r="A52" s="59"/>
      <c r="B52" s="175" t="s">
        <v>76</v>
      </c>
      <c r="C52" s="176"/>
      <c r="D52" s="168"/>
      <c r="E52" s="168"/>
      <c r="F52" s="168"/>
      <c r="G52" s="89" t="s">
        <v>77</v>
      </c>
      <c r="H52" s="177">
        <f>H51+E25/2-E54/E49</f>
        <v>159.33479999999997</v>
      </c>
      <c r="I52" s="178">
        <f>I51+E25/2+E54/E49</f>
        <v>207.73480000000001</v>
      </c>
      <c r="J52" s="174" t="str">
        <f>IF(MAX(H52:I52)&gt;1.25*D14,"&gt; 1.25 x PILE CAPACITY",".")</f>
        <v>.</v>
      </c>
      <c r="K52" s="158"/>
      <c r="L52" s="144"/>
      <c r="O52" s="125"/>
    </row>
    <row r="53" spans="1:16" ht="15.75">
      <c r="A53" s="59"/>
      <c r="B53" s="171"/>
      <c r="C53" s="169" t="s">
        <v>51</v>
      </c>
      <c r="D53" s="179" t="s">
        <v>52</v>
      </c>
      <c r="E53" s="170" t="s">
        <v>53</v>
      </c>
      <c r="G53" s="89" t="s">
        <v>78</v>
      </c>
      <c r="H53" s="177">
        <f>(1.4*(C25+C49)+1.6*D25)/2-(1.4*C54+1.6*D54)/E49</f>
        <v>215.37205333333333</v>
      </c>
      <c r="I53" s="178">
        <f>(1.4*(C25+C49)+1.6*D25)/2+(1.4*C54+1.6*D54)/E49</f>
        <v>280.86538666666667</v>
      </c>
      <c r="J53" s="180"/>
      <c r="K53" s="158"/>
      <c r="L53" s="144"/>
      <c r="O53" s="125"/>
    </row>
    <row r="54" spans="1:16" ht="15.75">
      <c r="A54" s="59"/>
      <c r="B54" s="171"/>
      <c r="C54" s="181">
        <f>C26+C27*$E21/1000</f>
        <v>23.2</v>
      </c>
      <c r="D54" s="182">
        <f>D26+D27*$E21/1000</f>
        <v>10.4</v>
      </c>
      <c r="E54" s="183">
        <f>E26+E27*$E21/1000</f>
        <v>2.7</v>
      </c>
      <c r="G54" s="89" t="s">
        <v>79</v>
      </c>
      <c r="H54" s="177">
        <f>(C25+1.4*E25)/2-(C54+1.4*E54)/E49</f>
        <v>110.26333333333334</v>
      </c>
      <c r="I54" s="178">
        <f>(C25+1.4*E25)/2+(C54+1.4*E54)/E49</f>
        <v>146.23666666666668</v>
      </c>
      <c r="J54" s="174" t="str">
        <f>IF(MIN(H51:I52)&lt;0,"PILE IN TENSION",IF(MIN(H53:I55)&lt;0,"PILE IN TENSION (ULS)","."))</f>
        <v>.</v>
      </c>
      <c r="K54" s="158"/>
      <c r="L54" s="144"/>
      <c r="O54" s="125"/>
    </row>
    <row r="55" spans="1:16" ht="15.75">
      <c r="A55" s="59"/>
      <c r="B55" s="171"/>
      <c r="G55" s="89" t="s">
        <v>80</v>
      </c>
      <c r="H55" s="181">
        <f>0.6*SUM(C25:E25)-1.2*SUM(C54:E54)/E49</f>
        <v>180.78</v>
      </c>
      <c r="I55" s="183">
        <f>0.6*SUM(C25:E25)+1.2*SUM(C54:E54)/E49</f>
        <v>238.85999999999999</v>
      </c>
      <c r="J55" s="164"/>
      <c r="K55" s="165"/>
      <c r="L55" s="144"/>
    </row>
    <row r="56" spans="1:16" ht="15.75">
      <c r="A56" s="59"/>
      <c r="B56" s="184" t="s">
        <v>81</v>
      </c>
      <c r="G56" s="168"/>
      <c r="H56" s="168"/>
      <c r="I56" s="168"/>
      <c r="J56" s="168"/>
      <c r="K56" s="165"/>
      <c r="L56" s="144"/>
    </row>
    <row r="57" spans="1:16" ht="15.75">
      <c r="A57" s="59"/>
      <c r="B57" s="171"/>
      <c r="C57" s="246" t="s">
        <v>78</v>
      </c>
      <c r="D57" s="246"/>
      <c r="E57" s="246" t="s">
        <v>79</v>
      </c>
      <c r="F57" s="246"/>
      <c r="G57" s="246" t="s">
        <v>80</v>
      </c>
      <c r="H57" s="246"/>
      <c r="I57" s="168"/>
      <c r="J57" s="168"/>
      <c r="K57" s="165"/>
      <c r="L57" s="144"/>
    </row>
    <row r="58" spans="1:16" ht="15.75">
      <c r="A58" s="59"/>
      <c r="B58" s="166" t="s">
        <v>82</v>
      </c>
      <c r="C58" s="250">
        <f>H53*J58-1.4*C50*(J58+E17/1000)^2/2</f>
        <v>118.81354666666665</v>
      </c>
      <c r="D58" s="251"/>
      <c r="E58" s="250">
        <f>H54*J58-C50*(J58+E17/1000)^2/2</f>
        <v>59.811856666666664</v>
      </c>
      <c r="F58" s="251"/>
      <c r="G58" s="250">
        <f>H55*J58-1.2*C50*(J58+E17/1000)^2/2</f>
        <v>99.641027999999991</v>
      </c>
      <c r="H58" s="251"/>
      <c r="I58" s="161" t="s">
        <v>83</v>
      </c>
      <c r="J58" s="163">
        <f>(E20-C19/2)/1000</f>
        <v>0.57499999999999996</v>
      </c>
      <c r="K58" s="165"/>
      <c r="L58" s="144"/>
    </row>
    <row r="59" spans="1:16" ht="15.75">
      <c r="A59" s="59"/>
      <c r="B59" s="166" t="s">
        <v>84</v>
      </c>
      <c r="C59" s="241">
        <f>I53*J59-1.4*C50*(J59+E17/1000)^2/2</f>
        <v>156.47221333333331</v>
      </c>
      <c r="D59" s="242"/>
      <c r="E59" s="241">
        <f>I54*J59-C50*(J59+E17/1000)^2/2</f>
        <v>80.496523333333329</v>
      </c>
      <c r="F59" s="242"/>
      <c r="G59" s="241">
        <f>I55*J59-1.2*C50*(J59+E17/1000)^2/2</f>
        <v>133.03702799999999</v>
      </c>
      <c r="H59" s="242"/>
      <c r="I59" s="161" t="s">
        <v>83</v>
      </c>
      <c r="J59" s="163">
        <f>(E18-E20-C19/2)/1000</f>
        <v>0.57499999999999996</v>
      </c>
      <c r="K59" s="165"/>
      <c r="L59" s="144"/>
    </row>
    <row r="60" spans="1:16" ht="15.75">
      <c r="A60" s="59"/>
      <c r="B60" s="166"/>
      <c r="C60" s="185"/>
      <c r="D60" s="185"/>
      <c r="E60" s="185"/>
      <c r="F60" s="185"/>
      <c r="G60" s="185"/>
      <c r="H60" s="185"/>
      <c r="I60" s="161"/>
      <c r="J60" s="163"/>
      <c r="K60" s="165"/>
      <c r="L60" s="144"/>
    </row>
    <row r="61" spans="1:16" ht="15.75">
      <c r="A61" s="59"/>
      <c r="B61" s="63" t="s">
        <v>85</v>
      </c>
      <c r="C61" s="185"/>
      <c r="D61" s="185"/>
      <c r="E61" s="185"/>
      <c r="F61" s="85" t="s">
        <v>86</v>
      </c>
      <c r="G61" s="185"/>
      <c r="H61" s="185"/>
      <c r="I61" s="161"/>
      <c r="J61" s="163"/>
      <c r="K61" s="165"/>
      <c r="L61" s="144"/>
      <c r="O61" s="244" t="s">
        <v>87</v>
      </c>
      <c r="P61" s="245"/>
    </row>
    <row r="62" spans="1:16" s="168" customFormat="1" ht="15.75">
      <c r="A62" s="59"/>
      <c r="B62" s="166" t="s">
        <v>88</v>
      </c>
      <c r="C62" s="185">
        <f>MAX(C58:H59)</f>
        <v>156.47221333333331</v>
      </c>
      <c r="D62" s="186">
        <f>VLOOKUP(O67/O68,$O5:$P12,2)</f>
        <v>16</v>
      </c>
      <c r="F62" s="161" t="s">
        <v>89</v>
      </c>
      <c r="G62" s="185">
        <f>ABS(MIN(0,C58:H59))</f>
        <v>0</v>
      </c>
      <c r="H62" s="186">
        <f>VLOOKUP(P67/P68,$O5:$P12,2)</f>
        <v>10</v>
      </c>
      <c r="I62" s="161" t="s">
        <v>90</v>
      </c>
      <c r="J62" s="187">
        <f>0.775*0.45*0.67/J12</f>
        <v>0.15577500000000002</v>
      </c>
      <c r="K62" s="165"/>
      <c r="L62" s="144"/>
      <c r="M62" s="161"/>
      <c r="N62" s="161"/>
      <c r="O62" s="188" t="s">
        <v>91</v>
      </c>
      <c r="P62" s="189" t="s">
        <v>92</v>
      </c>
    </row>
    <row r="63" spans="1:16" s="168" customFormat="1" ht="15.75">
      <c r="A63" s="59"/>
      <c r="B63" s="166" t="s">
        <v>93</v>
      </c>
      <c r="C63" s="185">
        <f>E21-G14-D62/2-E83</f>
        <v>309</v>
      </c>
      <c r="F63" s="89" t="s">
        <v>93</v>
      </c>
      <c r="G63" s="185">
        <f>E21-G13-H62/2-E83</f>
        <v>337</v>
      </c>
      <c r="I63" s="89" t="s">
        <v>94</v>
      </c>
      <c r="J63" s="190">
        <f>IF(D13&gt;=460,0.0013,IF(D13&gt;=425,0.0015,0.0024))</f>
        <v>1.2999999999999999E-3</v>
      </c>
      <c r="K63" s="165"/>
      <c r="L63" s="144"/>
      <c r="M63" s="161"/>
      <c r="N63" s="89" t="s">
        <v>93</v>
      </c>
      <c r="O63" s="172">
        <f>E21-G14-12.5-12</f>
        <v>300.5</v>
      </c>
      <c r="P63" s="173">
        <f>O63+G14-G13</f>
        <v>325.5</v>
      </c>
    </row>
    <row r="64" spans="1:16" s="168" customFormat="1">
      <c r="A64" s="59"/>
      <c r="B64" s="166" t="s">
        <v>95</v>
      </c>
      <c r="C64" s="191">
        <f>500000*C62/E19/D12/C63^2</f>
        <v>5.852780483377145E-2</v>
      </c>
      <c r="F64" s="89" t="s">
        <v>95</v>
      </c>
      <c r="G64" s="191">
        <f>500000*G62/E19/D12/G63^2</f>
        <v>0</v>
      </c>
      <c r="K64" s="165"/>
      <c r="L64" s="144"/>
      <c r="M64" s="161"/>
      <c r="N64" s="89" t="s">
        <v>95</v>
      </c>
      <c r="O64" s="192">
        <f>500000*C62/E19/D12/O63^2</f>
        <v>6.1885690608091695E-2</v>
      </c>
      <c r="P64" s="193">
        <f>500000*G62/E19/D12/P63^2</f>
        <v>0</v>
      </c>
    </row>
    <row r="65" spans="1:20" s="168" customFormat="1">
      <c r="A65" s="59"/>
      <c r="B65" s="166" t="s">
        <v>96</v>
      </c>
      <c r="C65" s="194">
        <f>C63*MIN(0.5+SQRT(0.25-C64/0.9),0.95)</f>
        <v>287.3948275335996</v>
      </c>
      <c r="F65" s="73" t="s">
        <v>96</v>
      </c>
      <c r="G65" s="194">
        <f>G63*MIN(0.5+SQRT(0.25-G64/0.9),0.95)</f>
        <v>320.14999999999998</v>
      </c>
      <c r="K65" s="165"/>
      <c r="L65" s="144"/>
      <c r="M65" s="161"/>
      <c r="N65" s="73" t="s">
        <v>96</v>
      </c>
      <c r="O65" s="177">
        <f>O63*MIN(0.5+SQRT(0.25-O64/0.9),0.95)</f>
        <v>278.17907286924725</v>
      </c>
      <c r="P65" s="178">
        <f>P63*MIN(0.5+SQRT(0.25-P64/0.9),0.95)</f>
        <v>309.22499999999997</v>
      </c>
    </row>
    <row r="66" spans="1:20" s="168" customFormat="1">
      <c r="A66" s="59"/>
      <c r="B66" s="166" t="s">
        <v>97</v>
      </c>
      <c r="C66" s="195">
        <f>1000000*C62/C65/$D13*$J13</f>
        <v>1242.7670944803356</v>
      </c>
      <c r="F66" s="161" t="s">
        <v>97</v>
      </c>
      <c r="G66" s="195">
        <f>1000000*G62/G65/$D13*$J13</f>
        <v>0</v>
      </c>
      <c r="K66" s="165"/>
      <c r="L66" s="144"/>
      <c r="M66" s="161"/>
      <c r="N66" s="161" t="s">
        <v>97</v>
      </c>
      <c r="O66" s="196">
        <f>1000000*C62/O65/$D13*$J13</f>
        <v>1283.9385475646011</v>
      </c>
      <c r="P66" s="197">
        <f>1000000*G62/P65/$D13*$J13</f>
        <v>0</v>
      </c>
    </row>
    <row r="67" spans="1:20" s="168" customFormat="1">
      <c r="A67" s="59"/>
      <c r="B67" s="166" t="s">
        <v>98</v>
      </c>
      <c r="C67" s="195">
        <f>MAX(C66,$J63*2*$E19*$E21)</f>
        <v>1242.7670944803356</v>
      </c>
      <c r="F67" s="161" t="s">
        <v>98</v>
      </c>
      <c r="G67" s="195">
        <f>MAX(G66,$J63*2*$E19*$E21)</f>
        <v>416</v>
      </c>
      <c r="K67" s="165"/>
      <c r="L67" s="144"/>
      <c r="M67" s="161"/>
      <c r="N67" s="161" t="s">
        <v>98</v>
      </c>
      <c r="O67" s="196">
        <f>MAX(O66,$J63*2*$E19*$E21)</f>
        <v>1283.9385475646011</v>
      </c>
      <c r="P67" s="197">
        <f>MAX(P66,$J63*2*$E19*$E21)</f>
        <v>416</v>
      </c>
    </row>
    <row r="68" spans="1:20" s="168" customFormat="1">
      <c r="A68" s="59"/>
      <c r="B68" s="166" t="s">
        <v>99</v>
      </c>
      <c r="C68" s="176">
        <f>MAX(2,CEILING(C67/PI()*4/D62^2,1))</f>
        <v>7</v>
      </c>
      <c r="F68" s="161" t="s">
        <v>99</v>
      </c>
      <c r="G68" s="176">
        <f>MAX(2,CEILING(G67/PI()*4/H62^2,1))</f>
        <v>6</v>
      </c>
      <c r="K68" s="165"/>
      <c r="L68" s="144"/>
      <c r="M68" s="161"/>
      <c r="N68" s="161" t="s">
        <v>99</v>
      </c>
      <c r="O68" s="198">
        <f>CEILING(2*($E19-$G13-12)/O70+1,1)</f>
        <v>5</v>
      </c>
      <c r="P68" s="199">
        <f>CEILING(2*($E19-$G13-12)/P70+1,1)</f>
        <v>4</v>
      </c>
      <c r="Q68" s="176">
        <f>CEILING(O67/VLOOKUP(O67/O68,$O5:$P12,1),1)</f>
        <v>7</v>
      </c>
      <c r="R68" s="176">
        <f>CEILING(P67/VLOOKUP(P67/P68,$O5:$P12,1),1)</f>
        <v>6</v>
      </c>
    </row>
    <row r="69" spans="1:20" s="168" customFormat="1">
      <c r="A69" s="59"/>
      <c r="B69" s="166" t="s">
        <v>100</v>
      </c>
      <c r="C69" s="195">
        <f>PI()/4*D62^2*C68</f>
        <v>1407.4335088082273</v>
      </c>
      <c r="F69" s="161" t="s">
        <v>100</v>
      </c>
      <c r="G69" s="195">
        <f>PI()/4*H62^2*G68</f>
        <v>471.23889803846896</v>
      </c>
      <c r="K69" s="165"/>
      <c r="L69" s="144"/>
      <c r="M69" s="161"/>
      <c r="N69" s="161" t="s">
        <v>101</v>
      </c>
      <c r="O69" s="196">
        <f>2/3*$D13</f>
        <v>306.66666666666663</v>
      </c>
      <c r="P69" s="197">
        <f>IF(P66=0,0,2/3*$D13)</f>
        <v>0</v>
      </c>
    </row>
    <row r="70" spans="1:20" s="168" customFormat="1">
      <c r="A70" s="59"/>
      <c r="B70" s="166" t="s">
        <v>101</v>
      </c>
      <c r="C70" s="195">
        <f>2/3*$D13*C66/C69</f>
        <v>270.78738705746736</v>
      </c>
      <c r="F70" s="161" t="s">
        <v>101</v>
      </c>
      <c r="G70" s="195">
        <f>IF(G66=0,0,2/3*$D13*G66/G69)</f>
        <v>0</v>
      </c>
      <c r="K70" s="165"/>
      <c r="L70" s="144"/>
      <c r="M70" s="161"/>
      <c r="N70" s="161" t="s">
        <v>102</v>
      </c>
      <c r="O70" s="181">
        <f>MIN(47000/O69+25,300)</f>
        <v>178.2608695652174</v>
      </c>
      <c r="P70" s="183">
        <f>IF(P69=0,0.75*P63,MIN(47000/P69+25,300))</f>
        <v>244.125</v>
      </c>
      <c r="Q70" s="200">
        <f>50*O66/E19/O63*1.02</f>
        <v>0.54476593948248475</v>
      </c>
      <c r="R70" s="163" t="s">
        <v>103</v>
      </c>
    </row>
    <row r="71" spans="1:20" s="168" customFormat="1" ht="15.75">
      <c r="A71" s="59"/>
      <c r="B71" s="166" t="s">
        <v>104</v>
      </c>
      <c r="C71" s="185">
        <f>MIN(47000/C70,300-D62)</f>
        <v>173.56790694991091</v>
      </c>
      <c r="F71" s="161" t="s">
        <v>104</v>
      </c>
      <c r="G71" s="185">
        <f>IF(G70=0,0.75*G63,MIN(47000/G70,300-H62))</f>
        <v>252.75</v>
      </c>
      <c r="K71" s="165"/>
      <c r="L71" s="201" t="str">
        <f>IF(M33+M34&gt;0,"Spacing failure",".")</f>
        <v>.</v>
      </c>
      <c r="T71" s="163"/>
    </row>
    <row r="72" spans="1:20" s="168" customFormat="1" ht="15.75">
      <c r="A72" s="59"/>
      <c r="B72" s="166" t="s">
        <v>105</v>
      </c>
      <c r="C72" s="185">
        <f>MAX(25,D62)</f>
        <v>25</v>
      </c>
      <c r="F72" s="161" t="s">
        <v>105</v>
      </c>
      <c r="G72" s="185">
        <f>MAX(25,H62)</f>
        <v>25</v>
      </c>
      <c r="K72" s="165"/>
      <c r="L72" s="144"/>
      <c r="N72" s="161"/>
      <c r="O72" s="244" t="s">
        <v>106</v>
      </c>
      <c r="P72" s="245"/>
    </row>
    <row r="73" spans="1:20" s="168" customFormat="1" ht="16.5">
      <c r="A73" s="59"/>
      <c r="B73" s="166" t="s">
        <v>107</v>
      </c>
      <c r="C73" s="194">
        <f>(2*($E19-$G13-E83)-C68*D62)/(C68-1)</f>
        <v>95.333333333333329</v>
      </c>
      <c r="D73" s="202" t="str">
        <f>C68&amp;$M5&amp;D62&amp;" B"</f>
        <v>7 T16 B</v>
      </c>
      <c r="F73" s="161" t="s">
        <v>107</v>
      </c>
      <c r="G73" s="194">
        <f>(2*($E19-$G13-E83)-G68*H62)/(G68-1)</f>
        <v>124.8</v>
      </c>
      <c r="H73" s="202" t="str">
        <f>G68&amp;$M5&amp;H62&amp;" T"</f>
        <v>6 T10 T</v>
      </c>
      <c r="K73" s="165"/>
      <c r="L73" s="144"/>
      <c r="M73" s="161"/>
      <c r="N73" s="161"/>
      <c r="O73" s="188">
        <v>1</v>
      </c>
      <c r="P73" s="189">
        <v>2</v>
      </c>
    </row>
    <row r="74" spans="1:20" s="168" customFormat="1">
      <c r="A74" s="59"/>
      <c r="B74" s="166"/>
      <c r="F74" s="161"/>
      <c r="K74" s="165"/>
      <c r="L74" s="144"/>
      <c r="M74" s="161"/>
      <c r="N74" s="161" t="s">
        <v>108</v>
      </c>
      <c r="O74" s="172">
        <f>MAX(H53-1.4*$C50*$E75/1000,H54-$C50*$E75/1000,H55-1.2*$C50*$E75/1000)</f>
        <v>214.18261333333334</v>
      </c>
      <c r="P74" s="173">
        <f>MAX(I53-1.4*$C50*E75/1000,I54-$C50*$E75/1000,I55-1.2*$C50*$E75/1000)</f>
        <v>279.67594666666668</v>
      </c>
    </row>
    <row r="75" spans="1:20" s="168" customFormat="1" ht="15.75">
      <c r="A75" s="59"/>
      <c r="B75" s="63" t="s">
        <v>109</v>
      </c>
      <c r="D75" s="89" t="s">
        <v>110</v>
      </c>
      <c r="E75" s="185">
        <f>0.3*C21</f>
        <v>112.5</v>
      </c>
      <c r="F75" s="163" t="s">
        <v>111</v>
      </c>
      <c r="H75" s="203">
        <f>50*C69/E19/C63</f>
        <v>0.56935012492242199</v>
      </c>
      <c r="I75" s="168" t="s">
        <v>103</v>
      </c>
      <c r="K75" s="165"/>
      <c r="L75" s="144"/>
      <c r="M75" s="161"/>
      <c r="N75" s="161" t="s">
        <v>112</v>
      </c>
      <c r="O75" s="192">
        <f>500*O74/E19/O63</f>
        <v>0.890942651136994</v>
      </c>
      <c r="P75" s="193">
        <f>500*P74/E19/O63</f>
        <v>1.1633774819744869</v>
      </c>
    </row>
    <row r="76" spans="1:20" s="168" customFormat="1">
      <c r="A76" s="59"/>
      <c r="B76" s="204" t="s">
        <v>113</v>
      </c>
      <c r="C76" s="246" t="s">
        <v>78</v>
      </c>
      <c r="D76" s="246"/>
      <c r="E76" s="246" t="s">
        <v>79</v>
      </c>
      <c r="F76" s="246"/>
      <c r="G76" s="246" t="s">
        <v>80</v>
      </c>
      <c r="H76" s="246"/>
      <c r="I76" s="195"/>
      <c r="J76" s="195"/>
      <c r="K76" s="165"/>
      <c r="L76" s="144"/>
      <c r="M76" s="161"/>
      <c r="N76" s="161" t="s">
        <v>114</v>
      </c>
      <c r="O76" s="205">
        <f>MAX(1,2*O63/C78)*0.632*MAX(1,400/O63)^0.25*MIN(3,Q70)^0.3333333*(MIN(D12,40)/25)^0.3333333</f>
        <v>0.6202264573863624</v>
      </c>
      <c r="P76" s="206">
        <f>MAX(1,2*O63/C81)*0.632*MAX(1,400/O63)^0.25*MIN(3,Q70)^0.3333333*(MIN(D12,40)/25)^0.3333333</f>
        <v>0.6202264573863624</v>
      </c>
    </row>
    <row r="77" spans="1:20" s="168" customFormat="1" ht="15.75">
      <c r="A77" s="59"/>
      <c r="B77" s="166" t="s">
        <v>115</v>
      </c>
      <c r="C77" s="239">
        <f>$H53-1.4*$C50*$E75/1000</f>
        <v>214.18261333333334</v>
      </c>
      <c r="D77" s="240"/>
      <c r="E77" s="241">
        <f>$H54-$C50*$E75/1000</f>
        <v>109.41373333333334</v>
      </c>
      <c r="F77" s="242"/>
      <c r="G77" s="241">
        <f>$H55-1.2*$C50*$E75/1000</f>
        <v>179.76048</v>
      </c>
      <c r="H77" s="242"/>
      <c r="K77" s="165"/>
      <c r="L77" s="144"/>
      <c r="M77" s="207">
        <f>ROUND(IF(C78-G78&gt;C81-G81,MAX(C77:H77),MAX(C80:H80)),1)</f>
        <v>279.7</v>
      </c>
      <c r="N77" s="161" t="s">
        <v>116</v>
      </c>
      <c r="O77" s="208">
        <f>MAX(O75-O76,P75-P76,IF(MAX(O74:P74)=0,0,0.4))*2*E19</f>
        <v>434.52081967049958</v>
      </c>
      <c r="P77" s="161" t="s">
        <v>117</v>
      </c>
      <c r="Q77" s="163">
        <f>MAX(ROUNDUP((2*(E19-G13)-12)/MIN(450,O63),0),2,T77,T78)</f>
        <v>4</v>
      </c>
      <c r="R77" s="161" t="s">
        <v>118</v>
      </c>
      <c r="S77" s="160">
        <f>(2*(E19-G13)-20-D62)/(Q68-1)</f>
        <v>110.66666666666667</v>
      </c>
      <c r="T77" s="163">
        <f>CEILING((Q68-1)/FLOOR(300/S77,1)+1,1)</f>
        <v>4</v>
      </c>
    </row>
    <row r="78" spans="1:20" s="168" customFormat="1" ht="15.75">
      <c r="A78" s="59"/>
      <c r="B78" s="166" t="s">
        <v>119</v>
      </c>
      <c r="C78" s="160">
        <f>E20-E75</f>
        <v>637.5</v>
      </c>
      <c r="D78" s="209" t="s">
        <v>112</v>
      </c>
      <c r="E78" s="210">
        <f>500*MAX(C77:H77)/E$19/C$63</f>
        <v>0.86643451995685006</v>
      </c>
      <c r="F78" s="211" t="str">
        <f>IF(2*C$63&gt;C78,"vc 2d/av =","vc =")</f>
        <v>vc =</v>
      </c>
      <c r="G78" s="210">
        <f>MAX(1,2*C$63/C78)*0.632*MAX(1,400/C63)^0.25*MIN(3,H75)^0.3333333*(MIN(D12,40)/25)^0.3333333</f>
        <v>0.62504546933634819</v>
      </c>
      <c r="H78" s="195"/>
      <c r="I78" s="195"/>
      <c r="J78" s="195"/>
      <c r="K78" s="165"/>
      <c r="L78" s="144"/>
      <c r="M78" s="207">
        <f>IF(C78-G78&gt;C81-G81,C78,C81)</f>
        <v>637.5</v>
      </c>
      <c r="N78" s="161" t="s">
        <v>120</v>
      </c>
      <c r="O78" s="212">
        <f>J13/D13*O77</f>
        <v>0.99184100142179255</v>
      </c>
      <c r="P78" s="161" t="s">
        <v>121</v>
      </c>
      <c r="Q78" s="207">
        <f>MIN(Q68:R68,Q77)</f>
        <v>4</v>
      </c>
      <c r="R78" s="161" t="s">
        <v>122</v>
      </c>
      <c r="S78" s="160">
        <f>(2*(E19-G13)-20-H62)/(R68-1)</f>
        <v>134</v>
      </c>
      <c r="T78" s="163">
        <f>CEILING((R68-1)/FLOOR(MAX(1,300/S78),1)+1,1)</f>
        <v>4</v>
      </c>
    </row>
    <row r="79" spans="1:20" s="168" customFormat="1" ht="15.75">
      <c r="A79" s="59"/>
      <c r="B79" s="204" t="s">
        <v>123</v>
      </c>
      <c r="C79" s="195"/>
      <c r="D79" s="161"/>
      <c r="E79" s="195"/>
      <c r="F79" s="195"/>
      <c r="G79" s="195"/>
      <c r="H79" s="195"/>
      <c r="I79" s="195"/>
      <c r="J79" s="195"/>
      <c r="K79" s="165"/>
      <c r="L79" s="144"/>
      <c r="M79" s="213">
        <f>ROUND(IF(C78-G78&gt;C81-G81,E78,E81),3)</f>
        <v>1.131</v>
      </c>
      <c r="N79" s="73" t="s">
        <v>124</v>
      </c>
      <c r="O79" s="194">
        <f>O78*MIN(0.75*O63,450)/(Q77+Q78)*2</f>
        <v>55.884041423859124</v>
      </c>
      <c r="P79" s="163" t="s">
        <v>125</v>
      </c>
    </row>
    <row r="80" spans="1:20" s="168" customFormat="1" ht="15.75">
      <c r="A80" s="59"/>
      <c r="B80" s="166" t="s">
        <v>115</v>
      </c>
      <c r="C80" s="243">
        <f>$I53-1.4*$C50*$E75/1000</f>
        <v>279.67594666666668</v>
      </c>
      <c r="D80" s="243"/>
      <c r="E80" s="243">
        <f>$I54-$C50*$E75/1000</f>
        <v>145.38706666666667</v>
      </c>
      <c r="F80" s="243"/>
      <c r="G80" s="243">
        <f>$I55-1.2*$C50*$E75/1000</f>
        <v>237.84047999999999</v>
      </c>
      <c r="H80" s="243"/>
      <c r="K80" s="165"/>
      <c r="L80" s="144"/>
      <c r="M80" s="213">
        <f>ROUND(IF(C78-G78&gt;C81-G81,G78,G81),3)</f>
        <v>0.625</v>
      </c>
      <c r="O80" s="176"/>
    </row>
    <row r="81" spans="1:19" s="168" customFormat="1" ht="15.75">
      <c r="A81" s="59"/>
      <c r="B81" s="166" t="s">
        <v>119</v>
      </c>
      <c r="C81" s="160">
        <f>E18-E20-E75</f>
        <v>637.5</v>
      </c>
      <c r="D81" s="209" t="s">
        <v>112</v>
      </c>
      <c r="E81" s="210">
        <f>500*MAX(C80:H80)/E$19/C$63</f>
        <v>1.131375188781014</v>
      </c>
      <c r="F81" s="211" t="str">
        <f>IF(2*C$63&gt;C81,"vc 2d/av =","vc =")</f>
        <v>vc =</v>
      </c>
      <c r="G81" s="210">
        <f>MAX(1,2*C$63/C81)*0.632*MAX(1,400/C63)^0.25*MIN(3,H75)^0.3333333*(MIN(D12,40)/25)^0.3333333</f>
        <v>0.62504546933634819</v>
      </c>
      <c r="K81" s="165"/>
      <c r="L81" s="144"/>
      <c r="M81" s="163" t="str">
        <f>IF(C78-G78&gt;C81-G81,F78,F81)&amp;" "</f>
        <v xml:space="preserve">vc = </v>
      </c>
      <c r="N81" s="164"/>
      <c r="O81" s="235"/>
      <c r="P81" s="235"/>
      <c r="Q81" s="235"/>
      <c r="R81" s="235"/>
      <c r="S81" s="235"/>
    </row>
    <row r="82" spans="1:19" s="168" customFormat="1">
      <c r="A82" s="59"/>
      <c r="B82" s="166"/>
      <c r="K82" s="165"/>
      <c r="L82" s="144"/>
      <c r="M82" s="207" t="str">
        <f>FIXED(PI()/4*E83^2*C84/F84*D13/J13,1)</f>
        <v>440.4</v>
      </c>
      <c r="N82" s="89"/>
      <c r="O82" s="164"/>
      <c r="P82" s="164"/>
      <c r="Q82" s="164"/>
      <c r="R82" s="164"/>
      <c r="S82" s="164"/>
    </row>
    <row r="83" spans="1:19" s="168" customFormat="1">
      <c r="A83" s="59"/>
      <c r="B83" s="166" t="s">
        <v>116</v>
      </c>
      <c r="C83" s="208">
        <f>MAX(E78-G78,E81-G81,0.4)*2*E19</f>
        <v>405.0637755557326</v>
      </c>
      <c r="D83" s="163"/>
      <c r="E83" s="214">
        <f>VLOOKUP(O79,O5:P12,2)</f>
        <v>8</v>
      </c>
      <c r="F83" s="168" t="s">
        <v>126</v>
      </c>
      <c r="K83" s="165"/>
      <c r="L83" s="144"/>
      <c r="M83" s="161"/>
      <c r="N83" s="89"/>
      <c r="O83" s="215"/>
      <c r="P83" s="215"/>
      <c r="Q83" s="215"/>
      <c r="R83" s="215"/>
      <c r="S83" s="215"/>
    </row>
    <row r="84" spans="1:19" s="168" customFormat="1" ht="16.5">
      <c r="A84" s="59"/>
      <c r="B84" s="166" t="s">
        <v>127</v>
      </c>
      <c r="C84" s="163">
        <f>Q78</f>
        <v>4</v>
      </c>
      <c r="E84" s="161" t="s">
        <v>128</v>
      </c>
      <c r="F84" s="163">
        <f>FLOOR(PI()/4*E83^2*D13/J13/C83*C84,25)</f>
        <v>200</v>
      </c>
      <c r="G84" s="202" t="str">
        <f>C84&amp;" Legs"&amp;M5&amp;E83&amp;" @ "&amp;F84&amp;" LINKS"</f>
        <v>4 Legs T8 @ 200 LINKS</v>
      </c>
      <c r="I84" s="216"/>
      <c r="J84" s="216"/>
      <c r="K84" s="165"/>
      <c r="L84" s="144"/>
      <c r="M84" s="161"/>
      <c r="N84" s="89"/>
      <c r="O84" s="164"/>
      <c r="P84" s="164"/>
      <c r="Q84" s="164"/>
      <c r="R84" s="164"/>
      <c r="S84" s="164"/>
    </row>
    <row r="85" spans="1:19" s="227" customFormat="1" ht="12" thickBot="1">
      <c r="A85" s="131"/>
      <c r="B85" s="217"/>
      <c r="C85" s="218"/>
      <c r="D85" s="219"/>
      <c r="E85" s="220"/>
      <c r="F85" s="218"/>
      <c r="G85" s="221"/>
      <c r="H85" s="219"/>
      <c r="I85" s="222"/>
      <c r="J85" s="222"/>
      <c r="K85" s="223"/>
      <c r="L85" s="224"/>
      <c r="M85" s="225"/>
      <c r="N85" s="226"/>
    </row>
    <row r="86" spans="1:19" s="168" customFormat="1" ht="15.75" thickTop="1">
      <c r="A86" s="228"/>
      <c r="B86" s="228"/>
      <c r="C86" s="228"/>
      <c r="D86" s="228"/>
      <c r="E86" s="228"/>
      <c r="F86" s="228"/>
      <c r="G86" s="228"/>
      <c r="H86" s="228"/>
      <c r="I86" s="228"/>
      <c r="J86" s="228"/>
      <c r="K86" s="228"/>
      <c r="L86" s="228"/>
      <c r="M86" s="161"/>
      <c r="N86" s="176"/>
    </row>
    <row r="87" spans="1:19" s="168" customFormat="1">
      <c r="D87" s="229"/>
      <c r="E87" s="229"/>
      <c r="F87" s="229"/>
      <c r="G87" s="229"/>
      <c r="H87" s="229"/>
      <c r="M87" s="161"/>
      <c r="N87" s="176"/>
    </row>
    <row r="88" spans="1:19" s="16" customFormat="1">
      <c r="D88" s="230"/>
      <c r="E88" s="230"/>
      <c r="F88" s="231" t="s">
        <v>133</v>
      </c>
      <c r="G88" s="230"/>
      <c r="H88" s="230"/>
      <c r="M88" s="15"/>
      <c r="N88" s="17"/>
    </row>
    <row r="89" spans="1:19" s="16" customFormat="1" ht="15.75">
      <c r="D89" s="230"/>
      <c r="E89" s="230"/>
      <c r="F89" s="232" t="s">
        <v>134</v>
      </c>
      <c r="G89" s="230"/>
      <c r="H89" s="230"/>
      <c r="M89" s="15"/>
      <c r="N89" s="17"/>
    </row>
    <row r="90" spans="1:19" s="16" customFormat="1" ht="18.75">
      <c r="D90" s="230"/>
      <c r="E90" s="230"/>
      <c r="F90" s="233" t="s">
        <v>135</v>
      </c>
      <c r="G90" s="230"/>
      <c r="H90" s="230"/>
      <c r="M90" s="15"/>
      <c r="N90" s="17"/>
    </row>
    <row r="91" spans="1:19" s="16" customFormat="1" ht="20.25">
      <c r="D91" s="230"/>
      <c r="E91" s="230"/>
      <c r="F91" s="234" t="s">
        <v>129</v>
      </c>
      <c r="G91" s="230"/>
      <c r="H91" s="230"/>
      <c r="M91" s="15"/>
      <c r="N91" s="17"/>
    </row>
    <row r="92" spans="1:19" s="16" customFormat="1">
      <c r="D92" s="230"/>
      <c r="E92" s="230"/>
      <c r="F92" s="231" t="s">
        <v>130</v>
      </c>
      <c r="G92" s="230"/>
      <c r="H92" s="230"/>
      <c r="M92" s="15"/>
      <c r="N92" s="17"/>
    </row>
    <row r="93" spans="1:19" s="16" customFormat="1">
      <c r="D93" s="230"/>
      <c r="E93" s="230"/>
      <c r="F93" s="230"/>
      <c r="G93" s="230"/>
      <c r="H93" s="230"/>
      <c r="M93" s="15"/>
      <c r="N93" s="17"/>
    </row>
    <row r="94" spans="1:19" s="168" customFormat="1">
      <c r="D94" s="229"/>
      <c r="E94" s="229"/>
      <c r="F94" s="229"/>
      <c r="G94" s="229"/>
      <c r="H94" s="229"/>
      <c r="M94" s="161"/>
      <c r="N94" s="176"/>
    </row>
    <row r="95" spans="1:19" s="168" customFormat="1">
      <c r="M95" s="161"/>
      <c r="N95" s="176"/>
    </row>
    <row r="96" spans="1:19" s="168" customFormat="1">
      <c r="M96" s="161"/>
      <c r="N96" s="176"/>
    </row>
    <row r="97" spans="13:14" s="168" customFormat="1">
      <c r="M97" s="161"/>
      <c r="N97" s="176"/>
    </row>
    <row r="98" spans="13:14" s="168" customFormat="1">
      <c r="M98" s="161"/>
      <c r="N98" s="176"/>
    </row>
    <row r="99" spans="13:14" s="168" customFormat="1">
      <c r="M99" s="161"/>
      <c r="N99" s="176"/>
    </row>
    <row r="100" spans="13:14" s="168" customFormat="1">
      <c r="M100" s="161"/>
      <c r="N100" s="176"/>
    </row>
    <row r="101" spans="13:14" s="168" customFormat="1">
      <c r="M101" s="161"/>
      <c r="N101" s="176"/>
    </row>
    <row r="102" spans="13:14" s="168" customFormat="1">
      <c r="M102" s="161"/>
      <c r="N102" s="176"/>
    </row>
    <row r="103" spans="13:14" s="168" customFormat="1">
      <c r="M103" s="161"/>
      <c r="N103" s="176"/>
    </row>
    <row r="104" spans="13:14" s="168" customFormat="1">
      <c r="M104" s="161"/>
      <c r="N104" s="176"/>
    </row>
  </sheetData>
  <sheetProtection algorithmName="SHA-512" hashValue="GWrW5RpnRQSvWt0ZDxSM45yBeDw2ACHJypfVLI8fAGRUBFhQZ8Pk5bwqAIuXOZKgGSxfHkQG4eblIoHGKkYAMg==" saltValue="yjkhSpkFTIbOpCNtlXnUfw==" spinCount="100000" sheet="1" objects="1" scenarios="1"/>
  <mergeCells count="37">
    <mergeCell ref="J25:K25"/>
    <mergeCell ref="G6:H7"/>
    <mergeCell ref="I6:K6"/>
    <mergeCell ref="G8:H9"/>
    <mergeCell ref="D16:E16"/>
    <mergeCell ref="B17:C17"/>
    <mergeCell ref="F27:G27"/>
    <mergeCell ref="H27:K28"/>
    <mergeCell ref="I38:J38"/>
    <mergeCell ref="H40:J40"/>
    <mergeCell ref="G43:H44"/>
    <mergeCell ref="I43:K43"/>
    <mergeCell ref="E76:F76"/>
    <mergeCell ref="G76:H76"/>
    <mergeCell ref="G45:H46"/>
    <mergeCell ref="C57:D57"/>
    <mergeCell ref="E57:F57"/>
    <mergeCell ref="G57:H57"/>
    <mergeCell ref="C58:D58"/>
    <mergeCell ref="E58:F58"/>
    <mergeCell ref="G58:H58"/>
    <mergeCell ref="O81:S81"/>
    <mergeCell ref="A1:XFD2"/>
    <mergeCell ref="A3:XFD3"/>
    <mergeCell ref="A4:XFD4"/>
    <mergeCell ref="C77:D77"/>
    <mergeCell ref="E77:F77"/>
    <mergeCell ref="G77:H77"/>
    <mergeCell ref="C80:D80"/>
    <mergeCell ref="E80:F80"/>
    <mergeCell ref="G80:H80"/>
    <mergeCell ref="C59:D59"/>
    <mergeCell ref="E59:F59"/>
    <mergeCell ref="G59:H59"/>
    <mergeCell ref="O61:P61"/>
    <mergeCell ref="O72:P72"/>
    <mergeCell ref="C76:D76"/>
  </mergeCells>
  <conditionalFormatting sqref="E19">
    <cfRule type="cellIs" dxfId="15" priority="1" stopIfTrue="1" operator="equal">
      <formula>$E$17</formula>
    </cfRule>
  </conditionalFormatting>
  <conditionalFormatting sqref="I31:J31">
    <cfRule type="cellIs" dxfId="14" priority="2" stopIfTrue="1" operator="greaterThan">
      <formula>$D$14</formula>
    </cfRule>
    <cfRule type="cellIs" dxfId="13" priority="3" stopIfTrue="1" operator="lessThan">
      <formula>0</formula>
    </cfRule>
  </conditionalFormatting>
  <conditionalFormatting sqref="I32:J32">
    <cfRule type="cellIs" dxfId="12" priority="4" stopIfTrue="1" operator="greaterThan">
      <formula>$D$14*1.25</formula>
    </cfRule>
    <cfRule type="cellIs" dxfId="11" priority="5" stopIfTrue="1" operator="lessThan">
      <formula>0</formula>
    </cfRule>
  </conditionalFormatting>
  <conditionalFormatting sqref="H51:I51">
    <cfRule type="cellIs" dxfId="10" priority="6" stopIfTrue="1" operator="greaterThan">
      <formula>$D$14</formula>
    </cfRule>
    <cfRule type="cellIs" dxfId="9" priority="7" stopIfTrue="1" operator="lessThan">
      <formula>0</formula>
    </cfRule>
  </conditionalFormatting>
  <conditionalFormatting sqref="H52:I52">
    <cfRule type="cellIs" dxfId="8" priority="8" stopIfTrue="1" operator="greaterThan">
      <formula>$D$14*1.25</formula>
    </cfRule>
    <cfRule type="cellIs" dxfId="7" priority="9" stopIfTrue="1" operator="lessThan">
      <formula>0</formula>
    </cfRule>
  </conditionalFormatting>
  <conditionalFormatting sqref="H53:I55">
    <cfRule type="cellIs" dxfId="6" priority="10" stopIfTrue="1" operator="lessThan">
      <formula>0</formula>
    </cfRule>
  </conditionalFormatting>
  <conditionalFormatting sqref="E20">
    <cfRule type="cellIs" dxfId="5" priority="11" stopIfTrue="1" operator="equal">
      <formula>$E$18/2</formula>
    </cfRule>
  </conditionalFormatting>
  <conditionalFormatting sqref="C71 G71">
    <cfRule type="cellIs" dxfId="4" priority="12" stopIfTrue="1" operator="lessThan">
      <formula>C$73</formula>
    </cfRule>
  </conditionalFormatting>
  <conditionalFormatting sqref="C72 G72">
    <cfRule type="cellIs" dxfId="3" priority="13" stopIfTrue="1" operator="greaterThan">
      <formula>C$73</formula>
    </cfRule>
  </conditionalFormatting>
  <conditionalFormatting sqref="F27:G27">
    <cfRule type="expression" dxfId="2" priority="14" stopIfTrue="1">
      <formula>$M$35&gt;0</formula>
    </cfRule>
  </conditionalFormatting>
  <conditionalFormatting sqref="H27:K28">
    <cfRule type="cellIs" dxfId="1" priority="15" stopIfTrue="1" operator="equal">
      <formula>"VALID DESIGN"</formula>
    </cfRule>
    <cfRule type="cellIs" dxfId="0" priority="16" stopIfTrue="1" operator="equal">
      <formula>"PILE IN TENSION."</formula>
    </cfRule>
  </conditionalFormatting>
  <hyperlinks>
    <hyperlink ref="K42" r:id="rId1" display="r_m.webster@which.net"/>
  </hyperlinks>
  <pageMargins left="0.7" right="0.7" top="0.75" bottom="0.75" header="0.3" footer="0.3"/>
  <pageSetup orientation="portrait" horizontalDpi="4294967295" verticalDpi="4294967295" r:id="rId2"/>
  <drawing r:id="rId3"/>
  <legacyDrawing r:id="rId4"/>
  <oleObjects>
    <mc:AlternateContent xmlns:mc="http://schemas.openxmlformats.org/markup-compatibility/2006">
      <mc:Choice Requires="x14">
        <oleObject progId="CorelDRAW.Graphic.9" shapeId="1025" r:id="rId5">
          <objectPr defaultSize="0" autoPict="0" r:id="rId6">
            <anchor moveWithCells="1">
              <from>
                <xdr:col>11</xdr:col>
                <xdr:colOff>295275</xdr:colOff>
                <xdr:row>23</xdr:row>
                <xdr:rowOff>66675</xdr:rowOff>
              </from>
              <to>
                <xdr:col>11</xdr:col>
                <xdr:colOff>1524000</xdr:colOff>
                <xdr:row>26</xdr:row>
                <xdr:rowOff>200025</xdr:rowOff>
              </to>
            </anchor>
          </objectPr>
        </oleObject>
      </mc:Choice>
      <mc:Fallback>
        <oleObject progId="CorelDRAW.Graphic.9" shapeId="1025" r:id="rId5"/>
      </mc:Fallback>
    </mc:AlternateContent>
    <mc:AlternateContent xmlns:mc="http://schemas.openxmlformats.org/markup-compatibility/2006">
      <mc:Choice Requires="x14">
        <oleObject progId="CorelDRAW.Graphic.9" shapeId="1027" r:id="rId7">
          <objectPr defaultSize="0" autoPict="0" r:id="rId8">
            <anchor moveWithCells="1">
              <from>
                <xdr:col>8</xdr:col>
                <xdr:colOff>495300</xdr:colOff>
                <xdr:row>14</xdr:row>
                <xdr:rowOff>200025</xdr:rowOff>
              </from>
              <to>
                <xdr:col>10</xdr:col>
                <xdr:colOff>647700</xdr:colOff>
                <xdr:row>23</xdr:row>
                <xdr:rowOff>200025</xdr:rowOff>
              </to>
            </anchor>
          </objectPr>
        </oleObject>
      </mc:Choice>
      <mc:Fallback>
        <oleObject progId="CorelDRAW.Graphic.9" shapeId="1027" r:id="rId7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9" name="Button 4">
              <controlPr defaultSize="0" print="0" autoFill="0" autoPict="0" macro="[1]!Summary2">
                <anchor moveWithCells="1">
                  <from>
                    <xdr:col>11</xdr:col>
                    <xdr:colOff>600075</xdr:colOff>
                    <xdr:row>16</xdr:row>
                    <xdr:rowOff>123825</xdr:rowOff>
                  </from>
                  <to>
                    <xdr:col>11</xdr:col>
                    <xdr:colOff>1581150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10" name="Button 5">
              <controlPr defaultSize="0" print="0" autoFill="0" autoPict="0" macro="[1]!Details2">
                <anchor moveWithCells="1">
                  <from>
                    <xdr:col>11</xdr:col>
                    <xdr:colOff>1581150</xdr:colOff>
                    <xdr:row>16</xdr:row>
                    <xdr:rowOff>114300</xdr:rowOff>
                  </from>
                  <to>
                    <xdr:col>11</xdr:col>
                    <xdr:colOff>2419350</xdr:colOff>
                    <xdr:row>18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DOUBLE PILE</vt:lpstr>
      <vt:lpstr>'DOUBLE PILE'!Print_Area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2017-12-01T12:14:41Z</cp:lastPrinted>
  <dcterms:created xsi:type="dcterms:W3CDTF">2017-12-01T12:10:24Z</dcterms:created>
  <dcterms:modified xsi:type="dcterms:W3CDTF">2017-12-01T12:53:52Z</dcterms:modified>
</cp:coreProperties>
</file>